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95" windowHeight="5655" activeTab="1"/>
  </bookViews>
  <sheets>
    <sheet name="OwnVsRent" sheetId="1" r:id="rId1"/>
    <sheet name="Sheet1" sheetId="3" r:id="rId2"/>
    <sheet name="Lenders" sheetId="2" r:id="rId3"/>
  </sheets>
  <calcPr calcId="145621" iterate="1"/>
</workbook>
</file>

<file path=xl/calcChain.xml><?xml version="1.0" encoding="utf-8"?>
<calcChain xmlns="http://schemas.openxmlformats.org/spreadsheetml/2006/main">
  <c r="S15" i="3" l="1"/>
  <c r="R15" i="3"/>
  <c r="Q15" i="3"/>
  <c r="P15" i="3"/>
  <c r="O15" i="3"/>
  <c r="R13" i="3"/>
  <c r="Q13" i="3"/>
  <c r="P13" i="3"/>
  <c r="O13" i="3"/>
  <c r="R10" i="3"/>
  <c r="Q10" i="3"/>
  <c r="P10" i="3"/>
  <c r="O10" i="3"/>
  <c r="N15" i="3"/>
  <c r="M15" i="3"/>
  <c r="L15" i="3"/>
  <c r="K15" i="3"/>
  <c r="J15" i="3"/>
  <c r="I15" i="3"/>
  <c r="H15" i="3"/>
  <c r="G15" i="3"/>
  <c r="F15" i="3"/>
  <c r="E15" i="3"/>
  <c r="D15" i="3"/>
  <c r="N10" i="3"/>
  <c r="M10" i="3"/>
  <c r="L10" i="3"/>
  <c r="K10" i="3"/>
  <c r="J10" i="3"/>
  <c r="I10" i="3"/>
  <c r="H10" i="3"/>
  <c r="G10" i="3"/>
  <c r="F10" i="3"/>
  <c r="E10" i="3"/>
  <c r="D10" i="3"/>
  <c r="N13" i="3" l="1"/>
  <c r="M13" i="3"/>
  <c r="L13" i="3"/>
  <c r="K13" i="3"/>
  <c r="J13" i="3"/>
  <c r="I13" i="3"/>
  <c r="H13" i="3"/>
  <c r="G13" i="3"/>
  <c r="F13" i="3"/>
  <c r="E13" i="3"/>
  <c r="D13" i="3"/>
  <c r="B13" i="3"/>
  <c r="B10" i="3"/>
  <c r="I35" i="1" l="1"/>
  <c r="I34" i="1"/>
  <c r="J33" i="1" l="1"/>
  <c r="K33" i="1" s="1"/>
  <c r="J32" i="1"/>
  <c r="K32" i="1" s="1"/>
  <c r="S11" i="1"/>
  <c r="S10" i="1"/>
  <c r="S7" i="1"/>
  <c r="S8" i="1" s="1"/>
  <c r="S9" i="1" l="1"/>
  <c r="S15" i="1" s="1"/>
  <c r="B2" i="2"/>
  <c r="B3" i="2" s="1"/>
  <c r="D10" i="1"/>
  <c r="D11" i="1"/>
  <c r="C11" i="2"/>
  <c r="E11" i="2"/>
  <c r="B11" i="2"/>
  <c r="F8" i="2"/>
  <c r="F11" i="2" s="1"/>
  <c r="I21" i="1"/>
  <c r="I16" i="1"/>
  <c r="Q13" i="1"/>
  <c r="Q12" i="1"/>
  <c r="O7" i="1"/>
  <c r="P7" i="1" s="1"/>
  <c r="E19" i="1"/>
  <c r="E17" i="1"/>
  <c r="I12" i="1"/>
  <c r="J14" i="1"/>
  <c r="J15" i="1" s="1"/>
  <c r="B2" i="1"/>
  <c r="B3" i="1" s="1"/>
  <c r="E11" i="1"/>
  <c r="E10" i="1"/>
  <c r="H7" i="1"/>
  <c r="H8" i="1" s="1"/>
  <c r="D19" i="1"/>
  <c r="B19" i="1"/>
  <c r="C7" i="1"/>
  <c r="D17" i="1"/>
  <c r="B17" i="1"/>
  <c r="B11" i="1"/>
  <c r="B10" i="1"/>
  <c r="B7" i="1"/>
  <c r="D16" i="2" l="1"/>
  <c r="D15" i="2"/>
  <c r="D10" i="2"/>
  <c r="D11" i="2" s="1"/>
  <c r="D19" i="2" s="1"/>
  <c r="D7" i="1"/>
  <c r="J17" i="1"/>
  <c r="K17" i="1" s="1"/>
  <c r="H15" i="2"/>
  <c r="H16" i="2" s="1"/>
  <c r="B15" i="2"/>
  <c r="B16" i="2" s="1"/>
  <c r="C15" i="2"/>
  <c r="E15" i="2"/>
  <c r="F15" i="2"/>
  <c r="F16" i="2" s="1"/>
  <c r="O8" i="1"/>
  <c r="P8" i="1" s="1"/>
  <c r="J22" i="1"/>
  <c r="B8" i="1"/>
  <c r="B9" i="1" s="1"/>
  <c r="B15" i="1" s="1"/>
  <c r="B24" i="1" s="1"/>
  <c r="C8" i="1"/>
  <c r="C9" i="1" s="1"/>
  <c r="C15" i="1" s="1"/>
  <c r="E7" i="1"/>
  <c r="D17" i="2" l="1"/>
  <c r="H17" i="2"/>
  <c r="D8" i="1"/>
  <c r="D9" i="1" s="1"/>
  <c r="D15" i="1" s="1"/>
  <c r="K22" i="1"/>
  <c r="C16" i="2"/>
  <c r="C17" i="2" s="1"/>
  <c r="B17" i="2"/>
  <c r="F17" i="2"/>
  <c r="E16" i="2"/>
  <c r="E17" i="2" s="1"/>
  <c r="O9" i="1"/>
  <c r="P9" i="1" s="1"/>
  <c r="E8" i="1"/>
  <c r="D24" i="1" l="1"/>
  <c r="I6" i="1"/>
  <c r="O10" i="1"/>
  <c r="P10" i="1" s="1"/>
  <c r="O11" i="1" s="1"/>
  <c r="J23" i="1"/>
  <c r="J18" i="1"/>
  <c r="E9" i="1"/>
  <c r="E15" i="1" s="1"/>
  <c r="J10" i="1"/>
  <c r="K18" i="1" l="1"/>
  <c r="K23" i="1"/>
  <c r="E24" i="1"/>
  <c r="E25" i="1" s="1"/>
  <c r="E16" i="1"/>
  <c r="P11" i="1"/>
  <c r="Q11" i="1" s="1"/>
  <c r="K6" i="1"/>
  <c r="D25" i="1"/>
  <c r="J35" i="1" l="1"/>
  <c r="K35" i="1" s="1"/>
  <c r="J34" i="1"/>
  <c r="K34" i="1" s="1"/>
  <c r="I7" i="1"/>
  <c r="I8" i="1" l="1"/>
  <c r="K8" i="1" s="1"/>
  <c r="K13" i="1" s="1"/>
  <c r="K7" i="1"/>
  <c r="K16" i="1" l="1"/>
  <c r="K19" i="1" s="1"/>
  <c r="K11" i="1"/>
  <c r="K12" i="1" s="1"/>
  <c r="K15" i="1" s="1"/>
  <c r="K21" i="1"/>
  <c r="K24" i="1" s="1"/>
</calcChain>
</file>

<file path=xl/sharedStrings.xml><?xml version="1.0" encoding="utf-8"?>
<sst xmlns="http://schemas.openxmlformats.org/spreadsheetml/2006/main" count="139" uniqueCount="120">
  <si>
    <t>Interest</t>
  </si>
  <si>
    <t>Principal</t>
  </si>
  <si>
    <t>Appraisal</t>
  </si>
  <si>
    <t>Loan</t>
  </si>
  <si>
    <t>LTV%</t>
  </si>
  <si>
    <t>7-1 ARM</t>
  </si>
  <si>
    <t>30-yr fixed</t>
  </si>
  <si>
    <t>Rate</t>
  </si>
  <si>
    <t>Total</t>
  </si>
  <si>
    <t>Taxes</t>
  </si>
  <si>
    <t>Insurance</t>
  </si>
  <si>
    <t>Monthly</t>
  </si>
  <si>
    <t>Current</t>
  </si>
  <si>
    <t>Diff</t>
  </si>
  <si>
    <t>PMI</t>
  </si>
  <si>
    <t>Association fees</t>
  </si>
  <si>
    <t>Down</t>
  </si>
  <si>
    <t>Commute</t>
  </si>
  <si>
    <t>Parking</t>
  </si>
  <si>
    <t>Car Insurance</t>
  </si>
  <si>
    <t>Child care</t>
  </si>
  <si>
    <t>Kensington</t>
  </si>
  <si>
    <t>Per Month</t>
  </si>
  <si>
    <t>Per Year</t>
  </si>
  <si>
    <t>5 years</t>
  </si>
  <si>
    <t>Diff (Own-Rent)</t>
  </si>
  <si>
    <t>3% appreciation per year</t>
  </si>
  <si>
    <t>5 yr appreciation</t>
  </si>
  <si>
    <t>Closing cost buy+sale</t>
  </si>
  <si>
    <t>rent for 2yrs out
of pocket</t>
  </si>
  <si>
    <t>Principal 5yrs</t>
  </si>
  <si>
    <t>OWN</t>
  </si>
  <si>
    <t>Outflow</t>
  </si>
  <si>
    <t>Inflow</t>
  </si>
  <si>
    <t>Principal +2 yrs</t>
  </si>
  <si>
    <t>2yr appreciation</t>
  </si>
  <si>
    <t>Out pocket</t>
  </si>
  <si>
    <t>7 yr apprecn</t>
  </si>
  <si>
    <t>7 yr principal</t>
  </si>
  <si>
    <t>7 yr PROFIT</t>
  </si>
  <si>
    <t>5 yr PROFIT</t>
  </si>
  <si>
    <t>21-Wood on Rent</t>
  </si>
  <si>
    <t>NRE</t>
  </si>
  <si>
    <t>Amt</t>
  </si>
  <si>
    <t>Interest (1 yr)</t>
  </si>
  <si>
    <t>Interest (5 yr)</t>
  </si>
  <si>
    <t>total</t>
  </si>
  <si>
    <t>Interest (2 yr)</t>
  </si>
  <si>
    <t>Interest (3 yr)</t>
  </si>
  <si>
    <t>Interest (4 yr)</t>
  </si>
  <si>
    <t>earned</t>
  </si>
  <si>
    <t>Interest (7 yr)</t>
  </si>
  <si>
    <t>Interest (10 yr)</t>
  </si>
  <si>
    <t>rent for 3yrs out
of pocket</t>
  </si>
  <si>
    <t>3yr appreciation</t>
  </si>
  <si>
    <t>Principal +3 yrs</t>
  </si>
  <si>
    <t>10 yr apprecn</t>
  </si>
  <si>
    <t>10 yr principal</t>
  </si>
  <si>
    <t>10 yr PROFIT</t>
  </si>
  <si>
    <t>Escrow</t>
  </si>
  <si>
    <t>Provident Bank</t>
  </si>
  <si>
    <t>0 pts</t>
  </si>
  <si>
    <t>NJ Lenders
Susan-973-650-6525</t>
  </si>
  <si>
    <t>Mike Patlen</t>
  </si>
  <si>
    <t>Peter Scott</t>
  </si>
  <si>
    <t>212-485-9633</t>
  </si>
  <si>
    <t>201-320-4521</t>
  </si>
  <si>
    <t>MLD Mortgage</t>
  </si>
  <si>
    <t>InterContinental Capital Group</t>
  </si>
  <si>
    <t>NJ Lenders Corp</t>
  </si>
  <si>
    <t>Susan Lake</t>
  </si>
  <si>
    <t>C# 973-650-6525
O# 973-200-3326</t>
  </si>
  <si>
    <t>Fees</t>
  </si>
  <si>
    <t>Adam Samy</t>
  </si>
  <si>
    <t>732-651-2660</t>
  </si>
  <si>
    <t>Points</t>
  </si>
  <si>
    <t>Float Down</t>
  </si>
  <si>
    <t>Lender</t>
  </si>
  <si>
    <t>Person</t>
  </si>
  <si>
    <t>Phone</t>
  </si>
  <si>
    <t>Pay more</t>
  </si>
  <si>
    <t>BreakEven</t>
  </si>
  <si>
    <t>BreakEven (yrs)</t>
  </si>
  <si>
    <t>Wells Fargo</t>
  </si>
  <si>
    <t>Savings</t>
  </si>
  <si>
    <t>7-1 ARM
1/2 pt</t>
  </si>
  <si>
    <t>7-1 ARM
0.1% pt</t>
  </si>
  <si>
    <t>7-1 ARM
0.61% pt</t>
  </si>
  <si>
    <t>7-1 ARM
0 pts</t>
  </si>
  <si>
    <t>Applied on</t>
  </si>
  <si>
    <t>7-1 ARM
1/2 pt+20%down</t>
  </si>
  <si>
    <t>If 5% down</t>
  </si>
  <si>
    <t>Down payment back after 5 yrs</t>
  </si>
  <si>
    <t>RENT</t>
  </si>
  <si>
    <t>2bd/2ba</t>
  </si>
  <si>
    <t>&lt;- Actual amt got back in 5 yrs.</t>
  </si>
  <si>
    <t>&lt;- Remove closing</t>
  </si>
  <si>
    <t>Saved if I rented + 
Down Payment + 
NRE interest in 5 yrs +
Saved on closing of $10K at selling.</t>
  </si>
  <si>
    <t>Rent</t>
  </si>
  <si>
    <t>Own</t>
  </si>
  <si>
    <t>Case</t>
  </si>
  <si>
    <t>Sold in 5 yrs at $500K</t>
  </si>
  <si>
    <t>Rent-Own</t>
  </si>
  <si>
    <r>
      <t xml:space="preserve">Own + 25K NRE </t>
    </r>
    <r>
      <rPr>
        <b/>
        <sz val="9"/>
        <color theme="1"/>
        <rFont val="Calibri"/>
        <family val="2"/>
        <scheme val="minor"/>
      </rPr>
      <t>Vs</t>
    </r>
    <r>
      <rPr>
        <sz val="9"/>
        <color theme="1"/>
        <rFont val="Calibri"/>
        <family val="2"/>
        <scheme val="minor"/>
      </rPr>
      <t xml:space="preserve"> 
60K NRE + $2500 Rent</t>
    </r>
  </si>
  <si>
    <r>
      <t xml:space="preserve">Own + 25K NRE </t>
    </r>
    <r>
      <rPr>
        <b/>
        <sz val="9"/>
        <color theme="1"/>
        <rFont val="Calibri"/>
        <family val="2"/>
        <scheme val="minor"/>
      </rPr>
      <t>Vs</t>
    </r>
    <r>
      <rPr>
        <sz val="9"/>
        <color theme="1"/>
        <rFont val="Calibri"/>
        <family val="2"/>
        <scheme val="minor"/>
      </rPr>
      <t xml:space="preserve"> 
60K NRE + $3100 Rent</t>
    </r>
  </si>
  <si>
    <r>
      <t xml:space="preserve">Own + 0K NRE </t>
    </r>
    <r>
      <rPr>
        <b/>
        <sz val="9"/>
        <color theme="1"/>
        <rFont val="Calibri"/>
        <family val="2"/>
        <scheme val="minor"/>
      </rPr>
      <t>Vs</t>
    </r>
    <r>
      <rPr>
        <sz val="9"/>
        <color theme="1"/>
        <rFont val="Calibri"/>
        <family val="2"/>
        <scheme val="minor"/>
      </rPr>
      <t xml:space="preserve"> 
60K NRE + $2500 Rent</t>
    </r>
  </si>
  <si>
    <r>
      <t xml:space="preserve">Own + 0K NRE </t>
    </r>
    <r>
      <rPr>
        <b/>
        <sz val="9"/>
        <color theme="1"/>
        <rFont val="Calibri"/>
        <family val="2"/>
        <scheme val="minor"/>
      </rPr>
      <t>Vs</t>
    </r>
    <r>
      <rPr>
        <sz val="9"/>
        <color theme="1"/>
        <rFont val="Calibri"/>
        <family val="2"/>
        <scheme val="minor"/>
      </rPr>
      <t xml:space="preserve"> 
60K NRE + $3100 Rent</t>
    </r>
  </si>
  <si>
    <t>Need to sell in 5 yrs</t>
  </si>
  <si>
    <r>
      <t>NRE return considered at</t>
    </r>
    <r>
      <rPr>
        <b/>
        <sz val="9"/>
        <color rgb="FFFF0000"/>
        <rFont val="Calibri"/>
        <family val="2"/>
        <scheme val="minor"/>
      </rPr>
      <t xml:space="preserve"> 7%</t>
    </r>
    <r>
      <rPr>
        <sz val="9"/>
        <color theme="1"/>
        <rFont val="Calibri"/>
        <family val="2"/>
        <scheme val="minor"/>
      </rPr>
      <t xml:space="preserve"> (after-tax) in 5 yrs.</t>
    </r>
  </si>
  <si>
    <t>Purchaseprice</t>
  </si>
  <si>
    <t>Current rate</t>
  </si>
  <si>
    <t>Basement etc</t>
  </si>
  <si>
    <t>Monthly (PITI)</t>
  </si>
  <si>
    <t>Annual Tax</t>
  </si>
  <si>
    <t>Association fee</t>
  </si>
  <si>
    <t>Remaining Mortgage</t>
  </si>
  <si>
    <t>21wood acres monthly</t>
  </si>
  <si>
    <t>Rent received</t>
  </si>
  <si>
    <t xml:space="preserve">Out of pocket </t>
  </si>
  <si>
    <t>Annualized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</si>
</sst>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1" fillId="0" borderId="1" xfId="0" applyFont="1" applyBorder="1"/>
    <xf numFmtId="6" fontId="1" fillId="0" borderId="1" xfId="0" applyNumberFormat="1" applyFont="1" applyBorder="1"/>
    <xf numFmtId="10" fontId="1" fillId="0" borderId="1" xfId="0" applyNumberFormat="1" applyFont="1" applyBorder="1"/>
    <xf numFmtId="0" fontId="2" fillId="0" borderId="1" xfId="0" applyFont="1" applyBorder="1"/>
    <xf numFmtId="8" fontId="1" fillId="0" borderId="1" xfId="0" applyNumberFormat="1" applyFont="1" applyBorder="1"/>
    <xf numFmtId="164" fontId="1" fillId="0" borderId="1" xfId="0" applyNumberFormat="1" applyFont="1" applyBorder="1"/>
    <xf numFmtId="6" fontId="1" fillId="0" borderId="0" xfId="0" applyNumberFormat="1" applyFont="1"/>
    <xf numFmtId="8" fontId="3" fillId="0" borderId="1" xfId="0" applyNumberFormat="1" applyFont="1" applyBorder="1"/>
    <xf numFmtId="164" fontId="3" fillId="0" borderId="1" xfId="0" applyNumberFormat="1" applyFont="1" applyBorder="1"/>
    <xf numFmtId="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8" fontId="4" fillId="2" borderId="1" xfId="0" applyNumberFormat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/>
    <xf numFmtId="8" fontId="1" fillId="0" borderId="0" xfId="0" applyNumberFormat="1" applyFont="1" applyBorder="1"/>
    <xf numFmtId="0" fontId="2" fillId="0" borderId="0" xfId="0" applyFont="1"/>
    <xf numFmtId="0" fontId="2" fillId="3" borderId="0" xfId="0" applyFont="1" applyFill="1"/>
    <xf numFmtId="8" fontId="2" fillId="3" borderId="0" xfId="0" applyNumberFormat="1" applyFont="1" applyFill="1"/>
    <xf numFmtId="8" fontId="5" fillId="3" borderId="1" xfId="0" applyNumberFormat="1" applyFont="1" applyFill="1" applyBorder="1"/>
    <xf numFmtId="3" fontId="1" fillId="0" borderId="0" xfId="0" applyNumberFormat="1" applyFont="1"/>
    <xf numFmtId="4" fontId="1" fillId="0" borderId="0" xfId="0" applyNumberFormat="1" applyFont="1"/>
    <xf numFmtId="0" fontId="1" fillId="4" borderId="1" xfId="0" applyFont="1" applyFill="1" applyBorder="1"/>
    <xf numFmtId="0" fontId="2" fillId="4" borderId="1" xfId="0" applyFont="1" applyFill="1" applyBorder="1"/>
    <xf numFmtId="8" fontId="1" fillId="4" borderId="1" xfId="0" applyNumberFormat="1" applyFont="1" applyFill="1" applyBorder="1"/>
    <xf numFmtId="164" fontId="1" fillId="4" borderId="1" xfId="0" applyNumberFormat="1" applyFont="1" applyFill="1" applyBorder="1"/>
    <xf numFmtId="0" fontId="1" fillId="4" borderId="0" xfId="0" applyFont="1" applyFill="1"/>
    <xf numFmtId="8" fontId="1" fillId="4" borderId="0" xfId="0" applyNumberFormat="1" applyFont="1" applyFill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2" fillId="7" borderId="1" xfId="0" applyFont="1" applyFill="1" applyBorder="1"/>
    <xf numFmtId="164" fontId="1" fillId="7" borderId="1" xfId="0" applyNumberFormat="1" applyFont="1" applyFill="1" applyBorder="1"/>
    <xf numFmtId="8" fontId="1" fillId="7" borderId="1" xfId="0" applyNumberFormat="1" applyFont="1" applyFill="1" applyBorder="1"/>
    <xf numFmtId="0" fontId="1" fillId="7" borderId="0" xfId="0" applyFont="1" applyFill="1"/>
    <xf numFmtId="164" fontId="2" fillId="7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0" xfId="0" applyFont="1" applyFill="1"/>
    <xf numFmtId="8" fontId="2" fillId="5" borderId="1" xfId="0" applyNumberFormat="1" applyFont="1" applyFill="1" applyBorder="1"/>
    <xf numFmtId="8" fontId="2" fillId="7" borderId="1" xfId="0" applyNumberFormat="1" applyFont="1" applyFill="1" applyBorder="1"/>
    <xf numFmtId="8" fontId="2" fillId="6" borderId="1" xfId="0" applyNumberFormat="1" applyFont="1" applyFill="1" applyBorder="1"/>
    <xf numFmtId="40" fontId="1" fillId="0" borderId="1" xfId="0" applyNumberFormat="1" applyFont="1" applyBorder="1"/>
    <xf numFmtId="10" fontId="1" fillId="0" borderId="0" xfId="0" applyNumberFormat="1" applyFont="1" applyBorder="1"/>
    <xf numFmtId="0" fontId="2" fillId="0" borderId="1" xfId="0" applyFont="1" applyBorder="1" applyAlignment="1">
      <alignment wrapText="1"/>
    </xf>
    <xf numFmtId="0" fontId="1" fillId="8" borderId="0" xfId="0" applyFont="1" applyFill="1"/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/>
    <xf numFmtId="164" fontId="1" fillId="8" borderId="1" xfId="0" applyNumberFormat="1" applyFont="1" applyFill="1" applyBorder="1"/>
    <xf numFmtId="8" fontId="1" fillId="8" borderId="1" xfId="0" applyNumberFormat="1" applyFont="1" applyFill="1" applyBorder="1" applyAlignment="1">
      <alignment wrapText="1"/>
    </xf>
    <xf numFmtId="8" fontId="1" fillId="8" borderId="1" xfId="0" applyNumberFormat="1" applyFont="1" applyFill="1" applyBorder="1"/>
    <xf numFmtId="164" fontId="2" fillId="8" borderId="1" xfId="0" applyNumberFormat="1" applyFont="1" applyFill="1" applyBorder="1"/>
    <xf numFmtId="8" fontId="2" fillId="8" borderId="1" xfId="0" applyNumberFormat="1" applyFont="1" applyFill="1" applyBorder="1"/>
    <xf numFmtId="15" fontId="1" fillId="8" borderId="0" xfId="0" applyNumberFormat="1" applyFont="1" applyFill="1"/>
    <xf numFmtId="164" fontId="3" fillId="2" borderId="1" xfId="0" applyNumberFormat="1" applyFont="1" applyFill="1" applyBorder="1"/>
    <xf numFmtId="0" fontId="5" fillId="3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8" fontId="2" fillId="9" borderId="0" xfId="0" applyNumberFormat="1" applyFont="1" applyFill="1" applyAlignment="1">
      <alignment horizontal="center" vertical="center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8" fontId="1" fillId="0" borderId="8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9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35"/>
  <sheetViews>
    <sheetView zoomScaleNormal="100" workbookViewId="0">
      <selection activeCell="B1" sqref="B1"/>
    </sheetView>
  </sheetViews>
  <sheetFormatPr defaultColWidth="9.140625" defaultRowHeight="12" x14ac:dyDescent="0.2"/>
  <cols>
    <col min="1" max="1" width="10.85546875" style="1" customWidth="1"/>
    <col min="2" max="3" width="8.7109375" style="1" customWidth="1"/>
    <col min="4" max="4" width="11.28515625" style="1" customWidth="1"/>
    <col min="5" max="5" width="8.7109375" style="1" bestFit="1" customWidth="1"/>
    <col min="6" max="6" width="1.28515625" style="28" customWidth="1"/>
    <col min="7" max="7" width="23.140625" style="1" customWidth="1"/>
    <col min="8" max="9" width="10.140625" style="1" bestFit="1" customWidth="1"/>
    <col min="10" max="10" width="10.140625" style="1" customWidth="1"/>
    <col min="11" max="11" width="16.5703125" style="1" customWidth="1"/>
    <col min="12" max="12" width="16.42578125" style="15" customWidth="1"/>
    <col min="13" max="13" width="0.85546875" style="28" customWidth="1"/>
    <col min="14" max="14" width="11.28515625" style="1" bestFit="1" customWidth="1"/>
    <col min="15" max="15" width="11.42578125" style="1" bestFit="1" customWidth="1"/>
    <col min="16" max="16" width="10.140625" style="1" bestFit="1" customWidth="1"/>
    <col min="17" max="17" width="11.85546875" style="1" customWidth="1"/>
    <col min="18" max="18" width="1.28515625" style="28" customWidth="1"/>
    <col min="19" max="16384" width="9.140625" style="1"/>
  </cols>
  <sheetData>
    <row r="1" spans="1:19" x14ac:dyDescent="0.25">
      <c r="A1" s="3" t="s">
        <v>2</v>
      </c>
      <c r="B1" s="4">
        <v>500000</v>
      </c>
      <c r="C1" s="3" t="s">
        <v>4</v>
      </c>
      <c r="D1" s="3"/>
      <c r="E1" s="3"/>
      <c r="F1" s="24"/>
    </row>
    <row r="2" spans="1:19" x14ac:dyDescent="0.25">
      <c r="A2" s="3" t="s">
        <v>16</v>
      </c>
      <c r="B2" s="4">
        <f>B1*C2</f>
        <v>25000</v>
      </c>
      <c r="C2" s="5">
        <v>0.05</v>
      </c>
      <c r="D2" s="3"/>
      <c r="E2" s="3"/>
      <c r="F2" s="24"/>
    </row>
    <row r="3" spans="1:19" ht="46.5" customHeight="1" x14ac:dyDescent="0.2">
      <c r="A3" s="3" t="s">
        <v>3</v>
      </c>
      <c r="B3" s="9">
        <f>B1-B2</f>
        <v>475000</v>
      </c>
      <c r="C3" s="9"/>
      <c r="D3" s="13" t="s">
        <v>62</v>
      </c>
      <c r="E3" s="3"/>
      <c r="F3" s="24"/>
      <c r="H3" s="68" t="s">
        <v>93</v>
      </c>
      <c r="I3" s="64" t="s">
        <v>31</v>
      </c>
      <c r="J3" s="65"/>
      <c r="S3" s="1" t="s">
        <v>91</v>
      </c>
    </row>
    <row r="4" spans="1:19" x14ac:dyDescent="0.2">
      <c r="A4" s="3"/>
      <c r="B4" s="4"/>
      <c r="C4" s="4"/>
      <c r="D4" s="3" t="s">
        <v>61</v>
      </c>
      <c r="E4" s="3"/>
      <c r="F4" s="24"/>
      <c r="H4" s="69"/>
      <c r="I4" s="66"/>
      <c r="J4" s="67"/>
      <c r="N4" s="18" t="s">
        <v>42</v>
      </c>
      <c r="P4" s="1" t="s">
        <v>46</v>
      </c>
      <c r="Q4" s="1" t="s">
        <v>50</v>
      </c>
      <c r="S4" s="1">
        <v>475000</v>
      </c>
    </row>
    <row r="5" spans="1:19" x14ac:dyDescent="0.25">
      <c r="A5" s="3"/>
      <c r="B5" s="3" t="s">
        <v>12</v>
      </c>
      <c r="C5" s="3" t="s">
        <v>21</v>
      </c>
      <c r="D5" s="6" t="s">
        <v>5</v>
      </c>
      <c r="E5" s="6" t="s">
        <v>6</v>
      </c>
      <c r="F5" s="25"/>
      <c r="G5" s="3"/>
      <c r="H5" s="3" t="s">
        <v>94</v>
      </c>
      <c r="I5" s="3" t="s">
        <v>32</v>
      </c>
      <c r="J5" s="3" t="s">
        <v>33</v>
      </c>
      <c r="K5" s="10" t="s">
        <v>25</v>
      </c>
      <c r="L5" s="13"/>
      <c r="N5" s="1" t="s">
        <v>43</v>
      </c>
      <c r="O5" s="1">
        <v>60000</v>
      </c>
    </row>
    <row r="6" spans="1:19" x14ac:dyDescent="0.25">
      <c r="A6" s="3" t="s">
        <v>7</v>
      </c>
      <c r="B6" s="3">
        <v>4.5</v>
      </c>
      <c r="C6" s="3">
        <v>3.875</v>
      </c>
      <c r="D6" s="1">
        <v>3.625</v>
      </c>
      <c r="E6" s="3">
        <v>4.25</v>
      </c>
      <c r="F6" s="24"/>
      <c r="G6" s="3" t="s">
        <v>22</v>
      </c>
      <c r="H6" s="7">
        <v>3100</v>
      </c>
      <c r="I6" s="7">
        <f>D15-((D7+D10)*25%)</f>
        <v>3150.5197262719885</v>
      </c>
      <c r="J6" s="7"/>
      <c r="K6" s="11">
        <f>I6-H6</f>
        <v>50.519726271988475</v>
      </c>
      <c r="L6" s="13"/>
      <c r="N6" s="22" t="s">
        <v>7</v>
      </c>
      <c r="O6" s="1">
        <v>7</v>
      </c>
      <c r="S6" s="1">
        <v>3.625</v>
      </c>
    </row>
    <row r="7" spans="1:19" x14ac:dyDescent="0.25">
      <c r="A7" s="3" t="s">
        <v>0</v>
      </c>
      <c r="B7" s="7">
        <f>IPMT(B6%/12,1,360,-236000,0,0)</f>
        <v>885</v>
      </c>
      <c r="C7" s="7">
        <f>IPMT(C6%/12,1,180,-138000,0,0)</f>
        <v>445.625</v>
      </c>
      <c r="D7" s="7">
        <f>IPMT(D6%/12,1,360,-B3,0,0)</f>
        <v>1434.895833333333</v>
      </c>
      <c r="E7" s="7">
        <f>IPMT(E6%/12,1,360,-B3,0,0)</f>
        <v>1682.2916666666667</v>
      </c>
      <c r="F7" s="26"/>
      <c r="G7" s="7" t="s">
        <v>23</v>
      </c>
      <c r="H7" s="7">
        <f>H6*12</f>
        <v>37200</v>
      </c>
      <c r="I7" s="7">
        <f>I6*12</f>
        <v>37806.236715263862</v>
      </c>
      <c r="J7" s="7"/>
      <c r="K7" s="10">
        <f>I7-H7</f>
        <v>606.2367152638617</v>
      </c>
      <c r="L7" s="13"/>
      <c r="N7" s="1" t="s">
        <v>44</v>
      </c>
      <c r="O7" s="2">
        <f>IPMT(O6%/12,1,60,-O5,0,0)*12</f>
        <v>4200</v>
      </c>
      <c r="P7" s="2">
        <f>O7+O5</f>
        <v>64200</v>
      </c>
      <c r="S7" s="7">
        <f>IPMT(S6%/12,1,360,-S4,0,0)</f>
        <v>1434.895833333333</v>
      </c>
    </row>
    <row r="8" spans="1:19" x14ac:dyDescent="0.25">
      <c r="A8" s="3" t="s">
        <v>1</v>
      </c>
      <c r="B8" s="7">
        <f>PMT(B6%/12,360,-236000,0,0)-B7</f>
        <v>310.7773311890785</v>
      </c>
      <c r="C8" s="7">
        <f>PMT(C6%/12,180,-138000,0,0)-C7</f>
        <v>566.5215401986253</v>
      </c>
      <c r="D8" s="7">
        <f>PMT(D6%/12,360,-B3,0,0)-D7</f>
        <v>731.34785127198847</v>
      </c>
      <c r="E8" s="7">
        <f>PMT(E6%/12,360,-B3,0,0)-E7</f>
        <v>654.42281596088083</v>
      </c>
      <c r="F8" s="26"/>
      <c r="G8" s="7" t="s">
        <v>24</v>
      </c>
      <c r="H8" s="7">
        <f>H7*5</f>
        <v>186000</v>
      </c>
      <c r="I8" s="7">
        <f>I7*5</f>
        <v>189031.18357631931</v>
      </c>
      <c r="J8" s="7"/>
      <c r="K8" s="10">
        <f>I8-H8</f>
        <v>3031.1835763193085</v>
      </c>
      <c r="L8" s="13"/>
      <c r="N8" s="1" t="s">
        <v>47</v>
      </c>
      <c r="O8" s="2">
        <f>IPMT(O6%/12,1,60,-P7,0,0)*12</f>
        <v>4494</v>
      </c>
      <c r="P8" s="2">
        <f>P7+O8</f>
        <v>68694</v>
      </c>
      <c r="S8" s="7">
        <f>PMT(S6%/12,360,-S4,0,0)-S7</f>
        <v>731.34785127198847</v>
      </c>
    </row>
    <row r="9" spans="1:19" x14ac:dyDescent="0.25">
      <c r="A9" s="3" t="s">
        <v>8</v>
      </c>
      <c r="B9" s="7">
        <f>SUM(B7:B8)</f>
        <v>1195.7773311890785</v>
      </c>
      <c r="C9" s="7">
        <f>SUM(C7:C8)</f>
        <v>1012.1465401986253</v>
      </c>
      <c r="D9" s="7">
        <f>D7+D8</f>
        <v>2166.2436846053215</v>
      </c>
      <c r="E9" s="7">
        <f t="shared" ref="E9" si="0">E7+E8</f>
        <v>2336.7144826275476</v>
      </c>
      <c r="F9" s="26"/>
      <c r="G9" s="3"/>
      <c r="H9" s="3"/>
      <c r="I9" s="3"/>
      <c r="J9" s="3"/>
      <c r="K9" s="3"/>
      <c r="L9" s="13"/>
      <c r="N9" s="1" t="s">
        <v>48</v>
      </c>
      <c r="O9" s="2">
        <f>IPMT(O6%/12,1,60,-P8,0,0)*12</f>
        <v>4808.58</v>
      </c>
      <c r="P9" s="2">
        <f>P8+O9</f>
        <v>73502.58</v>
      </c>
      <c r="S9" s="7">
        <f>S7+S8</f>
        <v>2166.2436846053215</v>
      </c>
    </row>
    <row r="10" spans="1:19" ht="24.75" customHeight="1" x14ac:dyDescent="0.25">
      <c r="A10" s="3" t="s">
        <v>9</v>
      </c>
      <c r="B10" s="8">
        <f>6500/12</f>
        <v>541.66666666666663</v>
      </c>
      <c r="C10" s="8">
        <v>276.20999999999998</v>
      </c>
      <c r="D10" s="8">
        <f>10000/12</f>
        <v>833.33333333333337</v>
      </c>
      <c r="E10" s="8">
        <f>10000/12</f>
        <v>833.33333333333337</v>
      </c>
      <c r="F10" s="27"/>
      <c r="G10" s="3" t="s">
        <v>30</v>
      </c>
      <c r="H10" s="3"/>
      <c r="I10" s="3"/>
      <c r="J10" s="7">
        <f>E8*12*5</f>
        <v>39265.368957652849</v>
      </c>
      <c r="L10" s="13"/>
      <c r="N10" s="1" t="s">
        <v>49</v>
      </c>
      <c r="O10" s="2">
        <f>IPMT(O6%/12,1,60,-P9,0,0)*12</f>
        <v>5145.1806000000006</v>
      </c>
      <c r="P10" s="2">
        <f>P9+O10</f>
        <v>78647.760600000009</v>
      </c>
      <c r="S10" s="8">
        <f>10000/12</f>
        <v>833.33333333333337</v>
      </c>
    </row>
    <row r="11" spans="1:19" ht="23.25" customHeight="1" x14ac:dyDescent="0.25">
      <c r="A11" s="3" t="s">
        <v>10</v>
      </c>
      <c r="B11" s="8">
        <f>450/12</f>
        <v>37.5</v>
      </c>
      <c r="C11" s="8">
        <v>15.68</v>
      </c>
      <c r="D11" s="8">
        <f>900/12</f>
        <v>75</v>
      </c>
      <c r="E11" s="8">
        <f>900/12</f>
        <v>75</v>
      </c>
      <c r="F11" s="27"/>
      <c r="G11" s="1" t="s">
        <v>92</v>
      </c>
      <c r="J11" s="9">
        <v>50000</v>
      </c>
      <c r="K11" s="7">
        <f>(J10+J11)-K8</f>
        <v>86234.185381333547</v>
      </c>
      <c r="L11" s="13" t="s">
        <v>95</v>
      </c>
      <c r="N11" s="1" t="s">
        <v>45</v>
      </c>
      <c r="O11" s="2">
        <f>IPMT(O6%/12,1,60,-P10,0,0)*12</f>
        <v>5505.3432420000008</v>
      </c>
      <c r="P11" s="2">
        <f>P10+O11</f>
        <v>84153.103842000011</v>
      </c>
      <c r="Q11" s="2">
        <f>P11-O5</f>
        <v>24153.103842000011</v>
      </c>
      <c r="S11" s="8">
        <f>900/12</f>
        <v>75</v>
      </c>
    </row>
    <row r="12" spans="1:19" x14ac:dyDescent="0.25">
      <c r="A12" s="3" t="s">
        <v>14</v>
      </c>
      <c r="B12" s="3">
        <v>0</v>
      </c>
      <c r="C12" s="3">
        <v>0</v>
      </c>
      <c r="D12" s="7">
        <v>278</v>
      </c>
      <c r="E12" s="7">
        <v>278</v>
      </c>
      <c r="F12" s="24"/>
      <c r="G12" s="13" t="s">
        <v>28</v>
      </c>
      <c r="H12" s="3"/>
      <c r="I12" s="3">
        <f>10000*2</f>
        <v>20000</v>
      </c>
      <c r="J12" s="3"/>
      <c r="K12" s="14">
        <f>K11-I12</f>
        <v>66234.185381333547</v>
      </c>
      <c r="L12" s="15" t="s">
        <v>96</v>
      </c>
      <c r="N12" s="1" t="s">
        <v>51</v>
      </c>
      <c r="P12" s="23">
        <v>109682.35</v>
      </c>
      <c r="Q12" s="23">
        <f>P12-O5</f>
        <v>49682.350000000006</v>
      </c>
      <c r="S12" s="7">
        <v>300</v>
      </c>
    </row>
    <row r="13" spans="1:19" ht="60" x14ac:dyDescent="0.25">
      <c r="A13" s="3" t="s">
        <v>15</v>
      </c>
      <c r="B13" s="3">
        <v>75</v>
      </c>
      <c r="C13" s="3">
        <v>223</v>
      </c>
      <c r="D13" s="7">
        <v>365</v>
      </c>
      <c r="E13" s="7">
        <v>365</v>
      </c>
      <c r="F13" s="24"/>
      <c r="G13" s="59" t="s">
        <v>97</v>
      </c>
      <c r="K13" s="60">
        <f>K8+O5+Q11+10000</f>
        <v>97184.28741831932</v>
      </c>
      <c r="N13" s="1" t="s">
        <v>52</v>
      </c>
      <c r="P13" s="2">
        <v>142041.82</v>
      </c>
      <c r="Q13" s="2">
        <f>P13-O5</f>
        <v>82041.820000000007</v>
      </c>
      <c r="S13" s="7">
        <v>365</v>
      </c>
    </row>
    <row r="14" spans="1:19" x14ac:dyDescent="0.2">
      <c r="A14" s="3" t="s">
        <v>59</v>
      </c>
      <c r="B14" s="3"/>
      <c r="C14" s="3">
        <v>93.15</v>
      </c>
      <c r="D14" s="7"/>
      <c r="E14" s="3"/>
      <c r="F14" s="24"/>
      <c r="G14" s="12" t="s">
        <v>26</v>
      </c>
      <c r="H14" s="3"/>
      <c r="I14" s="3"/>
      <c r="J14" s="4">
        <f>B1*3%</f>
        <v>15000</v>
      </c>
      <c r="K14" s="3"/>
      <c r="L14" s="13"/>
      <c r="S14" s="7"/>
    </row>
    <row r="15" spans="1:19" x14ac:dyDescent="0.2">
      <c r="A15" s="3" t="s">
        <v>11</v>
      </c>
      <c r="B15" s="7">
        <f>SUM(B9:B14)</f>
        <v>1849.9439978557452</v>
      </c>
      <c r="C15" s="7">
        <f>SUM(C9:C14)</f>
        <v>1620.1865401986254</v>
      </c>
      <c r="D15" s="7">
        <f>SUM(D9:D14)</f>
        <v>3717.577017938655</v>
      </c>
      <c r="E15" s="7">
        <f>SUM(E9:E14)</f>
        <v>3888.0478159608811</v>
      </c>
      <c r="F15" s="26"/>
      <c r="G15" s="13" t="s">
        <v>27</v>
      </c>
      <c r="H15" s="3"/>
      <c r="I15" s="3"/>
      <c r="J15" s="4">
        <f>J14*5</f>
        <v>75000</v>
      </c>
      <c r="K15" s="21">
        <f>K12+J15</f>
        <v>141234.18538133355</v>
      </c>
      <c r="L15" s="56" t="s">
        <v>40</v>
      </c>
      <c r="S15" s="7">
        <f>SUM(S9:S14)</f>
        <v>3739.577017938655</v>
      </c>
    </row>
    <row r="16" spans="1:19" ht="24" x14ac:dyDescent="0.2">
      <c r="A16" s="3" t="s">
        <v>13</v>
      </c>
      <c r="B16" s="3"/>
      <c r="C16" s="3"/>
      <c r="D16" s="7"/>
      <c r="E16" s="7">
        <f>E15-D15</f>
        <v>170.47079802222606</v>
      </c>
      <c r="F16" s="26"/>
      <c r="G16" s="15" t="s">
        <v>29</v>
      </c>
      <c r="I16" s="1">
        <f>1000*12*2</f>
        <v>24000</v>
      </c>
      <c r="K16" s="2">
        <f>K8+I12+I16</f>
        <v>47031.183576319308</v>
      </c>
      <c r="L16" s="57" t="s">
        <v>36</v>
      </c>
    </row>
    <row r="17" spans="1:12" x14ac:dyDescent="0.2">
      <c r="A17" s="1" t="s">
        <v>17</v>
      </c>
      <c r="B17" s="1">
        <f>193+(69*4)</f>
        <v>469</v>
      </c>
      <c r="D17" s="1">
        <f>80</f>
        <v>80</v>
      </c>
      <c r="E17" s="1">
        <f>80</f>
        <v>80</v>
      </c>
      <c r="G17" s="1" t="s">
        <v>35</v>
      </c>
      <c r="H17" s="9"/>
      <c r="J17" s="9">
        <f>J14*2</f>
        <v>30000</v>
      </c>
      <c r="K17" s="9">
        <f>J15+J17</f>
        <v>105000</v>
      </c>
      <c r="L17" s="15" t="s">
        <v>37</v>
      </c>
    </row>
    <row r="18" spans="1:12" x14ac:dyDescent="0.2">
      <c r="A18" s="1" t="s">
        <v>18</v>
      </c>
      <c r="B18" s="1">
        <v>0</v>
      </c>
      <c r="D18" s="1">
        <v>200</v>
      </c>
      <c r="E18" s="1">
        <v>200</v>
      </c>
      <c r="F18" s="29"/>
      <c r="G18" s="16" t="s">
        <v>34</v>
      </c>
      <c r="H18" s="16"/>
      <c r="I18" s="16"/>
      <c r="J18" s="17">
        <f>E8*12*2</f>
        <v>15706.14758306114</v>
      </c>
      <c r="K18" s="2">
        <f>J10+J18+J11</f>
        <v>104971.51654071399</v>
      </c>
      <c r="L18" s="15" t="s">
        <v>38</v>
      </c>
    </row>
    <row r="19" spans="1:12" x14ac:dyDescent="0.2">
      <c r="A19" s="1" t="s">
        <v>19</v>
      </c>
      <c r="B19" s="1">
        <f>900*2/12</f>
        <v>150</v>
      </c>
      <c r="D19" s="1">
        <f>1000/12</f>
        <v>83.333333333333329</v>
      </c>
      <c r="E19" s="1">
        <f>1000/12</f>
        <v>83.333333333333329</v>
      </c>
      <c r="K19" s="20">
        <f>K17+K18-K16</f>
        <v>162940.33296439468</v>
      </c>
      <c r="L19" s="58" t="s">
        <v>39</v>
      </c>
    </row>
    <row r="20" spans="1:12" x14ac:dyDescent="0.2">
      <c r="A20" s="1" t="s">
        <v>20</v>
      </c>
      <c r="B20" s="1">
        <v>2000</v>
      </c>
      <c r="D20" s="1">
        <v>2300</v>
      </c>
      <c r="E20" s="1">
        <v>2300</v>
      </c>
    </row>
    <row r="21" spans="1:12" ht="24" x14ac:dyDescent="0.2">
      <c r="A21" s="1" t="s">
        <v>41</v>
      </c>
      <c r="D21" s="1">
        <v>200</v>
      </c>
      <c r="E21" s="1">
        <v>200</v>
      </c>
      <c r="G21" s="15" t="s">
        <v>53</v>
      </c>
      <c r="I21" s="1">
        <f>800*12*3</f>
        <v>28800</v>
      </c>
      <c r="K21" s="2">
        <f>K16+I21</f>
        <v>75831.183576319308</v>
      </c>
      <c r="L21" s="57" t="s">
        <v>36</v>
      </c>
    </row>
    <row r="22" spans="1:12" x14ac:dyDescent="0.2">
      <c r="G22" s="1" t="s">
        <v>54</v>
      </c>
      <c r="J22" s="9">
        <f>J14*3</f>
        <v>45000</v>
      </c>
      <c r="K22" s="9">
        <f>K17+J22</f>
        <v>150000</v>
      </c>
      <c r="L22" s="15" t="s">
        <v>56</v>
      </c>
    </row>
    <row r="23" spans="1:12" x14ac:dyDescent="0.2">
      <c r="G23" s="16" t="s">
        <v>55</v>
      </c>
      <c r="J23" s="2">
        <f>E8*12*3</f>
        <v>23559.221374591711</v>
      </c>
      <c r="K23" s="2">
        <f>K18+J23+J11</f>
        <v>178530.73791530571</v>
      </c>
      <c r="L23" s="15" t="s">
        <v>57</v>
      </c>
    </row>
    <row r="24" spans="1:12" x14ac:dyDescent="0.2">
      <c r="A24" s="19" t="s">
        <v>8</v>
      </c>
      <c r="B24" s="20">
        <f>B15+SUM(B17:B21)</f>
        <v>4468.9439978557457</v>
      </c>
      <c r="C24" s="20"/>
      <c r="D24" s="20">
        <f>D15+SUM(D17:D21)</f>
        <v>6580.9103512719885</v>
      </c>
      <c r="E24" s="20">
        <f>E15+SUM(E17:E21)</f>
        <v>6751.381149294215</v>
      </c>
      <c r="K24" s="20">
        <f>K22+K23-K21</f>
        <v>252699.5543389864</v>
      </c>
      <c r="L24" s="58" t="s">
        <v>58</v>
      </c>
    </row>
    <row r="25" spans="1:12" x14ac:dyDescent="0.2">
      <c r="A25" s="19" t="s">
        <v>13</v>
      </c>
      <c r="B25" s="19"/>
      <c r="C25" s="19"/>
      <c r="D25" s="20">
        <f>D24-B24</f>
        <v>2111.9663534162428</v>
      </c>
      <c r="E25" s="20">
        <f>E24-B24</f>
        <v>2282.4371514384693</v>
      </c>
    </row>
    <row r="30" spans="1:12" ht="15" x14ac:dyDescent="0.25">
      <c r="G30" s="61" t="s">
        <v>101</v>
      </c>
      <c r="H30" s="70" t="s">
        <v>108</v>
      </c>
      <c r="I30" s="71"/>
      <c r="J30" s="71"/>
      <c r="K30" s="72"/>
    </row>
    <row r="31" spans="1:12" ht="12" customHeight="1" x14ac:dyDescent="0.2">
      <c r="G31" s="61" t="s">
        <v>100</v>
      </c>
      <c r="H31" s="61" t="s">
        <v>98</v>
      </c>
      <c r="I31" s="61" t="s">
        <v>99</v>
      </c>
      <c r="J31" s="61" t="s">
        <v>102</v>
      </c>
      <c r="K31" s="61" t="s">
        <v>107</v>
      </c>
    </row>
    <row r="32" spans="1:12" ht="24" x14ac:dyDescent="0.2">
      <c r="G32" s="62" t="s">
        <v>105</v>
      </c>
      <c r="H32" s="61">
        <v>127500</v>
      </c>
      <c r="I32" s="61">
        <v>34000</v>
      </c>
      <c r="J32" s="61">
        <f>H32-I32</f>
        <v>93500</v>
      </c>
      <c r="K32" s="61">
        <f>500000+J32</f>
        <v>593500</v>
      </c>
    </row>
    <row r="33" spans="7:11" ht="24" x14ac:dyDescent="0.2">
      <c r="G33" s="62" t="s">
        <v>106</v>
      </c>
      <c r="H33" s="61">
        <v>91500</v>
      </c>
      <c r="I33" s="61">
        <v>70000</v>
      </c>
      <c r="J33" s="61">
        <f t="shared" ref="J33:J35" si="1">H33-I33</f>
        <v>21500</v>
      </c>
      <c r="K33" s="61">
        <f t="shared" ref="K33:K35" si="2">500000+J33</f>
        <v>521500</v>
      </c>
    </row>
    <row r="34" spans="7:11" ht="24" x14ac:dyDescent="0.2">
      <c r="G34" s="62" t="s">
        <v>103</v>
      </c>
      <c r="H34" s="61">
        <v>133000</v>
      </c>
      <c r="I34" s="63">
        <f>30000+10000</f>
        <v>40000</v>
      </c>
      <c r="J34" s="61">
        <f t="shared" si="1"/>
        <v>93000</v>
      </c>
      <c r="K34" s="61">
        <f t="shared" si="2"/>
        <v>593000</v>
      </c>
    </row>
    <row r="35" spans="7:11" ht="24" x14ac:dyDescent="0.2">
      <c r="G35" s="62" t="s">
        <v>104</v>
      </c>
      <c r="H35" s="61">
        <v>97000</v>
      </c>
      <c r="I35" s="63">
        <f>66000+10000</f>
        <v>76000</v>
      </c>
      <c r="J35" s="61">
        <f t="shared" si="1"/>
        <v>21000</v>
      </c>
      <c r="K35" s="61">
        <f t="shared" si="2"/>
        <v>521000</v>
      </c>
    </row>
  </sheetData>
  <mergeCells count="3">
    <mergeCell ref="I3:J4"/>
    <mergeCell ref="H3:H4"/>
    <mergeCell ref="H30:K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B1" workbookViewId="0">
      <selection activeCell="M24" sqref="M24"/>
    </sheetView>
  </sheetViews>
  <sheetFormatPr defaultRowHeight="15" x14ac:dyDescent="0.25"/>
  <cols>
    <col min="1" max="1" width="19.7109375" bestFit="1" customWidth="1"/>
  </cols>
  <sheetData>
    <row r="1" spans="1:19" ht="14.45" x14ac:dyDescent="0.3">
      <c r="A1" t="s">
        <v>109</v>
      </c>
      <c r="B1">
        <v>305000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</row>
    <row r="2" spans="1:19" ht="14.45" x14ac:dyDescent="0.3">
      <c r="A2" t="s">
        <v>111</v>
      </c>
      <c r="B2">
        <v>320000</v>
      </c>
    </row>
    <row r="3" spans="1:19" ht="15" customHeight="1" x14ac:dyDescent="0.3">
      <c r="A3" t="s">
        <v>115</v>
      </c>
      <c r="B3">
        <v>200000</v>
      </c>
    </row>
    <row r="4" spans="1:19" ht="14.45" x14ac:dyDescent="0.3">
      <c r="A4" t="s">
        <v>110</v>
      </c>
      <c r="B4">
        <v>2.75</v>
      </c>
    </row>
    <row r="5" spans="1:19" ht="14.45" x14ac:dyDescent="0.3">
      <c r="A5" t="s">
        <v>112</v>
      </c>
      <c r="B5">
        <v>2300</v>
      </c>
      <c r="D5">
        <v>2300</v>
      </c>
      <c r="E5">
        <v>2350</v>
      </c>
      <c r="F5">
        <v>2400</v>
      </c>
      <c r="G5">
        <v>2450</v>
      </c>
      <c r="H5">
        <v>2500</v>
      </c>
      <c r="I5">
        <v>2550</v>
      </c>
      <c r="J5">
        <v>2600</v>
      </c>
      <c r="K5">
        <v>2650</v>
      </c>
      <c r="L5">
        <v>2700</v>
      </c>
      <c r="M5">
        <v>2750</v>
      </c>
      <c r="N5">
        <v>2800</v>
      </c>
      <c r="O5">
        <v>2850</v>
      </c>
      <c r="P5">
        <v>2900</v>
      </c>
      <c r="Q5">
        <v>2950</v>
      </c>
      <c r="R5">
        <v>3000</v>
      </c>
    </row>
    <row r="6" spans="1:19" ht="14.45" x14ac:dyDescent="0.3">
      <c r="A6" t="s">
        <v>113</v>
      </c>
      <c r="B6">
        <v>7000</v>
      </c>
    </row>
    <row r="7" spans="1:19" ht="14.45" x14ac:dyDescent="0.3">
      <c r="A7" t="s">
        <v>114</v>
      </c>
      <c r="B7">
        <v>75</v>
      </c>
      <c r="D7">
        <v>75</v>
      </c>
      <c r="E7">
        <v>75</v>
      </c>
      <c r="F7">
        <v>75</v>
      </c>
      <c r="G7">
        <v>75</v>
      </c>
      <c r="H7">
        <v>75</v>
      </c>
      <c r="I7">
        <v>75</v>
      </c>
      <c r="J7">
        <v>75</v>
      </c>
      <c r="K7">
        <v>75</v>
      </c>
      <c r="L7">
        <v>75</v>
      </c>
      <c r="M7">
        <v>75</v>
      </c>
      <c r="N7">
        <v>75</v>
      </c>
      <c r="O7">
        <v>100</v>
      </c>
      <c r="P7">
        <v>100</v>
      </c>
      <c r="Q7">
        <v>100</v>
      </c>
      <c r="R7">
        <v>100</v>
      </c>
    </row>
    <row r="10" spans="1:19" ht="14.45" x14ac:dyDescent="0.3">
      <c r="A10" t="s">
        <v>116</v>
      </c>
      <c r="B10">
        <f>B5+B7</f>
        <v>2375</v>
      </c>
      <c r="D10">
        <f>D5+D7</f>
        <v>2375</v>
      </c>
      <c r="E10">
        <f>E5+E7</f>
        <v>2425</v>
      </c>
      <c r="F10">
        <f>F5+F7</f>
        <v>2475</v>
      </c>
      <c r="G10">
        <f t="shared" ref="G10:R10" si="0">G5+G7</f>
        <v>2525</v>
      </c>
      <c r="H10">
        <f t="shared" si="0"/>
        <v>2575</v>
      </c>
      <c r="I10">
        <f t="shared" si="0"/>
        <v>2625</v>
      </c>
      <c r="J10">
        <f t="shared" si="0"/>
        <v>2675</v>
      </c>
      <c r="K10">
        <f t="shared" si="0"/>
        <v>2725</v>
      </c>
      <c r="L10">
        <f t="shared" si="0"/>
        <v>2775</v>
      </c>
      <c r="M10">
        <f t="shared" si="0"/>
        <v>2825</v>
      </c>
      <c r="N10">
        <f t="shared" si="0"/>
        <v>2875</v>
      </c>
      <c r="O10">
        <f t="shared" si="0"/>
        <v>2950</v>
      </c>
      <c r="P10">
        <f t="shared" si="0"/>
        <v>3000</v>
      </c>
      <c r="Q10">
        <f t="shared" si="0"/>
        <v>3050</v>
      </c>
      <c r="R10">
        <f t="shared" si="0"/>
        <v>3100</v>
      </c>
    </row>
    <row r="12" spans="1:19" ht="14.45" x14ac:dyDescent="0.3">
      <c r="A12" t="s">
        <v>117</v>
      </c>
      <c r="B12">
        <v>1700</v>
      </c>
      <c r="D12">
        <v>1800</v>
      </c>
      <c r="E12">
        <v>1900</v>
      </c>
      <c r="F12">
        <v>2000</v>
      </c>
      <c r="G12">
        <v>2000</v>
      </c>
      <c r="H12">
        <v>2100</v>
      </c>
      <c r="I12">
        <v>2100</v>
      </c>
      <c r="J12">
        <v>2100</v>
      </c>
      <c r="K12">
        <v>2200</v>
      </c>
      <c r="L12">
        <v>2200</v>
      </c>
      <c r="M12">
        <v>2300</v>
      </c>
      <c r="N12">
        <v>2300</v>
      </c>
      <c r="O12">
        <v>2400</v>
      </c>
      <c r="P12">
        <v>2400</v>
      </c>
      <c r="Q12">
        <v>2500</v>
      </c>
      <c r="R12">
        <v>2500</v>
      </c>
    </row>
    <row r="13" spans="1:19" ht="14.45" x14ac:dyDescent="0.3">
      <c r="A13" t="s">
        <v>118</v>
      </c>
      <c r="B13">
        <f>B10-B12</f>
        <v>675</v>
      </c>
      <c r="D13">
        <f>D10-D12</f>
        <v>575</v>
      </c>
      <c r="E13">
        <f t="shared" ref="E13:R13" si="1">E10-E12</f>
        <v>525</v>
      </c>
      <c r="F13">
        <f t="shared" si="1"/>
        <v>475</v>
      </c>
      <c r="G13">
        <f t="shared" si="1"/>
        <v>525</v>
      </c>
      <c r="H13">
        <f t="shared" si="1"/>
        <v>475</v>
      </c>
      <c r="I13">
        <f t="shared" si="1"/>
        <v>525</v>
      </c>
      <c r="J13">
        <f t="shared" si="1"/>
        <v>575</v>
      </c>
      <c r="K13">
        <f t="shared" si="1"/>
        <v>525</v>
      </c>
      <c r="L13">
        <f t="shared" si="1"/>
        <v>575</v>
      </c>
      <c r="M13">
        <f t="shared" si="1"/>
        <v>525</v>
      </c>
      <c r="N13">
        <f t="shared" si="1"/>
        <v>575</v>
      </c>
      <c r="O13">
        <f t="shared" si="1"/>
        <v>550</v>
      </c>
      <c r="P13">
        <f t="shared" si="1"/>
        <v>600</v>
      </c>
      <c r="Q13">
        <f t="shared" si="1"/>
        <v>550</v>
      </c>
      <c r="R13">
        <f t="shared" si="1"/>
        <v>600</v>
      </c>
    </row>
    <row r="15" spans="1:19" x14ac:dyDescent="0.25">
      <c r="A15" t="s">
        <v>119</v>
      </c>
      <c r="D15">
        <f>D13*12</f>
        <v>6900</v>
      </c>
      <c r="E15">
        <f t="shared" ref="E15:R15" si="2">E13*12</f>
        <v>6300</v>
      </c>
      <c r="F15">
        <f t="shared" si="2"/>
        <v>5700</v>
      </c>
      <c r="G15">
        <f t="shared" si="2"/>
        <v>6300</v>
      </c>
      <c r="H15">
        <f t="shared" si="2"/>
        <v>5700</v>
      </c>
      <c r="I15">
        <f t="shared" si="2"/>
        <v>6300</v>
      </c>
      <c r="J15">
        <f t="shared" si="2"/>
        <v>6900</v>
      </c>
      <c r="K15">
        <f t="shared" si="2"/>
        <v>6300</v>
      </c>
      <c r="L15">
        <f t="shared" si="2"/>
        <v>6900</v>
      </c>
      <c r="M15">
        <f t="shared" si="2"/>
        <v>6300</v>
      </c>
      <c r="N15">
        <f t="shared" si="2"/>
        <v>6900</v>
      </c>
      <c r="O15">
        <f t="shared" si="2"/>
        <v>6600</v>
      </c>
      <c r="P15">
        <f t="shared" si="2"/>
        <v>7200</v>
      </c>
      <c r="Q15">
        <f t="shared" si="2"/>
        <v>6600</v>
      </c>
      <c r="R15">
        <f t="shared" si="2"/>
        <v>7200</v>
      </c>
      <c r="S15" s="73">
        <f>SUM(D15:R15)</f>
        <v>98100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4"/>
  <sheetViews>
    <sheetView workbookViewId="0">
      <selection activeCell="D11" sqref="D11"/>
    </sheetView>
  </sheetViews>
  <sheetFormatPr defaultColWidth="9.140625" defaultRowHeight="12" x14ac:dyDescent="0.2"/>
  <cols>
    <col min="1" max="1" width="9.140625" style="1"/>
    <col min="2" max="2" width="11.140625" style="1" customWidth="1"/>
    <col min="3" max="4" width="10.85546875" style="1" customWidth="1"/>
    <col min="5" max="5" width="13" style="46" customWidth="1"/>
    <col min="6" max="6" width="13.42578125" style="1" customWidth="1"/>
    <col min="7" max="7" width="2.140625" style="35" customWidth="1"/>
    <col min="8" max="8" width="10" style="1" customWidth="1"/>
    <col min="9" max="16384" width="9.140625" style="1"/>
  </cols>
  <sheetData>
    <row r="1" spans="1:8" x14ac:dyDescent="0.25">
      <c r="A1" s="3" t="s">
        <v>2</v>
      </c>
      <c r="B1" s="4">
        <v>500000</v>
      </c>
      <c r="C1" s="3" t="s">
        <v>4</v>
      </c>
      <c r="D1" s="16"/>
      <c r="E1" s="46" t="s">
        <v>89</v>
      </c>
      <c r="F1" s="3"/>
      <c r="G1" s="30"/>
      <c r="H1" s="3"/>
    </row>
    <row r="2" spans="1:8" x14ac:dyDescent="0.25">
      <c r="A2" s="3" t="s">
        <v>16</v>
      </c>
      <c r="B2" s="4">
        <f>B1*C2</f>
        <v>50000</v>
      </c>
      <c r="C2" s="5">
        <v>0.1</v>
      </c>
      <c r="D2" s="44"/>
      <c r="E2" s="54">
        <v>40953</v>
      </c>
      <c r="F2" s="3"/>
      <c r="G2" s="30"/>
      <c r="H2" s="3"/>
    </row>
    <row r="3" spans="1:8" x14ac:dyDescent="0.25">
      <c r="A3" s="3" t="s">
        <v>3</v>
      </c>
      <c r="B3" s="9">
        <f>B1-B2</f>
        <v>450000</v>
      </c>
      <c r="C3" s="9"/>
      <c r="D3" s="9"/>
      <c r="F3" s="13"/>
      <c r="G3" s="31"/>
      <c r="H3" s="13"/>
    </row>
    <row r="4" spans="1:8" ht="24" x14ac:dyDescent="0.25">
      <c r="A4" s="3"/>
      <c r="B4" s="45" t="s">
        <v>85</v>
      </c>
      <c r="C4" s="45" t="s">
        <v>86</v>
      </c>
      <c r="D4" s="45" t="s">
        <v>87</v>
      </c>
      <c r="E4" s="47" t="s">
        <v>88</v>
      </c>
      <c r="F4" s="45" t="s">
        <v>90</v>
      </c>
      <c r="G4" s="32"/>
      <c r="H4" s="6" t="s">
        <v>6</v>
      </c>
    </row>
    <row r="5" spans="1:8" x14ac:dyDescent="0.25">
      <c r="A5" s="3" t="s">
        <v>77</v>
      </c>
      <c r="B5" s="3" t="s">
        <v>67</v>
      </c>
      <c r="C5" s="3" t="s">
        <v>68</v>
      </c>
      <c r="D5" s="3" t="s">
        <v>68</v>
      </c>
      <c r="E5" s="48" t="s">
        <v>69</v>
      </c>
      <c r="F5" s="3" t="s">
        <v>60</v>
      </c>
      <c r="G5" s="30"/>
      <c r="H5" s="3" t="s">
        <v>83</v>
      </c>
    </row>
    <row r="6" spans="1:8" x14ac:dyDescent="0.25">
      <c r="A6" s="3" t="s">
        <v>78</v>
      </c>
      <c r="B6" s="8" t="s">
        <v>64</v>
      </c>
      <c r="C6" s="3" t="s">
        <v>63</v>
      </c>
      <c r="D6" s="3" t="s">
        <v>63</v>
      </c>
      <c r="E6" s="49" t="s">
        <v>70</v>
      </c>
      <c r="F6" s="8" t="s">
        <v>73</v>
      </c>
      <c r="G6" s="33"/>
      <c r="H6" s="8"/>
    </row>
    <row r="7" spans="1:8" ht="24" customHeight="1" x14ac:dyDescent="0.25">
      <c r="A7" s="3" t="s">
        <v>79</v>
      </c>
      <c r="B7" s="7" t="s">
        <v>66</v>
      </c>
      <c r="C7" s="7" t="s">
        <v>65</v>
      </c>
      <c r="D7" s="7" t="s">
        <v>65</v>
      </c>
      <c r="E7" s="50" t="s">
        <v>71</v>
      </c>
      <c r="F7" s="7" t="s">
        <v>74</v>
      </c>
      <c r="G7" s="34"/>
      <c r="H7" s="7"/>
    </row>
    <row r="8" spans="1:8" x14ac:dyDescent="0.25">
      <c r="A8" s="3" t="s">
        <v>72</v>
      </c>
      <c r="B8" s="7">
        <v>795</v>
      </c>
      <c r="C8" s="42">
        <v>0</v>
      </c>
      <c r="D8" s="42">
        <v>0</v>
      </c>
      <c r="E8" s="51">
        <v>1250</v>
      </c>
      <c r="F8" s="7">
        <f>570+400</f>
        <v>970</v>
      </c>
      <c r="G8" s="34"/>
      <c r="H8" s="7"/>
    </row>
    <row r="9" spans="1:8" x14ac:dyDescent="0.25">
      <c r="A9" s="3" t="s">
        <v>2</v>
      </c>
      <c r="B9" s="7">
        <v>425</v>
      </c>
      <c r="C9" s="7">
        <v>425</v>
      </c>
      <c r="D9" s="7">
        <v>425</v>
      </c>
      <c r="E9" s="51">
        <v>0</v>
      </c>
      <c r="F9" s="7">
        <v>0</v>
      </c>
      <c r="G9" s="34"/>
      <c r="H9" s="3"/>
    </row>
    <row r="10" spans="1:8" x14ac:dyDescent="0.25">
      <c r="A10" s="3" t="s">
        <v>75</v>
      </c>
      <c r="B10" s="8">
        <v>2250</v>
      </c>
      <c r="C10" s="8">
        <v>450</v>
      </c>
      <c r="D10" s="8">
        <f>B3*0.61%</f>
        <v>2745</v>
      </c>
      <c r="E10" s="52">
        <v>0</v>
      </c>
      <c r="F10" s="8">
        <v>2250</v>
      </c>
      <c r="G10" s="33"/>
      <c r="H10" s="8"/>
    </row>
    <row r="11" spans="1:8" s="39" customFormat="1" x14ac:dyDescent="0.25">
      <c r="A11" s="37" t="s">
        <v>8</v>
      </c>
      <c r="B11" s="38">
        <f>SUM(B8:B10)</f>
        <v>3470</v>
      </c>
      <c r="C11" s="38">
        <f t="shared" ref="C11:F11" si="0">SUM(C8:C10)</f>
        <v>875</v>
      </c>
      <c r="D11" s="38">
        <f>SUM(D8:D10)</f>
        <v>3170</v>
      </c>
      <c r="E11" s="52">
        <f t="shared" si="0"/>
        <v>1250</v>
      </c>
      <c r="F11" s="38">
        <f t="shared" si="0"/>
        <v>3220</v>
      </c>
      <c r="G11" s="36"/>
      <c r="H11" s="38"/>
    </row>
    <row r="12" spans="1:8" x14ac:dyDescent="0.25">
      <c r="A12" s="3" t="s">
        <v>76</v>
      </c>
      <c r="B12" s="7">
        <v>500</v>
      </c>
      <c r="C12" s="7"/>
      <c r="D12" s="7"/>
      <c r="E12" s="51">
        <v>750</v>
      </c>
      <c r="F12" s="42">
        <v>0</v>
      </c>
      <c r="G12" s="34"/>
      <c r="H12" s="7"/>
    </row>
    <row r="13" spans="1:8" x14ac:dyDescent="0.25">
      <c r="A13" s="3"/>
      <c r="B13" s="7"/>
      <c r="C13" s="7"/>
      <c r="D13" s="7"/>
      <c r="E13" s="51"/>
      <c r="F13" s="7"/>
      <c r="G13" s="34"/>
      <c r="H13" s="7"/>
    </row>
    <row r="14" spans="1:8" x14ac:dyDescent="0.25">
      <c r="A14" s="3" t="s">
        <v>7</v>
      </c>
      <c r="B14" s="3">
        <v>3.75</v>
      </c>
      <c r="C14" s="3">
        <v>3.75</v>
      </c>
      <c r="D14" s="16">
        <v>3.625</v>
      </c>
      <c r="E14" s="46">
        <v>3.625</v>
      </c>
      <c r="F14" s="3">
        <v>3.625</v>
      </c>
      <c r="G14" s="30"/>
      <c r="H14" s="3">
        <v>4.25</v>
      </c>
    </row>
    <row r="15" spans="1:8" x14ac:dyDescent="0.25">
      <c r="A15" s="3" t="s">
        <v>0</v>
      </c>
      <c r="B15" s="7">
        <f>IPMT(B14%/12,1,360,-B3,0,0)</f>
        <v>1406.2499999999998</v>
      </c>
      <c r="C15" s="7">
        <f>IPMT(C14%/12,1,360,-B3,0,0)</f>
        <v>1406.2499999999998</v>
      </c>
      <c r="D15" s="7">
        <f>IPMT(D14%/12,1,360,-B3,0,0)</f>
        <v>1359.375</v>
      </c>
      <c r="E15" s="51">
        <f>IPMT(E14%/12,1,360,-B3,0,0)</f>
        <v>1359.375</v>
      </c>
      <c r="F15" s="7">
        <f>IPMT(F14%/12,1,360,-B3,0,0)</f>
        <v>1359.375</v>
      </c>
      <c r="G15" s="34"/>
      <c r="H15" s="7">
        <f>IPMT(H14%/12,1,360,-B3,0,0)</f>
        <v>1593.7500000000002</v>
      </c>
    </row>
    <row r="16" spans="1:8" x14ac:dyDescent="0.25">
      <c r="A16" s="3" t="s">
        <v>1</v>
      </c>
      <c r="B16" s="7">
        <f>PMT(B14%/12,360,-B3,0,0)-B15</f>
        <v>677.77016207457496</v>
      </c>
      <c r="C16" s="7">
        <f>PMT(C14%/12,360,-B3,0,0)-C15</f>
        <v>677.77016207457496</v>
      </c>
      <c r="D16" s="7">
        <f>PMT(D14%/12,360,-B3,0,0)-D15</f>
        <v>692.85585909977817</v>
      </c>
      <c r="E16" s="51">
        <f>PMT(E14%/12,360,-B3,0,0)-E15</f>
        <v>692.85585909977817</v>
      </c>
      <c r="F16" s="7">
        <f>PMT(F14%/12,360,-B3,0,0)-F15</f>
        <v>692.85585909977817</v>
      </c>
      <c r="G16" s="34"/>
      <c r="H16" s="7">
        <f>PMT(H14%/12,360,-B3,0,0)-H15</f>
        <v>619.97950985767625</v>
      </c>
    </row>
    <row r="17" spans="1:8" s="39" customFormat="1" x14ac:dyDescent="0.25">
      <c r="A17" s="37" t="s">
        <v>8</v>
      </c>
      <c r="B17" s="40">
        <f>B15+B16</f>
        <v>2084.0201620745747</v>
      </c>
      <c r="C17" s="40">
        <f>C15+C16</f>
        <v>2084.0201620745747</v>
      </c>
      <c r="D17" s="40">
        <f>D15+D16</f>
        <v>2052.2308590997782</v>
      </c>
      <c r="E17" s="53">
        <f>E15+E16</f>
        <v>2052.2308590997782</v>
      </c>
      <c r="F17" s="40">
        <f t="shared" ref="F17:H17" si="1">F15+F16</f>
        <v>2052.2308590997782</v>
      </c>
      <c r="G17" s="41"/>
      <c r="H17" s="40">
        <f t="shared" si="1"/>
        <v>2213.7295098576765</v>
      </c>
    </row>
    <row r="18" spans="1:8" x14ac:dyDescent="0.2">
      <c r="A18" s="3" t="s">
        <v>13</v>
      </c>
      <c r="B18" s="8"/>
      <c r="C18" s="8"/>
      <c r="E18" s="49"/>
      <c r="F18" s="8"/>
      <c r="G18" s="33"/>
      <c r="H18" s="8"/>
    </row>
    <row r="19" spans="1:8" x14ac:dyDescent="0.2">
      <c r="A19" s="3" t="s">
        <v>80</v>
      </c>
      <c r="B19" s="8"/>
      <c r="C19" s="8"/>
      <c r="D19" s="55">
        <f>D11-E11</f>
        <v>1920</v>
      </c>
      <c r="E19" s="49"/>
      <c r="F19" s="8"/>
      <c r="G19" s="33"/>
      <c r="H19" s="8"/>
    </row>
    <row r="20" spans="1:8" x14ac:dyDescent="0.2">
      <c r="A20" s="3" t="s">
        <v>82</v>
      </c>
      <c r="B20" s="3"/>
      <c r="C20" s="3"/>
      <c r="D20" s="3"/>
      <c r="E20" s="51"/>
      <c r="F20" s="43"/>
      <c r="G20" s="34"/>
      <c r="H20" s="7"/>
    </row>
    <row r="21" spans="1:8" x14ac:dyDescent="0.2">
      <c r="A21" s="3" t="s">
        <v>81</v>
      </c>
      <c r="B21" s="3"/>
      <c r="C21" s="3"/>
      <c r="D21" s="3"/>
      <c r="E21" s="51"/>
      <c r="F21" s="7"/>
      <c r="G21" s="34"/>
      <c r="H21" s="7"/>
    </row>
    <row r="22" spans="1:8" x14ac:dyDescent="0.2">
      <c r="A22" s="3" t="s">
        <v>84</v>
      </c>
      <c r="B22" s="3"/>
      <c r="C22" s="3"/>
      <c r="D22" s="3"/>
      <c r="E22" s="51"/>
      <c r="F22" s="42"/>
      <c r="G22" s="34"/>
      <c r="H22" s="7"/>
    </row>
    <row r="23" spans="1:8" x14ac:dyDescent="0.2">
      <c r="A23" s="3"/>
      <c r="B23" s="7"/>
      <c r="C23" s="7"/>
      <c r="D23" s="7"/>
      <c r="E23" s="51"/>
      <c r="F23" s="7"/>
      <c r="G23" s="34"/>
      <c r="H23" s="7"/>
    </row>
    <row r="24" spans="1:8" x14ac:dyDescent="0.2">
      <c r="A24" s="3"/>
      <c r="B24" s="3"/>
      <c r="C24" s="3"/>
      <c r="D24" s="3"/>
      <c r="E24" s="51"/>
      <c r="F24" s="7"/>
      <c r="G24" s="34"/>
      <c r="H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OwnVsRent</vt:lpstr>
      <vt:lpstr>Sheet1</vt:lpstr>
      <vt:lpstr>Lenders</vt:lpstr>
    </vt:vector>
  </TitlesOfParts>
  <Company>Barclays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ghubaden</dc:creator>
  <cp:lastModifiedBy>Bal, Gurpreet</cp:lastModifiedBy>
  <dcterms:created xsi:type="dcterms:W3CDTF">2011-11-17T03:12:41Z</dcterms:created>
  <dcterms:modified xsi:type="dcterms:W3CDTF">2014-09-11T20:10:43Z</dcterms:modified>
</cp:coreProperties>
</file>