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25" yWindow="270" windowWidth="18705" windowHeight="118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5" i="1"/>
  <c r="G24"/>
  <c r="G19"/>
  <c r="G17"/>
  <c r="M19"/>
  <c r="M18"/>
  <c r="M17"/>
  <c r="M16"/>
  <c r="L17"/>
  <c r="L18"/>
  <c r="K11"/>
  <c r="L12"/>
  <c r="L13" s="1"/>
  <c r="B2"/>
  <c r="B3" s="1"/>
  <c r="E7" s="1"/>
  <c r="G11"/>
  <c r="G10"/>
  <c r="J7"/>
  <c r="J8" s="1"/>
  <c r="E19"/>
  <c r="B19"/>
  <c r="C7"/>
  <c r="E17"/>
  <c r="B17"/>
  <c r="B11"/>
  <c r="B10"/>
  <c r="B7"/>
  <c r="E11"/>
  <c r="E10"/>
  <c r="B8" l="1"/>
  <c r="B9" s="1"/>
  <c r="B15" s="1"/>
  <c r="B24" s="1"/>
  <c r="C8"/>
  <c r="C15" s="1"/>
  <c r="G7"/>
  <c r="E8"/>
  <c r="E9" s="1"/>
  <c r="G8" l="1"/>
  <c r="E15"/>
  <c r="G9" l="1"/>
  <c r="G15" s="1"/>
  <c r="L10"/>
  <c r="E16"/>
  <c r="E24"/>
  <c r="K6" l="1"/>
  <c r="M6" s="1"/>
  <c r="G16"/>
  <c r="E25"/>
  <c r="K7" l="1"/>
  <c r="K8" l="1"/>
  <c r="M8" s="1"/>
  <c r="M7"/>
  <c r="M10" l="1"/>
  <c r="M11" s="1"/>
  <c r="M13" s="1"/>
</calcChain>
</file>

<file path=xl/sharedStrings.xml><?xml version="1.0" encoding="utf-8"?>
<sst xmlns="http://schemas.openxmlformats.org/spreadsheetml/2006/main" count="49" uniqueCount="47">
  <si>
    <t>Interest</t>
  </si>
  <si>
    <t>Principal</t>
  </si>
  <si>
    <t>Appraisal</t>
  </si>
  <si>
    <t>Loan</t>
  </si>
  <si>
    <t>LTV%</t>
  </si>
  <si>
    <t>5-1 ARM</t>
  </si>
  <si>
    <t>7-1 ARM</t>
  </si>
  <si>
    <t>10-1 ARM</t>
  </si>
  <si>
    <t>15-yr fixed</t>
  </si>
  <si>
    <t>30-yr fixed</t>
  </si>
  <si>
    <t>Rate</t>
  </si>
  <si>
    <t>Total</t>
  </si>
  <si>
    <t>Taxes</t>
  </si>
  <si>
    <t>Insurance</t>
  </si>
  <si>
    <t>Monthly</t>
  </si>
  <si>
    <t>Current</t>
  </si>
  <si>
    <t>Current loan</t>
  </si>
  <si>
    <t>Diff</t>
  </si>
  <si>
    <t>PMI</t>
  </si>
  <si>
    <t>Association fees</t>
  </si>
  <si>
    <t>Down</t>
  </si>
  <si>
    <t>Commute</t>
  </si>
  <si>
    <t>Parking</t>
  </si>
  <si>
    <t>Car Insurance</t>
  </si>
  <si>
    <t>Child care</t>
  </si>
  <si>
    <t>Kensington</t>
  </si>
  <si>
    <t>RENT</t>
  </si>
  <si>
    <t>Per Month</t>
  </si>
  <si>
    <t>Per Year</t>
  </si>
  <si>
    <t>5 years</t>
  </si>
  <si>
    <t>Diff (Own-Rent)</t>
  </si>
  <si>
    <t>3% appreciation per year</t>
  </si>
  <si>
    <t>5 yr appreciation</t>
  </si>
  <si>
    <t>Closing cost buy+sale</t>
  </si>
  <si>
    <t>rent for 2yrs out
of pocket</t>
  </si>
  <si>
    <t>Principal 5yrs</t>
  </si>
  <si>
    <t>OWN</t>
  </si>
  <si>
    <t>Outflow</t>
  </si>
  <si>
    <t>Inflow</t>
  </si>
  <si>
    <t>Principal +2 yrs</t>
  </si>
  <si>
    <t>2yr appreciation</t>
  </si>
  <si>
    <t>Out pocket</t>
  </si>
  <si>
    <t>7 yr apprecn</t>
  </si>
  <si>
    <t>7 yr principal</t>
  </si>
  <si>
    <t>7 yr PROFIT</t>
  </si>
  <si>
    <t>5 yr PROFIT</t>
  </si>
  <si>
    <t>21-Wood on Rent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</si>
</sst>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6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8" fontId="1" fillId="0" borderId="0" xfId="0" applyNumberFormat="1" applyFont="1"/>
    <xf numFmtId="0" fontId="1" fillId="0" borderId="1" xfId="0" applyFont="1" applyBorder="1"/>
    <xf numFmtId="6" fontId="1" fillId="0" borderId="1" xfId="0" applyNumberFormat="1" applyFont="1" applyBorder="1"/>
    <xf numFmtId="10" fontId="1" fillId="0" borderId="1" xfId="0" applyNumberFormat="1" applyFont="1" applyBorder="1"/>
    <xf numFmtId="0" fontId="2" fillId="0" borderId="1" xfId="0" applyFont="1" applyBorder="1"/>
    <xf numFmtId="8" fontId="1" fillId="0" borderId="1" xfId="0" applyNumberFormat="1" applyFont="1" applyBorder="1"/>
    <xf numFmtId="164" fontId="1" fillId="0" borderId="1" xfId="0" applyNumberFormat="1" applyFont="1" applyBorder="1"/>
    <xf numFmtId="6" fontId="1" fillId="0" borderId="0" xfId="0" applyNumberFormat="1" applyFont="1"/>
    <xf numFmtId="8" fontId="3" fillId="0" borderId="1" xfId="0" applyNumberFormat="1" applyFont="1" applyBorder="1"/>
    <xf numFmtId="164" fontId="3" fillId="0" borderId="1" xfId="0" applyNumberFormat="1" applyFont="1" applyBorder="1"/>
    <xf numFmtId="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8" fontId="4" fillId="2" borderId="1" xfId="0" applyNumberFormat="1" applyFont="1" applyFill="1" applyBorder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Border="1"/>
    <xf numFmtId="8" fontId="1" fillId="0" borderId="0" xfId="0" applyNumberFormat="1" applyFont="1" applyBorder="1"/>
    <xf numFmtId="0" fontId="2" fillId="3" borderId="0" xfId="0" applyFont="1" applyFill="1"/>
    <xf numFmtId="8" fontId="2" fillId="3" borderId="0" xfId="0" applyNumberFormat="1" applyFont="1" applyFill="1"/>
    <xf numFmtId="8" fontId="5" fillId="3" borderId="1" xfId="0" applyNumberFormat="1" applyFont="1" applyFill="1" applyBorder="1"/>
    <xf numFmtId="0" fontId="5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5"/>
  <sheetViews>
    <sheetView tabSelected="1" zoomScaleNormal="100" workbookViewId="0">
      <selection activeCell="L22" sqref="L22"/>
    </sheetView>
  </sheetViews>
  <sheetFormatPr defaultRowHeight="12"/>
  <cols>
    <col min="1" max="1" width="10.85546875" style="1" customWidth="1"/>
    <col min="2" max="3" width="8.7109375" style="1" customWidth="1"/>
    <col min="4" max="6" width="8.42578125" style="1" bestFit="1" customWidth="1"/>
    <col min="7" max="8" width="8.7109375" style="1" bestFit="1" customWidth="1"/>
    <col min="9" max="9" width="12.7109375" style="1" customWidth="1"/>
    <col min="10" max="11" width="10.140625" style="1" bestFit="1" customWidth="1"/>
    <col min="12" max="12" width="10.140625" style="1" customWidth="1"/>
    <col min="13" max="13" width="12.5703125" style="1" customWidth="1"/>
    <col min="14" max="14" width="10.140625" style="1" bestFit="1" customWidth="1"/>
    <col min="15" max="16384" width="9.140625" style="1"/>
  </cols>
  <sheetData>
    <row r="1" spans="1:14">
      <c r="A1" s="3" t="s">
        <v>2</v>
      </c>
      <c r="B1" s="4">
        <v>500000</v>
      </c>
      <c r="C1" s="4"/>
      <c r="D1" s="3" t="s">
        <v>4</v>
      </c>
      <c r="E1" s="3"/>
      <c r="F1" s="3"/>
      <c r="G1" s="3"/>
      <c r="H1" s="3"/>
    </row>
    <row r="2" spans="1:14">
      <c r="A2" s="3" t="s">
        <v>20</v>
      </c>
      <c r="B2" s="4">
        <f>B1*D2</f>
        <v>50000</v>
      </c>
      <c r="C2" s="4"/>
      <c r="D2" s="5">
        <v>0.1</v>
      </c>
      <c r="E2" s="3"/>
      <c r="F2" s="3"/>
      <c r="G2" s="3"/>
      <c r="H2" s="3"/>
    </row>
    <row r="3" spans="1:14">
      <c r="A3" s="3" t="s">
        <v>3</v>
      </c>
      <c r="B3" s="9">
        <f>B1-B2</f>
        <v>450000</v>
      </c>
      <c r="C3" s="9"/>
      <c r="E3" s="3"/>
      <c r="F3" s="3"/>
      <c r="G3" s="3"/>
      <c r="H3" s="3"/>
      <c r="K3" s="16" t="s">
        <v>36</v>
      </c>
      <c r="L3" s="16"/>
    </row>
    <row r="4" spans="1:14">
      <c r="A4" s="3" t="s">
        <v>16</v>
      </c>
      <c r="B4" s="4"/>
      <c r="C4" s="4"/>
      <c r="D4" s="5"/>
      <c r="E4" s="3"/>
      <c r="F4" s="3"/>
      <c r="G4" s="3"/>
      <c r="H4" s="3"/>
      <c r="K4" s="17"/>
      <c r="L4" s="17"/>
    </row>
    <row r="5" spans="1:14">
      <c r="A5" s="3"/>
      <c r="B5" s="3" t="s">
        <v>15</v>
      </c>
      <c r="C5" s="3" t="s">
        <v>25</v>
      </c>
      <c r="D5" s="6" t="s">
        <v>5</v>
      </c>
      <c r="E5" s="6" t="s">
        <v>6</v>
      </c>
      <c r="F5" s="6" t="s">
        <v>7</v>
      </c>
      <c r="G5" s="6" t="s">
        <v>9</v>
      </c>
      <c r="H5" s="6" t="s">
        <v>8</v>
      </c>
      <c r="I5" s="3"/>
      <c r="J5" s="3" t="s">
        <v>26</v>
      </c>
      <c r="K5" s="3" t="s">
        <v>37</v>
      </c>
      <c r="L5" s="3" t="s">
        <v>38</v>
      </c>
      <c r="M5" s="10" t="s">
        <v>30</v>
      </c>
      <c r="N5" s="3"/>
    </row>
    <row r="6" spans="1:14">
      <c r="A6" s="3" t="s">
        <v>10</v>
      </c>
      <c r="B6" s="3">
        <v>4.5</v>
      </c>
      <c r="C6" s="3">
        <v>3.875</v>
      </c>
      <c r="D6" s="3"/>
      <c r="E6" s="3">
        <v>3.875</v>
      </c>
      <c r="F6" s="3"/>
      <c r="G6" s="3">
        <v>4.25</v>
      </c>
      <c r="H6" s="3"/>
      <c r="I6" s="3" t="s">
        <v>27</v>
      </c>
      <c r="J6" s="7">
        <v>2200</v>
      </c>
      <c r="K6" s="7">
        <f>G15-((G7+G10)*25%)</f>
        <v>3158.2920098576392</v>
      </c>
      <c r="L6" s="7"/>
      <c r="M6" s="11">
        <f>K6-J6</f>
        <v>958.29200985763919</v>
      </c>
      <c r="N6" s="3"/>
    </row>
    <row r="7" spans="1:14">
      <c r="A7" s="3" t="s">
        <v>0</v>
      </c>
      <c r="B7" s="7">
        <f>IPMT(B6%/12,1,360,-236000,0,0)</f>
        <v>885</v>
      </c>
      <c r="C7" s="7">
        <f>IPMT(C6%/12,1,180,-138000,0,0)</f>
        <v>445.625</v>
      </c>
      <c r="D7" s="7"/>
      <c r="E7" s="7">
        <f>IPMT(E6%/12,1,360,-B3,0,0)</f>
        <v>1453.125</v>
      </c>
      <c r="F7" s="7"/>
      <c r="G7" s="7">
        <f>IPMT(G6%/12,1,360,-B3,0,0)</f>
        <v>1593.7500000000002</v>
      </c>
      <c r="H7" s="7"/>
      <c r="I7" s="7" t="s">
        <v>28</v>
      </c>
      <c r="J7" s="7">
        <f>J6*12</f>
        <v>26400</v>
      </c>
      <c r="K7" s="7">
        <f>K6*12</f>
        <v>37899.504118291668</v>
      </c>
      <c r="L7" s="7"/>
      <c r="M7" s="10">
        <f>K7-J7</f>
        <v>11499.504118291668</v>
      </c>
      <c r="N7" s="3"/>
    </row>
    <row r="8" spans="1:14">
      <c r="A8" s="3" t="s">
        <v>1</v>
      </c>
      <c r="B8" s="7">
        <f>PMT(B6%/12,360,-236000,0,0)-B7</f>
        <v>310.77733118909009</v>
      </c>
      <c r="C8" s="7">
        <f>PMT(C6%/12,180,-138000,0,0)-C7</f>
        <v>566.52154019863224</v>
      </c>
      <c r="D8" s="7"/>
      <c r="E8" s="7">
        <f>PMT(E6%/12,360,-B3,0,0)-E7</f>
        <v>662.94187739853805</v>
      </c>
      <c r="F8" s="7"/>
      <c r="G8" s="7">
        <f>PMT(G6%/12,360,-B3,0,0)-G7</f>
        <v>619.97950985763896</v>
      </c>
      <c r="H8" s="7"/>
      <c r="I8" s="7" t="s">
        <v>29</v>
      </c>
      <c r="J8" s="7">
        <f>J7*5</f>
        <v>132000</v>
      </c>
      <c r="K8" s="7">
        <f>K7*5</f>
        <v>189497.52059145833</v>
      </c>
      <c r="L8" s="7"/>
      <c r="M8" s="10">
        <f>K8-J8</f>
        <v>57497.520591458335</v>
      </c>
      <c r="N8" s="3"/>
    </row>
    <row r="9" spans="1:14">
      <c r="A9" s="3" t="s">
        <v>11</v>
      </c>
      <c r="B9" s="7">
        <f>SUM(B7:B8)</f>
        <v>1195.7773311890901</v>
      </c>
      <c r="C9" s="7"/>
      <c r="D9" s="7"/>
      <c r="E9" s="7">
        <f t="shared" ref="E9:G9" si="0">E7+E8</f>
        <v>2116.0668773985381</v>
      </c>
      <c r="F9" s="7"/>
      <c r="G9" s="7">
        <f t="shared" si="0"/>
        <v>2213.7295098576392</v>
      </c>
      <c r="H9" s="7"/>
      <c r="I9" s="3"/>
      <c r="J9" s="3"/>
      <c r="K9" s="3"/>
      <c r="L9" s="3"/>
      <c r="M9" s="3"/>
      <c r="N9" s="3"/>
    </row>
    <row r="10" spans="1:14" ht="24.75" customHeight="1">
      <c r="A10" s="3" t="s">
        <v>12</v>
      </c>
      <c r="B10" s="8">
        <f>6500/12</f>
        <v>541.66666666666663</v>
      </c>
      <c r="C10" s="8">
        <v>218.31</v>
      </c>
      <c r="D10" s="8"/>
      <c r="E10" s="8">
        <f>10000/12</f>
        <v>833.33333333333337</v>
      </c>
      <c r="F10" s="8"/>
      <c r="G10" s="8">
        <f>10000/12</f>
        <v>833.33333333333337</v>
      </c>
      <c r="H10" s="8"/>
      <c r="I10" s="3" t="s">
        <v>35</v>
      </c>
      <c r="J10" s="3"/>
      <c r="K10" s="3"/>
      <c r="L10" s="7">
        <f>G8*12*5</f>
        <v>37198.770591458335</v>
      </c>
      <c r="M10" s="7">
        <f>L10-M8</f>
        <v>-20298.75</v>
      </c>
      <c r="N10" s="3"/>
    </row>
    <row r="11" spans="1:14" ht="11.25" customHeight="1">
      <c r="A11" s="3" t="s">
        <v>13</v>
      </c>
      <c r="B11" s="8">
        <f>450/12</f>
        <v>37.5</v>
      </c>
      <c r="C11" s="8">
        <v>15</v>
      </c>
      <c r="D11" s="8"/>
      <c r="E11" s="8">
        <f>900/12</f>
        <v>75</v>
      </c>
      <c r="F11" s="8"/>
      <c r="G11" s="8">
        <f>900/12</f>
        <v>75</v>
      </c>
      <c r="H11" s="8"/>
      <c r="I11" s="13" t="s">
        <v>33</v>
      </c>
      <c r="J11" s="3"/>
      <c r="K11" s="3">
        <f>10000*2</f>
        <v>20000</v>
      </c>
      <c r="L11" s="3"/>
      <c r="M11" s="14">
        <f>M10-K11</f>
        <v>-40298.75</v>
      </c>
      <c r="N11" s="3"/>
    </row>
    <row r="12" spans="1:14" ht="36">
      <c r="A12" s="3" t="s">
        <v>18</v>
      </c>
      <c r="B12" s="3">
        <v>0</v>
      </c>
      <c r="C12" s="3"/>
      <c r="D12" s="3"/>
      <c r="E12" s="7">
        <v>278</v>
      </c>
      <c r="F12" s="3"/>
      <c r="G12" s="7">
        <v>278</v>
      </c>
      <c r="H12" s="3"/>
      <c r="I12" s="12" t="s">
        <v>31</v>
      </c>
      <c r="J12" s="3"/>
      <c r="K12" s="3"/>
      <c r="L12" s="4">
        <f>B1*3%</f>
        <v>15000</v>
      </c>
      <c r="M12" s="3"/>
      <c r="N12" s="3"/>
    </row>
    <row r="13" spans="1:14" ht="24">
      <c r="A13" s="3" t="s">
        <v>19</v>
      </c>
      <c r="B13" s="3">
        <v>75</v>
      </c>
      <c r="C13" s="3">
        <v>223</v>
      </c>
      <c r="D13" s="3"/>
      <c r="E13" s="7">
        <v>365</v>
      </c>
      <c r="F13" s="3"/>
      <c r="G13" s="7">
        <v>365</v>
      </c>
      <c r="H13" s="3"/>
      <c r="I13" s="13" t="s">
        <v>32</v>
      </c>
      <c r="J13" s="3"/>
      <c r="K13" s="3"/>
      <c r="L13" s="4">
        <f>L12*5</f>
        <v>75000</v>
      </c>
      <c r="M13" s="22">
        <f>M11+L13</f>
        <v>34701.25</v>
      </c>
      <c r="N13" s="23" t="s">
        <v>45</v>
      </c>
    </row>
    <row r="14" spans="1:14">
      <c r="A14" s="3"/>
      <c r="B14" s="3"/>
      <c r="C14" s="3"/>
      <c r="D14" s="3"/>
      <c r="E14" s="7"/>
      <c r="F14" s="3"/>
      <c r="G14" s="3"/>
      <c r="H14" s="3"/>
      <c r="I14" s="3"/>
      <c r="J14" s="3"/>
      <c r="K14" s="3"/>
      <c r="L14" s="3"/>
      <c r="M14" s="3"/>
      <c r="N14" s="3"/>
    </row>
    <row r="15" spans="1:14">
      <c r="A15" s="3" t="s">
        <v>14</v>
      </c>
      <c r="B15" s="7">
        <f>SUM(B9:B14)</f>
        <v>1849.9439978557566</v>
      </c>
      <c r="C15" s="7">
        <f>SUM(C6:C14)</f>
        <v>1472.3315401986322</v>
      </c>
      <c r="D15" s="7"/>
      <c r="E15" s="7">
        <f>SUM(E9:E14)</f>
        <v>3667.4002107318715</v>
      </c>
      <c r="F15" s="7"/>
      <c r="G15" s="7">
        <f>SUM(G9:G14)</f>
        <v>3765.0628431909727</v>
      </c>
      <c r="H15" s="7"/>
    </row>
    <row r="16" spans="1:14" ht="36">
      <c r="A16" s="3" t="s">
        <v>17</v>
      </c>
      <c r="B16" s="3"/>
      <c r="C16" s="3"/>
      <c r="D16" s="7"/>
      <c r="E16" s="7">
        <f>E15-B15</f>
        <v>1817.4562128761149</v>
      </c>
      <c r="F16" s="7"/>
      <c r="G16" s="7">
        <f>G15-E15</f>
        <v>97.662632459101133</v>
      </c>
      <c r="H16" s="7"/>
      <c r="I16" s="15" t="s">
        <v>34</v>
      </c>
      <c r="K16" s="1">
        <v>24000</v>
      </c>
      <c r="M16" s="2">
        <f>M8+K11+K16</f>
        <v>101497.52059145833</v>
      </c>
      <c r="N16" s="18" t="s">
        <v>41</v>
      </c>
    </row>
    <row r="17" spans="1:14">
      <c r="A17" s="1" t="s">
        <v>21</v>
      </c>
      <c r="B17" s="1">
        <f>193+(69*4)</f>
        <v>469</v>
      </c>
      <c r="E17" s="1">
        <f>80</f>
        <v>80</v>
      </c>
      <c r="G17" s="1">
        <f>80</f>
        <v>80</v>
      </c>
      <c r="I17" s="1" t="s">
        <v>40</v>
      </c>
      <c r="J17" s="9"/>
      <c r="L17" s="9">
        <f>L12*2</f>
        <v>30000</v>
      </c>
      <c r="M17" s="9">
        <f>L13+L17</f>
        <v>105000</v>
      </c>
      <c r="N17" s="1" t="s">
        <v>42</v>
      </c>
    </row>
    <row r="18" spans="1:14">
      <c r="A18" s="1" t="s">
        <v>22</v>
      </c>
      <c r="B18" s="1">
        <v>0</v>
      </c>
      <c r="E18" s="1">
        <v>200</v>
      </c>
      <c r="G18" s="1">
        <v>200</v>
      </c>
      <c r="H18" s="2"/>
      <c r="I18" s="18" t="s">
        <v>39</v>
      </c>
      <c r="J18" s="18"/>
      <c r="K18" s="18"/>
      <c r="L18" s="19">
        <f>G8*12*2</f>
        <v>14879.508236583335</v>
      </c>
      <c r="M18" s="2">
        <f>L10+L18</f>
        <v>52078.278828041672</v>
      </c>
      <c r="N18" s="1" t="s">
        <v>43</v>
      </c>
    </row>
    <row r="19" spans="1:14">
      <c r="A19" s="1" t="s">
        <v>23</v>
      </c>
      <c r="B19" s="1">
        <f>900*2/12</f>
        <v>150</v>
      </c>
      <c r="E19" s="1">
        <f>1000/12</f>
        <v>83.333333333333329</v>
      </c>
      <c r="G19" s="1">
        <f>1000/12</f>
        <v>83.333333333333329</v>
      </c>
      <c r="M19" s="21">
        <f>M17+M18-M16</f>
        <v>55580.758236583351</v>
      </c>
      <c r="N19" s="20" t="s">
        <v>44</v>
      </c>
    </row>
    <row r="20" spans="1:14">
      <c r="A20" s="1" t="s">
        <v>24</v>
      </c>
      <c r="B20" s="1">
        <v>2000</v>
      </c>
      <c r="E20" s="1">
        <v>2300</v>
      </c>
      <c r="G20" s="1">
        <v>2300</v>
      </c>
    </row>
    <row r="21" spans="1:14">
      <c r="A21" s="1" t="s">
        <v>46</v>
      </c>
      <c r="E21" s="1">
        <v>200</v>
      </c>
      <c r="G21" s="1">
        <v>200</v>
      </c>
    </row>
    <row r="24" spans="1:14">
      <c r="A24" s="20" t="s">
        <v>11</v>
      </c>
      <c r="B24" s="21">
        <f>B15+SUM(B17:B21)</f>
        <v>4468.9439978557566</v>
      </c>
      <c r="C24" s="21"/>
      <c r="D24" s="20"/>
      <c r="E24" s="21">
        <f>E15+SUM(E17:E21)</f>
        <v>6530.733544065205</v>
      </c>
      <c r="F24" s="21"/>
      <c r="G24" s="21">
        <f>G15+SUM(G17:G21)</f>
        <v>6628.3961765243057</v>
      </c>
    </row>
    <row r="25" spans="1:14">
      <c r="A25" s="20" t="s">
        <v>17</v>
      </c>
      <c r="B25" s="20"/>
      <c r="C25" s="20"/>
      <c r="D25" s="20"/>
      <c r="E25" s="21">
        <f>E24-B24</f>
        <v>2061.7895462094484</v>
      </c>
      <c r="F25" s="20"/>
      <c r="G25" s="21">
        <f>G24-B24</f>
        <v>2159.4521786685491</v>
      </c>
    </row>
  </sheetData>
  <mergeCells count="1">
    <mergeCell ref="K3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Barclays Capital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ghubaden</dc:creator>
  <cp:lastModifiedBy>ghubaden</cp:lastModifiedBy>
  <dcterms:created xsi:type="dcterms:W3CDTF">2011-11-17T03:12:41Z</dcterms:created>
  <dcterms:modified xsi:type="dcterms:W3CDTF">2012-02-04T16:42:36Z</dcterms:modified>
</cp:coreProperties>
</file>