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 yWindow="30" windowWidth="18135" windowHeight="11805" activeTab="2"/>
  </bookViews>
  <sheets>
    <sheet name="TimeSheet" sheetId="1" r:id="rId1"/>
    <sheet name="2012" sheetId="3" r:id="rId2"/>
    <sheet name="2013" sheetId="2" r:id="rId3"/>
  </sheets>
  <calcPr calcId="125725"/>
</workbook>
</file>

<file path=xl/calcChain.xml><?xml version="1.0" encoding="utf-8"?>
<calcChain xmlns="http://schemas.openxmlformats.org/spreadsheetml/2006/main">
  <c r="F20" i="2"/>
  <c r="M22"/>
  <c r="M21"/>
  <c r="F10"/>
  <c r="M14"/>
  <c r="F19"/>
  <c r="F8"/>
  <c r="F3"/>
  <c r="AG23" i="1"/>
  <c r="E21" i="2"/>
  <c r="E20"/>
  <c r="E19"/>
  <c r="E10"/>
  <c r="E8"/>
  <c r="E3"/>
  <c r="M16"/>
  <c r="AG22" i="1"/>
  <c r="E22" i="2"/>
  <c r="M33"/>
  <c r="M29"/>
  <c r="M30"/>
  <c r="M32"/>
  <c r="M34"/>
  <c r="D20"/>
  <c r="AG21" i="1"/>
  <c r="D3" i="2"/>
  <c r="D19" s="1"/>
  <c r="C20"/>
  <c r="C3"/>
  <c r="C19" s="1"/>
  <c r="AG20" i="1"/>
  <c r="AG17"/>
  <c r="AG15"/>
  <c r="C8" i="2" l="1"/>
  <c r="C10" s="1"/>
  <c r="D8"/>
  <c r="D10" s="1"/>
  <c r="B2"/>
  <c r="M2" s="1"/>
  <c r="B20"/>
  <c r="F18" i="3"/>
  <c r="C17"/>
  <c r="C18" s="1"/>
  <c r="H16"/>
  <c r="H14"/>
  <c r="H13"/>
  <c r="H12"/>
  <c r="H11"/>
  <c r="H9"/>
  <c r="C8"/>
  <c r="C10" s="1"/>
  <c r="H7"/>
  <c r="H6"/>
  <c r="H5"/>
  <c r="H4"/>
  <c r="F3"/>
  <c r="F17" s="1"/>
  <c r="E3"/>
  <c r="E17" s="1"/>
  <c r="D3"/>
  <c r="D17" s="1"/>
  <c r="D18" s="1"/>
  <c r="H2"/>
  <c r="AG14" i="1"/>
  <c r="AG13"/>
  <c r="M4" i="2"/>
  <c r="M5"/>
  <c r="M6"/>
  <c r="M7"/>
  <c r="M9"/>
  <c r="M11"/>
  <c r="M12"/>
  <c r="M13"/>
  <c r="M18"/>
  <c r="AG12" i="1"/>
  <c r="AG11"/>
  <c r="C24" i="2" l="1"/>
  <c r="B3"/>
  <c r="H18" i="3"/>
  <c r="F8"/>
  <c r="F10" s="1"/>
  <c r="H3"/>
  <c r="D8"/>
  <c r="D10" s="1"/>
  <c r="M20" i="2"/>
  <c r="H17" i="3"/>
  <c r="E8"/>
  <c r="E10" s="1"/>
  <c r="B19" i="2" l="1"/>
  <c r="M19" s="1"/>
  <c r="B8"/>
  <c r="M3"/>
  <c r="H10" i="3"/>
  <c r="H8"/>
  <c r="M8" i="2" l="1"/>
  <c r="B10"/>
  <c r="M10" s="1"/>
</calcChain>
</file>

<file path=xl/sharedStrings.xml><?xml version="1.0" encoding="utf-8"?>
<sst xmlns="http://schemas.openxmlformats.org/spreadsheetml/2006/main" count="106" uniqueCount="78">
  <si>
    <t>Jan</t>
  </si>
  <si>
    <t>Feb</t>
  </si>
  <si>
    <t>Mar</t>
  </si>
  <si>
    <t>Apr</t>
  </si>
  <si>
    <t>May</t>
  </si>
  <si>
    <t>Jun</t>
  </si>
  <si>
    <t>Jul</t>
  </si>
  <si>
    <t>Aug</t>
  </si>
  <si>
    <t>Sep</t>
  </si>
  <si>
    <t>Oct</t>
  </si>
  <si>
    <t>Nov</t>
  </si>
  <si>
    <t>Dec</t>
  </si>
  <si>
    <t>Paid</t>
  </si>
  <si>
    <t>13Aug-26Aug (5+5 Days * 850/day) paid 7Sep.</t>
  </si>
  <si>
    <t>Month</t>
  </si>
  <si>
    <r>
      <t xml:space="preserve">Mukesh said that mistake in running payroll as he ran for entire gross amount, next month Oct onwards he will run for 65% of gross. Hence I transferred </t>
    </r>
    <r>
      <rPr>
        <b/>
        <sz val="8"/>
        <rFont val="Verdana"/>
        <family val="2"/>
      </rPr>
      <t>$1000 less in Sep</t>
    </r>
    <r>
      <rPr>
        <sz val="8"/>
        <rFont val="Verdana"/>
        <family val="2"/>
      </rPr>
      <t xml:space="preserve"> to personal but it will be adjusted accordingly next month payroll (so basically it will give more </t>
    </r>
    <r>
      <rPr>
        <b/>
        <sz val="8"/>
        <rFont val="Verdana"/>
        <family val="2"/>
      </rPr>
      <t>$1000 in Oct</t>
    </r>
    <r>
      <rPr>
        <sz val="8"/>
        <rFont val="Verdana"/>
        <family val="2"/>
      </rPr>
      <t xml:space="preserve"> :)).</t>
    </r>
  </si>
  <si>
    <r>
      <t>27Aug-30Sep (5+</t>
    </r>
    <r>
      <rPr>
        <b/>
        <sz val="8"/>
        <color rgb="FFFF0000"/>
        <rFont val="Arial"/>
        <family val="2"/>
      </rPr>
      <t>4</t>
    </r>
    <r>
      <rPr>
        <sz val="8"/>
        <rFont val="Arial"/>
        <family val="2"/>
      </rPr>
      <t xml:space="preserve">+5+5+5 Days * 850/day) paid 16Oct.
</t>
    </r>
    <r>
      <rPr>
        <b/>
        <sz val="8"/>
        <color rgb="FFFF0000"/>
        <rFont val="Arial"/>
        <family val="2"/>
      </rPr>
      <t>Note:</t>
    </r>
    <r>
      <rPr>
        <sz val="8"/>
        <rFont val="Arial"/>
        <family val="2"/>
      </rPr>
      <t xml:space="preserve"> 3rd-Labor Day Holiday</t>
    </r>
  </si>
  <si>
    <t>Loan from Personal on 2Oct</t>
  </si>
  <si>
    <t>Finitech</t>
  </si>
  <si>
    <t>My Gross (65% of above)</t>
  </si>
  <si>
    <r>
      <t>65%of20400</t>
    </r>
    <r>
      <rPr>
        <b/>
        <sz val="8"/>
        <rFont val="Verdana"/>
        <family val="2"/>
      </rPr>
      <t>MINUS</t>
    </r>
    <r>
      <rPr>
        <sz val="8"/>
        <rFont val="Verdana"/>
        <family val="2"/>
      </rPr>
      <t xml:space="preserve">
35%of8500</t>
    </r>
  </si>
  <si>
    <t>Took back Oct 18th
$1000+$700</t>
  </si>
  <si>
    <t>Spoke with Mukesh - 1Nov12</t>
  </si>
  <si>
    <t>Sep IRA contribution from company-side is 25% of gross payroll..till Jan of next year.</t>
  </si>
  <si>
    <t>As I am self-employed, there is NO need for disability benefits insurance (only workers comp required).
If my employer asks for General liability insurance then only it is needed otherwise not.</t>
  </si>
  <si>
    <t>Employee side - Fed</t>
  </si>
  <si>
    <t xml:space="preserve">Employee side - Soc Sec </t>
  </si>
  <si>
    <t>Employee side - Medicare</t>
  </si>
  <si>
    <r>
      <rPr>
        <b/>
        <sz val="8"/>
        <rFont val="Verdana"/>
        <family val="2"/>
      </rPr>
      <t>Employer</t>
    </r>
    <r>
      <rPr>
        <sz val="8"/>
        <rFont val="Verdana"/>
        <family val="2"/>
      </rPr>
      <t xml:space="preserve"> side SocSec+Medicare
7.65% of Gross (Employee side is 5.65% of Gross) 
-&gt;13.3% of Gross is SocSec + Medicare</t>
    </r>
  </si>
  <si>
    <t>No Employee side Fed UI</t>
  </si>
  <si>
    <t>I can take money from Finitech's account as 'profit distribution' on which I only pay income tax (as I already paid approx 15% payroll tax on it which is nothing but SocSec + Medicare + Unemployment Insurance).</t>
  </si>
  <si>
    <t>No estimated tax in case of S-corp.</t>
  </si>
  <si>
    <t>1Oct-28Oct (5+5+5+5 * 850/day) paid 15Nov.</t>
  </si>
  <si>
    <t>Salary (calculated)</t>
  </si>
  <si>
    <r>
      <t>29Oct-25Nov (5+5+5+</t>
    </r>
    <r>
      <rPr>
        <b/>
        <sz val="8"/>
        <color rgb="FFFF0000"/>
        <rFont val="Arial"/>
        <family val="2"/>
      </rPr>
      <t>4</t>
    </r>
    <r>
      <rPr>
        <sz val="8"/>
        <rFont val="Arial"/>
        <family val="2"/>
      </rPr>
      <t xml:space="preserve"> * 850/day) paid 12Dec.
</t>
    </r>
    <r>
      <rPr>
        <b/>
        <sz val="8"/>
        <color rgb="FFFF0000"/>
        <rFont val="Arial"/>
        <family val="2"/>
      </rPr>
      <t xml:space="preserve">Note: </t>
    </r>
    <r>
      <rPr>
        <sz val="8"/>
        <rFont val="Arial"/>
        <family val="2"/>
      </rPr>
      <t>22Nov Thanks Giving Holiday.</t>
    </r>
  </si>
  <si>
    <t>Xferred to Personal
27Sep, 18Oct, 20Nov, 12+14Dec (actual)</t>
  </si>
  <si>
    <t>Fed Total (27Sep, 19Oct, 19Nov, 17Dec)</t>
  </si>
  <si>
    <t>&lt;- this has $700 that I took loan from personal on Oct 2nd which I returned to personal on 18Oct.</t>
  </si>
  <si>
    <t>401 (K)</t>
  </si>
  <si>
    <r>
      <t>Employee side NY State:</t>
    </r>
    <r>
      <rPr>
        <b/>
        <u/>
        <sz val="8"/>
        <color rgb="FFFF0000"/>
        <rFont val="Verdana"/>
        <family val="2"/>
      </rPr>
      <t>Sep Mukesh paid from his side on 8Oct which he took back 4Dec</t>
    </r>
    <r>
      <rPr>
        <sz val="8"/>
        <rFont val="Verdana"/>
        <family val="2"/>
      </rPr>
      <t xml:space="preserve">. (19Oct,19Nov, </t>
    </r>
    <r>
      <rPr>
        <b/>
        <sz val="8"/>
        <color rgb="FFFF0000"/>
        <rFont val="Verdana"/>
        <family val="2"/>
      </rPr>
      <t>4DecMUKESH</t>
    </r>
    <r>
      <rPr>
        <sz val="8"/>
        <rFont val="Verdana"/>
        <family val="2"/>
      </rPr>
      <t>, 17Dec)</t>
    </r>
  </si>
  <si>
    <t>Employee side NY Disability (SDI) + NY Unemployment (SUI) -&gt; just in pay-check, not actually paid :)</t>
  </si>
  <si>
    <r>
      <rPr>
        <b/>
        <sz val="8"/>
        <rFont val="Verdana"/>
        <family val="2"/>
      </rPr>
      <t>Employer</t>
    </r>
    <r>
      <rPr>
        <sz val="8"/>
        <rFont val="Verdana"/>
        <family val="2"/>
      </rPr>
      <t xml:space="preserve"> side Fed Unemployment insurance (1stQtr-&gt;16Jan) </t>
    </r>
    <r>
      <rPr>
        <b/>
        <sz val="8"/>
        <rFont val="Verdana"/>
        <family val="2"/>
      </rPr>
      <t>once year</t>
    </r>
  </si>
  <si>
    <r>
      <rPr>
        <b/>
        <sz val="8"/>
        <rFont val="Verdana"/>
        <family val="2"/>
      </rPr>
      <t>Employer</t>
    </r>
    <r>
      <rPr>
        <sz val="8"/>
        <rFont val="Verdana"/>
        <family val="2"/>
      </rPr>
      <t xml:space="preserve"> side Fed Unemployment insurance (3rd Qtr -&gt;5Oct) </t>
    </r>
    <r>
      <rPr>
        <b/>
        <sz val="8"/>
        <rFont val="Verdana"/>
        <family val="2"/>
      </rPr>
      <t>once year</t>
    </r>
  </si>
  <si>
    <t>TOTAL 2012</t>
  </si>
  <si>
    <t>last row of 20400 is not included in this as it got paid on 17Jan13.</t>
  </si>
  <si>
    <t>Total</t>
  </si>
  <si>
    <t>14Feb 2 paychecks, 1st without 401K contrib, so taxes got paid based on this paycheck. But 2nd paycheck with 401K contrib, so Mukesh called on 15Feb informing that next month the taxes will be adjusted accordingly (means less deducted from bank account).</t>
  </si>
  <si>
    <r>
      <rPr>
        <sz val="8"/>
        <color theme="1"/>
        <rFont val="Arial"/>
        <family val="2"/>
      </rPr>
      <t>26Nov-2Dec (5 Days) + 
3Dec-30Dec (5+5+5+</t>
    </r>
    <r>
      <rPr>
        <b/>
        <sz val="8"/>
        <color rgb="FFFF0000"/>
        <rFont val="Arial"/>
        <family val="2"/>
      </rPr>
      <t xml:space="preserve">4 </t>
    </r>
    <r>
      <rPr>
        <sz val="8"/>
        <color theme="1"/>
        <rFont val="Arial"/>
        <family val="2"/>
      </rPr>
      <t xml:space="preserve">Days) * 850/day paid </t>
    </r>
    <r>
      <rPr>
        <b/>
        <sz val="8"/>
        <color rgb="FFFF0000"/>
        <rFont val="Arial"/>
        <family val="2"/>
      </rPr>
      <t xml:space="preserve">17Jan13
Note: </t>
    </r>
    <r>
      <rPr>
        <sz val="8"/>
        <rFont val="Arial"/>
        <family val="2"/>
      </rPr>
      <t xml:space="preserve">25Dec Christmas Holiday.
</t>
    </r>
    <r>
      <rPr>
        <b/>
        <sz val="8"/>
        <color rgb="FFFF0000"/>
        <rFont val="Arial"/>
        <family val="2"/>
      </rPr>
      <t>31Dec12 got paid on 14 Feb 2013.</t>
    </r>
  </si>
  <si>
    <r>
      <rPr>
        <sz val="8"/>
        <color theme="1"/>
        <rFont val="Arial"/>
        <family val="2"/>
      </rPr>
      <t>31Dec12-27Jan13 (</t>
    </r>
    <r>
      <rPr>
        <b/>
        <sz val="8"/>
        <color rgb="FFFF0000"/>
        <rFont val="Arial"/>
        <family val="2"/>
      </rPr>
      <t>4</t>
    </r>
    <r>
      <rPr>
        <sz val="8"/>
        <color theme="1"/>
        <rFont val="Arial"/>
        <family val="2"/>
      </rPr>
      <t>+5+5+</t>
    </r>
    <r>
      <rPr>
        <b/>
        <sz val="8"/>
        <color rgb="FFFF0000"/>
        <rFont val="Arial"/>
        <family val="2"/>
      </rPr>
      <t>4</t>
    </r>
    <r>
      <rPr>
        <sz val="8"/>
        <color theme="1"/>
        <rFont val="Arial"/>
        <family val="2"/>
      </rPr>
      <t xml:space="preserve">) * 850/day paid 14Feb13.
</t>
    </r>
    <r>
      <rPr>
        <b/>
        <sz val="8"/>
        <color rgb="FFFF0000"/>
        <rFont val="Arial"/>
        <family val="2"/>
      </rPr>
      <t xml:space="preserve">Note: </t>
    </r>
    <r>
      <rPr>
        <sz val="8"/>
        <color theme="1"/>
        <rFont val="Arial"/>
        <family val="2"/>
      </rPr>
      <t>Jan 1st New Year Holiday, Jan 21 Martin Luther King Holiday.</t>
    </r>
    <r>
      <rPr>
        <b/>
        <sz val="8"/>
        <color rgb="FFFF0000"/>
        <rFont val="Arial"/>
        <family val="2"/>
      </rPr>
      <t xml:space="preserve">
31Dec12 got paid on 14 Feb 2013.</t>
    </r>
  </si>
  <si>
    <r>
      <t>28Jan-24Feb (5+5+5+</t>
    </r>
    <r>
      <rPr>
        <b/>
        <sz val="8"/>
        <color rgb="FFFF0000"/>
        <rFont val="Arial"/>
        <family val="2"/>
      </rPr>
      <t>4</t>
    </r>
    <r>
      <rPr>
        <sz val="8"/>
        <rFont val="Arial"/>
        <family val="2"/>
      </rPr>
      <t>) * 850/day paid 14Mar13.</t>
    </r>
    <r>
      <rPr>
        <b/>
        <sz val="8"/>
        <color rgb="FFFF0000"/>
        <rFont val="Arial"/>
        <family val="2"/>
      </rPr>
      <t xml:space="preserve">
Note:</t>
    </r>
    <r>
      <rPr>
        <sz val="8"/>
        <rFont val="Arial"/>
        <family val="2"/>
      </rPr>
      <t xml:space="preserve"> Feb 18th President's Day Holiday</t>
    </r>
  </si>
  <si>
    <r>
      <t xml:space="preserve">Employee side NY State </t>
    </r>
    <r>
      <rPr>
        <sz val="8"/>
        <color theme="1"/>
        <rFont val="Verdana"/>
        <family val="2"/>
      </rPr>
      <t>15Feb</t>
    </r>
    <r>
      <rPr>
        <b/>
        <sz val="8"/>
        <color rgb="FFFF0000"/>
        <rFont val="Verdana"/>
        <family val="2"/>
      </rPr>
      <t xml:space="preserve"> </t>
    </r>
    <r>
      <rPr>
        <b/>
        <sz val="8"/>
        <color rgb="FF00B0F0"/>
        <rFont val="Verdana"/>
        <family val="2"/>
      </rPr>
      <t>$117.15</t>
    </r>
    <r>
      <rPr>
        <b/>
        <sz val="8"/>
        <color rgb="FFFF0000"/>
        <rFont val="Verdana"/>
        <family val="2"/>
      </rPr>
      <t xml:space="preserve"> </t>
    </r>
    <r>
      <rPr>
        <b/>
        <u/>
        <sz val="8"/>
        <color rgb="FFFF0000"/>
        <rFont val="Verdana"/>
        <family val="2"/>
      </rPr>
      <t>more</t>
    </r>
    <r>
      <rPr>
        <b/>
        <sz val="8"/>
        <color rgb="FFFF0000"/>
        <rFont val="Verdana"/>
        <family val="2"/>
      </rPr>
      <t xml:space="preserve"> but adjusted in Mar paycheck.
</t>
    </r>
    <r>
      <rPr>
        <sz val="8"/>
        <color theme="1"/>
        <rFont val="Verdana"/>
        <family val="2"/>
      </rPr>
      <t xml:space="preserve">NY State paid 19Mar </t>
    </r>
    <r>
      <rPr>
        <b/>
        <sz val="8"/>
        <color rgb="FF00B0F0"/>
        <rFont val="Verdana"/>
        <family val="2"/>
      </rPr>
      <t>$117.15</t>
    </r>
    <r>
      <rPr>
        <sz val="8"/>
        <color theme="1"/>
        <rFont val="Verdana"/>
        <family val="2"/>
      </rPr>
      <t xml:space="preserve"> </t>
    </r>
    <r>
      <rPr>
        <b/>
        <u/>
        <sz val="8"/>
        <color rgb="FFFF0000"/>
        <rFont val="Verdana"/>
        <family val="2"/>
      </rPr>
      <t>less</t>
    </r>
    <r>
      <rPr>
        <b/>
        <sz val="8"/>
        <color rgb="FFFF0000"/>
        <rFont val="Verdana"/>
        <family val="2"/>
      </rPr>
      <t xml:space="preserve"> to adjust Feb's extra amount.</t>
    </r>
  </si>
  <si>
    <r>
      <t xml:space="preserve">Fed tax paid 19Feb </t>
    </r>
    <r>
      <rPr>
        <b/>
        <sz val="8"/>
        <color rgb="FF00B0F0"/>
        <rFont val="Verdana"/>
        <family val="2"/>
      </rPr>
      <t>$420</t>
    </r>
    <r>
      <rPr>
        <b/>
        <sz val="8"/>
        <color rgb="FFFF0000"/>
        <rFont val="Verdana"/>
        <family val="2"/>
      </rPr>
      <t xml:space="preserve"> </t>
    </r>
    <r>
      <rPr>
        <b/>
        <u/>
        <sz val="8"/>
        <color rgb="FFFF0000"/>
        <rFont val="Verdana"/>
        <family val="2"/>
      </rPr>
      <t>more</t>
    </r>
    <r>
      <rPr>
        <b/>
        <sz val="8"/>
        <color rgb="FFFF0000"/>
        <rFont val="Verdana"/>
        <family val="2"/>
      </rPr>
      <t xml:space="preserve"> but adjusted in Mar paycheck.
</t>
    </r>
    <r>
      <rPr>
        <sz val="8"/>
        <color theme="1"/>
        <rFont val="Verdana"/>
        <family val="2"/>
      </rPr>
      <t xml:space="preserve">Fed tax paid 18Mar </t>
    </r>
    <r>
      <rPr>
        <b/>
        <sz val="8"/>
        <color rgb="FF00B0F0"/>
        <rFont val="Verdana"/>
        <family val="2"/>
      </rPr>
      <t>$419.99</t>
    </r>
    <r>
      <rPr>
        <b/>
        <sz val="8"/>
        <color rgb="FFFF0000"/>
        <rFont val="Verdana"/>
        <family val="2"/>
      </rPr>
      <t xml:space="preserve"> </t>
    </r>
    <r>
      <rPr>
        <b/>
        <u/>
        <sz val="8"/>
        <color rgb="FFFF0000"/>
        <rFont val="Verdana"/>
        <family val="2"/>
      </rPr>
      <t>less</t>
    </r>
    <r>
      <rPr>
        <b/>
        <sz val="8"/>
        <color rgb="FFFF0000"/>
        <rFont val="Verdana"/>
        <family val="2"/>
      </rPr>
      <t xml:space="preserve"> to adjust Feb's extra amount.</t>
    </r>
  </si>
  <si>
    <r>
      <rPr>
        <b/>
        <sz val="8"/>
        <rFont val="Verdana"/>
        <family val="2"/>
      </rPr>
      <t xml:space="preserve">Employer </t>
    </r>
    <r>
      <rPr>
        <sz val="8"/>
        <rFont val="Verdana"/>
        <family val="2"/>
      </rPr>
      <t>side NY city commute tax (Mukesh told over phone on 18Mar that it started 2 yrs ago, 1st year is concession, hence yr 2012 nothing got paid :)) 15Feb, 19Mar</t>
    </r>
  </si>
  <si>
    <r>
      <rPr>
        <b/>
        <sz val="8"/>
        <color theme="1"/>
        <rFont val="Verdana"/>
        <family val="2"/>
      </rPr>
      <t>Employer</t>
    </r>
    <r>
      <rPr>
        <sz val="8"/>
        <color theme="1"/>
        <rFont val="Verdana"/>
        <family val="2"/>
      </rPr>
      <t xml:space="preserve"> side NY UI is quarterly (for 3rdQtr-26Oct) 4.1% of first $8500</t>
    </r>
  </si>
  <si>
    <t>29Jan13 NY State Tax for Sep 2012 period (we recvd letter 4Jan13). Mukesh secretary paid it unknowingly from his account for which he took money back on 4Dec12, gave receipt on 12Dec12)</t>
  </si>
  <si>
    <t>Outgoing</t>
  </si>
  <si>
    <t>Incoming</t>
  </si>
  <si>
    <t>Credit Card bill</t>
  </si>
  <si>
    <t>NY State recvd $499.04 instead of $485.26, $6.52 in interest + $7.26 in penalty.
Mukesh recvd $485 instead of $500 (fees for Finitech tax return for yr 2012, filed 13Mar13, $300 + Personal tax return for yr 2012, filed XXApr13, $200).
$15 loss of Mukesh is profit for NY State. From Finitech's perspective both were outgoing amount, just that recipients got exchanged :) No negative impact for Finitech.</t>
  </si>
  <si>
    <t>4Dec12 Mukesh took back amount that his secretary paid unknowingly from his account for Finitech's Sept 2012 payroll NY tax. This payment got used for his fees for tax return prep for yr 2012.</t>
  </si>
  <si>
    <r>
      <rPr>
        <b/>
        <sz val="8"/>
        <rFont val="Verdana"/>
        <family val="2"/>
      </rPr>
      <t>Employer</t>
    </r>
    <r>
      <rPr>
        <sz val="8"/>
        <rFont val="Verdana"/>
        <family val="2"/>
      </rPr>
      <t xml:space="preserve"> side NY UI is quarterly (1stQtr-8Apr) 4.1% of first $8500</t>
    </r>
  </si>
  <si>
    <t>Outgoing to 8399</t>
  </si>
  <si>
    <t>Outgoing to 1438</t>
  </si>
  <si>
    <t>Workers Comp premium to Travelers 26Feb13. Addnl Premium after audit yr 2012 (paid 10Apr13 thru checking)</t>
  </si>
  <si>
    <t>Outgoing to 401K</t>
  </si>
  <si>
    <t>Check# 1031 (16Apr) Jan-Mar 2013 Employee side contrib</t>
  </si>
  <si>
    <r>
      <rPr>
        <sz val="8"/>
        <color theme="1"/>
        <rFont val="Arial"/>
        <family val="2"/>
      </rPr>
      <t>25Feb-31Mar(5+5+5+5+</t>
    </r>
    <r>
      <rPr>
        <b/>
        <sz val="8"/>
        <color rgb="FFFF0000"/>
        <rFont val="Arial"/>
        <family val="2"/>
      </rPr>
      <t>4</t>
    </r>
    <r>
      <rPr>
        <sz val="8"/>
        <color theme="1"/>
        <rFont val="Arial"/>
        <family val="2"/>
      </rPr>
      <t>) * 850/day paid 18Apr13.</t>
    </r>
    <r>
      <rPr>
        <b/>
        <sz val="8"/>
        <color rgb="FFFF0000"/>
        <rFont val="Arial"/>
        <family val="2"/>
      </rPr>
      <t xml:space="preserve">
Note: </t>
    </r>
    <r>
      <rPr>
        <sz val="8"/>
        <color theme="1"/>
        <rFont val="Arial"/>
        <family val="2"/>
      </rPr>
      <t>Mar 29th Good Friday Holiday</t>
    </r>
  </si>
  <si>
    <t>Outgoing / NY State refunded check# 01027050 of amt $114.59 which I deposited on 16Apr13</t>
  </si>
  <si>
    <r>
      <t xml:space="preserve">Employee side NY Disability (SDI) + NY Unemployment (SUI) -&gt; </t>
    </r>
    <r>
      <rPr>
        <b/>
        <sz val="8"/>
        <rFont val="Verdana"/>
        <family val="2"/>
      </rPr>
      <t>just in pay-check, not actually paid :)</t>
    </r>
  </si>
  <si>
    <t>NY State Disability Benefits premium for 1 year 17Apr -Chk 1030</t>
  </si>
  <si>
    <t>Chk 1030 - 17Apr</t>
  </si>
  <si>
    <t>Chk 1031 - 16Apr</t>
  </si>
  <si>
    <t>1Apr-28Apr(5+5+5+5) * 850/day paid 16May13.</t>
  </si>
  <si>
    <t>not actually paid :)</t>
  </si>
  <si>
    <r>
      <t xml:space="preserve">Employee side NY State (22Jan, </t>
    </r>
    <r>
      <rPr>
        <b/>
        <sz val="8"/>
        <color rgb="FFFF0000"/>
        <rFont val="Verdana"/>
        <family val="2"/>
      </rPr>
      <t xml:space="preserve">15Feb </t>
    </r>
    <r>
      <rPr>
        <b/>
        <sz val="8"/>
        <color rgb="FF00B0F0"/>
        <rFont val="Verdana"/>
        <family val="2"/>
      </rPr>
      <t>$117.15</t>
    </r>
    <r>
      <rPr>
        <b/>
        <sz val="8"/>
        <color rgb="FFFF0000"/>
        <rFont val="Verdana"/>
        <family val="2"/>
      </rPr>
      <t xml:space="preserve"> </t>
    </r>
    <r>
      <rPr>
        <b/>
        <u/>
        <sz val="8"/>
        <color rgb="FFFF0000"/>
        <rFont val="Verdana"/>
        <family val="2"/>
      </rPr>
      <t>more</t>
    </r>
    <r>
      <rPr>
        <b/>
        <sz val="8"/>
        <color rgb="FFFF0000"/>
        <rFont val="Verdana"/>
        <family val="2"/>
      </rPr>
      <t xml:space="preserve">, 19Mar </t>
    </r>
    <r>
      <rPr>
        <b/>
        <sz val="8"/>
        <color rgb="FF00B0F0"/>
        <rFont val="Verdana"/>
        <family val="2"/>
      </rPr>
      <t>$117.15</t>
    </r>
    <r>
      <rPr>
        <b/>
        <sz val="8"/>
        <color rgb="FFFF0000"/>
        <rFont val="Verdana"/>
        <family val="2"/>
      </rPr>
      <t xml:space="preserve"> </t>
    </r>
    <r>
      <rPr>
        <b/>
        <u/>
        <sz val="8"/>
        <color rgb="FFFF0000"/>
        <rFont val="Verdana"/>
        <family val="2"/>
      </rPr>
      <t>less</t>
    </r>
    <r>
      <rPr>
        <sz val="8"/>
        <rFont val="Verdana"/>
        <family val="2"/>
      </rPr>
      <t>), 19Apr, 17May</t>
    </r>
  </si>
  <si>
    <r>
      <t xml:space="preserve">Fed Total (22Jan, 19Feb </t>
    </r>
    <r>
      <rPr>
        <b/>
        <sz val="8"/>
        <color rgb="FF00B0F0"/>
        <rFont val="Verdana"/>
        <family val="2"/>
      </rPr>
      <t>$420</t>
    </r>
    <r>
      <rPr>
        <sz val="8"/>
        <rFont val="Verdana"/>
        <family val="2"/>
      </rPr>
      <t xml:space="preserve"> </t>
    </r>
    <r>
      <rPr>
        <b/>
        <u/>
        <sz val="8"/>
        <color rgb="FFFF0000"/>
        <rFont val="Verdana"/>
        <family val="2"/>
      </rPr>
      <t>more</t>
    </r>
    <r>
      <rPr>
        <b/>
        <sz val="8"/>
        <color rgb="FFFF0000"/>
        <rFont val="Verdana"/>
        <family val="2"/>
      </rPr>
      <t xml:space="preserve">, </t>
    </r>
    <r>
      <rPr>
        <sz val="8"/>
        <rFont val="Verdana"/>
        <family val="2"/>
      </rPr>
      <t>18Mar</t>
    </r>
    <r>
      <rPr>
        <b/>
        <sz val="8"/>
        <color rgb="FFFF0000"/>
        <rFont val="Verdana"/>
        <family val="2"/>
      </rPr>
      <t xml:space="preserve"> </t>
    </r>
    <r>
      <rPr>
        <b/>
        <sz val="8"/>
        <color rgb="FF00B0F0"/>
        <rFont val="Verdana"/>
        <family val="2"/>
      </rPr>
      <t>$419.99</t>
    </r>
    <r>
      <rPr>
        <b/>
        <sz val="8"/>
        <color rgb="FFFF0000"/>
        <rFont val="Verdana"/>
        <family val="2"/>
      </rPr>
      <t xml:space="preserve"> </t>
    </r>
    <r>
      <rPr>
        <b/>
        <u/>
        <sz val="8"/>
        <color rgb="FFFF0000"/>
        <rFont val="Verdana"/>
        <family val="2"/>
      </rPr>
      <t>less</t>
    </r>
    <r>
      <rPr>
        <sz val="8"/>
        <rFont val="Verdana"/>
        <family val="2"/>
      </rPr>
      <t>), 22Apr, 20May</t>
    </r>
  </si>
  <si>
    <r>
      <t>Xferred to Joint (</t>
    </r>
    <r>
      <rPr>
        <b/>
        <sz val="8"/>
        <color rgb="FFFF0000"/>
        <rFont val="Verdana"/>
        <family val="2"/>
      </rPr>
      <t>9Apr</t>
    </r>
    <r>
      <rPr>
        <sz val="8"/>
        <rFont val="Verdana"/>
        <family val="2"/>
      </rPr>
      <t xml:space="preserve">) to pay for personal tax returns due Apr 15th. </t>
    </r>
    <r>
      <rPr>
        <b/>
        <sz val="8"/>
        <color rgb="FFFF0000"/>
        <rFont val="Verdana"/>
        <family val="2"/>
      </rPr>
      <t>16Apr</t>
    </r>
    <r>
      <rPr>
        <sz val="8"/>
        <color theme="1"/>
        <rFont val="Verdana"/>
        <family val="2"/>
      </rPr>
      <t xml:space="preserve">: Apmex gold purchase $2841.95. </t>
    </r>
    <r>
      <rPr>
        <b/>
        <sz val="8"/>
        <color rgb="FFFF0000"/>
        <rFont val="Verdana"/>
        <family val="2"/>
      </rPr>
      <t>22Apr</t>
    </r>
    <r>
      <rPr>
        <sz val="8"/>
        <rFont val="Verdana"/>
        <family val="2"/>
      </rPr>
      <t xml:space="preserve">: Metlife+2ndQtrPropTax
</t>
    </r>
    <r>
      <rPr>
        <b/>
        <sz val="8"/>
        <color rgb="FFFF0000"/>
        <rFont val="Verdana"/>
        <family val="2"/>
      </rPr>
      <t>21May</t>
    </r>
    <r>
      <rPr>
        <sz val="8"/>
        <rFont val="Verdana"/>
        <family val="2"/>
      </rPr>
      <t>: Gurbani NYLife</t>
    </r>
  </si>
  <si>
    <r>
      <t>Xferred to Personal(actual)
3Jan</t>
    </r>
    <r>
      <rPr>
        <b/>
        <sz val="8"/>
        <color rgb="FFFF0000"/>
        <rFont val="Verdana"/>
        <family val="2"/>
      </rPr>
      <t>Adv</t>
    </r>
    <r>
      <rPr>
        <b/>
        <sz val="8"/>
        <rFont val="Verdana"/>
        <family val="2"/>
      </rPr>
      <t>+</t>
    </r>
    <r>
      <rPr>
        <sz val="8"/>
        <rFont val="Verdana"/>
        <family val="2"/>
      </rPr>
      <t>18Jan
1Feb</t>
    </r>
    <r>
      <rPr>
        <b/>
        <sz val="8"/>
        <color rgb="FFFF0000"/>
        <rFont val="Verdana"/>
        <family val="2"/>
      </rPr>
      <t>Adv</t>
    </r>
    <r>
      <rPr>
        <sz val="8"/>
        <color theme="1"/>
        <rFont val="Verdana"/>
        <family val="2"/>
      </rPr>
      <t>+15Feb
3Mar</t>
    </r>
    <r>
      <rPr>
        <b/>
        <sz val="8"/>
        <color rgb="FFFF0000"/>
        <rFont val="Verdana"/>
        <family val="2"/>
      </rPr>
      <t>Adv</t>
    </r>
    <r>
      <rPr>
        <b/>
        <sz val="8"/>
        <rFont val="Verdana"/>
        <family val="2"/>
      </rPr>
      <t>+</t>
    </r>
    <r>
      <rPr>
        <sz val="8"/>
        <rFont val="Verdana"/>
        <family val="2"/>
      </rPr>
      <t>15Mar
2Apr</t>
    </r>
    <r>
      <rPr>
        <b/>
        <sz val="8"/>
        <color rgb="FFFF0000"/>
        <rFont val="Verdana"/>
        <family val="2"/>
      </rPr>
      <t>Adv</t>
    </r>
    <r>
      <rPr>
        <b/>
        <sz val="8"/>
        <color theme="1"/>
        <rFont val="Verdana"/>
        <family val="2"/>
      </rPr>
      <t>+</t>
    </r>
    <r>
      <rPr>
        <sz val="8"/>
        <color theme="1"/>
        <rFont val="Verdana"/>
        <family val="2"/>
      </rPr>
      <t>19Apr
16May+21May</t>
    </r>
    <r>
      <rPr>
        <b/>
        <sz val="8"/>
        <color rgb="FFFF0000"/>
        <rFont val="Verdana"/>
        <family val="2"/>
      </rPr>
      <t>AdvBonus</t>
    </r>
  </si>
</sst>
</file>

<file path=xl/styles.xml><?xml version="1.0" encoding="utf-8"?>
<styleSheet xmlns="http://schemas.openxmlformats.org/spreadsheetml/2006/main">
  <numFmts count="3">
    <numFmt numFmtId="6" formatCode="&quot;$&quot;#,##0_);[Red]\(&quot;$&quot;#,##0\)"/>
    <numFmt numFmtId="8" formatCode="&quot;$&quot;#,##0.00_);[Red]\(&quot;$&quot;#,##0.00\)"/>
    <numFmt numFmtId="164" formatCode="[$-409]d\-mmm;@"/>
  </numFmts>
  <fonts count="13">
    <font>
      <sz val="10"/>
      <name val="Arial"/>
    </font>
    <font>
      <sz val="8"/>
      <name val="Arial"/>
      <family val="2"/>
    </font>
    <font>
      <sz val="8"/>
      <name val="Verdana"/>
      <family val="2"/>
    </font>
    <font>
      <b/>
      <sz val="8"/>
      <name val="Verdana"/>
      <family val="2"/>
    </font>
    <font>
      <sz val="8"/>
      <name val="Arial"/>
      <family val="2"/>
    </font>
    <font>
      <b/>
      <sz val="8"/>
      <color rgb="FFFF0000"/>
      <name val="Arial"/>
      <family val="2"/>
    </font>
    <font>
      <sz val="8"/>
      <color theme="1"/>
      <name val="Verdana"/>
      <family val="2"/>
    </font>
    <font>
      <b/>
      <sz val="8"/>
      <color theme="1"/>
      <name val="Verdana"/>
      <family val="2"/>
    </font>
    <font>
      <b/>
      <u/>
      <sz val="8"/>
      <color rgb="FFFF0000"/>
      <name val="Verdana"/>
      <family val="2"/>
    </font>
    <font>
      <b/>
      <sz val="8"/>
      <color rgb="FFFF0000"/>
      <name val="Verdana"/>
      <family val="2"/>
    </font>
    <font>
      <b/>
      <sz val="8"/>
      <name val="Arial"/>
      <family val="2"/>
    </font>
    <font>
      <sz val="8"/>
      <color theme="1"/>
      <name val="Arial"/>
      <family val="2"/>
    </font>
    <font>
      <b/>
      <sz val="8"/>
      <color rgb="FF00B0F0"/>
      <name val="Verdana"/>
      <family val="2"/>
    </font>
  </fonts>
  <fills count="14">
    <fill>
      <patternFill patternType="none"/>
    </fill>
    <fill>
      <patternFill patternType="gray125"/>
    </fill>
    <fill>
      <patternFill patternType="solid">
        <fgColor indexed="57"/>
        <bgColor indexed="64"/>
      </patternFill>
    </fill>
    <fill>
      <patternFill patternType="solid">
        <fgColor indexed="13"/>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7030A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72">
    <xf numFmtId="0" fontId="0" fillId="0" borderId="0" xfId="0"/>
    <xf numFmtId="0" fontId="2" fillId="0" borderId="0" xfId="0" applyFont="1"/>
    <xf numFmtId="0" fontId="2" fillId="3" borderId="0" xfId="0" applyFont="1" applyFill="1"/>
    <xf numFmtId="0" fontId="2" fillId="3" borderId="0" xfId="0" applyFont="1" applyFill="1" applyAlignment="1">
      <alignment wrapText="1"/>
    </xf>
    <xf numFmtId="16" fontId="2" fillId="0" borderId="0" xfId="0" applyNumberFormat="1" applyFont="1"/>
    <xf numFmtId="0" fontId="4" fillId="0" borderId="0" xfId="0" applyFont="1"/>
    <xf numFmtId="0" fontId="4" fillId="2" borderId="0" xfId="0" applyFont="1" applyFill="1"/>
    <xf numFmtId="0" fontId="4" fillId="4" borderId="0" xfId="0" applyFont="1" applyFill="1"/>
    <xf numFmtId="0" fontId="5" fillId="5" borderId="0" xfId="0" applyFont="1" applyFill="1"/>
    <xf numFmtId="0" fontId="2" fillId="5" borderId="0" xfId="0" applyFont="1" applyFill="1"/>
    <xf numFmtId="0" fontId="2" fillId="4" borderId="0" xfId="0" applyFont="1" applyFill="1"/>
    <xf numFmtId="6" fontId="2" fillId="6" borderId="0" xfId="0" applyNumberFormat="1" applyFont="1" applyFill="1"/>
    <xf numFmtId="0" fontId="2" fillId="7" borderId="0" xfId="0" applyFont="1" applyFill="1" applyAlignment="1">
      <alignment wrapText="1"/>
    </xf>
    <xf numFmtId="2" fontId="2" fillId="3" borderId="0" xfId="0" applyNumberFormat="1" applyFont="1" applyFill="1"/>
    <xf numFmtId="0" fontId="2" fillId="4" borderId="0" xfId="0" applyFont="1" applyFill="1" applyAlignment="1">
      <alignment wrapText="1"/>
    </xf>
    <xf numFmtId="0" fontId="6" fillId="8" borderId="0" xfId="0" applyFont="1" applyFill="1" applyAlignment="1">
      <alignment wrapText="1"/>
    </xf>
    <xf numFmtId="0" fontId="3" fillId="5" borderId="0" xfId="0" applyFont="1" applyFill="1" applyAlignment="1">
      <alignment wrapText="1"/>
    </xf>
    <xf numFmtId="0" fontId="4" fillId="9" borderId="0" xfId="0" applyFont="1" applyFill="1"/>
    <xf numFmtId="0" fontId="2" fillId="0" borderId="0" xfId="0" applyFont="1" applyAlignment="1">
      <alignment wrapText="1"/>
    </xf>
    <xf numFmtId="2" fontId="2" fillId="5" borderId="0" xfId="0" applyNumberFormat="1" applyFont="1" applyFill="1"/>
    <xf numFmtId="0" fontId="2" fillId="0" borderId="0" xfId="0" applyFont="1" applyFill="1"/>
    <xf numFmtId="0" fontId="9" fillId="0" borderId="0" xfId="0" applyFont="1"/>
    <xf numFmtId="0" fontId="4" fillId="10" borderId="0" xfId="0" applyFont="1" applyFill="1"/>
    <xf numFmtId="0" fontId="2" fillId="0" borderId="0" xfId="0" applyFont="1" applyAlignment="1">
      <alignment wrapText="1"/>
    </xf>
    <xf numFmtId="0" fontId="2" fillId="0" borderId="0" xfId="0" applyFont="1" applyAlignment="1">
      <alignment wrapText="1"/>
    </xf>
    <xf numFmtId="4" fontId="2" fillId="0" borderId="0" xfId="0" applyNumberFormat="1" applyFont="1"/>
    <xf numFmtId="4" fontId="2" fillId="3" borderId="0" xfId="0" applyNumberFormat="1" applyFont="1" applyFill="1"/>
    <xf numFmtId="4" fontId="2" fillId="5" borderId="0" xfId="0" applyNumberFormat="1" applyFont="1" applyFill="1"/>
    <xf numFmtId="4" fontId="2" fillId="0" borderId="0" xfId="0" applyNumberFormat="1" applyFont="1" applyFill="1"/>
    <xf numFmtId="4" fontId="2" fillId="4" borderId="0" xfId="0" applyNumberFormat="1" applyFont="1" applyFill="1"/>
    <xf numFmtId="0" fontId="5" fillId="4" borderId="0" xfId="0" applyFont="1" applyFill="1"/>
    <xf numFmtId="0" fontId="10" fillId="5" borderId="0" xfId="0" applyFont="1" applyFill="1"/>
    <xf numFmtId="0" fontId="4" fillId="7" borderId="0" xfId="0" applyFont="1" applyFill="1"/>
    <xf numFmtId="0" fontId="2" fillId="10" borderId="0" xfId="0" applyFont="1" applyFill="1"/>
    <xf numFmtId="40" fontId="2" fillId="10" borderId="0" xfId="0" applyNumberFormat="1" applyFont="1" applyFill="1"/>
    <xf numFmtId="0" fontId="4" fillId="11" borderId="0" xfId="0" applyFont="1" applyFill="1"/>
    <xf numFmtId="0" fontId="4" fillId="12" borderId="0" xfId="0" applyFont="1" applyFill="1"/>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xf numFmtId="0" fontId="9" fillId="13" borderId="0" xfId="0" applyFont="1" applyFill="1"/>
    <xf numFmtId="4" fontId="9" fillId="13" borderId="0" xfId="0" applyNumberFormat="1" applyFont="1" applyFill="1"/>
    <xf numFmtId="0" fontId="2" fillId="0" borderId="0" xfId="0" applyFont="1" applyAlignment="1">
      <alignment wrapText="1"/>
    </xf>
    <xf numFmtId="0" fontId="2" fillId="0" borderId="0" xfId="0" applyFont="1" applyBorder="1" applyAlignment="1">
      <alignment wrapText="1"/>
    </xf>
    <xf numFmtId="4" fontId="6" fillId="5" borderId="0" xfId="0" applyNumberFormat="1" applyFont="1" applyFill="1"/>
    <xf numFmtId="0" fontId="2" fillId="0" borderId="0" xfId="0" applyFont="1" applyAlignment="1">
      <alignment wrapText="1"/>
    </xf>
    <xf numFmtId="15" fontId="2" fillId="0" borderId="0" xfId="0" applyNumberFormat="1" applyFont="1" applyAlignment="1">
      <alignment wrapText="1"/>
    </xf>
    <xf numFmtId="8" fontId="2" fillId="0" borderId="0" xfId="0" applyNumberFormat="1" applyFont="1"/>
    <xf numFmtId="6" fontId="2" fillId="0" borderId="0" xfId="0" applyNumberFormat="1" applyFont="1"/>
    <xf numFmtId="0" fontId="3" fillId="4" borderId="0" xfId="0" applyFont="1" applyFill="1"/>
    <xf numFmtId="0" fontId="3" fillId="5" borderId="0" xfId="0" applyFont="1" applyFill="1"/>
    <xf numFmtId="0" fontId="2" fillId="0" borderId="0" xfId="0" applyFont="1" applyAlignment="1">
      <alignment wrapText="1"/>
    </xf>
    <xf numFmtId="0" fontId="2" fillId="0" borderId="0" xfId="0" applyFont="1" applyAlignment="1">
      <alignment wrapText="1"/>
    </xf>
    <xf numFmtId="0" fontId="3" fillId="4"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5" fillId="0" borderId="0" xfId="0" applyFont="1" applyAlignment="1">
      <alignment vertical="center" wrapText="1"/>
    </xf>
    <xf numFmtId="0" fontId="0" fillId="0" borderId="0" xfId="0" applyAlignment="1">
      <alignment vertical="center" wrapText="1"/>
    </xf>
    <xf numFmtId="0" fontId="4" fillId="0" borderId="0" xfId="0" applyFont="1" applyAlignment="1">
      <alignment wrapText="1"/>
    </xf>
    <xf numFmtId="0" fontId="1" fillId="7" borderId="0" xfId="0" applyFont="1" applyFill="1" applyAlignment="1">
      <alignment wrapText="1"/>
    </xf>
    <xf numFmtId="0" fontId="2" fillId="5"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4"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3:AN31"/>
  <sheetViews>
    <sheetView workbookViewId="0">
      <selection activeCell="AG23" sqref="AG23"/>
    </sheetView>
  </sheetViews>
  <sheetFormatPr defaultRowHeight="11.25"/>
  <cols>
    <col min="1" max="1" width="4.85546875" style="5" customWidth="1"/>
    <col min="2" max="10" width="2" style="5" bestFit="1" customWidth="1"/>
    <col min="11" max="32" width="3" style="5" bestFit="1" customWidth="1"/>
    <col min="33" max="33" width="9.140625" style="5"/>
    <col min="34" max="34" width="9.85546875" style="5" customWidth="1"/>
    <col min="35" max="16384" width="9.140625" style="5"/>
  </cols>
  <sheetData>
    <row r="3" spans="1:38">
      <c r="A3" s="5">
        <v>2012</v>
      </c>
      <c r="B3" s="5">
        <v>1</v>
      </c>
      <c r="C3" s="5">
        <v>2</v>
      </c>
      <c r="D3" s="5">
        <v>3</v>
      </c>
      <c r="E3" s="5">
        <v>4</v>
      </c>
      <c r="F3" s="5">
        <v>5</v>
      </c>
      <c r="G3" s="5">
        <v>6</v>
      </c>
      <c r="H3" s="5">
        <v>7</v>
      </c>
      <c r="I3" s="5">
        <v>8</v>
      </c>
      <c r="J3" s="5">
        <v>9</v>
      </c>
      <c r="K3" s="5">
        <v>10</v>
      </c>
      <c r="L3" s="5">
        <v>11</v>
      </c>
      <c r="M3" s="5">
        <v>12</v>
      </c>
      <c r="N3" s="5">
        <v>13</v>
      </c>
      <c r="O3" s="5">
        <v>14</v>
      </c>
      <c r="P3" s="5">
        <v>15</v>
      </c>
      <c r="Q3" s="5">
        <v>16</v>
      </c>
      <c r="R3" s="5">
        <v>17</v>
      </c>
      <c r="S3" s="5">
        <v>18</v>
      </c>
      <c r="T3" s="5">
        <v>19</v>
      </c>
      <c r="U3" s="5">
        <v>20</v>
      </c>
      <c r="V3" s="5">
        <v>21</v>
      </c>
      <c r="W3" s="5">
        <v>22</v>
      </c>
      <c r="X3" s="5">
        <v>23</v>
      </c>
      <c r="Y3" s="5">
        <v>24</v>
      </c>
      <c r="Z3" s="5">
        <v>25</v>
      </c>
      <c r="AA3" s="5">
        <v>26</v>
      </c>
      <c r="AB3" s="5">
        <v>27</v>
      </c>
      <c r="AC3" s="5">
        <v>28</v>
      </c>
      <c r="AD3" s="5">
        <v>29</v>
      </c>
      <c r="AE3" s="5">
        <v>30</v>
      </c>
      <c r="AF3" s="5">
        <v>31</v>
      </c>
      <c r="AG3" s="5" t="s">
        <v>12</v>
      </c>
    </row>
    <row r="4" spans="1:38">
      <c r="A4" s="5" t="s">
        <v>0</v>
      </c>
    </row>
    <row r="5" spans="1:38">
      <c r="A5" s="5" t="s">
        <v>1</v>
      </c>
    </row>
    <row r="6" spans="1:38">
      <c r="A6" s="5" t="s">
        <v>2</v>
      </c>
    </row>
    <row r="7" spans="1:38">
      <c r="A7" s="5" t="s">
        <v>3</v>
      </c>
    </row>
    <row r="8" spans="1:38">
      <c r="A8" s="5" t="s">
        <v>4</v>
      </c>
    </row>
    <row r="9" spans="1:38">
      <c r="A9" s="5" t="s">
        <v>5</v>
      </c>
    </row>
    <row r="10" spans="1:38">
      <c r="A10" s="5" t="s">
        <v>6</v>
      </c>
    </row>
    <row r="11" spans="1:38" ht="12.75">
      <c r="A11" s="5" t="s">
        <v>7</v>
      </c>
      <c r="N11" s="6">
        <v>1</v>
      </c>
      <c r="O11" s="6">
        <v>1</v>
      </c>
      <c r="P11" s="6">
        <v>1</v>
      </c>
      <c r="Q11" s="6">
        <v>1</v>
      </c>
      <c r="R11" s="6">
        <v>1</v>
      </c>
      <c r="S11" s="6">
        <v>0</v>
      </c>
      <c r="T11" s="6">
        <v>0</v>
      </c>
      <c r="U11" s="6">
        <v>1</v>
      </c>
      <c r="V11" s="6">
        <v>1</v>
      </c>
      <c r="W11" s="6">
        <v>1</v>
      </c>
      <c r="X11" s="6">
        <v>1</v>
      </c>
      <c r="Y11" s="6">
        <v>1</v>
      </c>
      <c r="Z11" s="6">
        <v>0</v>
      </c>
      <c r="AA11" s="6">
        <v>0</v>
      </c>
      <c r="AB11" s="7">
        <v>1</v>
      </c>
      <c r="AC11" s="7">
        <v>1</v>
      </c>
      <c r="AD11" s="7">
        <v>1</v>
      </c>
      <c r="AE11" s="7">
        <v>1</v>
      </c>
      <c r="AF11" s="7">
        <v>1</v>
      </c>
      <c r="AG11" s="5">
        <f>SUM(N11:AA11)*850</f>
        <v>8500</v>
      </c>
      <c r="AH11" s="66" t="s">
        <v>13</v>
      </c>
      <c r="AI11" s="66"/>
      <c r="AJ11" s="66"/>
      <c r="AK11" s="66"/>
      <c r="AL11" s="63"/>
    </row>
    <row r="12" spans="1:38" ht="24" customHeight="1">
      <c r="A12" s="5" t="s">
        <v>8</v>
      </c>
      <c r="B12" s="7">
        <v>0</v>
      </c>
      <c r="C12" s="7">
        <v>0</v>
      </c>
      <c r="D12" s="8">
        <v>0</v>
      </c>
      <c r="E12" s="7">
        <v>1</v>
      </c>
      <c r="F12" s="7">
        <v>1</v>
      </c>
      <c r="G12" s="7">
        <v>1</v>
      </c>
      <c r="H12" s="7">
        <v>1</v>
      </c>
      <c r="I12" s="7">
        <v>0</v>
      </c>
      <c r="J12" s="7">
        <v>0</v>
      </c>
      <c r="K12" s="7">
        <v>1</v>
      </c>
      <c r="L12" s="7">
        <v>1</v>
      </c>
      <c r="M12" s="7">
        <v>1</v>
      </c>
      <c r="N12" s="7">
        <v>1</v>
      </c>
      <c r="O12" s="7">
        <v>1</v>
      </c>
      <c r="P12" s="7">
        <v>0</v>
      </c>
      <c r="Q12" s="7">
        <v>0</v>
      </c>
      <c r="R12" s="7">
        <v>1</v>
      </c>
      <c r="S12" s="7">
        <v>1</v>
      </c>
      <c r="T12" s="7">
        <v>1</v>
      </c>
      <c r="U12" s="7">
        <v>1</v>
      </c>
      <c r="V12" s="7">
        <v>1</v>
      </c>
      <c r="W12" s="7">
        <v>0</v>
      </c>
      <c r="X12" s="7">
        <v>0</v>
      </c>
      <c r="Y12" s="7">
        <v>1</v>
      </c>
      <c r="Z12" s="7">
        <v>1</v>
      </c>
      <c r="AA12" s="7">
        <v>1</v>
      </c>
      <c r="AB12" s="7">
        <v>1</v>
      </c>
      <c r="AC12" s="7">
        <v>1</v>
      </c>
      <c r="AD12" s="7">
        <v>0</v>
      </c>
      <c r="AE12" s="7">
        <v>0</v>
      </c>
      <c r="AF12" s="5">
        <v>0</v>
      </c>
      <c r="AG12" s="5">
        <f>SUM(AB11:AF11,B12:AE12)*850</f>
        <v>20400</v>
      </c>
      <c r="AH12" s="66" t="s">
        <v>16</v>
      </c>
      <c r="AI12" s="66"/>
      <c r="AJ12" s="66"/>
      <c r="AK12" s="66"/>
      <c r="AL12" s="66"/>
    </row>
    <row r="13" spans="1:38">
      <c r="A13" s="5" t="s">
        <v>9</v>
      </c>
      <c r="B13" s="17">
        <v>1</v>
      </c>
      <c r="C13" s="17">
        <v>1</v>
      </c>
      <c r="D13" s="17">
        <v>1</v>
      </c>
      <c r="E13" s="17">
        <v>1</v>
      </c>
      <c r="F13" s="17">
        <v>1</v>
      </c>
      <c r="G13" s="17">
        <v>0</v>
      </c>
      <c r="H13" s="17">
        <v>0</v>
      </c>
      <c r="I13" s="17">
        <v>1</v>
      </c>
      <c r="J13" s="17">
        <v>1</v>
      </c>
      <c r="K13" s="17">
        <v>1</v>
      </c>
      <c r="L13" s="17">
        <v>1</v>
      </c>
      <c r="M13" s="17">
        <v>1</v>
      </c>
      <c r="N13" s="17">
        <v>0</v>
      </c>
      <c r="O13" s="17">
        <v>0</v>
      </c>
      <c r="P13" s="17">
        <v>1</v>
      </c>
      <c r="Q13" s="17">
        <v>1</v>
      </c>
      <c r="R13" s="17">
        <v>1</v>
      </c>
      <c r="S13" s="17">
        <v>1</v>
      </c>
      <c r="T13" s="17">
        <v>1</v>
      </c>
      <c r="U13" s="17">
        <v>0</v>
      </c>
      <c r="V13" s="17">
        <v>0</v>
      </c>
      <c r="W13" s="17">
        <v>1</v>
      </c>
      <c r="X13" s="17">
        <v>1</v>
      </c>
      <c r="Y13" s="17">
        <v>1</v>
      </c>
      <c r="Z13" s="17">
        <v>1</v>
      </c>
      <c r="AA13" s="17">
        <v>1</v>
      </c>
      <c r="AB13" s="17">
        <v>0</v>
      </c>
      <c r="AC13" s="17">
        <v>0</v>
      </c>
      <c r="AD13" s="22">
        <v>1</v>
      </c>
      <c r="AE13" s="22">
        <v>1</v>
      </c>
      <c r="AF13" s="22">
        <v>1</v>
      </c>
      <c r="AG13" s="5">
        <f>SUM(B13:AC13)*850</f>
        <v>17000</v>
      </c>
      <c r="AH13" s="5" t="s">
        <v>32</v>
      </c>
    </row>
    <row r="14" spans="1:38" ht="24" customHeight="1">
      <c r="A14" s="5" t="s">
        <v>10</v>
      </c>
      <c r="B14" s="22">
        <v>1</v>
      </c>
      <c r="C14" s="22">
        <v>1</v>
      </c>
      <c r="D14" s="22">
        <v>0</v>
      </c>
      <c r="E14" s="22">
        <v>0</v>
      </c>
      <c r="F14" s="22">
        <v>1</v>
      </c>
      <c r="G14" s="22">
        <v>1</v>
      </c>
      <c r="H14" s="22">
        <v>1</v>
      </c>
      <c r="I14" s="22">
        <v>1</v>
      </c>
      <c r="J14" s="22">
        <v>1</v>
      </c>
      <c r="K14" s="22">
        <v>0</v>
      </c>
      <c r="L14" s="22">
        <v>0</v>
      </c>
      <c r="M14" s="22">
        <v>1</v>
      </c>
      <c r="N14" s="22">
        <v>1</v>
      </c>
      <c r="O14" s="22">
        <v>1</v>
      </c>
      <c r="P14" s="22">
        <v>1</v>
      </c>
      <c r="Q14" s="22">
        <v>1</v>
      </c>
      <c r="R14" s="22">
        <v>0</v>
      </c>
      <c r="S14" s="22">
        <v>0</v>
      </c>
      <c r="T14" s="22">
        <v>1</v>
      </c>
      <c r="U14" s="22">
        <v>1</v>
      </c>
      <c r="V14" s="22">
        <v>1</v>
      </c>
      <c r="W14" s="8">
        <v>0</v>
      </c>
      <c r="X14" s="22">
        <v>1</v>
      </c>
      <c r="Y14" s="22">
        <v>0</v>
      </c>
      <c r="Z14" s="22">
        <v>0</v>
      </c>
      <c r="AA14" s="17">
        <v>1</v>
      </c>
      <c r="AB14" s="17">
        <v>1</v>
      </c>
      <c r="AC14" s="17">
        <v>1</v>
      </c>
      <c r="AD14" s="17">
        <v>1</v>
      </c>
      <c r="AE14" s="17">
        <v>1</v>
      </c>
      <c r="AF14" s="17">
        <v>0</v>
      </c>
      <c r="AG14" s="5">
        <f>SUM(AD13:AF13,B14:Z14)*850</f>
        <v>16150</v>
      </c>
      <c r="AH14" s="66" t="s">
        <v>34</v>
      </c>
      <c r="AI14" s="63"/>
      <c r="AJ14" s="63"/>
      <c r="AK14" s="63"/>
      <c r="AL14" s="63"/>
    </row>
    <row r="15" spans="1:38" ht="45" customHeight="1">
      <c r="A15" s="5" t="s">
        <v>11</v>
      </c>
      <c r="B15" s="17">
        <v>0</v>
      </c>
      <c r="C15" s="17">
        <v>0</v>
      </c>
      <c r="D15" s="7">
        <v>1</v>
      </c>
      <c r="E15" s="7">
        <v>1</v>
      </c>
      <c r="F15" s="7">
        <v>1</v>
      </c>
      <c r="G15" s="7">
        <v>1</v>
      </c>
      <c r="H15" s="7">
        <v>1</v>
      </c>
      <c r="I15" s="7">
        <v>0</v>
      </c>
      <c r="J15" s="7">
        <v>0</v>
      </c>
      <c r="K15" s="7">
        <v>1</v>
      </c>
      <c r="L15" s="7">
        <v>1</v>
      </c>
      <c r="M15" s="7">
        <v>1</v>
      </c>
      <c r="N15" s="7">
        <v>1</v>
      </c>
      <c r="O15" s="7">
        <v>1</v>
      </c>
      <c r="P15" s="7">
        <v>0</v>
      </c>
      <c r="Q15" s="7">
        <v>0</v>
      </c>
      <c r="R15" s="7">
        <v>1</v>
      </c>
      <c r="S15" s="7">
        <v>1</v>
      </c>
      <c r="T15" s="7">
        <v>1</v>
      </c>
      <c r="U15" s="7">
        <v>1</v>
      </c>
      <c r="V15" s="7">
        <v>1</v>
      </c>
      <c r="W15" s="7">
        <v>0</v>
      </c>
      <c r="X15" s="7">
        <v>0</v>
      </c>
      <c r="Y15" s="7">
        <v>1</v>
      </c>
      <c r="Z15" s="30">
        <v>0</v>
      </c>
      <c r="AA15" s="7">
        <v>1</v>
      </c>
      <c r="AB15" s="7">
        <v>1</v>
      </c>
      <c r="AC15" s="7">
        <v>1</v>
      </c>
      <c r="AD15" s="7">
        <v>0</v>
      </c>
      <c r="AE15" s="7">
        <v>0</v>
      </c>
      <c r="AF15" s="35">
        <v>1</v>
      </c>
      <c r="AG15" s="32">
        <f>SUM(AA14:AF14,B15:C15)*850+SUM(D15:AE15)*850</f>
        <v>20400</v>
      </c>
      <c r="AH15" s="62" t="s">
        <v>47</v>
      </c>
      <c r="AI15" s="63"/>
      <c r="AJ15" s="63"/>
      <c r="AK15" s="63"/>
      <c r="AL15" s="63"/>
    </row>
    <row r="17" spans="1:40">
      <c r="AG17" s="31">
        <f>SUM(AG11:AG14)</f>
        <v>62050</v>
      </c>
      <c r="AH17" s="31" t="s">
        <v>43</v>
      </c>
      <c r="AI17" s="67" t="s">
        <v>44</v>
      </c>
      <c r="AJ17" s="66"/>
      <c r="AK17" s="66"/>
      <c r="AL17" s="66"/>
      <c r="AM17" s="66"/>
      <c r="AN17" s="66"/>
    </row>
    <row r="18" spans="1:40" s="36" customFormat="1" ht="3.75" customHeight="1"/>
    <row r="19" spans="1:40">
      <c r="A19" s="5">
        <v>2013</v>
      </c>
    </row>
    <row r="20" spans="1:40" ht="39.75" customHeight="1">
      <c r="A20" s="5" t="s">
        <v>0</v>
      </c>
      <c r="B20" s="8">
        <v>0</v>
      </c>
      <c r="C20" s="35">
        <v>1</v>
      </c>
      <c r="D20" s="35">
        <v>1</v>
      </c>
      <c r="E20" s="35">
        <v>1</v>
      </c>
      <c r="F20" s="35">
        <v>0</v>
      </c>
      <c r="G20" s="35">
        <v>0</v>
      </c>
      <c r="H20" s="35">
        <v>1</v>
      </c>
      <c r="I20" s="35">
        <v>1</v>
      </c>
      <c r="J20" s="35">
        <v>1</v>
      </c>
      <c r="K20" s="35">
        <v>1</v>
      </c>
      <c r="L20" s="35">
        <v>1</v>
      </c>
      <c r="M20" s="35">
        <v>0</v>
      </c>
      <c r="N20" s="35">
        <v>0</v>
      </c>
      <c r="O20" s="35">
        <v>1</v>
      </c>
      <c r="P20" s="35">
        <v>1</v>
      </c>
      <c r="Q20" s="35">
        <v>1</v>
      </c>
      <c r="R20" s="35">
        <v>1</v>
      </c>
      <c r="S20" s="35">
        <v>1</v>
      </c>
      <c r="T20" s="35">
        <v>0</v>
      </c>
      <c r="U20" s="35">
        <v>0</v>
      </c>
      <c r="V20" s="8">
        <v>0</v>
      </c>
      <c r="W20" s="35">
        <v>1</v>
      </c>
      <c r="X20" s="35">
        <v>1</v>
      </c>
      <c r="Y20" s="35">
        <v>1</v>
      </c>
      <c r="Z20" s="35">
        <v>1</v>
      </c>
      <c r="AA20" s="35">
        <v>0</v>
      </c>
      <c r="AB20" s="35">
        <v>0</v>
      </c>
      <c r="AC20" s="7">
        <v>1</v>
      </c>
      <c r="AD20" s="7">
        <v>1</v>
      </c>
      <c r="AE20" s="7">
        <v>1</v>
      </c>
      <c r="AF20" s="7">
        <v>1</v>
      </c>
      <c r="AG20" s="5">
        <f>SUM(AF15,B20:AB20)*850</f>
        <v>15300</v>
      </c>
      <c r="AH20" s="64" t="s">
        <v>48</v>
      </c>
      <c r="AI20" s="65"/>
      <c r="AJ20" s="65"/>
      <c r="AK20" s="65"/>
      <c r="AL20" s="65"/>
      <c r="AM20" s="65"/>
      <c r="AN20" s="65"/>
    </row>
    <row r="21" spans="1:40" ht="21.75" customHeight="1">
      <c r="A21" s="5" t="s">
        <v>1</v>
      </c>
      <c r="B21" s="7">
        <v>1</v>
      </c>
      <c r="C21" s="7">
        <v>0</v>
      </c>
      <c r="D21" s="7">
        <v>0</v>
      </c>
      <c r="E21" s="7">
        <v>1</v>
      </c>
      <c r="F21" s="7">
        <v>1</v>
      </c>
      <c r="G21" s="7">
        <v>1</v>
      </c>
      <c r="H21" s="7">
        <v>1</v>
      </c>
      <c r="I21" s="7">
        <v>1</v>
      </c>
      <c r="J21" s="7">
        <v>0</v>
      </c>
      <c r="K21" s="7">
        <v>0</v>
      </c>
      <c r="L21" s="7">
        <v>1</v>
      </c>
      <c r="M21" s="7">
        <v>1</v>
      </c>
      <c r="N21" s="7">
        <v>1</v>
      </c>
      <c r="O21" s="7">
        <v>1</v>
      </c>
      <c r="P21" s="7">
        <v>1</v>
      </c>
      <c r="Q21" s="7">
        <v>0</v>
      </c>
      <c r="R21" s="7">
        <v>0</v>
      </c>
      <c r="S21" s="8">
        <v>0</v>
      </c>
      <c r="T21" s="7">
        <v>1</v>
      </c>
      <c r="U21" s="7">
        <v>1</v>
      </c>
      <c r="V21" s="7">
        <v>1</v>
      </c>
      <c r="W21" s="7">
        <v>1</v>
      </c>
      <c r="X21" s="7">
        <v>0</v>
      </c>
      <c r="Y21" s="7">
        <v>0</v>
      </c>
      <c r="Z21" s="35">
        <v>1</v>
      </c>
      <c r="AA21" s="35">
        <v>1</v>
      </c>
      <c r="AB21" s="35">
        <v>1</v>
      </c>
      <c r="AC21" s="35">
        <v>1</v>
      </c>
      <c r="AD21" s="35">
        <v>0</v>
      </c>
      <c r="AE21" s="35">
        <v>0</v>
      </c>
      <c r="AF21" s="35">
        <v>0</v>
      </c>
      <c r="AG21" s="5">
        <f>SUM(AC20:AF20,B21:Y21)*850</f>
        <v>16150</v>
      </c>
      <c r="AH21" s="62" t="s">
        <v>49</v>
      </c>
      <c r="AI21" s="63"/>
      <c r="AJ21" s="63"/>
      <c r="AK21" s="63"/>
      <c r="AL21" s="63"/>
      <c r="AM21" s="63"/>
      <c r="AN21" s="63"/>
    </row>
    <row r="22" spans="1:40" ht="23.25" customHeight="1">
      <c r="A22" s="5" t="s">
        <v>2</v>
      </c>
      <c r="B22" s="35">
        <v>1</v>
      </c>
      <c r="C22" s="35">
        <v>0</v>
      </c>
      <c r="D22" s="35">
        <v>0</v>
      </c>
      <c r="E22" s="35">
        <v>1</v>
      </c>
      <c r="F22" s="35">
        <v>1</v>
      </c>
      <c r="G22" s="35">
        <v>1</v>
      </c>
      <c r="H22" s="35">
        <v>1</v>
      </c>
      <c r="I22" s="35">
        <v>1</v>
      </c>
      <c r="J22" s="35">
        <v>0</v>
      </c>
      <c r="K22" s="35">
        <v>0</v>
      </c>
      <c r="L22" s="35">
        <v>1</v>
      </c>
      <c r="M22" s="35">
        <v>1</v>
      </c>
      <c r="N22" s="35">
        <v>1</v>
      </c>
      <c r="O22" s="35">
        <v>1</v>
      </c>
      <c r="P22" s="35">
        <v>1</v>
      </c>
      <c r="Q22" s="35">
        <v>0</v>
      </c>
      <c r="R22" s="35">
        <v>0</v>
      </c>
      <c r="S22" s="35">
        <v>1</v>
      </c>
      <c r="T22" s="35">
        <v>1</v>
      </c>
      <c r="U22" s="35">
        <v>1</v>
      </c>
      <c r="V22" s="35">
        <v>1</v>
      </c>
      <c r="W22" s="35">
        <v>1</v>
      </c>
      <c r="X22" s="35">
        <v>0</v>
      </c>
      <c r="Y22" s="35">
        <v>0</v>
      </c>
      <c r="Z22" s="35">
        <v>1</v>
      </c>
      <c r="AA22" s="35">
        <v>1</v>
      </c>
      <c r="AB22" s="35">
        <v>1</v>
      </c>
      <c r="AC22" s="35">
        <v>1</v>
      </c>
      <c r="AD22" s="8">
        <v>0</v>
      </c>
      <c r="AE22" s="35">
        <v>0</v>
      </c>
      <c r="AF22" s="35">
        <v>0</v>
      </c>
      <c r="AG22" s="5">
        <f>SUM(Z21:AF21,B22:AF22)*850</f>
        <v>20400</v>
      </c>
      <c r="AH22" s="62" t="s">
        <v>66</v>
      </c>
      <c r="AI22" s="63"/>
      <c r="AJ22" s="63"/>
      <c r="AK22" s="63"/>
      <c r="AL22" s="63"/>
      <c r="AM22" s="63"/>
      <c r="AN22" s="63"/>
    </row>
    <row r="23" spans="1:40">
      <c r="A23" s="5" t="s">
        <v>3</v>
      </c>
      <c r="B23" s="7">
        <v>1</v>
      </c>
      <c r="C23" s="7">
        <v>1</v>
      </c>
      <c r="D23" s="7">
        <v>1</v>
      </c>
      <c r="E23" s="7">
        <v>1</v>
      </c>
      <c r="F23" s="7">
        <v>1</v>
      </c>
      <c r="G23" s="7">
        <v>0</v>
      </c>
      <c r="H23" s="7">
        <v>0</v>
      </c>
      <c r="I23" s="7">
        <v>1</v>
      </c>
      <c r="J23" s="7">
        <v>1</v>
      </c>
      <c r="K23" s="7">
        <v>1</v>
      </c>
      <c r="L23" s="7">
        <v>1</v>
      </c>
      <c r="M23" s="7">
        <v>1</v>
      </c>
      <c r="N23" s="7">
        <v>0</v>
      </c>
      <c r="O23" s="7">
        <v>0</v>
      </c>
      <c r="P23" s="7">
        <v>1</v>
      </c>
      <c r="Q23" s="7">
        <v>1</v>
      </c>
      <c r="R23" s="7">
        <v>1</v>
      </c>
      <c r="S23" s="7">
        <v>1</v>
      </c>
      <c r="T23" s="7">
        <v>1</v>
      </c>
      <c r="U23" s="7">
        <v>0</v>
      </c>
      <c r="V23" s="7">
        <v>0</v>
      </c>
      <c r="W23" s="7">
        <v>1</v>
      </c>
      <c r="X23" s="7">
        <v>1</v>
      </c>
      <c r="Y23" s="7">
        <v>1</v>
      </c>
      <c r="Z23" s="7">
        <v>1</v>
      </c>
      <c r="AA23" s="7">
        <v>1</v>
      </c>
      <c r="AB23" s="7">
        <v>0</v>
      </c>
      <c r="AC23" s="7">
        <v>0</v>
      </c>
      <c r="AD23" s="5">
        <v>1</v>
      </c>
      <c r="AE23" s="5">
        <v>1</v>
      </c>
      <c r="AF23" s="5">
        <v>0</v>
      </c>
      <c r="AG23" s="5">
        <f>SUM(B23:AC23)*850</f>
        <v>17000</v>
      </c>
      <c r="AH23" s="56" t="s">
        <v>72</v>
      </c>
    </row>
    <row r="24" spans="1:40">
      <c r="A24" s="5" t="s">
        <v>4</v>
      </c>
    </row>
    <row r="25" spans="1:40">
      <c r="A25" s="5" t="s">
        <v>5</v>
      </c>
    </row>
    <row r="26" spans="1:40">
      <c r="A26" s="5" t="s">
        <v>6</v>
      </c>
    </row>
    <row r="27" spans="1:40">
      <c r="A27" s="5" t="s">
        <v>7</v>
      </c>
    </row>
    <row r="28" spans="1:40">
      <c r="A28" s="5" t="s">
        <v>8</v>
      </c>
    </row>
    <row r="29" spans="1:40">
      <c r="A29" s="5" t="s">
        <v>9</v>
      </c>
    </row>
    <row r="30" spans="1:40">
      <c r="A30" s="5" t="s">
        <v>10</v>
      </c>
    </row>
    <row r="31" spans="1:40">
      <c r="A31" s="5" t="s">
        <v>11</v>
      </c>
    </row>
  </sheetData>
  <mergeCells count="8">
    <mergeCell ref="AH22:AN22"/>
    <mergeCell ref="AH21:AN21"/>
    <mergeCell ref="AH20:AN20"/>
    <mergeCell ref="AH12:AL12"/>
    <mergeCell ref="AH11:AL11"/>
    <mergeCell ref="AH14:AL14"/>
    <mergeCell ref="AH15:AL15"/>
    <mergeCell ref="AI17:AN17"/>
  </mergeCells>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N25"/>
  <sheetViews>
    <sheetView workbookViewId="0">
      <selection activeCell="D15" sqref="D15"/>
    </sheetView>
  </sheetViews>
  <sheetFormatPr defaultRowHeight="10.5"/>
  <cols>
    <col min="1" max="1" width="9.140625" style="1"/>
    <col min="2" max="2" width="25.140625" style="23" customWidth="1"/>
    <col min="3" max="3" width="9.140625" style="1"/>
    <col min="4" max="4" width="11.42578125" style="1" customWidth="1"/>
    <col min="5" max="7" width="9.140625" style="1"/>
    <col min="8" max="8" width="9.85546875" style="33" bestFit="1" customWidth="1"/>
    <col min="9" max="16384" width="9.140625" style="1"/>
  </cols>
  <sheetData>
    <row r="1" spans="1:8" ht="31.5">
      <c r="D1" s="12" t="s">
        <v>20</v>
      </c>
      <c r="E1" s="4">
        <v>41228</v>
      </c>
      <c r="F1" s="4">
        <v>41256</v>
      </c>
      <c r="H1" s="33" t="s">
        <v>45</v>
      </c>
    </row>
    <row r="2" spans="1:8">
      <c r="A2" s="1" t="s">
        <v>14</v>
      </c>
      <c r="B2" s="23" t="s">
        <v>18</v>
      </c>
      <c r="C2" s="1">
        <v>8500</v>
      </c>
      <c r="D2" s="1">
        <v>20400</v>
      </c>
      <c r="E2" s="1">
        <v>17000</v>
      </c>
      <c r="F2" s="1">
        <v>16150</v>
      </c>
      <c r="H2" s="33">
        <f t="shared" ref="H2:H14" si="0">SUM(C2:G2)</f>
        <v>62050</v>
      </c>
    </row>
    <row r="3" spans="1:8">
      <c r="A3" s="4">
        <v>41177</v>
      </c>
      <c r="B3" s="23" t="s">
        <v>19</v>
      </c>
      <c r="C3" s="1">
        <v>8500</v>
      </c>
      <c r="D3" s="1">
        <f>(65%*D2)-(35%*C2)</f>
        <v>10285</v>
      </c>
      <c r="E3" s="1">
        <f>E2*65%</f>
        <v>11050</v>
      </c>
      <c r="F3" s="1">
        <f>F2*65%</f>
        <v>10497.5</v>
      </c>
      <c r="H3" s="33">
        <f t="shared" si="0"/>
        <v>40332.5</v>
      </c>
    </row>
    <row r="4" spans="1:8">
      <c r="H4" s="33">
        <f t="shared" si="0"/>
        <v>0</v>
      </c>
    </row>
    <row r="5" spans="1:8">
      <c r="B5" s="23" t="s">
        <v>25</v>
      </c>
      <c r="C5" s="1">
        <v>1696</v>
      </c>
      <c r="D5" s="1">
        <v>2196</v>
      </c>
      <c r="E5" s="1">
        <v>2410</v>
      </c>
      <c r="F5" s="1">
        <v>2256</v>
      </c>
      <c r="H5" s="33">
        <f t="shared" si="0"/>
        <v>8558</v>
      </c>
    </row>
    <row r="6" spans="1:8">
      <c r="B6" s="23" t="s">
        <v>26</v>
      </c>
      <c r="C6" s="1">
        <v>357</v>
      </c>
      <c r="D6" s="1">
        <v>431.97</v>
      </c>
      <c r="E6" s="1">
        <v>464.1</v>
      </c>
      <c r="F6" s="1">
        <v>440.9</v>
      </c>
      <c r="H6" s="33">
        <f t="shared" si="0"/>
        <v>1693.9700000000003</v>
      </c>
    </row>
    <row r="7" spans="1:8">
      <c r="B7" s="23" t="s">
        <v>27</v>
      </c>
      <c r="C7" s="1">
        <v>123.25</v>
      </c>
      <c r="D7" s="1">
        <v>149.13999999999999</v>
      </c>
      <c r="E7" s="1">
        <v>160.22</v>
      </c>
      <c r="F7" s="1">
        <v>152.21</v>
      </c>
      <c r="H7" s="33">
        <f t="shared" si="0"/>
        <v>584.82000000000005</v>
      </c>
    </row>
    <row r="8" spans="1:8" s="2" customFormat="1" ht="63">
      <c r="B8" s="3" t="s">
        <v>28</v>
      </c>
      <c r="C8" s="2">
        <f>7.65%*C3</f>
        <v>650.25</v>
      </c>
      <c r="D8" s="13">
        <f>D3*7.65%</f>
        <v>786.80250000000001</v>
      </c>
      <c r="E8" s="2">
        <f>E3*7.65%</f>
        <v>845.32499999999993</v>
      </c>
      <c r="F8" s="2">
        <f>F3*7.65%</f>
        <v>803.05875000000003</v>
      </c>
      <c r="H8" s="33">
        <f t="shared" si="0"/>
        <v>3085.4362500000002</v>
      </c>
    </row>
    <row r="9" spans="1:8">
      <c r="H9" s="33">
        <f t="shared" si="0"/>
        <v>0</v>
      </c>
    </row>
    <row r="10" spans="1:8" ht="21">
      <c r="B10" s="23" t="s">
        <v>36</v>
      </c>
      <c r="C10" s="9">
        <f>SUM(C5:C8)</f>
        <v>2826.5</v>
      </c>
      <c r="D10" s="19">
        <f>SUM(D5:D8)-0.01</f>
        <v>3563.9025000000001</v>
      </c>
      <c r="E10" s="19">
        <f>SUM(E5:E8)-0.01</f>
        <v>3879.6349999999993</v>
      </c>
      <c r="F10" s="19">
        <f>SUM(F5:F8)</f>
        <v>3652.1687500000003</v>
      </c>
      <c r="H10" s="33">
        <f t="shared" si="0"/>
        <v>13922.206249999999</v>
      </c>
    </row>
    <row r="11" spans="1:8" ht="33" customHeight="1">
      <c r="B11" s="12" t="s">
        <v>42</v>
      </c>
      <c r="C11" s="9">
        <v>42</v>
      </c>
      <c r="H11" s="33">
        <f t="shared" si="0"/>
        <v>42</v>
      </c>
    </row>
    <row r="12" spans="1:8">
      <c r="B12" s="16" t="s">
        <v>29</v>
      </c>
      <c r="H12" s="33">
        <f t="shared" si="0"/>
        <v>0</v>
      </c>
    </row>
    <row r="13" spans="1:8" ht="63">
      <c r="B13" s="24" t="s">
        <v>39</v>
      </c>
      <c r="C13" s="21">
        <v>485.26</v>
      </c>
      <c r="D13" s="1">
        <v>627</v>
      </c>
      <c r="E13" s="1">
        <v>688.81</v>
      </c>
      <c r="F13" s="1">
        <v>644.16999999999996</v>
      </c>
      <c r="H13" s="33">
        <f t="shared" si="0"/>
        <v>2445.2399999999998</v>
      </c>
    </row>
    <row r="14" spans="1:8" ht="42">
      <c r="B14" s="24" t="s">
        <v>40</v>
      </c>
      <c r="C14" s="1">
        <v>2.6</v>
      </c>
      <c r="D14" s="1">
        <v>2.6</v>
      </c>
      <c r="E14" s="1">
        <v>2.6</v>
      </c>
      <c r="F14" s="1">
        <v>2.6</v>
      </c>
      <c r="H14" s="33">
        <f t="shared" si="0"/>
        <v>10.4</v>
      </c>
    </row>
    <row r="15" spans="1:8" ht="30.75" customHeight="1">
      <c r="B15" s="15" t="s">
        <v>53</v>
      </c>
      <c r="C15" s="20"/>
      <c r="D15" s="1">
        <v>348.51</v>
      </c>
    </row>
    <row r="16" spans="1:8">
      <c r="H16" s="33">
        <f>SUM(C16:G16)</f>
        <v>0</v>
      </c>
    </row>
    <row r="17" spans="2:14" ht="24.75" customHeight="1">
      <c r="B17" s="23" t="s">
        <v>33</v>
      </c>
      <c r="C17" s="1">
        <f>C3-SUM(C5:C7,C13:C14)</f>
        <v>5835.8899999999994</v>
      </c>
      <c r="D17" s="1">
        <f>D3-SUM(D5:D7,D13:D14)</f>
        <v>6878.29</v>
      </c>
      <c r="E17" s="1">
        <f>E3-SUM(E5:E7,E13:E14)</f>
        <v>7324.27</v>
      </c>
      <c r="F17" s="1">
        <f>F3-SUM(F5:F7,F13:F14)</f>
        <v>7001.62</v>
      </c>
      <c r="H17" s="34">
        <f>SUM(C17:G17)+C21</f>
        <v>27740.07</v>
      </c>
      <c r="I17" s="68" t="s">
        <v>37</v>
      </c>
      <c r="J17" s="63"/>
      <c r="K17" s="63"/>
      <c r="L17" s="63"/>
      <c r="M17" s="63"/>
      <c r="N17" s="63"/>
    </row>
    <row r="18" spans="2:14" ht="31.5">
      <c r="B18" s="23" t="s">
        <v>35</v>
      </c>
      <c r="C18" s="10">
        <f>C17-1000</f>
        <v>4835.8899999999994</v>
      </c>
      <c r="D18" s="10">
        <f>D17+1000+700</f>
        <v>8578.2900000000009</v>
      </c>
      <c r="E18" s="10">
        <v>7324.27</v>
      </c>
      <c r="F18" s="10">
        <f>2000+5001.62</f>
        <v>7001.62</v>
      </c>
      <c r="H18" s="33">
        <f>SUM(C18:G18)</f>
        <v>27740.07</v>
      </c>
    </row>
    <row r="19" spans="2:14" ht="21.75" customHeight="1">
      <c r="B19" s="69" t="s">
        <v>15</v>
      </c>
      <c r="C19" s="69"/>
      <c r="D19" s="69"/>
      <c r="E19" s="69"/>
      <c r="F19" s="69"/>
      <c r="G19" s="69"/>
      <c r="H19" s="69"/>
      <c r="I19" s="69"/>
      <c r="J19" s="69"/>
    </row>
    <row r="21" spans="2:14" ht="31.5">
      <c r="B21" s="23" t="s">
        <v>17</v>
      </c>
      <c r="C21" s="11">
        <v>700</v>
      </c>
      <c r="D21" s="14" t="s">
        <v>21</v>
      </c>
    </row>
    <row r="22" spans="2:14">
      <c r="B22" s="23" t="s">
        <v>22</v>
      </c>
      <c r="C22" s="1" t="s">
        <v>23</v>
      </c>
    </row>
    <row r="23" spans="2:14" ht="35.25" customHeight="1">
      <c r="C23" s="69" t="s">
        <v>24</v>
      </c>
      <c r="D23" s="69"/>
      <c r="E23" s="69"/>
      <c r="F23" s="69"/>
      <c r="G23" s="69"/>
    </row>
    <row r="24" spans="2:14">
      <c r="C24" s="1" t="s">
        <v>30</v>
      </c>
    </row>
    <row r="25" spans="2:14">
      <c r="C25" s="1" t="s">
        <v>31</v>
      </c>
    </row>
  </sheetData>
  <mergeCells count="3">
    <mergeCell ref="I17:N17"/>
    <mergeCell ref="B19:J19"/>
    <mergeCell ref="C23:G23"/>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P34"/>
  <sheetViews>
    <sheetView tabSelected="1" topLeftCell="A14" workbookViewId="0">
      <selection activeCell="B20" sqref="B20"/>
    </sheetView>
  </sheetViews>
  <sheetFormatPr defaultRowHeight="10.5"/>
  <cols>
    <col min="1" max="1" width="25.140625" style="18" customWidth="1"/>
    <col min="2" max="2" width="9.140625" style="1"/>
    <col min="3" max="3" width="11.42578125" style="1" customWidth="1"/>
    <col min="4" max="12" width="9.140625" style="1"/>
    <col min="13" max="13" width="9.85546875" style="1" bestFit="1" customWidth="1"/>
    <col min="14" max="16384" width="9.140625" style="1"/>
  </cols>
  <sheetData>
    <row r="1" spans="1:16" s="39" customFormat="1">
      <c r="A1" s="38"/>
      <c r="B1" s="39">
        <v>41291</v>
      </c>
      <c r="C1" s="39">
        <v>41319</v>
      </c>
      <c r="D1" s="39">
        <v>41347</v>
      </c>
      <c r="E1" s="39">
        <v>41382</v>
      </c>
      <c r="F1" s="39">
        <v>41410</v>
      </c>
    </row>
    <row r="2" spans="1:16">
      <c r="A2" s="18" t="s">
        <v>18</v>
      </c>
      <c r="B2" s="25">
        <f>16150+4250</f>
        <v>20400</v>
      </c>
      <c r="C2" s="25">
        <v>15300</v>
      </c>
      <c r="D2" s="25">
        <v>16150</v>
      </c>
      <c r="E2" s="25">
        <v>20400</v>
      </c>
      <c r="F2" s="25">
        <v>17000</v>
      </c>
      <c r="G2" s="25"/>
      <c r="H2" s="25"/>
      <c r="I2" s="25"/>
      <c r="J2" s="25"/>
      <c r="K2" s="25"/>
      <c r="L2" s="25"/>
      <c r="M2" s="25">
        <f>SUM(B2:L2)</f>
        <v>89250</v>
      </c>
      <c r="N2" s="49" t="s">
        <v>56</v>
      </c>
    </row>
    <row r="3" spans="1:16">
      <c r="A3" s="18" t="s">
        <v>19</v>
      </c>
      <c r="B3" s="25">
        <f>B2*65%</f>
        <v>13260</v>
      </c>
      <c r="C3" s="25">
        <f>C2*65%</f>
        <v>9945</v>
      </c>
      <c r="D3" s="25">
        <f>D2*65%</f>
        <v>10497.5</v>
      </c>
      <c r="E3" s="25">
        <f>E2*65%</f>
        <v>13260</v>
      </c>
      <c r="F3" s="25">
        <f>F2*65%</f>
        <v>11050</v>
      </c>
      <c r="G3" s="25"/>
      <c r="H3" s="25"/>
      <c r="I3" s="25"/>
      <c r="J3" s="25"/>
      <c r="K3" s="25"/>
      <c r="L3" s="25"/>
      <c r="M3" s="25">
        <f t="shared" ref="M3:M22" si="0">SUM(B3:L3)</f>
        <v>58012.5</v>
      </c>
    </row>
    <row r="4" spans="1:16">
      <c r="B4" s="25"/>
      <c r="C4" s="25"/>
      <c r="D4" s="25"/>
      <c r="E4" s="25"/>
      <c r="F4" s="25"/>
      <c r="G4" s="25"/>
      <c r="H4" s="25"/>
      <c r="I4" s="25"/>
      <c r="J4" s="25"/>
      <c r="K4" s="25"/>
      <c r="L4" s="25"/>
      <c r="M4" s="25">
        <f t="shared" si="0"/>
        <v>0</v>
      </c>
    </row>
    <row r="5" spans="1:16">
      <c r="A5" s="18" t="s">
        <v>25</v>
      </c>
      <c r="B5" s="25">
        <v>2592</v>
      </c>
      <c r="C5" s="25">
        <v>1663</v>
      </c>
      <c r="D5" s="25">
        <v>1818</v>
      </c>
      <c r="E5" s="25">
        <v>2592</v>
      </c>
      <c r="F5" s="25">
        <v>1973</v>
      </c>
      <c r="G5" s="25"/>
      <c r="H5" s="25"/>
      <c r="I5" s="25"/>
      <c r="J5" s="25"/>
      <c r="K5" s="25"/>
      <c r="L5" s="25"/>
      <c r="M5" s="25">
        <f t="shared" si="0"/>
        <v>10638</v>
      </c>
    </row>
    <row r="6" spans="1:16">
      <c r="A6" s="18" t="s">
        <v>26</v>
      </c>
      <c r="B6" s="25">
        <v>822.12</v>
      </c>
      <c r="C6" s="25">
        <v>616.59</v>
      </c>
      <c r="D6" s="25">
        <v>650.85</v>
      </c>
      <c r="E6" s="25">
        <v>822.12</v>
      </c>
      <c r="F6" s="25">
        <v>685.1</v>
      </c>
      <c r="G6" s="25"/>
      <c r="H6" s="25"/>
      <c r="I6" s="25"/>
      <c r="J6" s="25"/>
      <c r="K6" s="25"/>
      <c r="L6" s="25"/>
      <c r="M6" s="25">
        <f t="shared" si="0"/>
        <v>3596.7799999999997</v>
      </c>
    </row>
    <row r="7" spans="1:16">
      <c r="A7" s="18" t="s">
        <v>27</v>
      </c>
      <c r="B7" s="25">
        <v>192.27</v>
      </c>
      <c r="C7" s="25">
        <v>144.19999999999999</v>
      </c>
      <c r="D7" s="25">
        <v>152.22</v>
      </c>
      <c r="E7" s="25">
        <v>192.27</v>
      </c>
      <c r="F7" s="25">
        <v>160.22</v>
      </c>
      <c r="G7" s="25"/>
      <c r="H7" s="25"/>
      <c r="I7" s="25"/>
      <c r="J7" s="25"/>
      <c r="K7" s="25"/>
      <c r="L7" s="25"/>
      <c r="M7" s="25">
        <f t="shared" si="0"/>
        <v>841.18000000000006</v>
      </c>
    </row>
    <row r="8" spans="1:16" s="2" customFormat="1" ht="63">
      <c r="A8" s="3" t="s">
        <v>28</v>
      </c>
      <c r="B8" s="26">
        <f>7.65%*B3</f>
        <v>1014.39</v>
      </c>
      <c r="C8" s="26">
        <f>7.65%*C3</f>
        <v>760.79250000000002</v>
      </c>
      <c r="D8" s="26">
        <f>7.65%*D3</f>
        <v>803.05875000000003</v>
      </c>
      <c r="E8" s="26">
        <f>7.65%*E3</f>
        <v>1014.39</v>
      </c>
      <c r="F8" s="26">
        <f>7.65%*F3</f>
        <v>845.32499999999993</v>
      </c>
      <c r="G8" s="26"/>
      <c r="H8" s="26"/>
      <c r="I8" s="26"/>
      <c r="J8" s="26"/>
      <c r="K8" s="26"/>
      <c r="L8" s="26"/>
      <c r="M8" s="25">
        <f t="shared" si="0"/>
        <v>4437.9562500000002</v>
      </c>
    </row>
    <row r="9" spans="1:16">
      <c r="B9" s="25"/>
      <c r="C9" s="25"/>
      <c r="D9" s="25"/>
      <c r="E9" s="25"/>
      <c r="F9" s="25"/>
      <c r="G9" s="25"/>
      <c r="H9" s="25"/>
      <c r="I9" s="25"/>
      <c r="J9" s="25"/>
      <c r="K9" s="25"/>
      <c r="L9" s="25"/>
      <c r="M9" s="25">
        <f t="shared" si="0"/>
        <v>0</v>
      </c>
    </row>
    <row r="10" spans="1:16" ht="42">
      <c r="A10" s="59" t="s">
        <v>75</v>
      </c>
      <c r="B10" s="27">
        <f>SUM(B5:B8)</f>
        <v>4620.78</v>
      </c>
      <c r="C10" s="27">
        <f>SUM(C5:C8)</f>
        <v>3184.5825</v>
      </c>
      <c r="D10" s="27">
        <f>SUM(D5:D8)</f>
        <v>3424.1287499999999</v>
      </c>
      <c r="E10" s="27">
        <f>SUM(E5:E8)</f>
        <v>4620.78</v>
      </c>
      <c r="F10" s="27">
        <f>SUM(F5:F8)-0.01</f>
        <v>3663.6349999999993</v>
      </c>
      <c r="G10" s="25"/>
      <c r="H10" s="25"/>
      <c r="I10" s="25"/>
      <c r="J10" s="25"/>
      <c r="K10" s="25"/>
      <c r="L10" s="25"/>
      <c r="M10" s="25">
        <f t="shared" si="0"/>
        <v>19513.906249999996</v>
      </c>
      <c r="N10" s="50" t="s">
        <v>55</v>
      </c>
    </row>
    <row r="11" spans="1:16" ht="33" customHeight="1">
      <c r="A11" s="12" t="s">
        <v>41</v>
      </c>
      <c r="B11" s="27">
        <v>42</v>
      </c>
      <c r="C11" s="25"/>
      <c r="D11" s="25"/>
      <c r="E11" s="25"/>
      <c r="F11" s="25"/>
      <c r="G11" s="25"/>
      <c r="H11" s="25"/>
      <c r="I11" s="25"/>
      <c r="J11" s="25"/>
      <c r="K11" s="25"/>
      <c r="L11" s="25"/>
      <c r="M11" s="25">
        <f t="shared" si="0"/>
        <v>42</v>
      </c>
      <c r="N11" s="50" t="s">
        <v>55</v>
      </c>
    </row>
    <row r="12" spans="1:16">
      <c r="A12" s="16" t="s">
        <v>29</v>
      </c>
      <c r="B12" s="25"/>
      <c r="C12" s="25"/>
      <c r="D12" s="25"/>
      <c r="E12" s="25"/>
      <c r="F12" s="25"/>
      <c r="G12" s="25"/>
      <c r="H12" s="25"/>
      <c r="I12" s="25"/>
      <c r="J12" s="25"/>
      <c r="K12" s="25"/>
      <c r="L12" s="25"/>
      <c r="M12" s="25">
        <f t="shared" si="0"/>
        <v>0</v>
      </c>
    </row>
    <row r="13" spans="1:16" ht="42">
      <c r="A13" s="57" t="s">
        <v>74</v>
      </c>
      <c r="B13" s="44">
        <v>740.71</v>
      </c>
      <c r="C13" s="27">
        <v>476.9</v>
      </c>
      <c r="D13" s="27">
        <v>518.78</v>
      </c>
      <c r="E13" s="27">
        <v>740.71</v>
      </c>
      <c r="F13" s="27">
        <v>562.14</v>
      </c>
      <c r="G13" s="25"/>
      <c r="H13" s="25"/>
      <c r="I13" s="25"/>
      <c r="J13" s="25"/>
      <c r="K13" s="25"/>
      <c r="L13" s="25"/>
      <c r="M13" s="25">
        <f t="shared" si="0"/>
        <v>3039.2400000000002</v>
      </c>
      <c r="N13" s="50" t="s">
        <v>55</v>
      </c>
    </row>
    <row r="14" spans="1:16" ht="43.5" customHeight="1">
      <c r="A14" s="43" t="s">
        <v>68</v>
      </c>
      <c r="B14" s="25">
        <v>2.6</v>
      </c>
      <c r="C14" s="25">
        <v>0</v>
      </c>
      <c r="D14" s="25">
        <v>0</v>
      </c>
      <c r="E14" s="25">
        <v>0</v>
      </c>
      <c r="F14" s="25">
        <v>0</v>
      </c>
      <c r="G14" s="25"/>
      <c r="H14" s="25"/>
      <c r="I14" s="25"/>
      <c r="J14" s="25"/>
      <c r="K14" s="25"/>
      <c r="L14" s="25"/>
      <c r="M14" s="25">
        <f>SUM(B14:L14)*-1</f>
        <v>-2.6</v>
      </c>
      <c r="N14" s="58" t="s">
        <v>73</v>
      </c>
    </row>
    <row r="15" spans="1:16" ht="31.5">
      <c r="A15" s="51" t="s">
        <v>60</v>
      </c>
      <c r="B15" s="28"/>
      <c r="C15" s="25"/>
      <c r="D15" s="25"/>
      <c r="E15" s="27">
        <v>348.51</v>
      </c>
      <c r="F15" s="25"/>
      <c r="G15" s="25"/>
      <c r="H15" s="25"/>
      <c r="I15" s="25"/>
      <c r="J15" s="25"/>
      <c r="K15" s="25"/>
      <c r="L15" s="25"/>
      <c r="M15" s="25"/>
      <c r="N15" s="50" t="s">
        <v>55</v>
      </c>
    </row>
    <row r="16" spans="1:16" ht="73.5">
      <c r="A16" s="42" t="s">
        <v>52</v>
      </c>
      <c r="B16" s="28"/>
      <c r="C16" s="27">
        <v>78.900000000000006</v>
      </c>
      <c r="D16" s="27">
        <v>35.69</v>
      </c>
      <c r="E16" s="25"/>
      <c r="F16" s="25"/>
      <c r="G16" s="25"/>
      <c r="H16" s="25"/>
      <c r="I16" s="25"/>
      <c r="J16" s="25"/>
      <c r="K16" s="25"/>
      <c r="L16" s="25"/>
      <c r="M16" s="25">
        <f t="shared" si="0"/>
        <v>114.59</v>
      </c>
      <c r="N16" s="71" t="s">
        <v>67</v>
      </c>
      <c r="O16" s="69"/>
      <c r="P16" s="69"/>
    </row>
    <row r="17" spans="1:15">
      <c r="A17" s="28"/>
      <c r="C17" s="25"/>
      <c r="D17" s="25"/>
      <c r="E17" s="25"/>
      <c r="F17" s="25"/>
      <c r="G17" s="25"/>
      <c r="H17" s="25"/>
      <c r="I17" s="25"/>
      <c r="J17" s="25"/>
      <c r="K17" s="25"/>
      <c r="L17" s="25"/>
      <c r="M17" s="25"/>
    </row>
    <row r="18" spans="1:15">
      <c r="A18" s="24" t="s">
        <v>38</v>
      </c>
      <c r="B18" s="25">
        <v>1500</v>
      </c>
      <c r="C18" s="25">
        <v>1500</v>
      </c>
      <c r="D18" s="25">
        <v>1500</v>
      </c>
      <c r="E18" s="25">
        <v>1500</v>
      </c>
      <c r="F18" s="25">
        <v>1500</v>
      </c>
      <c r="G18" s="25"/>
      <c r="H18" s="25"/>
      <c r="I18" s="25"/>
      <c r="J18" s="25"/>
      <c r="K18" s="25"/>
      <c r="L18" s="25"/>
      <c r="M18" s="25">
        <f t="shared" si="0"/>
        <v>7500</v>
      </c>
    </row>
    <row r="19" spans="1:15" ht="24.75" customHeight="1">
      <c r="A19" s="18" t="s">
        <v>33</v>
      </c>
      <c r="B19" s="25">
        <f>B3-SUM(B5:B7,B13:B14,B18)</f>
        <v>7410.2999999999993</v>
      </c>
      <c r="C19" s="25">
        <f>C3-SUM(C5:C7,C13:C14,C18)</f>
        <v>5544.3099999999995</v>
      </c>
      <c r="D19" s="25">
        <f>D3-SUM(D5:D7,D13:D14,D18)</f>
        <v>5857.6500000000005</v>
      </c>
      <c r="E19" s="25">
        <f>E3-SUM(E5:E7,E13:E14,E18)</f>
        <v>7412.9</v>
      </c>
      <c r="F19" s="25">
        <f>F3-SUM(F5:F7,F13:F14,F18)</f>
        <v>6169.5400000000009</v>
      </c>
      <c r="G19" s="25"/>
      <c r="H19" s="25"/>
      <c r="I19" s="25"/>
      <c r="J19" s="25"/>
      <c r="K19" s="25"/>
      <c r="L19" s="25"/>
      <c r="M19" s="25">
        <f t="shared" si="0"/>
        <v>32394.699999999997</v>
      </c>
    </row>
    <row r="20" spans="1:15" ht="63">
      <c r="A20" s="61" t="s">
        <v>77</v>
      </c>
      <c r="B20" s="29">
        <f>4000+3410.3</f>
        <v>7410.3</v>
      </c>
      <c r="C20" s="29">
        <f>5000+544.31</f>
        <v>5544.3099999999995</v>
      </c>
      <c r="D20" s="29">
        <f>1000+4857.65</f>
        <v>5857.65</v>
      </c>
      <c r="E20" s="29">
        <f>4000+3412.9</f>
        <v>7412.9</v>
      </c>
      <c r="F20" s="29">
        <f>6169.54+2000</f>
        <v>8169.54</v>
      </c>
      <c r="G20" s="25"/>
      <c r="H20" s="25"/>
      <c r="I20" s="25"/>
      <c r="J20" s="25"/>
      <c r="K20" s="25"/>
      <c r="L20" s="25"/>
      <c r="M20" s="25">
        <f t="shared" si="0"/>
        <v>34394.700000000004</v>
      </c>
      <c r="N20" s="53" t="s">
        <v>61</v>
      </c>
    </row>
    <row r="21" spans="1:15" ht="73.5">
      <c r="A21" s="60" t="s">
        <v>76</v>
      </c>
      <c r="E21" s="10">
        <f>13000+3000+10000</f>
        <v>26000</v>
      </c>
      <c r="F21" s="10">
        <v>2847.5</v>
      </c>
      <c r="M21" s="25">
        <f t="shared" si="0"/>
        <v>28847.5</v>
      </c>
      <c r="N21" s="53" t="s">
        <v>62</v>
      </c>
    </row>
    <row r="22" spans="1:15" ht="31.5">
      <c r="A22" s="54" t="s">
        <v>65</v>
      </c>
      <c r="E22" s="10">
        <f>1500*3</f>
        <v>4500</v>
      </c>
      <c r="M22" s="25">
        <f t="shared" si="0"/>
        <v>4500</v>
      </c>
      <c r="N22" s="53" t="s">
        <v>64</v>
      </c>
      <c r="O22" s="1" t="s">
        <v>71</v>
      </c>
    </row>
    <row r="23" spans="1:15">
      <c r="A23" s="37"/>
    </row>
    <row r="24" spans="1:15" ht="63">
      <c r="A24" s="42" t="s">
        <v>51</v>
      </c>
      <c r="C24" s="41">
        <f>2083+SUM(C6:C8)</f>
        <v>3604.5825</v>
      </c>
      <c r="D24" s="40">
        <v>3004.14</v>
      </c>
    </row>
    <row r="25" spans="1:15" ht="73.5">
      <c r="A25" s="42" t="s">
        <v>50</v>
      </c>
      <c r="C25" s="40">
        <v>594.04999999999995</v>
      </c>
      <c r="D25" s="40">
        <v>401.63</v>
      </c>
    </row>
    <row r="26" spans="1:15" ht="24" customHeight="1">
      <c r="A26" s="69" t="s">
        <v>46</v>
      </c>
      <c r="B26" s="69"/>
      <c r="C26" s="69"/>
      <c r="D26" s="69"/>
      <c r="E26" s="69"/>
      <c r="F26" s="69"/>
      <c r="G26" s="69"/>
      <c r="H26" s="69"/>
      <c r="I26" s="69"/>
      <c r="J26" s="69"/>
      <c r="K26" s="69"/>
      <c r="L26" s="69"/>
      <c r="M26" s="69"/>
      <c r="N26" s="69"/>
      <c r="O26" s="69"/>
    </row>
    <row r="29" spans="1:15" ht="84">
      <c r="A29" s="46" t="s">
        <v>54</v>
      </c>
      <c r="B29" s="47">
        <v>499.04</v>
      </c>
      <c r="C29" s="70" t="s">
        <v>58</v>
      </c>
      <c r="D29" s="63"/>
      <c r="E29" s="63"/>
      <c r="F29" s="63"/>
      <c r="G29" s="63"/>
      <c r="H29" s="63"/>
      <c r="M29" s="1">
        <f>SUM(B29:L29)</f>
        <v>499.04</v>
      </c>
      <c r="N29" s="50" t="s">
        <v>55</v>
      </c>
    </row>
    <row r="30" spans="1:15" ht="84">
      <c r="A30" s="45" t="s">
        <v>59</v>
      </c>
      <c r="B30" s="48">
        <v>485</v>
      </c>
      <c r="C30" s="70"/>
      <c r="D30" s="63"/>
      <c r="E30" s="63"/>
      <c r="F30" s="63"/>
      <c r="G30" s="63"/>
      <c r="H30" s="63"/>
      <c r="M30" s="1">
        <f>SUM(B30:L30)</f>
        <v>485</v>
      </c>
      <c r="N30" s="50" t="s">
        <v>55</v>
      </c>
    </row>
    <row r="32" spans="1:15" ht="52.5">
      <c r="A32" s="52" t="s">
        <v>63</v>
      </c>
      <c r="C32" s="48">
        <v>533</v>
      </c>
      <c r="E32" s="1">
        <v>18</v>
      </c>
      <c r="M32" s="1">
        <f>SUM(B32:L32)</f>
        <v>551</v>
      </c>
      <c r="N32" s="50" t="s">
        <v>55</v>
      </c>
    </row>
    <row r="33" spans="1:15" ht="31.5">
      <c r="A33" s="55" t="s">
        <v>69</v>
      </c>
      <c r="C33" s="48"/>
      <c r="E33" s="1">
        <v>60</v>
      </c>
      <c r="M33" s="1">
        <f>SUM(B33:L33)</f>
        <v>60</v>
      </c>
      <c r="N33" s="50" t="s">
        <v>55</v>
      </c>
      <c r="O33" s="1" t="s">
        <v>70</v>
      </c>
    </row>
    <row r="34" spans="1:15">
      <c r="A34" s="45" t="s">
        <v>57</v>
      </c>
      <c r="B34" s="1">
        <v>4166.3900000000003</v>
      </c>
      <c r="C34" s="1">
        <v>122.06</v>
      </c>
      <c r="D34" s="1">
        <v>534.07000000000005</v>
      </c>
      <c r="E34" s="1">
        <v>2095.66</v>
      </c>
      <c r="F34" s="1">
        <v>392.44</v>
      </c>
      <c r="M34" s="1">
        <f>SUM(B34:L34)</f>
        <v>7310.62</v>
      </c>
      <c r="N34" s="50" t="s">
        <v>55</v>
      </c>
    </row>
  </sheetData>
  <mergeCells count="3">
    <mergeCell ref="A26:O26"/>
    <mergeCell ref="C29:H30"/>
    <mergeCell ref="N16:P16"/>
  </mergeCells>
  <phoneticPr fontId="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TimeSheet</vt:lpstr>
      <vt:lpstr>2012</vt:lpstr>
      <vt:lpstr>2013</vt:lpstr>
    </vt:vector>
  </TitlesOfParts>
  <Company>Morgan Stanley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nilesg</dc:creator>
  <cp:lastModifiedBy>Ghubade, Nilesh (ISGT)</cp:lastModifiedBy>
  <dcterms:created xsi:type="dcterms:W3CDTF">2012-09-20T15:16:47Z</dcterms:created>
  <dcterms:modified xsi:type="dcterms:W3CDTF">2013-05-21T19:13:32Z</dcterms:modified>
</cp:coreProperties>
</file>