
<file path=[Content_Types].xml><?xml version="1.0" encoding="utf-8"?>
<Types xmlns="http://schemas.openxmlformats.org/package/2006/content-type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5.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6.xml" ContentType="application/vnd.openxmlformats-officedocument.themeOverride+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7.xml" ContentType="application/vnd.openxmlformats-officedocument.themeOverrid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8.xml" ContentType="application/vnd.openxmlformats-officedocument.themeOverrid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9.xml" ContentType="application/vnd.openxmlformats-officedocument.themeOverrid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10.xml" ContentType="application/vnd.openxmlformats-officedocument.themeOverrid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11.xml" ContentType="application/vnd.openxmlformats-officedocument.themeOverrid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12.xml" ContentType="application/vnd.openxmlformats-officedocument.themeOverrid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heme/themeOverride13.xml" ContentType="application/vnd.openxmlformats-officedocument.themeOverrid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theme/themeOverride14.xml" ContentType="application/vnd.openxmlformats-officedocument.themeOverrid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heme/themeOverride15.xml" ContentType="application/vnd.openxmlformats-officedocument.themeOverrid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theme/themeOverride16.xml" ContentType="application/vnd.openxmlformats-officedocument.themeOverrid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theme/themeOverride17.xml" ContentType="application/vnd.openxmlformats-officedocument.themeOverrid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hidePivotFieldList="1" defaultThemeVersion="166925"/>
  <mc:AlternateContent xmlns:mc="http://schemas.openxmlformats.org/markup-compatibility/2006">
    <mc:Choice Requires="x15">
      <x15ac:absPath xmlns:x15ac="http://schemas.microsoft.com/office/spreadsheetml/2010/11/ac" url="/Users/gurudarshan/UOG/DATA HANDLING &amp; ANALYSIS/Assignment/"/>
    </mc:Choice>
  </mc:AlternateContent>
  <xr:revisionPtr revIDLastSave="0" documentId="13_ncr:1_{3A5CFC90-5061-494B-9964-1242F0880CE8}" xr6:coauthVersionLast="47" xr6:coauthVersionMax="47" xr10:uidLastSave="{00000000-0000-0000-0000-000000000000}"/>
  <bookViews>
    <workbookView xWindow="0" yWindow="500" windowWidth="28800" windowHeight="15820" xr2:uid="{00000000-000D-0000-FFFF-FFFF00000000}"/>
  </bookViews>
  <sheets>
    <sheet name="Player_Dashboard" sheetId="13" r:id="rId1"/>
    <sheet name="TEAM DASHBOARD" sheetId="11" r:id="rId2"/>
    <sheet name="player_work" sheetId="16" r:id="rId3"/>
    <sheet name="team_work" sheetId="23" r:id="rId4"/>
    <sheet name="PLAYER STATS" sheetId="2" r:id="rId5"/>
    <sheet name="TEAM STATS" sheetId="4" r:id="rId6"/>
  </sheets>
  <definedNames>
    <definedName name="playerfacelookup">INDEX('PLAYER STATS'!$B$3:$AE$22,MATCH(Player_Dashboard!$C$4,RS_Players,0),30)</definedName>
    <definedName name="RefTable1">'PLAYER STATS'!$B$3:$AL$22</definedName>
    <definedName name="RS_Players">'PLAYER STATS'!$B$3:$B$22</definedName>
    <definedName name="Slicer_Opp">#N/A</definedName>
    <definedName name="Slicer_Player1">#N/A</definedName>
    <definedName name="solver_eng" localSheetId="0" hidden="1">1</definedName>
    <definedName name="solver_lin" localSheetId="0" hidden="1">2</definedName>
    <definedName name="solver_neg" localSheetId="0" hidden="1">1</definedName>
    <definedName name="solver_num" localSheetId="0" hidden="1">0</definedName>
    <definedName name="solver_opt" localSheetId="0" hidden="1">Player_Dashboard!$A$1</definedName>
    <definedName name="solver_typ" localSheetId="0" hidden="1">1</definedName>
    <definedName name="solver_val" localSheetId="0" hidden="1">0</definedName>
    <definedName name="solver_ver" localSheetId="0" hidden="1">2</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9" i="16" l="1"/>
  <c r="J29" i="16" s="1"/>
  <c r="G29" i="16"/>
  <c r="H29" i="16" s="1"/>
  <c r="I19" i="16"/>
  <c r="J19" i="16" s="1"/>
  <c r="N25" i="16"/>
  <c r="M25" i="16"/>
  <c r="L25" i="16"/>
  <c r="K25" i="16"/>
  <c r="J25" i="16"/>
  <c r="I25" i="16"/>
  <c r="H25" i="16"/>
  <c r="G25" i="16"/>
  <c r="F25" i="16"/>
  <c r="E25" i="16"/>
  <c r="D25" i="16"/>
  <c r="C25" i="16"/>
  <c r="AN24" i="2"/>
  <c r="AO24" i="2"/>
  <c r="AP24" i="2"/>
  <c r="AQ24" i="2"/>
  <c r="AR24" i="2"/>
  <c r="AS24" i="2"/>
  <c r="AT24" i="2"/>
  <c r="AU24" i="2"/>
  <c r="AV24" i="2"/>
  <c r="AW24" i="2"/>
  <c r="AX24" i="2"/>
  <c r="AY24" i="2"/>
  <c r="AZ24" i="2"/>
  <c r="BA24" i="2"/>
  <c r="BB24" i="2"/>
  <c r="BC24" i="2"/>
  <c r="BD24" i="2"/>
  <c r="BE24" i="2"/>
  <c r="BF24" i="2"/>
  <c r="BG24" i="2"/>
  <c r="BH24" i="2"/>
  <c r="BI24" i="2"/>
  <c r="BJ24" i="2"/>
  <c r="BK24" i="2"/>
  <c r="BL24" i="2"/>
  <c r="BM24" i="2"/>
  <c r="BN24" i="2"/>
  <c r="AM24" i="2"/>
  <c r="I24" i="16"/>
  <c r="I14" i="16"/>
  <c r="Q28" i="23"/>
  <c r="R28" i="23" s="1"/>
  <c r="Q26" i="23"/>
  <c r="R26" i="23" s="1"/>
  <c r="Q17" i="23"/>
  <c r="R17" i="23" s="1"/>
  <c r="Q15" i="23"/>
  <c r="R15" i="23" s="1"/>
  <c r="Q6" i="23"/>
  <c r="R6" i="23" s="1"/>
  <c r="Q4" i="23"/>
  <c r="I75" i="4"/>
  <c r="J75" i="4"/>
  <c r="K75" i="4"/>
  <c r="L75" i="4"/>
  <c r="M75" i="4"/>
  <c r="N75" i="4"/>
  <c r="O75" i="4"/>
  <c r="P75" i="4"/>
  <c r="Q75" i="4"/>
  <c r="R75" i="4"/>
  <c r="S75" i="4"/>
  <c r="T75" i="4"/>
  <c r="U75" i="4"/>
  <c r="V75" i="4"/>
  <c r="W75" i="4"/>
  <c r="X75" i="4"/>
  <c r="Y75" i="4"/>
  <c r="Z75" i="4"/>
  <c r="AA75" i="4"/>
  <c r="AB75" i="4"/>
  <c r="AC75" i="4"/>
  <c r="AD75" i="4"/>
  <c r="AE75" i="4"/>
  <c r="AF75" i="4"/>
  <c r="AG75" i="4"/>
  <c r="AH75" i="4"/>
  <c r="AI75" i="4"/>
  <c r="AJ75" i="4"/>
  <c r="AK75" i="4"/>
  <c r="AL75" i="4"/>
  <c r="AM75" i="4"/>
  <c r="AN75" i="4"/>
  <c r="AO75" i="4"/>
  <c r="AP75" i="4"/>
  <c r="H75" i="4"/>
  <c r="F15" i="16"/>
  <c r="D24" i="2"/>
  <c r="E24" i="2"/>
  <c r="F24" i="2"/>
  <c r="G24" i="2"/>
  <c r="H24" i="2"/>
  <c r="I24" i="2"/>
  <c r="J24" i="2"/>
  <c r="K24" i="2"/>
  <c r="E15" i="16" s="1"/>
  <c r="M24" i="2"/>
  <c r="N24" i="2"/>
  <c r="D15" i="16" s="1"/>
  <c r="O24" i="2"/>
  <c r="C15" i="16" s="1"/>
  <c r="AJ24" i="2"/>
  <c r="AK24" i="2"/>
  <c r="AL24" i="2"/>
  <c r="AH24" i="2"/>
  <c r="AI24" i="2"/>
  <c r="AE24" i="2"/>
  <c r="AF24" i="2"/>
  <c r="AG24" i="2"/>
  <c r="Q24" i="2"/>
  <c r="R24" i="2"/>
  <c r="S24" i="2"/>
  <c r="H15" i="16" s="1"/>
  <c r="T24" i="2"/>
  <c r="G15" i="16" s="1"/>
  <c r="U24" i="2"/>
  <c r="V24" i="2"/>
  <c r="W24" i="2"/>
  <c r="X24" i="2"/>
  <c r="J15" i="16" s="1"/>
  <c r="Y24" i="2"/>
  <c r="K15" i="16" s="1"/>
  <c r="Z24" i="2"/>
  <c r="L15" i="16" s="1"/>
  <c r="AA24" i="2"/>
  <c r="M15" i="16" s="1"/>
  <c r="AB24" i="2"/>
  <c r="N15" i="16" s="1"/>
  <c r="AC24" i="2"/>
  <c r="AD24" i="2"/>
  <c r="I15" i="16" s="1"/>
  <c r="E29" i="16"/>
  <c r="F29" i="16" s="1"/>
  <c r="C29" i="16"/>
  <c r="D29" i="16" s="1"/>
  <c r="N24" i="16"/>
  <c r="M24" i="16"/>
  <c r="L24" i="16"/>
  <c r="K24" i="16"/>
  <c r="J24" i="16"/>
  <c r="H24" i="16"/>
  <c r="G24" i="16"/>
  <c r="F24" i="16"/>
  <c r="E24" i="16"/>
  <c r="D24" i="16"/>
  <c r="C24" i="16"/>
  <c r="G19" i="16"/>
  <c r="H19" i="16" s="1"/>
  <c r="E19" i="16"/>
  <c r="F19" i="16" s="1"/>
  <c r="C19" i="16"/>
  <c r="D19" i="16" s="1"/>
  <c r="N14" i="16"/>
  <c r="M14" i="16"/>
  <c r="L14" i="16"/>
  <c r="K14" i="16"/>
  <c r="J14" i="16"/>
  <c r="H14" i="16"/>
  <c r="G14" i="16"/>
  <c r="F14" i="16"/>
  <c r="E14" i="16"/>
  <c r="D14" i="16"/>
  <c r="C14" i="16"/>
  <c r="L3" i="2"/>
  <c r="L4" i="2"/>
  <c r="L5" i="2"/>
  <c r="L6" i="2"/>
  <c r="L7" i="2"/>
  <c r="L8" i="2"/>
  <c r="L9" i="2"/>
  <c r="L10" i="2"/>
  <c r="L11" i="2"/>
  <c r="L12" i="2"/>
  <c r="L13" i="2"/>
  <c r="L14" i="2"/>
  <c r="L15" i="2"/>
  <c r="L16" i="2"/>
  <c r="L17" i="2"/>
  <c r="L18" i="2"/>
  <c r="L19" i="2"/>
  <c r="L20" i="2"/>
  <c r="L21" i="2"/>
  <c r="L22" i="2"/>
  <c r="P3" i="2"/>
  <c r="P4" i="2"/>
  <c r="P5" i="2"/>
  <c r="P6" i="2"/>
  <c r="P7" i="2"/>
  <c r="P8" i="2"/>
  <c r="P9" i="2"/>
  <c r="P10" i="2"/>
  <c r="P11" i="2"/>
  <c r="P12" i="2"/>
  <c r="P13" i="2"/>
  <c r="P14" i="2"/>
  <c r="P15" i="2"/>
  <c r="P16" i="2"/>
  <c r="P17" i="2"/>
  <c r="P18" i="2"/>
  <c r="P19" i="2"/>
  <c r="P20" i="2"/>
  <c r="P21" i="2"/>
  <c r="P22" i="2"/>
  <c r="AZ20" i="2"/>
  <c r="AV20" i="2"/>
  <c r="AZ19" i="2"/>
  <c r="AV19" i="2"/>
  <c r="AZ18" i="2"/>
  <c r="AV18" i="2"/>
  <c r="AZ17" i="2"/>
  <c r="AV17" i="2"/>
  <c r="AZ16" i="2"/>
  <c r="AV16" i="2"/>
  <c r="AZ15" i="2"/>
  <c r="AV15" i="2"/>
  <c r="AZ13" i="2"/>
  <c r="AV13" i="2"/>
  <c r="AZ12" i="2"/>
  <c r="AV12" i="2"/>
  <c r="AZ11" i="2"/>
  <c r="AV11" i="2"/>
  <c r="AZ10" i="2"/>
  <c r="AV10" i="2"/>
  <c r="AZ9" i="2"/>
  <c r="AV9" i="2"/>
  <c r="AZ8" i="2"/>
  <c r="AV8" i="2"/>
  <c r="AZ6" i="2"/>
  <c r="AV6" i="2"/>
  <c r="AZ4" i="2"/>
  <c r="AV4" i="2"/>
  <c r="AZ3" i="2"/>
  <c r="AV3" i="2"/>
  <c r="C20" i="13"/>
  <c r="F18" i="13"/>
  <c r="C18" i="13"/>
  <c r="F16" i="13"/>
  <c r="F14" i="13"/>
  <c r="C16" i="13"/>
  <c r="C14" i="13"/>
  <c r="P24" i="2" l="1"/>
  <c r="L24" i="2"/>
  <c r="R4" i="23"/>
  <c r="P34" i="2"/>
  <c r="P46" i="2"/>
  <c r="P43" i="2"/>
  <c r="P36" i="2"/>
  <c r="P49" i="2"/>
  <c r="P33" i="2"/>
  <c r="P45" i="2"/>
  <c r="P47" i="2"/>
  <c r="P39" i="2"/>
  <c r="P42" i="2"/>
  <c r="P50" i="2"/>
  <c r="P38" i="2"/>
  <c r="P40" i="2"/>
  <c r="P48" i="2"/>
  <c r="P41" i="2"/>
  <c r="L34" i="2"/>
  <c r="L46" i="2"/>
  <c r="L43" i="2"/>
  <c r="L36" i="2"/>
  <c r="L49" i="2"/>
  <c r="L33" i="2"/>
  <c r="L45" i="2"/>
  <c r="L47" i="2"/>
  <c r="L39" i="2"/>
  <c r="L42" i="2"/>
  <c r="L50" i="2"/>
  <c r="L38" i="2"/>
  <c r="L40" i="2"/>
  <c r="L48" i="2"/>
  <c r="L4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Guru Darshan</author>
  </authors>
  <commentList>
    <comment ref="AC10" authorId="0" shapeId="0" xr:uid="{9E1E432F-D189-BE42-A6E1-D5C643599C0B}">
      <text/>
    </comment>
  </commentList>
</comments>
</file>

<file path=xl/sharedStrings.xml><?xml version="1.0" encoding="utf-8"?>
<sst xmlns="http://schemas.openxmlformats.org/spreadsheetml/2006/main" count="1273" uniqueCount="336">
  <si>
    <t>Rk</t>
  </si>
  <si>
    <t>G</t>
  </si>
  <si>
    <t>GS</t>
  </si>
  <si>
    <t>MP</t>
  </si>
  <si>
    <t>FG</t>
  </si>
  <si>
    <t>FGA</t>
  </si>
  <si>
    <t>FG%</t>
  </si>
  <si>
    <t>3PA</t>
  </si>
  <si>
    <t>3P%</t>
  </si>
  <si>
    <t>2PA</t>
  </si>
  <si>
    <t>2P%</t>
  </si>
  <si>
    <t>FT</t>
  </si>
  <si>
    <t>FTA</t>
  </si>
  <si>
    <t>FT%</t>
  </si>
  <si>
    <t>ORB</t>
  </si>
  <si>
    <t>DRB</t>
  </si>
  <si>
    <t>TRB</t>
  </si>
  <si>
    <t>AST</t>
  </si>
  <si>
    <t>STL</t>
  </si>
  <si>
    <t>BLK</t>
  </si>
  <si>
    <t>TOV</t>
  </si>
  <si>
    <t>PF</t>
  </si>
  <si>
    <t>Anthony Davis</t>
  </si>
  <si>
    <t>LeBron James</t>
  </si>
  <si>
    <t>Kentavious Caldwell-Pope</t>
  </si>
  <si>
    <t>Danny Green</t>
  </si>
  <si>
    <t>Alex Caruso</t>
  </si>
  <si>
    <t>Kyle Kuzma</t>
  </si>
  <si>
    <t>Rajon Rondo</t>
  </si>
  <si>
    <t>Markieff Morris</t>
  </si>
  <si>
    <t>Dwight Howard</t>
  </si>
  <si>
    <t>JaVale McGee</t>
  </si>
  <si>
    <t>J.R. Smith</t>
  </si>
  <si>
    <t>Dion Waiters</t>
  </si>
  <si>
    <t>Jared Dudley</t>
  </si>
  <si>
    <t>Quinn Cook</t>
  </si>
  <si>
    <t>Talen Horton-Tucker</t>
  </si>
  <si>
    <t>Date</t>
  </si>
  <si>
    <t>Tm</t>
  </si>
  <si>
    <t>Opp</t>
  </si>
  <si>
    <t>W</t>
  </si>
  <si>
    <t>L</t>
  </si>
  <si>
    <t>L 1</t>
  </si>
  <si>
    <t>W 1</t>
  </si>
  <si>
    <t>W 2</t>
  </si>
  <si>
    <t>W 3</t>
  </si>
  <si>
    <t>W 4</t>
  </si>
  <si>
    <t>W 5</t>
  </si>
  <si>
    <t>W 6</t>
  </si>
  <si>
    <t>W 7</t>
  </si>
  <si>
    <t>W 8</t>
  </si>
  <si>
    <t>W 9</t>
  </si>
  <si>
    <t>W 10</t>
  </si>
  <si>
    <t>L 2</t>
  </si>
  <si>
    <t>L 3</t>
  </si>
  <si>
    <t>L 4</t>
  </si>
  <si>
    <t>Column1</t>
  </si>
  <si>
    <t>Avery Bradley</t>
  </si>
  <si>
    <t>Troy Daniels</t>
  </si>
  <si>
    <t>Kostas Antetokounmpo</t>
  </si>
  <si>
    <t>Devontae Cacok</t>
  </si>
  <si>
    <t>Zach Norvell</t>
  </si>
  <si>
    <t>REGULAR SEASON PER GAME STATS</t>
  </si>
  <si>
    <t>eFG%</t>
  </si>
  <si>
    <t>PTS/G</t>
  </si>
  <si>
    <t>PLAYOFFS PER GAME STATS</t>
  </si>
  <si>
    <t>W/L</t>
  </si>
  <si>
    <t>LAC</t>
  </si>
  <si>
    <t>UTA</t>
  </si>
  <si>
    <t>CHO</t>
  </si>
  <si>
    <t>MEM</t>
  </si>
  <si>
    <t>DAL</t>
  </si>
  <si>
    <t>SAS</t>
  </si>
  <si>
    <t>CHI</t>
  </si>
  <si>
    <t>MIA</t>
  </si>
  <si>
    <t>TOR</t>
  </si>
  <si>
    <t>PHO</t>
  </si>
  <si>
    <t>GSW</t>
  </si>
  <si>
    <t>SAC</t>
  </si>
  <si>
    <t>ATL</t>
  </si>
  <si>
    <t>OKC</t>
  </si>
  <si>
    <t>NOP</t>
  </si>
  <si>
    <t>WAS</t>
  </si>
  <si>
    <t>DEN</t>
  </si>
  <si>
    <t>POR</t>
  </si>
  <si>
    <t>MIN</t>
  </si>
  <si>
    <t>ORL</t>
  </si>
  <si>
    <t>IND</t>
  </si>
  <si>
    <t>MIL</t>
  </si>
  <si>
    <t>DET</t>
  </si>
  <si>
    <t>NYK</t>
  </si>
  <si>
    <t>CLE</t>
  </si>
  <si>
    <t>HOU</t>
  </si>
  <si>
    <t>BOS</t>
  </si>
  <si>
    <t>BRK</t>
  </si>
  <si>
    <t>PHI</t>
  </si>
  <si>
    <t xml:space="preserve">REGULAR SEASON </t>
  </si>
  <si>
    <t>PLAYOFFS</t>
  </si>
  <si>
    <t>Opp.FG</t>
  </si>
  <si>
    <t>Opp.FGA</t>
  </si>
  <si>
    <t>OppFG%</t>
  </si>
  <si>
    <t>Opp.3PA</t>
  </si>
  <si>
    <t>Opp.3PM</t>
  </si>
  <si>
    <t>Opp.3P%</t>
  </si>
  <si>
    <t>Opp.FT</t>
  </si>
  <si>
    <t>Opp.FTA</t>
  </si>
  <si>
    <t>Opp.FT%</t>
  </si>
  <si>
    <t>Opp.ORB</t>
  </si>
  <si>
    <t>Opp.TRB</t>
  </si>
  <si>
    <t>Opp.AST</t>
  </si>
  <si>
    <t>Opp.STL</t>
  </si>
  <si>
    <t>Opp.BLK</t>
  </si>
  <si>
    <t>Opp.TOV</t>
  </si>
  <si>
    <t>Opp.PF</t>
  </si>
  <si>
    <t>Opp2</t>
  </si>
  <si>
    <t>Team W/L Streak</t>
  </si>
  <si>
    <t>Team W/L Streak (Playoffs)</t>
  </si>
  <si>
    <t>Row Labels</t>
  </si>
  <si>
    <t>Grand Total</t>
  </si>
  <si>
    <t>Player</t>
  </si>
  <si>
    <t>Birth Date</t>
  </si>
  <si>
    <t>College</t>
  </si>
  <si>
    <t>November 20, 1997</t>
  </si>
  <si>
    <t>Dayton</t>
  </si>
  <si>
    <t>SG</t>
  </si>
  <si>
    <t>November 26, 1990</t>
  </si>
  <si>
    <t>Texas</t>
  </si>
  <si>
    <t>C</t>
  </si>
  <si>
    <t>October 8, 1996</t>
  </si>
  <si>
    <t>R</t>
  </si>
  <si>
    <t>UNC Wilmington</t>
  </si>
  <si>
    <t>February 18, 1993</t>
  </si>
  <si>
    <t>Georgia</t>
  </si>
  <si>
    <t>PG</t>
  </si>
  <si>
    <t>February 28, 1994</t>
  </si>
  <si>
    <t>Texas A&amp;M</t>
  </si>
  <si>
    <t>2, 28</t>
  </si>
  <si>
    <t>March 23, 1993</t>
  </si>
  <si>
    <t>Duke</t>
  </si>
  <si>
    <t>July 15, 1991</t>
  </si>
  <si>
    <t>VCU</t>
  </si>
  <si>
    <t>March 11, 1993</t>
  </si>
  <si>
    <t>Kentucky</t>
  </si>
  <si>
    <t>July 10, 1985</t>
  </si>
  <si>
    <t>Boston College</t>
  </si>
  <si>
    <t>June 22, 1987</t>
  </si>
  <si>
    <t>UNC</t>
  </si>
  <si>
    <t>November 25, 2000</t>
  </si>
  <si>
    <t>Iowa State</t>
  </si>
  <si>
    <t>December 8, 1985</t>
  </si>
  <si>
    <t>December 30, 1984</t>
  </si>
  <si>
    <t>July 24, 1995</t>
  </si>
  <si>
    <t>Utah</t>
  </si>
  <si>
    <t>7-0</t>
  </si>
  <si>
    <t>January 19, 1988</t>
  </si>
  <si>
    <t>Nevada</t>
  </si>
  <si>
    <t>September 2, 1989</t>
  </si>
  <si>
    <t>Kansas</t>
  </si>
  <si>
    <t>December 9, 1997</t>
  </si>
  <si>
    <t>Gonzaga</t>
  </si>
  <si>
    <t>February 22, 1986</t>
  </si>
  <si>
    <t>September 9, 1985</t>
  </si>
  <si>
    <t>December 10, 1991</t>
  </si>
  <si>
    <t>Syracuse</t>
  </si>
  <si>
    <t>New Orleans Pelicans</t>
  </si>
  <si>
    <t>Washington Wizards</t>
  </si>
  <si>
    <t>San Antonio Spurs</t>
  </si>
  <si>
    <t>Phoenix Suns</t>
  </si>
  <si>
    <t>Minnesota Timberwolves</t>
  </si>
  <si>
    <t>Memphis Grizzlies</t>
  </si>
  <si>
    <t>Atlanta Hawks</t>
  </si>
  <si>
    <t>Sacramento Kings</t>
  </si>
  <si>
    <t>Detroit Pistons</t>
  </si>
  <si>
    <t>Cleveland Cavaliers</t>
  </si>
  <si>
    <t>Chicago Bulls</t>
  </si>
  <si>
    <t>Golden State Warriors</t>
  </si>
  <si>
    <t>New York Knicks</t>
  </si>
  <si>
    <t>Charlotte Hornets</t>
  </si>
  <si>
    <t>Dallas Mavericks</t>
  </si>
  <si>
    <t>Los Angeles Clippers</t>
  </si>
  <si>
    <t>Utah Jazz</t>
  </si>
  <si>
    <t>Los Angeles Lakers</t>
  </si>
  <si>
    <t>Milwaukee Bucks</t>
  </si>
  <si>
    <t>Miami Heat</t>
  </si>
  <si>
    <t>Boston Celtics</t>
  </si>
  <si>
    <t>Toronto Raptors</t>
  </si>
  <si>
    <t>Houston Rockets</t>
  </si>
  <si>
    <t>Denver Nuggets</t>
  </si>
  <si>
    <t>Orlando Magic</t>
  </si>
  <si>
    <t>Portland Trail Blazers</t>
  </si>
  <si>
    <t>Brooklyn Nets</t>
  </si>
  <si>
    <t>Oklahoma City Thunder</t>
  </si>
  <si>
    <t>Indiana Pacers</t>
  </si>
  <si>
    <t>Philadelphia 76ers</t>
  </si>
  <si>
    <t>3PM</t>
  </si>
  <si>
    <t>3PMISS</t>
  </si>
  <si>
    <t>2PMISS</t>
  </si>
  <si>
    <t>2PM</t>
  </si>
  <si>
    <t>AVERAGE</t>
  </si>
  <si>
    <t>Sum of 2PM</t>
  </si>
  <si>
    <t>Sum of 2PMISS</t>
  </si>
  <si>
    <t>-</t>
  </si>
  <si>
    <t>--</t>
  </si>
  <si>
    <t>Photo</t>
  </si>
  <si>
    <t>Player Name:</t>
  </si>
  <si>
    <t>Jersey No.</t>
  </si>
  <si>
    <t>Position</t>
  </si>
  <si>
    <t>Height</t>
  </si>
  <si>
    <t>Weight</t>
  </si>
  <si>
    <t>Experience</t>
  </si>
  <si>
    <t>JERSEY NO:</t>
  </si>
  <si>
    <t>POSITION:</t>
  </si>
  <si>
    <t>HEIGHT:</t>
  </si>
  <si>
    <t>WEIGHT:</t>
  </si>
  <si>
    <t>6 feet 8 inches</t>
  </si>
  <si>
    <t>6 feet 10 inches</t>
  </si>
  <si>
    <t>6 feet 5 inches</t>
  </si>
  <si>
    <t>6 feet 9 inches</t>
  </si>
  <si>
    <t>6 feet 6 inches</t>
  </si>
  <si>
    <t>6 feet 3 inches</t>
  </si>
  <si>
    <t>6 feet 4 inches</t>
  </si>
  <si>
    <t>6 feet 1 inch</t>
  </si>
  <si>
    <t>7 feet</t>
  </si>
  <si>
    <t>6 feet 7 inches</t>
  </si>
  <si>
    <t>BIRTH DATE:</t>
  </si>
  <si>
    <t>EXPERIENCE:</t>
  </si>
  <si>
    <t>COLLEGE:</t>
  </si>
  <si>
    <t>No college experience</t>
  </si>
  <si>
    <t>AGE</t>
  </si>
  <si>
    <t>P.Age</t>
  </si>
  <si>
    <t>P.G</t>
  </si>
  <si>
    <t>P.GS</t>
  </si>
  <si>
    <t>P.MP</t>
  </si>
  <si>
    <t>P.FG</t>
  </si>
  <si>
    <t>P.FGA</t>
  </si>
  <si>
    <t>P.FG%</t>
  </si>
  <si>
    <t>P.3PM</t>
  </si>
  <si>
    <t>P.3PA</t>
  </si>
  <si>
    <t>P.3PMISS</t>
  </si>
  <si>
    <t>P.3P%</t>
  </si>
  <si>
    <t>P.2PM</t>
  </si>
  <si>
    <t>P.2PA</t>
  </si>
  <si>
    <t>P.2PMISS</t>
  </si>
  <si>
    <t>P.2P%</t>
  </si>
  <si>
    <t>P.eFG%</t>
  </si>
  <si>
    <t>P.FT</t>
  </si>
  <si>
    <t>P.FTA</t>
  </si>
  <si>
    <t>P.FT%</t>
  </si>
  <si>
    <t>P.ORB</t>
  </si>
  <si>
    <t>P.DRB</t>
  </si>
  <si>
    <t>P.TRB</t>
  </si>
  <si>
    <t>P.AST</t>
  </si>
  <si>
    <t>P.STL</t>
  </si>
  <si>
    <t>P.BLK</t>
  </si>
  <si>
    <t>P.TOV</t>
  </si>
  <si>
    <t>P.PF</t>
  </si>
  <si>
    <t>P.PTS/G</t>
  </si>
  <si>
    <t>Sum of P.2PM</t>
  </si>
  <si>
    <t>Sum of P.2PMISS</t>
  </si>
  <si>
    <t>FT MADE</t>
  </si>
  <si>
    <t>REBOUNDS</t>
  </si>
  <si>
    <t>ASSISTS</t>
  </si>
  <si>
    <t>STEAL</t>
  </si>
  <si>
    <t>BLOCK</t>
  </si>
  <si>
    <t>TURNOVER</t>
  </si>
  <si>
    <t>2P ATTEMPTS</t>
  </si>
  <si>
    <t>2P MADE</t>
  </si>
  <si>
    <t>3P MADE</t>
  </si>
  <si>
    <t>FT ATTEMPTS</t>
  </si>
  <si>
    <t>3P ATTEMPTS</t>
  </si>
  <si>
    <t>REGULAR SESON STATS</t>
  </si>
  <si>
    <t>PLAYOFF STATS</t>
  </si>
  <si>
    <t>2P MADE AVG</t>
  </si>
  <si>
    <t>2P ATT AVG</t>
  </si>
  <si>
    <t>3P ATP AVG</t>
  </si>
  <si>
    <t>3P MADE AVG</t>
  </si>
  <si>
    <t>FT ATP AVG</t>
  </si>
  <si>
    <t>FT MADE AVG</t>
  </si>
  <si>
    <t>REB AVG</t>
  </si>
  <si>
    <t>AST AVG</t>
  </si>
  <si>
    <t>STL AVG</t>
  </si>
  <si>
    <t>BLK AVG</t>
  </si>
  <si>
    <t>TOV AVG</t>
  </si>
  <si>
    <t>AWAY</t>
  </si>
  <si>
    <t>HOME</t>
  </si>
  <si>
    <t>Court</t>
  </si>
  <si>
    <t>G.Num</t>
  </si>
  <si>
    <t>FGM</t>
  </si>
  <si>
    <t>FTM</t>
  </si>
  <si>
    <t>Opp.FGM</t>
  </si>
  <si>
    <t>Opp.FTM</t>
  </si>
  <si>
    <t>average</t>
  </si>
  <si>
    <t>AVERAGE FG%</t>
  </si>
  <si>
    <t>AVERAGE OPP FG%</t>
  </si>
  <si>
    <t>AVERAGE 3P%</t>
  </si>
  <si>
    <t>AVERAGE FT%</t>
  </si>
  <si>
    <t>AVERAGE OPP FT%</t>
  </si>
  <si>
    <t>GAME1</t>
  </si>
  <si>
    <t>GAME2</t>
  </si>
  <si>
    <t>GAME3</t>
  </si>
  <si>
    <t>GAME4</t>
  </si>
  <si>
    <t>POINTS</t>
  </si>
  <si>
    <t>POINTS AVG</t>
  </si>
  <si>
    <t>FGM.</t>
  </si>
  <si>
    <t>Total FGM.</t>
  </si>
  <si>
    <t>FGA.</t>
  </si>
  <si>
    <t>Total FGA.</t>
  </si>
  <si>
    <t>Opp.FGA.</t>
  </si>
  <si>
    <t>Total Opp.FGA.</t>
  </si>
  <si>
    <t>Opp.FGM.</t>
  </si>
  <si>
    <t>Total Opp.FGM.</t>
  </si>
  <si>
    <t>FG%.</t>
  </si>
  <si>
    <t>Total FG%.</t>
  </si>
  <si>
    <t>OppFG%.</t>
  </si>
  <si>
    <t>Total OppFG%.</t>
  </si>
  <si>
    <t>3P%.</t>
  </si>
  <si>
    <t>Total 3P%.</t>
  </si>
  <si>
    <t>Opp.3P%.</t>
  </si>
  <si>
    <t>Total Opp.3P%.</t>
  </si>
  <si>
    <t>Opp.3PA.</t>
  </si>
  <si>
    <t>Total Opp.3PA.</t>
  </si>
  <si>
    <t>Opp.3PM.</t>
  </si>
  <si>
    <t>Total Opp.3PM.</t>
  </si>
  <si>
    <t>FTA.</t>
  </si>
  <si>
    <t xml:space="preserve"> FTM.</t>
  </si>
  <si>
    <t>Opp.FTA.</t>
  </si>
  <si>
    <t xml:space="preserve"> Opp.FTM.</t>
  </si>
  <si>
    <t xml:space="preserve"> FT%.</t>
  </si>
  <si>
    <t>Opp.FT%.</t>
  </si>
  <si>
    <t xml:space="preserve"> 3PA.</t>
  </si>
  <si>
    <t>Total  3PA.</t>
  </si>
  <si>
    <t>3PM.</t>
  </si>
  <si>
    <t>Total 3PM.</t>
  </si>
  <si>
    <t>BLOCKS</t>
  </si>
  <si>
    <t>TOV.</t>
  </si>
  <si>
    <t>STEALS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</si>
</sst>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36">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scheme val="minor"/>
    </font>
    <font>
      <b/>
      <sz val="10"/>
      <color theme="1"/>
      <name val="Calibri"/>
      <family val="2"/>
      <scheme val="minor"/>
    </font>
    <font>
      <b/>
      <sz val="10"/>
      <color rgb="FFFFFFFF"/>
      <name val="Calibri"/>
      <family val="2"/>
      <scheme val="minor"/>
    </font>
    <font>
      <b/>
      <sz val="10"/>
      <color rgb="FF000000"/>
      <name val="Calibri"/>
      <family val="2"/>
      <scheme val="minor"/>
    </font>
    <font>
      <sz val="10"/>
      <color rgb="FF000000"/>
      <name val="Calibri"/>
      <family val="2"/>
      <scheme val="minor"/>
    </font>
    <font>
      <sz val="12"/>
      <color rgb="FF000000"/>
      <name val="Calibri"/>
      <family val="2"/>
      <scheme val="minor"/>
    </font>
    <font>
      <b/>
      <sz val="12"/>
      <color rgb="FFFF0000"/>
      <name val="Calibri (Body)"/>
    </font>
    <font>
      <b/>
      <sz val="10"/>
      <color rgb="FFFF0000"/>
      <name val="Calibri (Body)"/>
    </font>
    <font>
      <b/>
      <sz val="14"/>
      <color rgb="FF000000"/>
      <name val="Helvetica Neue"/>
      <family val="2"/>
    </font>
    <font>
      <sz val="12"/>
      <color rgb="FFFF0000"/>
      <name val="Calibri (Body)"/>
    </font>
    <font>
      <b/>
      <sz val="10"/>
      <color theme="0"/>
      <name val="Calibri"/>
      <family val="2"/>
      <scheme val="minor"/>
    </font>
    <font>
      <b/>
      <sz val="12"/>
      <color theme="1"/>
      <name val="Calibri Light"/>
      <family val="2"/>
      <scheme val="major"/>
    </font>
    <font>
      <b/>
      <sz val="18"/>
      <color rgb="FF000000"/>
      <name val="Arial"/>
      <family val="2"/>
    </font>
    <font>
      <sz val="12"/>
      <color rgb="FF7030A0"/>
      <name val="Calibri"/>
      <family val="2"/>
      <scheme val="minor"/>
    </font>
    <font>
      <sz val="12"/>
      <color rgb="FFFFC000"/>
      <name val="Calibri"/>
      <family val="2"/>
      <scheme val="minor"/>
    </font>
    <font>
      <b/>
      <sz val="26"/>
      <color rgb="FF7030A0"/>
      <name val="Calibri"/>
      <family val="2"/>
      <scheme val="minor"/>
    </font>
    <font>
      <b/>
      <sz val="22"/>
      <color rgb="FF7030A0"/>
      <name val="Calibri"/>
      <family val="2"/>
      <scheme val="minor"/>
    </font>
    <font>
      <sz val="18"/>
      <color rgb="FFFFC000"/>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472C4"/>
        <bgColor rgb="FF4472C4"/>
      </patternFill>
    </fill>
    <fill>
      <patternFill patternType="solid">
        <fgColor rgb="FFD9E1F2"/>
        <bgColor rgb="FFD9E1F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rgb="FFFFC000"/>
        <bgColor indexed="64"/>
      </patternFill>
    </fill>
    <fill>
      <patternFill patternType="solid">
        <fgColor rgb="FFFF0000"/>
        <bgColor indexed="64"/>
      </patternFill>
    </fill>
    <fill>
      <patternFill patternType="solid">
        <fgColor theme="1"/>
        <bgColor indexed="64"/>
      </patternFill>
    </fill>
    <fill>
      <patternFill patternType="solid">
        <fgColor theme="1"/>
        <bgColor theme="4" tint="0.79998168889431442"/>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rgb="FF8EA9DB"/>
      </top>
      <bottom style="thin">
        <color rgb="FF8EA9DB"/>
      </bottom>
      <diagonal/>
    </border>
    <border>
      <left/>
      <right style="thin">
        <color rgb="FF8EA9DB"/>
      </right>
      <top style="thin">
        <color rgb="FF8EA9DB"/>
      </top>
      <bottom style="thin">
        <color rgb="FF8EA9DB"/>
      </bottom>
      <diagonal/>
    </border>
    <border>
      <left/>
      <right/>
      <top style="thin">
        <color rgb="FF8EA9DB"/>
      </top>
      <bottom/>
      <diagonal/>
    </border>
    <border>
      <left/>
      <right/>
      <top/>
      <bottom style="thin">
        <color theme="4" tint="0.39997558519241921"/>
      </bottom>
      <diagonal/>
    </border>
    <border>
      <left/>
      <right/>
      <top style="thin">
        <color theme="4" tint="0.39997558519241921"/>
      </top>
      <bottom/>
      <diagonal/>
    </border>
    <border>
      <left/>
      <right/>
      <top style="thin">
        <color rgb="FF8EA9DB"/>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right/>
      <top style="thin">
        <color rgb="FF8EA9DB"/>
      </top>
      <bottom style="thin">
        <color theme="6" tint="0.39997558519241921"/>
      </bottom>
      <diagonal/>
    </border>
    <border>
      <left style="thin">
        <color theme="7"/>
      </left>
      <right style="thin">
        <color theme="7"/>
      </right>
      <top style="thin">
        <color theme="7"/>
      </top>
      <bottom style="thin">
        <color theme="7"/>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94">
    <xf numFmtId="0" fontId="0" fillId="0" borderId="0" xfId="0"/>
    <xf numFmtId="0" fontId="19" fillId="0" borderId="0" xfId="0" applyFont="1" applyAlignment="1">
      <alignment horizontal="center" vertical="center" wrapText="1"/>
    </xf>
    <xf numFmtId="0" fontId="0" fillId="0" borderId="0" xfId="0" applyAlignment="1">
      <alignment wrapText="1"/>
    </xf>
    <xf numFmtId="0" fontId="18" fillId="0" borderId="0" xfId="0" applyFont="1" applyAlignment="1">
      <alignment wrapText="1"/>
    </xf>
    <xf numFmtId="0" fontId="22" fillId="34" borderId="10" xfId="0" applyFont="1" applyFill="1" applyBorder="1" applyAlignment="1">
      <alignment wrapText="1"/>
    </xf>
    <xf numFmtId="0" fontId="22" fillId="0" borderId="10" xfId="0" applyFont="1" applyBorder="1" applyAlignment="1">
      <alignment wrapText="1"/>
    </xf>
    <xf numFmtId="0" fontId="0" fillId="35" borderId="0" xfId="0" applyFill="1"/>
    <xf numFmtId="0" fontId="24" fillId="35" borderId="0" xfId="0" applyFont="1" applyFill="1"/>
    <xf numFmtId="0" fontId="25" fillId="35" borderId="0" xfId="0" applyFont="1" applyFill="1" applyAlignment="1">
      <alignment horizontal="center" vertical="center" wrapText="1"/>
    </xf>
    <xf numFmtId="0" fontId="26" fillId="0" borderId="0" xfId="0" applyFont="1"/>
    <xf numFmtId="14" fontId="18" fillId="0" borderId="0" xfId="0" applyNumberFormat="1" applyFont="1" applyAlignment="1">
      <alignment wrapText="1"/>
    </xf>
    <xf numFmtId="0" fontId="27" fillId="35" borderId="0" xfId="0" applyFont="1" applyFill="1"/>
    <xf numFmtId="0" fontId="21" fillId="0" borderId="10" xfId="0" applyFont="1" applyBorder="1" applyAlignment="1">
      <alignment horizontal="center" vertical="center" wrapText="1"/>
    </xf>
    <xf numFmtId="0" fontId="21" fillId="0" borderId="11" xfId="0" applyFont="1" applyBorder="1" applyAlignment="1">
      <alignment horizontal="center" vertical="center" wrapText="1"/>
    </xf>
    <xf numFmtId="0" fontId="0" fillId="0" borderId="0" xfId="0" pivotButton="1"/>
    <xf numFmtId="0" fontId="0" fillId="0" borderId="0" xfId="0" applyAlignment="1">
      <alignment horizontal="left"/>
    </xf>
    <xf numFmtId="0" fontId="21" fillId="0" borderId="12" xfId="0" applyFont="1" applyBorder="1" applyAlignment="1">
      <alignment horizontal="center" vertical="center" wrapText="1"/>
    </xf>
    <xf numFmtId="0" fontId="22" fillId="0" borderId="12" xfId="0" applyFont="1" applyBorder="1" applyAlignment="1">
      <alignment wrapText="1"/>
    </xf>
    <xf numFmtId="16" fontId="18" fillId="0" borderId="0" xfId="0" applyNumberFormat="1" applyFont="1" applyAlignment="1">
      <alignment wrapText="1"/>
    </xf>
    <xf numFmtId="0" fontId="23" fillId="0" borderId="10" xfId="0" applyFont="1" applyBorder="1" applyAlignment="1">
      <alignment wrapText="1"/>
    </xf>
    <xf numFmtId="164" fontId="22" fillId="0" borderId="10" xfId="0" applyNumberFormat="1" applyFont="1" applyBorder="1" applyAlignment="1">
      <alignment wrapText="1"/>
    </xf>
    <xf numFmtId="164" fontId="22" fillId="0" borderId="12" xfId="0" applyNumberFormat="1" applyFont="1" applyBorder="1" applyAlignment="1">
      <alignment wrapText="1"/>
    </xf>
    <xf numFmtId="10" fontId="0" fillId="0" borderId="0" xfId="0" applyNumberFormat="1"/>
    <xf numFmtId="164" fontId="23" fillId="0" borderId="10" xfId="0" applyNumberFormat="1" applyFont="1" applyBorder="1" applyAlignment="1">
      <alignment wrapText="1"/>
    </xf>
    <xf numFmtId="0" fontId="18" fillId="0" borderId="12" xfId="0" applyFont="1" applyBorder="1" applyAlignment="1">
      <alignment wrapText="1"/>
    </xf>
    <xf numFmtId="0" fontId="20" fillId="33" borderId="12" xfId="0" applyFont="1" applyFill="1" applyBorder="1" applyAlignment="1">
      <alignment horizontal="center" vertical="center" wrapText="1"/>
    </xf>
    <xf numFmtId="0" fontId="22" fillId="34" borderId="12" xfId="0" applyFont="1" applyFill="1" applyBorder="1" applyAlignment="1">
      <alignment wrapText="1"/>
    </xf>
    <xf numFmtId="164" fontId="22" fillId="34" borderId="12" xfId="0" applyNumberFormat="1" applyFont="1" applyFill="1" applyBorder="1" applyAlignment="1">
      <alignment wrapText="1"/>
    </xf>
    <xf numFmtId="164" fontId="23" fillId="34" borderId="12" xfId="0" applyNumberFormat="1" applyFont="1" applyFill="1" applyBorder="1" applyAlignment="1">
      <alignment wrapText="1"/>
    </xf>
    <xf numFmtId="0" fontId="23" fillId="34" borderId="12" xfId="0" applyFont="1" applyFill="1" applyBorder="1" applyAlignment="1">
      <alignment wrapText="1"/>
    </xf>
    <xf numFmtId="0" fontId="21" fillId="34" borderId="12" xfId="0" applyFont="1" applyFill="1" applyBorder="1" applyAlignment="1">
      <alignment horizontal="center" vertical="center" wrapText="1"/>
    </xf>
    <xf numFmtId="0" fontId="28" fillId="37" borderId="20" xfId="0" applyFont="1" applyFill="1" applyBorder="1" applyAlignment="1">
      <alignment horizontal="center" vertical="center" wrapText="1"/>
    </xf>
    <xf numFmtId="0" fontId="28" fillId="37" borderId="14" xfId="0" applyFont="1" applyFill="1" applyBorder="1" applyAlignment="1">
      <alignment horizontal="center" vertical="center" wrapText="1"/>
    </xf>
    <xf numFmtId="0" fontId="28" fillId="37" borderId="21" xfId="0" applyFont="1" applyFill="1" applyBorder="1" applyAlignment="1">
      <alignment horizontal="center" vertical="center" wrapText="1"/>
    </xf>
    <xf numFmtId="0" fontId="19" fillId="36" borderId="20" xfId="0" applyFont="1" applyFill="1" applyBorder="1" applyAlignment="1">
      <alignment horizontal="center" vertical="center" wrapText="1"/>
    </xf>
    <xf numFmtId="0" fontId="18" fillId="36" borderId="14" xfId="0" applyFont="1" applyFill="1" applyBorder="1" applyAlignment="1">
      <alignment wrapText="1"/>
    </xf>
    <xf numFmtId="16" fontId="18" fillId="36" borderId="14" xfId="0" applyNumberFormat="1" applyFont="1" applyFill="1" applyBorder="1" applyAlignment="1">
      <alignment wrapText="1"/>
    </xf>
    <xf numFmtId="0" fontId="18" fillId="36" borderId="21" xfId="0" applyFont="1" applyFill="1" applyBorder="1" applyAlignment="1">
      <alignment wrapText="1"/>
    </xf>
    <xf numFmtId="0" fontId="19" fillId="0" borderId="20" xfId="0" applyFont="1" applyBorder="1" applyAlignment="1">
      <alignment horizontal="center" vertical="center" wrapText="1"/>
    </xf>
    <xf numFmtId="0" fontId="18" fillId="0" borderId="14" xfId="0" applyFont="1" applyBorder="1" applyAlignment="1">
      <alignment wrapText="1"/>
    </xf>
    <xf numFmtId="16" fontId="18" fillId="0" borderId="14" xfId="0" applyNumberFormat="1" applyFont="1" applyBorder="1" applyAlignment="1">
      <alignment wrapText="1"/>
    </xf>
    <xf numFmtId="0" fontId="18" fillId="0" borderId="21" xfId="0" applyFont="1" applyBorder="1" applyAlignment="1">
      <alignment wrapText="1"/>
    </xf>
    <xf numFmtId="0" fontId="0" fillId="36" borderId="21" xfId="0" applyFill="1" applyBorder="1" applyAlignment="1">
      <alignment wrapText="1"/>
    </xf>
    <xf numFmtId="0" fontId="0" fillId="0" borderId="21" xfId="0" applyBorder="1" applyAlignment="1">
      <alignment wrapText="1"/>
    </xf>
    <xf numFmtId="0" fontId="19" fillId="0" borderId="16" xfId="0" applyFont="1" applyBorder="1" applyAlignment="1">
      <alignment horizontal="center" vertical="center" wrapText="1"/>
    </xf>
    <xf numFmtId="0" fontId="18" fillId="0" borderId="17" xfId="0" applyFont="1" applyBorder="1" applyAlignment="1">
      <alignment wrapText="1"/>
    </xf>
    <xf numFmtId="16" fontId="18" fillId="0" borderId="17" xfId="0" applyNumberFormat="1" applyFont="1" applyBorder="1" applyAlignment="1">
      <alignment wrapText="1"/>
    </xf>
    <xf numFmtId="0" fontId="18" fillId="0" borderId="18" xfId="0" applyFont="1" applyBorder="1" applyAlignment="1">
      <alignment wrapText="1"/>
    </xf>
    <xf numFmtId="0" fontId="22" fillId="36" borderId="12" xfId="0" applyFont="1" applyFill="1" applyBorder="1" applyAlignment="1">
      <alignment wrapText="1"/>
    </xf>
    <xf numFmtId="164" fontId="22" fillId="36" borderId="12" xfId="0" applyNumberFormat="1" applyFont="1" applyFill="1" applyBorder="1" applyAlignment="1">
      <alignment wrapText="1"/>
    </xf>
    <xf numFmtId="0" fontId="21" fillId="36" borderId="12" xfId="0" applyFont="1" applyFill="1" applyBorder="1" applyAlignment="1">
      <alignment horizontal="center" vertical="center" wrapText="1"/>
    </xf>
    <xf numFmtId="0" fontId="0" fillId="36" borderId="14" xfId="0" applyFill="1" applyBorder="1" applyAlignment="1">
      <alignment wrapText="1"/>
    </xf>
    <xf numFmtId="0" fontId="0" fillId="0" borderId="14" xfId="0" applyBorder="1" applyAlignment="1">
      <alignment wrapText="1"/>
    </xf>
    <xf numFmtId="0" fontId="18" fillId="34" borderId="14" xfId="0" applyFont="1" applyFill="1" applyBorder="1" applyAlignment="1">
      <alignment wrapText="1"/>
    </xf>
    <xf numFmtId="0" fontId="18" fillId="36" borderId="12" xfId="0" applyFont="1" applyFill="1" applyBorder="1" applyAlignment="1">
      <alignment wrapText="1"/>
    </xf>
    <xf numFmtId="0" fontId="18" fillId="0" borderId="15" xfId="0" applyFont="1" applyBorder="1" applyAlignment="1">
      <alignment wrapText="1"/>
    </xf>
    <xf numFmtId="0" fontId="0" fillId="0" borderId="17" xfId="0" applyBorder="1" applyAlignment="1">
      <alignment wrapText="1"/>
    </xf>
    <xf numFmtId="0" fontId="22" fillId="36" borderId="22" xfId="0" applyFont="1" applyFill="1" applyBorder="1" applyAlignment="1">
      <alignment wrapText="1"/>
    </xf>
    <xf numFmtId="0" fontId="22" fillId="0" borderId="22" xfId="0" applyFont="1" applyBorder="1" applyAlignment="1">
      <alignment wrapText="1"/>
    </xf>
    <xf numFmtId="0" fontId="22" fillId="34" borderId="22" xfId="0" applyFont="1" applyFill="1" applyBorder="1" applyAlignment="1">
      <alignment wrapText="1"/>
    </xf>
    <xf numFmtId="0" fontId="0" fillId="0" borderId="19" xfId="0" applyBorder="1"/>
    <xf numFmtId="0" fontId="16" fillId="0" borderId="13" xfId="0" applyFont="1" applyBorder="1"/>
    <xf numFmtId="0" fontId="29" fillId="35" borderId="19" xfId="0" applyFont="1" applyFill="1" applyBorder="1"/>
    <xf numFmtId="0" fontId="29" fillId="35" borderId="19" xfId="0" applyFont="1" applyFill="1" applyBorder="1" applyAlignment="1">
      <alignment horizontal="center" vertical="center" wrapText="1"/>
    </xf>
    <xf numFmtId="0" fontId="0" fillId="35" borderId="19" xfId="0" applyFill="1" applyBorder="1"/>
    <xf numFmtId="0" fontId="16" fillId="35" borderId="19" xfId="0" applyFont="1" applyFill="1" applyBorder="1"/>
    <xf numFmtId="10" fontId="0" fillId="35" borderId="19" xfId="0" applyNumberFormat="1" applyFill="1" applyBorder="1"/>
    <xf numFmtId="0" fontId="0" fillId="39" borderId="19" xfId="0" applyFill="1" applyBorder="1"/>
    <xf numFmtId="10" fontId="19" fillId="0" borderId="0" xfId="0" applyNumberFormat="1" applyFont="1" applyAlignment="1">
      <alignment horizontal="center" vertical="center" wrapText="1"/>
    </xf>
    <xf numFmtId="10" fontId="18" fillId="0" borderId="0" xfId="0" applyNumberFormat="1" applyFont="1" applyAlignment="1">
      <alignment wrapText="1"/>
    </xf>
    <xf numFmtId="9" fontId="0" fillId="0" borderId="0" xfId="42" applyFont="1"/>
    <xf numFmtId="0" fontId="30" fillId="0" borderId="0" xfId="0" applyFont="1"/>
    <xf numFmtId="9" fontId="0" fillId="0" borderId="0" xfId="0" applyNumberFormat="1"/>
    <xf numFmtId="0" fontId="0" fillId="0" borderId="0" xfId="0" applyAlignment="1">
      <alignment horizontal="left" indent="1"/>
    </xf>
    <xf numFmtId="2" fontId="0" fillId="35" borderId="0" xfId="0" applyNumberFormat="1" applyFill="1"/>
    <xf numFmtId="9" fontId="0" fillId="35" borderId="0" xfId="42" applyFont="1" applyFill="1"/>
    <xf numFmtId="10" fontId="21" fillId="0" borderId="10" xfId="0" applyNumberFormat="1" applyFont="1" applyBorder="1" applyAlignment="1">
      <alignment horizontal="center" vertical="center" wrapText="1"/>
    </xf>
    <xf numFmtId="1" fontId="0" fillId="0" borderId="0" xfId="0" applyNumberFormat="1"/>
    <xf numFmtId="0" fontId="0" fillId="40" borderId="0" xfId="0" applyFill="1"/>
    <xf numFmtId="0" fontId="16" fillId="0" borderId="0" xfId="0" applyFont="1"/>
    <xf numFmtId="165" fontId="0" fillId="35" borderId="19" xfId="0" applyNumberFormat="1" applyFill="1" applyBorder="1"/>
    <xf numFmtId="165" fontId="0" fillId="35" borderId="0" xfId="0" applyNumberFormat="1" applyFill="1"/>
    <xf numFmtId="164" fontId="0" fillId="35" borderId="19" xfId="0" applyNumberFormat="1" applyFill="1" applyBorder="1"/>
    <xf numFmtId="0" fontId="31" fillId="0" borderId="0" xfId="0" applyFont="1"/>
    <xf numFmtId="0" fontId="32" fillId="40" borderId="0" xfId="0" applyFont="1" applyFill="1"/>
    <xf numFmtId="0" fontId="33" fillId="38" borderId="19" xfId="0" applyFont="1" applyFill="1" applyBorder="1"/>
    <xf numFmtId="0" fontId="34" fillId="38" borderId="19" xfId="0" applyFont="1" applyFill="1" applyBorder="1"/>
    <xf numFmtId="0" fontId="31" fillId="40" borderId="0" xfId="0" applyFont="1" applyFill="1"/>
    <xf numFmtId="0" fontId="35" fillId="40" borderId="23" xfId="0" applyFont="1" applyFill="1" applyBorder="1"/>
    <xf numFmtId="0" fontId="22" fillId="41" borderId="12" xfId="0" applyFont="1" applyFill="1" applyBorder="1" applyAlignment="1">
      <alignment wrapText="1"/>
    </xf>
    <xf numFmtId="0" fontId="22" fillId="40" borderId="12" xfId="0" applyFont="1" applyFill="1" applyBorder="1" applyAlignment="1">
      <alignment wrapText="1"/>
    </xf>
    <xf numFmtId="0" fontId="22" fillId="40" borderId="10" xfId="0" applyFont="1" applyFill="1" applyBorder="1" applyAlignment="1">
      <alignment wrapText="1"/>
    </xf>
    <xf numFmtId="165" fontId="0" fillId="0" borderId="0" xfId="0" applyNumberFormat="1"/>
    <xf numFmtId="0" fontId="32" fillId="38"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 cent" xfId="42" builtinId="5"/>
    <cellStyle name="Title" xfId="1" builtinId="15" customBuiltin="1"/>
    <cellStyle name="Total" xfId="17" builtinId="25" customBuiltin="1"/>
    <cellStyle name="Warning Text" xfId="14" builtinId="11" customBuiltin="1"/>
  </cellStyles>
  <dxfs count="148">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4" formatCode="0.00%"/>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4" formatCode="0.00%"/>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4" formatCode="0.00%"/>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sz val="10"/>
        <color rgb="FF000000"/>
      </font>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4" formatCode="0.00%"/>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4" formatCode="0.00%"/>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4" formatCode="0.00%"/>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9" formatCode="dd/mm/yy"/>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i val="0"/>
        <strike val="0"/>
        <condense val="0"/>
        <extend val="0"/>
        <outline val="0"/>
        <shadow val="0"/>
        <u val="none"/>
        <vertAlign val="baseline"/>
        <sz val="10"/>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i val="0"/>
        <strike val="0"/>
        <condense val="0"/>
        <extend val="0"/>
        <outline val="0"/>
        <shadow val="0"/>
        <u val="none"/>
        <vertAlign val="baseline"/>
        <sz val="10"/>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sz val="10"/>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9" formatCode="dd/mm/yy"/>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i val="0"/>
        <strike val="0"/>
        <condense val="0"/>
        <extend val="0"/>
        <outline val="0"/>
        <shadow val="0"/>
        <u val="none"/>
        <vertAlign val="baseline"/>
        <sz val="10"/>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i val="0"/>
        <strike val="0"/>
        <condense val="0"/>
        <extend val="0"/>
        <outline val="0"/>
        <shadow val="0"/>
        <u val="none"/>
        <vertAlign val="baseline"/>
        <sz val="10"/>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Calibri"/>
        <family val="2"/>
        <scheme val="minor"/>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0"/>
        <color theme="1"/>
        <name val="Calibri"/>
        <family val="2"/>
        <scheme val="minor"/>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Calibri"/>
        <family val="2"/>
        <scheme val="minor"/>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Calibri"/>
        <family val="2"/>
        <scheme val="minor"/>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Calibri"/>
        <family val="2"/>
        <scheme val="minor"/>
      </font>
      <numFmt numFmtId="21" formatCode="dd\-mmm"/>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Calibri"/>
        <family val="2"/>
        <scheme val="minor"/>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vertical/>
        <horizontal/>
      </border>
    </dxf>
    <dxf>
      <font>
        <b/>
        <i val="0"/>
        <strike val="0"/>
        <condense val="0"/>
        <extend val="0"/>
        <outline val="0"/>
        <shadow val="0"/>
        <u val="none"/>
        <vertAlign val="baseline"/>
        <sz val="10"/>
        <color theme="1"/>
        <name val="Calibri"/>
        <family val="2"/>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theme="4" tint="0.39997558519241921"/>
        </left>
        <right/>
        <top style="thin">
          <color theme="4" tint="0.39997558519241921"/>
        </top>
        <bottom/>
        <vertical/>
        <horizontal/>
      </border>
    </dxf>
    <dxf>
      <numFmt numFmtId="0" formatCode="General"/>
    </dxf>
    <dxf>
      <numFmt numFmtId="0" formatCode="General"/>
    </dxf>
    <dxf>
      <border outline="0">
        <left style="thin">
          <color rgb="FF8EA9DB"/>
        </left>
        <right style="thin">
          <color theme="4" tint="0.39997558519241921"/>
        </right>
      </border>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i val="0"/>
        <strike val="0"/>
        <condense val="0"/>
        <extend val="0"/>
        <outline val="0"/>
        <shadow val="0"/>
        <u val="none"/>
        <vertAlign val="baseline"/>
        <sz val="10"/>
        <color theme="0"/>
        <name val="Calibri"/>
        <family val="2"/>
        <scheme val="minor"/>
      </font>
      <fill>
        <patternFill patternType="solid">
          <fgColor theme="4"/>
          <bgColor theme="4"/>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21" formatCode="dd\-mmm"/>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i val="0"/>
        <strike val="0"/>
        <condense val="0"/>
        <extend val="0"/>
        <outline val="0"/>
        <shadow val="0"/>
        <u val="none"/>
        <vertAlign val="baseline"/>
        <sz val="10"/>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i val="0"/>
        <strike val="0"/>
        <condense val="0"/>
        <extend val="0"/>
        <outline val="0"/>
        <shadow val="0"/>
        <u val="none"/>
        <vertAlign val="baseline"/>
        <sz val="10"/>
        <color theme="1"/>
        <name val="Calibri"/>
        <family val="2"/>
        <scheme val="minor"/>
      </font>
      <alignment horizontal="center" vertical="center" textRotation="0" wrapText="1" indent="0" justifyLastLine="0" shrinkToFit="0" readingOrder="0"/>
    </dxf>
    <dxf>
      <numFmt numFmtId="165" formatCode="0.0"/>
    </dxf>
    <dxf>
      <numFmt numFmtId="165" formatCode="0.0"/>
    </dxf>
    <dxf>
      <numFmt numFmtId="1" formatCode="0"/>
    </dxf>
    <dxf>
      <numFmt numFmtId="1" formatCode="0"/>
    </dxf>
    <dxf>
      <numFmt numFmtId="2" formatCode="0.00"/>
    </dxf>
    <dxf>
      <numFmt numFmtId="1" formatCode="0"/>
    </dxf>
    <dxf>
      <numFmt numFmtId="13" formatCode="0%"/>
    </dxf>
    <dxf>
      <numFmt numFmtId="1" formatCode="0"/>
    </dxf>
    <dxf>
      <numFmt numFmtId="1" formatCode="0"/>
    </dxf>
    <dxf>
      <numFmt numFmtId="1" formatCode="0"/>
    </dxf>
    <dxf>
      <numFmt numFmtId="13" formatCode="0%"/>
    </dxf>
    <dxf>
      <numFmt numFmtId="165" formatCode="0.0"/>
    </dxf>
    <dxf>
      <numFmt numFmtId="165" formatCode="0.0"/>
    </dxf>
    <dxf>
      <numFmt numFmtId="1" formatCode="0"/>
    </dxf>
    <dxf>
      <numFmt numFmtId="13"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12.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themeOverride" Target="../theme/themeOverride13.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themeOverride" Target="../theme/themeOverride14.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themeOverride" Target="../theme/themeOverride15.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themeOverride" Target="../theme/themeOverride16.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themeOverride" Target="../theme/themeOverride17.xml"/><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r>
              <a:rPr lang="en-GB" baseline="0"/>
              <a:t>PLAYER SHOOTING STATS vs team avg</a:t>
            </a:r>
            <a:endParaRPr lang="en-GB"/>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endParaRPr lang="en-US"/>
        </a:p>
      </c:txPr>
    </c:title>
    <c:autoTitleDeleted val="0"/>
    <c:pivotFmts>
      <c:pivotFmt>
        <c:idx val="0"/>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none"/>
        </c:marker>
        <c:dLbl>
          <c:idx val="0"/>
          <c:spPr>
            <a:solidFill>
              <a:srgbClr val="FFC000">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none"/>
        </c:marker>
        <c:dLbl>
          <c:idx val="0"/>
          <c:spPr>
            <a:solidFill>
              <a:srgbClr val="FFC000">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none"/>
        </c:marker>
        <c:dLbl>
          <c:idx val="0"/>
          <c:spPr>
            <a:solidFill>
              <a:srgbClr val="FFC000">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none"/>
        </c:marker>
        <c:dLbl>
          <c:idx val="0"/>
          <c:spPr>
            <a:solidFill>
              <a:srgbClr val="FFC000">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invertIfNegative val="0"/>
          <c:dLbls>
            <c:dLbl>
              <c:idx val="4"/>
              <c:spPr>
                <a:solidFill>
                  <a:srgbClr val="FFC000">
                    <a:alpha val="35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1-4060-D946-AA8F-8A49A6230E2B}"/>
                </c:ext>
              </c:extLst>
            </c:dLbl>
            <c:dLbl>
              <c:idx val="5"/>
              <c:spPr>
                <a:solidFill>
                  <a:srgbClr val="FFC000">
                    <a:alpha val="35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4-4060-D946-AA8F-8A49A6230E2B}"/>
                </c:ext>
              </c:extLst>
            </c:dLbl>
            <c:spPr>
              <a:solidFill>
                <a:srgbClr val="FFC000">
                  <a:alpha val="4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player_work!$C$23:$H$23</c:f>
              <c:strCache>
                <c:ptCount val="6"/>
                <c:pt idx="0">
                  <c:v>2P ATTEMPTS</c:v>
                </c:pt>
                <c:pt idx="1">
                  <c:v>2P MADE</c:v>
                </c:pt>
                <c:pt idx="2">
                  <c:v>3P ATTEMPTS</c:v>
                </c:pt>
                <c:pt idx="3">
                  <c:v>3P MADE</c:v>
                </c:pt>
                <c:pt idx="4">
                  <c:v>FT ATTEMPTS</c:v>
                </c:pt>
                <c:pt idx="5">
                  <c:v>FT MADE</c:v>
                </c:pt>
              </c:strCache>
            </c:strRef>
          </c:cat>
          <c:val>
            <c:numRef>
              <c:f>player_work!$C$24:$H$24</c:f>
              <c:numCache>
                <c:formatCode>General</c:formatCode>
                <c:ptCount val="6"/>
                <c:pt idx="0">
                  <c:v>2.1</c:v>
                </c:pt>
                <c:pt idx="1">
                  <c:v>1.4</c:v>
                </c:pt>
                <c:pt idx="2">
                  <c:v>0.1</c:v>
                </c:pt>
                <c:pt idx="3">
                  <c:v>0</c:v>
                </c:pt>
                <c:pt idx="4">
                  <c:v>0.1</c:v>
                </c:pt>
                <c:pt idx="5">
                  <c:v>0.1</c:v>
                </c:pt>
              </c:numCache>
            </c:numRef>
          </c:val>
          <c:extLst>
            <c:ext xmlns:c16="http://schemas.microsoft.com/office/drawing/2014/chart" uri="{C3380CC4-5D6E-409C-BE32-E72D297353CC}">
              <c16:uniqueId val="{00000002-4060-D946-AA8F-8A49A6230E2B}"/>
            </c:ext>
          </c:extLst>
        </c:ser>
        <c:ser>
          <c:idx val="1"/>
          <c:order val="1"/>
          <c:spPr>
            <a:solidFill>
              <a:sysClr val="windowText" lastClr="000000"/>
            </a:solidFill>
            <a:ln>
              <a:noFill/>
              <a:headEnd type="oval"/>
            </a:ln>
            <a:effectLst>
              <a:glow rad="228600">
                <a:srgbClr val="ED7D31">
                  <a:lumMod val="75000"/>
                  <a:alpha val="40000"/>
                </a:srgbClr>
              </a:glow>
            </a:effectLst>
          </c:spPr>
          <c:invertIfNegative val="0"/>
          <c:dLbls>
            <c:spPr>
              <a:solidFill>
                <a:srgbClr val="ED7D31">
                  <a:alpha val="42000"/>
                </a:srgbClr>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player_work!$C$23:$H$23</c:f>
              <c:strCache>
                <c:ptCount val="6"/>
                <c:pt idx="0">
                  <c:v>2P ATTEMPTS</c:v>
                </c:pt>
                <c:pt idx="1">
                  <c:v>2P MADE</c:v>
                </c:pt>
                <c:pt idx="2">
                  <c:v>3P ATTEMPTS</c:v>
                </c:pt>
                <c:pt idx="3">
                  <c:v>3P MADE</c:v>
                </c:pt>
                <c:pt idx="4">
                  <c:v>FT ATTEMPTS</c:v>
                </c:pt>
                <c:pt idx="5">
                  <c:v>FT MADE</c:v>
                </c:pt>
              </c:strCache>
            </c:strRef>
          </c:cat>
          <c:val>
            <c:numRef>
              <c:f>player_work!$C$25:$H$25</c:f>
              <c:numCache>
                <c:formatCode>0.0</c:formatCode>
                <c:ptCount val="6"/>
                <c:pt idx="0" formatCode="General">
                  <c:v>3.8200000000000003</c:v>
                </c:pt>
                <c:pt idx="1">
                  <c:v>2.2066666666666661</c:v>
                </c:pt>
                <c:pt idx="2">
                  <c:v>2.6533333333333338</c:v>
                </c:pt>
                <c:pt idx="3">
                  <c:v>0.92666666666666686</c:v>
                </c:pt>
                <c:pt idx="4">
                  <c:v>1.7066666666666663</c:v>
                </c:pt>
                <c:pt idx="5">
                  <c:v>1.2933333333333334</c:v>
                </c:pt>
              </c:numCache>
            </c:numRef>
          </c:val>
          <c:extLst>
            <c:ext xmlns:c16="http://schemas.microsoft.com/office/drawing/2014/chart" uri="{C3380CC4-5D6E-409C-BE32-E72D297353CC}">
              <c16:uniqueId val="{00000003-4060-D946-AA8F-8A49A6230E2B}"/>
            </c:ext>
          </c:extLst>
        </c:ser>
        <c:dLbls>
          <c:showLegendKey val="0"/>
          <c:showVal val="1"/>
          <c:showCatName val="0"/>
          <c:showSerName val="0"/>
          <c:showPercent val="0"/>
          <c:showBubbleSize val="0"/>
        </c:dLbls>
        <c:gapWidth val="110"/>
        <c:overlap val="-37"/>
        <c:axId val="1984976368"/>
        <c:axId val="1802122432"/>
      </c:barChart>
      <c:catAx>
        <c:axId val="1984976368"/>
        <c:scaling>
          <c:orientation val="minMax"/>
        </c:scaling>
        <c:delete val="0"/>
        <c:axPos val="b"/>
        <c:majorGridlines>
          <c:spPr>
            <a:ln w="9525" cap="flat" cmpd="sng" algn="ctr">
              <a:solidFill>
                <a:sysClr val="windowText" lastClr="000000">
                  <a:alpha val="59000"/>
                </a:sys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1100" b="0" i="0" u="none" strike="noStrike" kern="1200" cap="all" spc="150" normalizeH="0" baseline="0">
                <a:solidFill>
                  <a:schemeClr val="tx1"/>
                </a:solidFill>
                <a:latin typeface="+mn-lt"/>
                <a:ea typeface="+mn-ea"/>
                <a:cs typeface="+mn-cs"/>
              </a:defRPr>
            </a:pPr>
            <a:endParaRPr lang="en-US"/>
          </a:p>
        </c:txPr>
        <c:crossAx val="1802122432"/>
        <c:crosses val="autoZero"/>
        <c:auto val="1"/>
        <c:lblAlgn val="ctr"/>
        <c:lblOffset val="100"/>
        <c:noMultiLvlLbl val="0"/>
      </c:catAx>
      <c:valAx>
        <c:axId val="180212243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GB" sz="1400">
                    <a:solidFill>
                      <a:schemeClr val="tx1"/>
                    </a:solidFill>
                  </a:rPr>
                  <a:t>NO.</a:t>
                </a:r>
                <a:r>
                  <a:rPr lang="en-GB" sz="1400" baseline="0">
                    <a:solidFill>
                      <a:schemeClr val="tx1"/>
                    </a:solidFill>
                  </a:rPr>
                  <a:t> OF SHOTS TAKEN</a:t>
                </a:r>
                <a:endParaRPr lang="en-GB" sz="1400">
                  <a:solidFill>
                    <a:schemeClr val="tx1"/>
                  </a:solidFill>
                </a:endParaRP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in"/>
        <c:minorTickMark val="in"/>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84976368"/>
        <c:crosses val="autoZero"/>
        <c:crossBetween val="between"/>
      </c:valAx>
      <c:spPr>
        <a:noFill/>
        <a:ln>
          <a:noFill/>
        </a:ln>
        <a:effectLst/>
      </c:spPr>
    </c:plotArea>
    <c:plotVisOnly val="1"/>
    <c:dispBlanksAs val="gap"/>
    <c:showDLblsOverMax val="0"/>
    <c:extLst/>
  </c:chart>
  <c:spPr>
    <a:solidFill>
      <a:srgbClr val="FFC000"/>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4"/>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2666935025745699"/>
          <c:y val="1.0502133532492153E-2"/>
          <c:w val="0.78169636155163291"/>
          <c:h val="0.91184330346711662"/>
        </c:manualLayout>
      </c:layout>
      <c:doughnutChart>
        <c:varyColors val="1"/>
        <c:ser>
          <c:idx val="0"/>
          <c:order val="0"/>
          <c:spPr>
            <a:ln w="31750"/>
          </c:spPr>
          <c:dPt>
            <c:idx val="0"/>
            <c:bubble3D val="0"/>
            <c:spPr>
              <a:solidFill>
                <a:srgbClr val="92D050"/>
              </a:solidFill>
              <a:ln w="31750">
                <a:solidFill>
                  <a:schemeClr val="tx1"/>
                </a:solidFill>
              </a:ln>
              <a:effectLst/>
            </c:spPr>
            <c:extLst>
              <c:ext xmlns:c16="http://schemas.microsoft.com/office/drawing/2014/chart" uri="{C3380CC4-5D6E-409C-BE32-E72D297353CC}">
                <c16:uniqueId val="{00000001-2234-1640-AA75-9B51F985747F}"/>
              </c:ext>
            </c:extLst>
          </c:dPt>
          <c:dPt>
            <c:idx val="1"/>
            <c:bubble3D val="0"/>
            <c:spPr>
              <a:solidFill>
                <a:schemeClr val="tx1"/>
              </a:solidFill>
              <a:ln w="44450">
                <a:solidFill>
                  <a:schemeClr val="tx1"/>
                </a:solidFill>
              </a:ln>
              <a:effectLst/>
            </c:spPr>
            <c:extLst>
              <c:ext xmlns:c16="http://schemas.microsoft.com/office/drawing/2014/chart" uri="{C3380CC4-5D6E-409C-BE32-E72D297353CC}">
                <c16:uniqueId val="{00000003-2234-1640-AA75-9B51F985747F}"/>
              </c:ext>
            </c:extLst>
          </c:dPt>
          <c:val>
            <c:numRef>
              <c:f>team_work!$Q$6:$R$6</c:f>
              <c:numCache>
                <c:formatCode>0%</c:formatCode>
                <c:ptCount val="2"/>
                <c:pt idx="0">
                  <c:v>0.44999999999999996</c:v>
                </c:pt>
                <c:pt idx="1">
                  <c:v>0.55000000000000004</c:v>
                </c:pt>
              </c:numCache>
            </c:numRef>
          </c:val>
          <c:extLst>
            <c:ext xmlns:c16="http://schemas.microsoft.com/office/drawing/2014/chart" uri="{C3380CC4-5D6E-409C-BE32-E72D297353CC}">
              <c16:uniqueId val="{00000004-2234-1640-AA75-9B51F985747F}"/>
            </c:ext>
          </c:extLst>
        </c:ser>
        <c:dLbls>
          <c:showLegendKey val="0"/>
          <c:showVal val="0"/>
          <c:showCatName val="0"/>
          <c:showSerName val="0"/>
          <c:showPercent val="0"/>
          <c:showBubbleSize val="0"/>
          <c:showLeaderLines val="1"/>
        </c:dLbls>
        <c:firstSliceAng val="0"/>
        <c:holeSize val="43"/>
      </c:doughnutChart>
      <c:spPr>
        <a:noFill/>
        <a:ln>
          <a:noFill/>
        </a:ln>
        <a:effectLst/>
      </c:spPr>
    </c:plotArea>
    <c:legend>
      <c:legendPos val="tr"/>
      <c:layout>
        <c:manualLayout>
          <c:xMode val="edge"/>
          <c:yMode val="edge"/>
          <c:x val="0.95334404501015169"/>
          <c:y val="0"/>
          <c:w val="1.9847444800679435E-2"/>
          <c:h val="3.6734437638449198E-2"/>
        </c:manualLayout>
      </c:layout>
      <c:overlay val="1"/>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[NBA LAKERS DASHBOARD.xlsx]team_work!PivotTable18</c:name>
    <c:fmtId val="10"/>
  </c:pivotSource>
  <c:chart>
    <c:title>
      <c:tx>
        <c:rich>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r>
              <a:rPr lang="en-GB"/>
              <a:t>LA 3</a:t>
            </a:r>
            <a:r>
              <a:rPr lang="en-GB" baseline="0"/>
              <a:t> POINTERS</a:t>
            </a:r>
            <a:endParaRPr lang="en-GB"/>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endParaRPr lang="en-US"/>
        </a:p>
      </c:txPr>
    </c:title>
    <c:autoTitleDeleted val="0"/>
    <c:pivotFmts>
      <c:pivotFmt>
        <c:idx val="0"/>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none"/>
        </c:marker>
        <c:dLbl>
          <c:idx val="0"/>
          <c:spPr>
            <a:solidFill>
              <a:srgbClr val="FFC000">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none"/>
        </c:marker>
        <c:dLbl>
          <c:idx val="0"/>
          <c:spPr>
            <a:solidFill>
              <a:srgbClr val="FFC000">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none"/>
        </c:marker>
        <c:dLbl>
          <c:idx val="0"/>
          <c:spPr>
            <a:solidFill>
              <a:srgbClr val="FFC000">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none"/>
        </c:marker>
        <c:dLbl>
          <c:idx val="0"/>
          <c:spPr>
            <a:solidFill>
              <a:srgbClr val="FFC000">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none"/>
        </c:marker>
        <c:dLbl>
          <c:idx val="0"/>
          <c:spPr>
            <a:solidFill>
              <a:srgbClr val="FFC000">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none"/>
        </c:marker>
        <c:dLbl>
          <c:idx val="0"/>
          <c:spPr>
            <a:solidFill>
              <a:srgbClr val="FFC000">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none"/>
        </c:marker>
        <c:dLbl>
          <c:idx val="0"/>
          <c:spPr>
            <a:solidFill>
              <a:srgbClr val="FFC000">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team_work!$B$14</c:f>
              <c:strCache>
                <c:ptCount val="1"/>
                <c:pt idx="0">
                  <c:v>Total</c:v>
                </c:pt>
              </c:strCache>
            </c:strRef>
          </c:tx>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invertIfNegative val="0"/>
          <c:dLbls>
            <c:spPr>
              <a:solidFill>
                <a:srgbClr val="FFC000">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team_work!$A$15:$A$19</c:f>
              <c:multiLvlStrCache>
                <c:ptCount val="2"/>
                <c:lvl>
                  <c:pt idx="0">
                    <c:v> 3PA.</c:v>
                  </c:pt>
                  <c:pt idx="1">
                    <c:v>3PM.</c:v>
                  </c:pt>
                </c:lvl>
                <c:lvl>
                  <c:pt idx="0">
                    <c:v>TOR</c:v>
                  </c:pt>
                </c:lvl>
              </c:multiLvlStrCache>
            </c:multiLvlStrRef>
          </c:cat>
          <c:val>
            <c:numRef>
              <c:f>team_work!$B$15:$B$19</c:f>
              <c:numCache>
                <c:formatCode>0</c:formatCode>
                <c:ptCount val="2"/>
                <c:pt idx="0">
                  <c:v>40</c:v>
                </c:pt>
                <c:pt idx="1">
                  <c:v>10</c:v>
                </c:pt>
              </c:numCache>
            </c:numRef>
          </c:val>
          <c:extLst>
            <c:ext xmlns:c16="http://schemas.microsoft.com/office/drawing/2014/chart" uri="{C3380CC4-5D6E-409C-BE32-E72D297353CC}">
              <c16:uniqueId val="{00000000-4440-8F48-9299-3A28F19C14AC}"/>
            </c:ext>
          </c:extLst>
        </c:ser>
        <c:dLbls>
          <c:showLegendKey val="0"/>
          <c:showVal val="1"/>
          <c:showCatName val="0"/>
          <c:showSerName val="0"/>
          <c:showPercent val="0"/>
          <c:showBubbleSize val="0"/>
        </c:dLbls>
        <c:gapWidth val="269"/>
        <c:overlap val="-20"/>
        <c:axId val="1984976368"/>
        <c:axId val="1802122432"/>
      </c:barChart>
      <c:catAx>
        <c:axId val="1984976368"/>
        <c:scaling>
          <c:orientation val="minMax"/>
        </c:scaling>
        <c:delete val="0"/>
        <c:axPos val="b"/>
        <c:majorGridlines>
          <c:spPr>
            <a:ln w="9525" cap="flat" cmpd="sng" algn="ctr">
              <a:solidFill>
                <a:sysClr val="windowText" lastClr="000000">
                  <a:alpha val="25000"/>
                </a:sys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1200" b="1" i="0" u="none" strike="noStrike" kern="1200" cap="all" spc="150" normalizeH="0" baseline="0">
                <a:solidFill>
                  <a:schemeClr val="tx1"/>
                </a:solidFill>
                <a:latin typeface="+mn-lt"/>
                <a:ea typeface="+mn-ea"/>
                <a:cs typeface="+mn-cs"/>
              </a:defRPr>
            </a:pPr>
            <a:endParaRPr lang="en-US"/>
          </a:p>
        </c:txPr>
        <c:crossAx val="1802122432"/>
        <c:crosses val="autoZero"/>
        <c:auto val="1"/>
        <c:lblAlgn val="ctr"/>
        <c:lblOffset val="100"/>
        <c:noMultiLvlLbl val="0"/>
      </c:catAx>
      <c:valAx>
        <c:axId val="180212243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GB" sz="1050">
                    <a:solidFill>
                      <a:schemeClr val="tx1"/>
                    </a:solidFill>
                  </a:rPr>
                  <a:t>NO.</a:t>
                </a:r>
                <a:r>
                  <a:rPr lang="en-GB" sz="1050" baseline="0">
                    <a:solidFill>
                      <a:schemeClr val="tx1"/>
                    </a:solidFill>
                  </a:rPr>
                  <a:t> OF 3PT SHOTS</a:t>
                </a:r>
                <a:endParaRPr lang="en-GB" sz="1050">
                  <a:solidFill>
                    <a:schemeClr val="tx1"/>
                  </a:solidFill>
                </a:endParaRP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0" sourceLinked="1"/>
        <c:majorTickMark val="in"/>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84976368"/>
        <c:crosses val="autoZero"/>
        <c:crossBetween val="between"/>
      </c:valAx>
      <c:spPr>
        <a:noFill/>
        <a:ln>
          <a:noFill/>
        </a:ln>
        <a:effectLst/>
      </c:spPr>
    </c:plotArea>
    <c:plotVisOnly val="1"/>
    <c:dispBlanksAs val="gap"/>
    <c:showDLblsOverMax val="0"/>
    <c:extLst/>
  </c:chart>
  <c:spPr>
    <a:solidFill>
      <a:srgbClr val="FFC00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[NBA LAKERS DASHBOARD.xlsx]team_work!PivotTable19</c:name>
    <c:fmtId val="1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GB"/>
              <a:t>OPP 3 POINTERS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spPr>
          <a:pattFill prst="ltUpDiag">
            <a:fgClr>
              <a:schemeClr val="accent1"/>
            </a:fgClr>
            <a:bgClr>
              <a:schemeClr val="lt1"/>
            </a:bgClr>
          </a:pattFill>
          <a:ln w="57150">
            <a:solidFill>
              <a:schemeClr val="tx1"/>
            </a:solid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57150">
            <a:solidFill>
              <a:schemeClr val="tx1"/>
            </a:solid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team_work!$H$14</c:f>
              <c:strCache>
                <c:ptCount val="1"/>
                <c:pt idx="0">
                  <c:v>Total</c:v>
                </c:pt>
              </c:strCache>
            </c:strRef>
          </c:tx>
          <c:spPr>
            <a:pattFill prst="ltUpDiag">
              <a:fgClr>
                <a:schemeClr val="accent1"/>
              </a:fgClr>
              <a:bgClr>
                <a:schemeClr val="lt1"/>
              </a:bgClr>
            </a:pattFill>
            <a:ln w="57150">
              <a:solidFill>
                <a:schemeClr val="tx1"/>
              </a:solid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team_work!$G$15:$G$19</c:f>
              <c:multiLvlStrCache>
                <c:ptCount val="2"/>
                <c:lvl>
                  <c:pt idx="0">
                    <c:v>Opp.3PA.</c:v>
                  </c:pt>
                  <c:pt idx="1">
                    <c:v>Opp.3PM.</c:v>
                  </c:pt>
                </c:lvl>
                <c:lvl>
                  <c:pt idx="0">
                    <c:v>TOR</c:v>
                  </c:pt>
                </c:lvl>
              </c:multiLvlStrCache>
            </c:multiLvlStrRef>
          </c:cat>
          <c:val>
            <c:numRef>
              <c:f>team_work!$H$15:$H$19</c:f>
              <c:numCache>
                <c:formatCode>0</c:formatCode>
                <c:ptCount val="2"/>
                <c:pt idx="0">
                  <c:v>35</c:v>
                </c:pt>
                <c:pt idx="1">
                  <c:v>13</c:v>
                </c:pt>
              </c:numCache>
            </c:numRef>
          </c:val>
          <c:extLst>
            <c:ext xmlns:c16="http://schemas.microsoft.com/office/drawing/2014/chart" uri="{C3380CC4-5D6E-409C-BE32-E72D297353CC}">
              <c16:uniqueId val="{00000000-227F-0144-A486-74A58210CAC7}"/>
            </c:ext>
          </c:extLst>
        </c:ser>
        <c:dLbls>
          <c:showLegendKey val="0"/>
          <c:showVal val="0"/>
          <c:showCatName val="0"/>
          <c:showSerName val="0"/>
          <c:showPercent val="0"/>
          <c:showBubbleSize val="0"/>
        </c:dLbls>
        <c:gapWidth val="269"/>
        <c:overlap val="-20"/>
        <c:axId val="1881185376"/>
        <c:axId val="206885263"/>
      </c:barChart>
      <c:catAx>
        <c:axId val="1881185376"/>
        <c:scaling>
          <c:orientation val="minMax"/>
        </c:scaling>
        <c:delete val="0"/>
        <c:axPos val="b"/>
        <c:majorGridlines>
          <c:spPr>
            <a:ln w="9525" cap="flat" cmpd="sng" algn="ctr">
              <a:solidFill>
                <a:sysClr val="windowText" lastClr="000000">
                  <a:alpha val="25000"/>
                </a:sysClr>
              </a:solidFill>
              <a:round/>
            </a:ln>
            <a:effectLst/>
          </c:spPr>
        </c:majorGridlines>
        <c:numFmt formatCode="General" sourceLinked="1"/>
        <c:majorTickMark val="none"/>
        <c:minorTickMark val="none"/>
        <c:tickLblPos val="nextTo"/>
        <c:spPr>
          <a:noFill/>
          <a:ln w="3175" cap="flat" cmpd="sng" algn="ctr">
            <a:solidFill>
              <a:sysClr val="windowText" lastClr="000000"/>
            </a:solidFill>
            <a:round/>
          </a:ln>
          <a:effectLst/>
        </c:spPr>
        <c:txPr>
          <a:bodyPr rot="-60000000" spcFirstLastPara="1" vertOverflow="ellipsis" vert="horz" wrap="square" anchor="ctr" anchorCtr="1"/>
          <a:lstStyle/>
          <a:p>
            <a:pPr>
              <a:defRPr sz="1400" b="1" i="0" u="none" strike="noStrike" kern="1200" cap="all" spc="150" normalizeH="0" baseline="0">
                <a:solidFill>
                  <a:schemeClr val="tx1"/>
                </a:solidFill>
                <a:latin typeface="+mn-lt"/>
                <a:ea typeface="+mn-ea"/>
                <a:cs typeface="+mn-cs"/>
              </a:defRPr>
            </a:pPr>
            <a:endParaRPr lang="en-US"/>
          </a:p>
        </c:txPr>
        <c:crossAx val="206885263"/>
        <c:crosses val="autoZero"/>
        <c:auto val="1"/>
        <c:lblAlgn val="ctr"/>
        <c:lblOffset val="100"/>
        <c:noMultiLvlLbl val="0"/>
      </c:catAx>
      <c:valAx>
        <c:axId val="206885263"/>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GB" sz="1050">
                    <a:solidFill>
                      <a:schemeClr val="tx1"/>
                    </a:solidFill>
                  </a:rPr>
                  <a:t>NO.</a:t>
                </a:r>
                <a:r>
                  <a:rPr lang="en-GB" sz="1050" baseline="0">
                    <a:solidFill>
                      <a:schemeClr val="tx1"/>
                    </a:solidFill>
                  </a:rPr>
                  <a:t> OF 3PT SHOTS</a:t>
                </a:r>
                <a:endParaRPr lang="en-GB" sz="1050">
                  <a:solidFill>
                    <a:schemeClr val="tx1"/>
                  </a:solidFill>
                </a:endParaRP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0" sourceLinked="1"/>
        <c:majorTickMark val="in"/>
        <c:minorTickMark val="none"/>
        <c:tickLblPos val="nextTo"/>
        <c:spPr>
          <a:no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81185376"/>
        <c:crosses val="autoZero"/>
        <c:crossBetween val="between"/>
      </c:valAx>
      <c:spPr>
        <a:noFill/>
        <a:ln>
          <a:noFill/>
        </a:ln>
        <a:effectLst/>
      </c:spPr>
    </c:plotArea>
    <c:plotVisOnly val="1"/>
    <c:dispBlanksAs val="gap"/>
    <c:showDLblsOverMax val="0"/>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1547845473566701"/>
          <c:y val="9.8946142285489619E-2"/>
          <c:w val="0.78169636155163291"/>
          <c:h val="0.91184330346711662"/>
        </c:manualLayout>
      </c:layout>
      <c:doughnutChart>
        <c:varyColors val="1"/>
        <c:ser>
          <c:idx val="0"/>
          <c:order val="0"/>
          <c:spPr>
            <a:ln w="31750"/>
          </c:spPr>
          <c:dPt>
            <c:idx val="0"/>
            <c:bubble3D val="0"/>
            <c:spPr>
              <a:solidFill>
                <a:srgbClr val="92D050"/>
              </a:solidFill>
              <a:ln w="31750">
                <a:solidFill>
                  <a:schemeClr val="tx1"/>
                </a:solidFill>
              </a:ln>
              <a:effectLst/>
            </c:spPr>
            <c:extLst>
              <c:ext xmlns:c16="http://schemas.microsoft.com/office/drawing/2014/chart" uri="{C3380CC4-5D6E-409C-BE32-E72D297353CC}">
                <c16:uniqueId val="{00000001-6333-A64E-BC33-BF11EB35CC67}"/>
              </c:ext>
            </c:extLst>
          </c:dPt>
          <c:dPt>
            <c:idx val="1"/>
            <c:bubble3D val="0"/>
            <c:spPr>
              <a:solidFill>
                <a:schemeClr val="tx1"/>
              </a:solidFill>
              <a:ln w="44450">
                <a:solidFill>
                  <a:schemeClr val="tx1"/>
                </a:solidFill>
              </a:ln>
              <a:effectLst/>
            </c:spPr>
            <c:extLst>
              <c:ext xmlns:c16="http://schemas.microsoft.com/office/drawing/2014/chart" uri="{C3380CC4-5D6E-409C-BE32-E72D297353CC}">
                <c16:uniqueId val="{00000003-6333-A64E-BC33-BF11EB35CC67}"/>
              </c:ext>
            </c:extLst>
          </c:dPt>
          <c:val>
            <c:numRef>
              <c:f>team_work!$Q$15:$R$15</c:f>
              <c:numCache>
                <c:formatCode>0%</c:formatCode>
                <c:ptCount val="2"/>
                <c:pt idx="0">
                  <c:v>0.29149999999999998</c:v>
                </c:pt>
                <c:pt idx="1">
                  <c:v>0.70850000000000002</c:v>
                </c:pt>
              </c:numCache>
            </c:numRef>
          </c:val>
          <c:extLst>
            <c:ext xmlns:c16="http://schemas.microsoft.com/office/drawing/2014/chart" uri="{C3380CC4-5D6E-409C-BE32-E72D297353CC}">
              <c16:uniqueId val="{00000004-6333-A64E-BC33-BF11EB35CC67}"/>
            </c:ext>
          </c:extLst>
        </c:ser>
        <c:dLbls>
          <c:showLegendKey val="0"/>
          <c:showVal val="0"/>
          <c:showCatName val="0"/>
          <c:showSerName val="0"/>
          <c:showPercent val="0"/>
          <c:showBubbleSize val="0"/>
          <c:showLeaderLines val="1"/>
        </c:dLbls>
        <c:firstSliceAng val="0"/>
        <c:holeSize val="43"/>
      </c:doughnutChart>
      <c:spPr>
        <a:noFill/>
        <a:ln>
          <a:noFill/>
        </a:ln>
        <a:effectLst/>
      </c:spPr>
    </c:plotArea>
    <c:legend>
      <c:legendPos val="tr"/>
      <c:layout>
        <c:manualLayout>
          <c:xMode val="edge"/>
          <c:yMode val="edge"/>
          <c:x val="0.95334404501015169"/>
          <c:y val="0"/>
          <c:w val="1.9847444800679435E-2"/>
          <c:h val="3.6734437638449198E-2"/>
        </c:manualLayout>
      </c:layout>
      <c:overlay val="1"/>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1547845473566701"/>
          <c:y val="9.8946142285489619E-2"/>
          <c:w val="0.78169636155163291"/>
          <c:h val="0.91184330346711662"/>
        </c:manualLayout>
      </c:layout>
      <c:doughnutChart>
        <c:varyColors val="1"/>
        <c:ser>
          <c:idx val="0"/>
          <c:order val="0"/>
          <c:spPr>
            <a:ln w="31750"/>
          </c:spPr>
          <c:dPt>
            <c:idx val="0"/>
            <c:bubble3D val="0"/>
            <c:spPr>
              <a:solidFill>
                <a:srgbClr val="92D050"/>
              </a:solidFill>
              <a:ln w="31750">
                <a:solidFill>
                  <a:schemeClr val="tx1"/>
                </a:solidFill>
              </a:ln>
              <a:effectLst/>
            </c:spPr>
            <c:extLst>
              <c:ext xmlns:c16="http://schemas.microsoft.com/office/drawing/2014/chart" uri="{C3380CC4-5D6E-409C-BE32-E72D297353CC}">
                <c16:uniqueId val="{00000001-11A2-AD45-9DCB-3566D2A48DC1}"/>
              </c:ext>
            </c:extLst>
          </c:dPt>
          <c:dPt>
            <c:idx val="1"/>
            <c:bubble3D val="0"/>
            <c:spPr>
              <a:solidFill>
                <a:schemeClr val="tx1"/>
              </a:solidFill>
              <a:ln w="44450">
                <a:solidFill>
                  <a:schemeClr val="tx1"/>
                </a:solidFill>
              </a:ln>
              <a:effectLst/>
            </c:spPr>
            <c:extLst>
              <c:ext xmlns:c16="http://schemas.microsoft.com/office/drawing/2014/chart" uri="{C3380CC4-5D6E-409C-BE32-E72D297353CC}">
                <c16:uniqueId val="{00000003-11A2-AD45-9DCB-3566D2A48DC1}"/>
              </c:ext>
            </c:extLst>
          </c:dPt>
          <c:val>
            <c:numRef>
              <c:f>team_work!$Q$17:$R$17</c:f>
              <c:numCache>
                <c:formatCode>0%</c:formatCode>
                <c:ptCount val="2"/>
                <c:pt idx="0">
                  <c:v>0.3725</c:v>
                </c:pt>
                <c:pt idx="1">
                  <c:v>0.62749999999999995</c:v>
                </c:pt>
              </c:numCache>
            </c:numRef>
          </c:val>
          <c:extLst>
            <c:ext xmlns:c16="http://schemas.microsoft.com/office/drawing/2014/chart" uri="{C3380CC4-5D6E-409C-BE32-E72D297353CC}">
              <c16:uniqueId val="{00000004-11A2-AD45-9DCB-3566D2A48DC1}"/>
            </c:ext>
          </c:extLst>
        </c:ser>
        <c:dLbls>
          <c:showLegendKey val="0"/>
          <c:showVal val="0"/>
          <c:showCatName val="0"/>
          <c:showSerName val="0"/>
          <c:showPercent val="0"/>
          <c:showBubbleSize val="0"/>
          <c:showLeaderLines val="1"/>
        </c:dLbls>
        <c:firstSliceAng val="0"/>
        <c:holeSize val="43"/>
      </c:doughnutChart>
      <c:spPr>
        <a:noFill/>
        <a:ln>
          <a:noFill/>
        </a:ln>
        <a:effectLst/>
      </c:spPr>
    </c:plotArea>
    <c:legend>
      <c:legendPos val="tr"/>
      <c:layout>
        <c:manualLayout>
          <c:xMode val="edge"/>
          <c:yMode val="edge"/>
          <c:x val="0.95334404501015169"/>
          <c:y val="0"/>
          <c:w val="1.9847444800679435E-2"/>
          <c:h val="3.6734437638449198E-2"/>
        </c:manualLayout>
      </c:layout>
      <c:overlay val="1"/>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[NBA LAKERS DASHBOARD.xlsx]team_work!PivotTable21</c:name>
    <c:fmtId val="13"/>
  </c:pivotSource>
  <c:chart>
    <c:title>
      <c:tx>
        <c:rich>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r>
              <a:rPr lang="en-GB"/>
              <a:t>LA FREE</a:t>
            </a:r>
            <a:r>
              <a:rPr lang="en-GB" baseline="0"/>
              <a:t> THROWS</a:t>
            </a:r>
            <a:endParaRPr lang="en-GB"/>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endParaRPr lang="en-US"/>
        </a:p>
      </c:txPr>
    </c:title>
    <c:autoTitleDeleted val="0"/>
    <c:pivotFmts>
      <c:pivotFmt>
        <c:idx val="0"/>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none"/>
        </c:marker>
        <c:dLbl>
          <c:idx val="0"/>
          <c:spPr>
            <a:solidFill>
              <a:srgbClr val="FFC000">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none"/>
        </c:marker>
        <c:dLbl>
          <c:idx val="0"/>
          <c:spPr>
            <a:solidFill>
              <a:srgbClr val="FFC000">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none"/>
        </c:marker>
        <c:dLbl>
          <c:idx val="0"/>
          <c:spPr>
            <a:solidFill>
              <a:srgbClr val="FFC000">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none"/>
        </c:marker>
        <c:dLbl>
          <c:idx val="0"/>
          <c:spPr>
            <a:solidFill>
              <a:srgbClr val="FFC000">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none"/>
        </c:marker>
        <c:dLbl>
          <c:idx val="0"/>
          <c:spPr>
            <a:solidFill>
              <a:srgbClr val="FFC000">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none"/>
        </c:marker>
        <c:dLbl>
          <c:idx val="0"/>
          <c:spPr>
            <a:solidFill>
              <a:srgbClr val="FFC000">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none"/>
        </c:marker>
        <c:dLbl>
          <c:idx val="0"/>
          <c:spPr>
            <a:solidFill>
              <a:srgbClr val="FFC000">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team_work!$B$25</c:f>
              <c:strCache>
                <c:ptCount val="1"/>
                <c:pt idx="0">
                  <c:v>Total</c:v>
                </c:pt>
              </c:strCache>
            </c:strRef>
          </c:tx>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invertIfNegative val="0"/>
          <c:dLbls>
            <c:spPr>
              <a:solidFill>
                <a:srgbClr val="FFC000">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team_work!$A$26:$A$28</c:f>
              <c:multiLvlStrCache>
                <c:ptCount val="2"/>
                <c:lvl>
                  <c:pt idx="0">
                    <c:v>FTA.</c:v>
                  </c:pt>
                  <c:pt idx="1">
                    <c:v> FTM.</c:v>
                  </c:pt>
                </c:lvl>
                <c:lvl>
                  <c:pt idx="0">
                    <c:v>TOR</c:v>
                  </c:pt>
                </c:lvl>
              </c:multiLvlStrCache>
            </c:multiLvlStrRef>
          </c:cat>
          <c:val>
            <c:numRef>
              <c:f>team_work!$B$26:$B$28</c:f>
              <c:numCache>
                <c:formatCode>0.0</c:formatCode>
                <c:ptCount val="2"/>
                <c:pt idx="0">
                  <c:v>26</c:v>
                </c:pt>
                <c:pt idx="1">
                  <c:v>18</c:v>
                </c:pt>
              </c:numCache>
            </c:numRef>
          </c:val>
          <c:extLst>
            <c:ext xmlns:c16="http://schemas.microsoft.com/office/drawing/2014/chart" uri="{C3380CC4-5D6E-409C-BE32-E72D297353CC}">
              <c16:uniqueId val="{00000000-1DBE-DE48-A852-6134AFA5EC3A}"/>
            </c:ext>
          </c:extLst>
        </c:ser>
        <c:dLbls>
          <c:showLegendKey val="0"/>
          <c:showVal val="1"/>
          <c:showCatName val="0"/>
          <c:showSerName val="0"/>
          <c:showPercent val="0"/>
          <c:showBubbleSize val="0"/>
        </c:dLbls>
        <c:gapWidth val="269"/>
        <c:overlap val="-20"/>
        <c:axId val="1984976368"/>
        <c:axId val="1802122432"/>
      </c:barChart>
      <c:catAx>
        <c:axId val="1984976368"/>
        <c:scaling>
          <c:orientation val="minMax"/>
        </c:scaling>
        <c:delete val="0"/>
        <c:axPos val="b"/>
        <c:majorGridlines>
          <c:spPr>
            <a:ln w="9525" cap="flat" cmpd="sng" algn="ctr">
              <a:solidFill>
                <a:sysClr val="windowText" lastClr="000000">
                  <a:alpha val="25000"/>
                </a:sys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1200" b="1" i="0" u="none" strike="noStrike" kern="1200" cap="all" spc="150" normalizeH="0" baseline="0">
                <a:solidFill>
                  <a:schemeClr val="tx1"/>
                </a:solidFill>
                <a:latin typeface="+mn-lt"/>
                <a:ea typeface="+mn-ea"/>
                <a:cs typeface="+mn-cs"/>
              </a:defRPr>
            </a:pPr>
            <a:endParaRPr lang="en-US"/>
          </a:p>
        </c:txPr>
        <c:crossAx val="1802122432"/>
        <c:crosses val="autoZero"/>
        <c:auto val="1"/>
        <c:lblAlgn val="ctr"/>
        <c:lblOffset val="100"/>
        <c:noMultiLvlLbl val="0"/>
      </c:catAx>
      <c:valAx>
        <c:axId val="1802122432"/>
        <c:scaling>
          <c:orientation val="minMax"/>
        </c:scaling>
        <c:delete val="0"/>
        <c:axPos val="l"/>
        <c:minorGridlines>
          <c:spPr>
            <a:ln>
              <a:solidFill>
                <a:schemeClr val="lt1">
                  <a:alpha val="10000"/>
                </a:schemeClr>
              </a:solidFill>
            </a:ln>
            <a:effectLst/>
          </c:spPr>
        </c:minorGridlines>
        <c:title>
          <c:tx>
            <c:rich>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GB" sz="1050">
                    <a:solidFill>
                      <a:schemeClr val="tx1"/>
                    </a:solidFill>
                  </a:rPr>
                  <a:t>NO.</a:t>
                </a:r>
                <a:r>
                  <a:rPr lang="en-GB" sz="1050" baseline="0">
                    <a:solidFill>
                      <a:schemeClr val="tx1"/>
                    </a:solidFill>
                  </a:rPr>
                  <a:t> OF FT SHOTS</a:t>
                </a:r>
                <a:endParaRPr lang="en-GB" sz="1050">
                  <a:solidFill>
                    <a:schemeClr val="tx1"/>
                  </a:solidFill>
                </a:endParaRP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0.0" sourceLinked="1"/>
        <c:majorTickMark val="in"/>
        <c:minorTickMark val="none"/>
        <c:tickLblPos val="nextTo"/>
        <c:spPr>
          <a:no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84976368"/>
        <c:crosses val="autoZero"/>
        <c:crossBetween val="between"/>
      </c:valAx>
      <c:spPr>
        <a:noFill/>
        <a:ln>
          <a:noFill/>
        </a:ln>
        <a:effectLst/>
      </c:spPr>
    </c:plotArea>
    <c:plotVisOnly val="1"/>
    <c:dispBlanksAs val="gap"/>
    <c:showDLblsOverMax val="0"/>
    <c:extLst/>
  </c:chart>
  <c:spPr>
    <a:solidFill>
      <a:srgbClr val="FFC00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[NBA LAKERS DASHBOARD.xlsx]team_work!PivotTable22</c:name>
    <c:fmtId val="1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GB"/>
              <a:t>OPP</a:t>
            </a:r>
            <a:r>
              <a:rPr lang="en-GB" baseline="0"/>
              <a:t> FREE THROWS</a:t>
            </a:r>
            <a:endParaRPr lang="en-GB"/>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spPr>
          <a:pattFill prst="ltUpDiag">
            <a:fgClr>
              <a:schemeClr val="accent1"/>
            </a:fgClr>
            <a:bgClr>
              <a:schemeClr val="lt1"/>
            </a:bgClr>
          </a:pattFill>
          <a:ln w="57150">
            <a:solidFill>
              <a:schemeClr val="tx1"/>
            </a:solid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57150">
            <a:solidFill>
              <a:schemeClr val="tx1"/>
            </a:solid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w="57150">
            <a:solidFill>
              <a:schemeClr val="tx1"/>
            </a:solid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w="57150">
            <a:solidFill>
              <a:schemeClr val="tx1"/>
            </a:solid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team_work!$H$25</c:f>
              <c:strCache>
                <c:ptCount val="1"/>
                <c:pt idx="0">
                  <c:v>Total</c:v>
                </c:pt>
              </c:strCache>
            </c:strRef>
          </c:tx>
          <c:spPr>
            <a:pattFill prst="ltUpDiag">
              <a:fgClr>
                <a:schemeClr val="accent1"/>
              </a:fgClr>
              <a:bgClr>
                <a:schemeClr val="lt1"/>
              </a:bgClr>
            </a:pattFill>
            <a:ln w="57150">
              <a:solidFill>
                <a:schemeClr val="tx1"/>
              </a:solid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team_work!$G$26:$G$28</c:f>
              <c:multiLvlStrCache>
                <c:ptCount val="2"/>
                <c:lvl>
                  <c:pt idx="0">
                    <c:v>Opp.FTA.</c:v>
                  </c:pt>
                  <c:pt idx="1">
                    <c:v> Opp.FTM.</c:v>
                  </c:pt>
                </c:lvl>
                <c:lvl>
                  <c:pt idx="0">
                    <c:v>TOR</c:v>
                  </c:pt>
                </c:lvl>
              </c:multiLvlStrCache>
            </c:multiLvlStrRef>
          </c:cat>
          <c:val>
            <c:numRef>
              <c:f>team_work!$H$26:$H$28</c:f>
              <c:numCache>
                <c:formatCode>0.0</c:formatCode>
                <c:ptCount val="2"/>
                <c:pt idx="0">
                  <c:v>24</c:v>
                </c:pt>
                <c:pt idx="1">
                  <c:v>19</c:v>
                </c:pt>
              </c:numCache>
            </c:numRef>
          </c:val>
          <c:extLst>
            <c:ext xmlns:c16="http://schemas.microsoft.com/office/drawing/2014/chart" uri="{C3380CC4-5D6E-409C-BE32-E72D297353CC}">
              <c16:uniqueId val="{00000000-D702-174C-AAAB-18055021CC09}"/>
            </c:ext>
          </c:extLst>
        </c:ser>
        <c:dLbls>
          <c:showLegendKey val="0"/>
          <c:showVal val="0"/>
          <c:showCatName val="0"/>
          <c:showSerName val="0"/>
          <c:showPercent val="0"/>
          <c:showBubbleSize val="0"/>
        </c:dLbls>
        <c:gapWidth val="269"/>
        <c:overlap val="-20"/>
        <c:axId val="1881185376"/>
        <c:axId val="206885263"/>
      </c:barChart>
      <c:catAx>
        <c:axId val="1881185376"/>
        <c:scaling>
          <c:orientation val="minMax"/>
        </c:scaling>
        <c:delete val="0"/>
        <c:axPos val="b"/>
        <c:majorGridlines>
          <c:spPr>
            <a:ln w="9525" cap="flat" cmpd="sng" algn="ctr">
              <a:solidFill>
                <a:sysClr val="windowText" lastClr="000000">
                  <a:alpha val="25000"/>
                </a:sysClr>
              </a:solidFill>
              <a:round/>
            </a:ln>
            <a:effectLst/>
          </c:spPr>
        </c:majorGridlines>
        <c:numFmt formatCode="General" sourceLinked="1"/>
        <c:majorTickMark val="none"/>
        <c:minorTickMark val="none"/>
        <c:tickLblPos val="nextTo"/>
        <c:spPr>
          <a:noFill/>
          <a:ln w="3175" cap="flat" cmpd="sng" algn="ctr">
            <a:solidFill>
              <a:sysClr val="windowText" lastClr="000000">
                <a:lumMod val="95000"/>
                <a:lumOff val="5000"/>
              </a:sysClr>
            </a:solidFill>
            <a:round/>
          </a:ln>
          <a:effectLst/>
        </c:spPr>
        <c:txPr>
          <a:bodyPr rot="-60000000" spcFirstLastPara="1" vertOverflow="ellipsis" vert="horz" wrap="square" anchor="ctr" anchorCtr="1"/>
          <a:lstStyle/>
          <a:p>
            <a:pPr>
              <a:defRPr sz="1100" b="0" i="0" u="none" strike="noStrike" kern="1200" cap="all" spc="150" normalizeH="0" baseline="0">
                <a:solidFill>
                  <a:schemeClr val="tx1"/>
                </a:solidFill>
                <a:latin typeface="+mn-lt"/>
                <a:ea typeface="+mn-ea"/>
                <a:cs typeface="+mn-cs"/>
              </a:defRPr>
            </a:pPr>
            <a:endParaRPr lang="en-US"/>
          </a:p>
        </c:txPr>
        <c:crossAx val="206885263"/>
        <c:crosses val="autoZero"/>
        <c:auto val="1"/>
        <c:lblAlgn val="ctr"/>
        <c:lblOffset val="100"/>
        <c:noMultiLvlLbl val="0"/>
      </c:catAx>
      <c:valAx>
        <c:axId val="206885263"/>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GB" sz="1050">
                    <a:solidFill>
                      <a:schemeClr val="tx1"/>
                    </a:solidFill>
                  </a:rPr>
                  <a:t>NO.</a:t>
                </a:r>
                <a:r>
                  <a:rPr lang="en-GB" sz="1050" baseline="0">
                    <a:solidFill>
                      <a:schemeClr val="tx1"/>
                    </a:solidFill>
                  </a:rPr>
                  <a:t> OF FT SHOTS</a:t>
                </a:r>
                <a:endParaRPr lang="en-GB" sz="1050">
                  <a:solidFill>
                    <a:schemeClr val="tx1"/>
                  </a:solidFill>
                </a:endParaRP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0.0" sourceLinked="1"/>
        <c:majorTickMark val="in"/>
        <c:minorTickMark val="none"/>
        <c:tickLblPos val="nextTo"/>
        <c:spPr>
          <a:no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81185376"/>
        <c:crosses val="autoZero"/>
        <c:crossBetween val="between"/>
      </c:valAx>
      <c:spPr>
        <a:noFill/>
        <a:ln>
          <a:noFill/>
        </a:ln>
        <a:effectLst/>
      </c:spPr>
    </c:plotArea>
    <c:plotVisOnly val="1"/>
    <c:dispBlanksAs val="gap"/>
    <c:showDLblsOverMax val="0"/>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1547845473566701"/>
          <c:y val="9.8946142285489619E-2"/>
          <c:w val="0.78169636155163291"/>
          <c:h val="0.91184330346711662"/>
        </c:manualLayout>
      </c:layout>
      <c:doughnutChart>
        <c:varyColors val="1"/>
        <c:ser>
          <c:idx val="0"/>
          <c:order val="0"/>
          <c:spPr>
            <a:ln w="31750"/>
          </c:spPr>
          <c:dPt>
            <c:idx val="0"/>
            <c:bubble3D val="0"/>
            <c:spPr>
              <a:solidFill>
                <a:srgbClr val="92D050"/>
              </a:solidFill>
              <a:ln w="31750">
                <a:solidFill>
                  <a:schemeClr val="tx1"/>
                </a:solidFill>
              </a:ln>
              <a:effectLst/>
            </c:spPr>
            <c:extLst>
              <c:ext xmlns:c16="http://schemas.microsoft.com/office/drawing/2014/chart" uri="{C3380CC4-5D6E-409C-BE32-E72D297353CC}">
                <c16:uniqueId val="{00000001-8D9D-CF4D-AF0D-3D52A9892854}"/>
              </c:ext>
            </c:extLst>
          </c:dPt>
          <c:dPt>
            <c:idx val="1"/>
            <c:bubble3D val="0"/>
            <c:spPr>
              <a:solidFill>
                <a:schemeClr val="tx1"/>
              </a:solidFill>
              <a:ln w="44450">
                <a:solidFill>
                  <a:schemeClr val="tx1"/>
                </a:solidFill>
              </a:ln>
              <a:effectLst/>
            </c:spPr>
            <c:extLst>
              <c:ext xmlns:c16="http://schemas.microsoft.com/office/drawing/2014/chart" uri="{C3380CC4-5D6E-409C-BE32-E72D297353CC}">
                <c16:uniqueId val="{00000003-8D9D-CF4D-AF0D-3D52A9892854}"/>
              </c:ext>
            </c:extLst>
          </c:dPt>
          <c:val>
            <c:numRef>
              <c:f>team_work!$Q$26:$R$26</c:f>
              <c:numCache>
                <c:formatCode>0%</c:formatCode>
                <c:ptCount val="2"/>
                <c:pt idx="0">
                  <c:v>0.67949999999999999</c:v>
                </c:pt>
                <c:pt idx="1">
                  <c:v>0.32050000000000001</c:v>
                </c:pt>
              </c:numCache>
            </c:numRef>
          </c:val>
          <c:extLst>
            <c:ext xmlns:c16="http://schemas.microsoft.com/office/drawing/2014/chart" uri="{C3380CC4-5D6E-409C-BE32-E72D297353CC}">
              <c16:uniqueId val="{00000004-8D9D-CF4D-AF0D-3D52A9892854}"/>
            </c:ext>
          </c:extLst>
        </c:ser>
        <c:dLbls>
          <c:showLegendKey val="0"/>
          <c:showVal val="0"/>
          <c:showCatName val="0"/>
          <c:showSerName val="0"/>
          <c:showPercent val="0"/>
          <c:showBubbleSize val="0"/>
          <c:showLeaderLines val="1"/>
        </c:dLbls>
        <c:firstSliceAng val="0"/>
        <c:holeSize val="43"/>
      </c:doughnutChart>
      <c:spPr>
        <a:noFill/>
        <a:ln>
          <a:noFill/>
        </a:ln>
        <a:effectLst/>
      </c:spPr>
    </c:plotArea>
    <c:legend>
      <c:legendPos val="tr"/>
      <c:layout>
        <c:manualLayout>
          <c:xMode val="edge"/>
          <c:yMode val="edge"/>
          <c:x val="0.95334404501015169"/>
          <c:y val="0"/>
          <c:w val="1.9847444800679435E-2"/>
          <c:h val="3.6734437638449198E-2"/>
        </c:manualLayout>
      </c:layout>
      <c:overlay val="1"/>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1547845473566701"/>
          <c:y val="9.8946142285489619E-2"/>
          <c:w val="0.78169636155163291"/>
          <c:h val="0.91184330346711662"/>
        </c:manualLayout>
      </c:layout>
      <c:doughnutChart>
        <c:varyColors val="1"/>
        <c:ser>
          <c:idx val="0"/>
          <c:order val="0"/>
          <c:spPr>
            <a:ln w="31750"/>
          </c:spPr>
          <c:dPt>
            <c:idx val="0"/>
            <c:bubble3D val="0"/>
            <c:spPr>
              <a:solidFill>
                <a:srgbClr val="92D050"/>
              </a:solidFill>
              <a:ln w="31750">
                <a:solidFill>
                  <a:schemeClr val="tx1"/>
                </a:solidFill>
              </a:ln>
              <a:effectLst/>
            </c:spPr>
            <c:extLst>
              <c:ext xmlns:c16="http://schemas.microsoft.com/office/drawing/2014/chart" uri="{C3380CC4-5D6E-409C-BE32-E72D297353CC}">
                <c16:uniqueId val="{00000001-DDCB-B747-85BD-2B17E176D24C}"/>
              </c:ext>
            </c:extLst>
          </c:dPt>
          <c:dPt>
            <c:idx val="1"/>
            <c:bubble3D val="0"/>
            <c:spPr>
              <a:solidFill>
                <a:schemeClr val="tx1"/>
              </a:solidFill>
              <a:ln w="44450">
                <a:solidFill>
                  <a:schemeClr val="tx1"/>
                </a:solidFill>
              </a:ln>
              <a:effectLst/>
            </c:spPr>
            <c:extLst>
              <c:ext xmlns:c16="http://schemas.microsoft.com/office/drawing/2014/chart" uri="{C3380CC4-5D6E-409C-BE32-E72D297353CC}">
                <c16:uniqueId val="{00000003-DDCB-B747-85BD-2B17E176D24C}"/>
              </c:ext>
            </c:extLst>
          </c:dPt>
          <c:val>
            <c:numRef>
              <c:f>team_work!$Q$28:$R$28</c:f>
              <c:numCache>
                <c:formatCode>0%</c:formatCode>
                <c:ptCount val="2"/>
                <c:pt idx="0">
                  <c:v>0.78350000000000009</c:v>
                </c:pt>
                <c:pt idx="1">
                  <c:v>0.21649999999999991</c:v>
                </c:pt>
              </c:numCache>
            </c:numRef>
          </c:val>
          <c:extLst>
            <c:ext xmlns:c16="http://schemas.microsoft.com/office/drawing/2014/chart" uri="{C3380CC4-5D6E-409C-BE32-E72D297353CC}">
              <c16:uniqueId val="{00000004-DDCB-B747-85BD-2B17E176D24C}"/>
            </c:ext>
          </c:extLst>
        </c:ser>
        <c:dLbls>
          <c:showLegendKey val="0"/>
          <c:showVal val="0"/>
          <c:showCatName val="0"/>
          <c:showSerName val="0"/>
          <c:showPercent val="0"/>
          <c:showBubbleSize val="0"/>
          <c:showLeaderLines val="1"/>
        </c:dLbls>
        <c:firstSliceAng val="0"/>
        <c:holeSize val="43"/>
      </c:doughnutChart>
      <c:spPr>
        <a:noFill/>
        <a:ln>
          <a:noFill/>
        </a:ln>
        <a:effectLst/>
      </c:spPr>
    </c:plotArea>
    <c:legend>
      <c:legendPos val="tr"/>
      <c:layout>
        <c:manualLayout>
          <c:xMode val="edge"/>
          <c:yMode val="edge"/>
          <c:x val="0.95334404501015169"/>
          <c:y val="0"/>
          <c:w val="1.9847444800679435E-2"/>
          <c:h val="3.6734437638449198E-2"/>
        </c:manualLayout>
      </c:layout>
      <c:overlay val="1"/>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[NBA LAKERS DASHBOARD.xlsx]team_work!PivotTable24</c:name>
    <c:fmtId val="16"/>
  </c:pivotSource>
  <c:chart>
    <c:title>
      <c:tx>
        <c:rich>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r>
              <a:rPr lang="en-GB"/>
              <a:t>lAL STATS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endParaRPr lang="en-US"/>
        </a:p>
      </c:txPr>
    </c:title>
    <c:autoTitleDeleted val="0"/>
    <c:pivotFmts>
      <c:pivotFmt>
        <c:idx val="0"/>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none"/>
        </c:marker>
        <c:dLbl>
          <c:idx val="0"/>
          <c:spPr>
            <a:solidFill>
              <a:srgbClr val="FFC000">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none"/>
        </c:marker>
        <c:dLbl>
          <c:idx val="0"/>
          <c:spPr>
            <a:solidFill>
              <a:srgbClr val="FFC000">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none"/>
        </c:marker>
        <c:dLbl>
          <c:idx val="0"/>
          <c:spPr>
            <a:solidFill>
              <a:srgbClr val="FFC000">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none"/>
        </c:marker>
        <c:dLbl>
          <c:idx val="0"/>
          <c:spPr>
            <a:solidFill>
              <a:srgbClr val="FFC000">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none"/>
        </c:marker>
        <c:dLbl>
          <c:idx val="0"/>
          <c:spPr>
            <a:solidFill>
              <a:srgbClr val="FFC000">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team_work!$B$35</c:f>
              <c:strCache>
                <c:ptCount val="1"/>
                <c:pt idx="0">
                  <c:v>Total</c:v>
                </c:pt>
              </c:strCache>
            </c:strRef>
          </c:tx>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invertIfNegative val="0"/>
          <c:dLbls>
            <c:spPr>
              <a:solidFill>
                <a:srgbClr val="FFC000">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team_work!$A$36:$A$42</c:f>
              <c:multiLvlStrCache>
                <c:ptCount val="6"/>
                <c:lvl>
                  <c:pt idx="0">
                    <c:v>POINTS</c:v>
                  </c:pt>
                  <c:pt idx="1">
                    <c:v>REBOUNDS</c:v>
                  </c:pt>
                  <c:pt idx="2">
                    <c:v>ASSISTS</c:v>
                  </c:pt>
                  <c:pt idx="3">
                    <c:v>STEAL</c:v>
                  </c:pt>
                  <c:pt idx="4">
                    <c:v>BLOCKS</c:v>
                  </c:pt>
                  <c:pt idx="5">
                    <c:v>TOV.</c:v>
                  </c:pt>
                </c:lvl>
                <c:lvl>
                  <c:pt idx="0">
                    <c:v>TOR</c:v>
                  </c:pt>
                </c:lvl>
              </c:multiLvlStrCache>
            </c:multiLvlStrRef>
          </c:cat>
          <c:val>
            <c:numRef>
              <c:f>team_work!$B$36:$B$42</c:f>
              <c:numCache>
                <c:formatCode>0</c:formatCode>
                <c:ptCount val="6"/>
                <c:pt idx="0">
                  <c:v>98</c:v>
                </c:pt>
                <c:pt idx="1">
                  <c:v>45.5</c:v>
                </c:pt>
                <c:pt idx="2">
                  <c:v>24</c:v>
                </c:pt>
                <c:pt idx="3">
                  <c:v>7</c:v>
                </c:pt>
                <c:pt idx="4">
                  <c:v>9.5</c:v>
                </c:pt>
                <c:pt idx="5">
                  <c:v>14.5</c:v>
                </c:pt>
              </c:numCache>
            </c:numRef>
          </c:val>
          <c:extLst>
            <c:ext xmlns:c16="http://schemas.microsoft.com/office/drawing/2014/chart" uri="{C3380CC4-5D6E-409C-BE32-E72D297353CC}">
              <c16:uniqueId val="{00000002-AAE4-9E4A-87E8-6046E6F4666C}"/>
            </c:ext>
          </c:extLst>
        </c:ser>
        <c:dLbls>
          <c:showLegendKey val="0"/>
          <c:showVal val="1"/>
          <c:showCatName val="0"/>
          <c:showSerName val="0"/>
          <c:showPercent val="0"/>
          <c:showBubbleSize val="0"/>
        </c:dLbls>
        <c:gapWidth val="269"/>
        <c:overlap val="-20"/>
        <c:axId val="1984976368"/>
        <c:axId val="1802122432"/>
      </c:barChart>
      <c:catAx>
        <c:axId val="1984976368"/>
        <c:scaling>
          <c:orientation val="minMax"/>
        </c:scaling>
        <c:delete val="0"/>
        <c:axPos val="b"/>
        <c:majorGridlines>
          <c:spPr>
            <a:ln w="9525" cap="flat" cmpd="sng" algn="ctr">
              <a:solidFill>
                <a:sysClr val="windowText" lastClr="000000">
                  <a:alpha val="25000"/>
                </a:sysClr>
              </a:solidFill>
              <a:round/>
            </a:ln>
            <a:effectLst/>
          </c:spPr>
        </c:majorGridlines>
        <c:numFmt formatCode="General" sourceLinked="1"/>
        <c:majorTickMark val="none"/>
        <c:minorTickMark val="none"/>
        <c:tickLblPos val="nextTo"/>
        <c:spPr>
          <a:noFill/>
          <a:ln w="3175" cap="flat" cmpd="sng" algn="ctr">
            <a:solidFill>
              <a:sysClr val="windowText" lastClr="000000">
                <a:lumMod val="95000"/>
                <a:lumOff val="5000"/>
              </a:sysClr>
            </a:solidFill>
            <a:round/>
          </a:ln>
          <a:effectLst/>
        </c:spPr>
        <c:txPr>
          <a:bodyPr rot="-60000000" spcFirstLastPara="1" vertOverflow="ellipsis" vert="horz" wrap="square" anchor="ctr" anchorCtr="1"/>
          <a:lstStyle/>
          <a:p>
            <a:pPr>
              <a:defRPr sz="1200" b="1" i="0" u="none" strike="noStrike" kern="1200" cap="all" spc="150" normalizeH="0" baseline="0">
                <a:solidFill>
                  <a:schemeClr val="tx1"/>
                </a:solidFill>
                <a:latin typeface="+mn-lt"/>
                <a:ea typeface="+mn-ea"/>
                <a:cs typeface="+mn-cs"/>
              </a:defRPr>
            </a:pPr>
            <a:endParaRPr lang="en-US"/>
          </a:p>
        </c:txPr>
        <c:crossAx val="1802122432"/>
        <c:crosses val="autoZero"/>
        <c:auto val="1"/>
        <c:lblAlgn val="ctr"/>
        <c:lblOffset val="100"/>
        <c:noMultiLvlLbl val="0"/>
      </c:catAx>
      <c:valAx>
        <c:axId val="1802122432"/>
        <c:scaling>
          <c:orientation val="minMax"/>
        </c:scaling>
        <c:delete val="0"/>
        <c:axPos val="l"/>
        <c:numFmt formatCode="0" sourceLinked="1"/>
        <c:majorTickMark val="in"/>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84976368"/>
        <c:crosses val="autoZero"/>
        <c:crossBetween val="between"/>
      </c:valAx>
      <c:spPr>
        <a:noFill/>
        <a:ln>
          <a:noFill/>
        </a:ln>
        <a:effectLst/>
      </c:spPr>
    </c:plotArea>
    <c:plotVisOnly val="1"/>
    <c:dispBlanksAs val="gap"/>
    <c:showDLblsOverMax val="0"/>
    <c:extLst/>
  </c:chart>
  <c:spPr>
    <a:solidFill>
      <a:srgbClr val="FFC000"/>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r>
              <a:rPr lang="en-GB"/>
              <a:t>PLAYER</a:t>
            </a:r>
            <a:r>
              <a:rPr lang="en-GB" baseline="0"/>
              <a:t> </a:t>
            </a:r>
            <a:r>
              <a:rPr lang="en-GB"/>
              <a:t>SHOOTING</a:t>
            </a:r>
            <a:r>
              <a:rPr lang="en-GB" baseline="0"/>
              <a:t> STATS vs team avg</a:t>
            </a:r>
            <a:endParaRPr lang="en-GB"/>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endParaRPr lang="en-US"/>
        </a:p>
      </c:txPr>
    </c:title>
    <c:autoTitleDeleted val="0"/>
    <c:pivotFmts>
      <c:pivotFmt>
        <c:idx val="0"/>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none"/>
        </c:marker>
        <c:dLbl>
          <c:idx val="0"/>
          <c:spPr>
            <a:solidFill>
              <a:srgbClr val="FFC000">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none"/>
        </c:marker>
        <c:dLbl>
          <c:idx val="0"/>
          <c:spPr>
            <a:solidFill>
              <a:srgbClr val="FFC000">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none"/>
        </c:marker>
        <c:dLbl>
          <c:idx val="0"/>
          <c:spPr>
            <a:solidFill>
              <a:srgbClr val="FFC000">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none"/>
        </c:marker>
        <c:dLbl>
          <c:idx val="0"/>
          <c:spPr>
            <a:solidFill>
              <a:srgbClr val="FFC000">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351500155662733E-2"/>
          <c:y val="8.5396649137375033E-2"/>
          <c:w val="0.94164849984433729"/>
          <c:h val="0.83769409821485796"/>
        </c:manualLayout>
      </c:layout>
      <c:barChart>
        <c:barDir val="col"/>
        <c:grouping val="clustered"/>
        <c:varyColors val="0"/>
        <c:ser>
          <c:idx val="0"/>
          <c:order val="0"/>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ysClr val="windowText" lastClr="000000"/>
              </a:solidFill>
            </a:ln>
            <a:effectLst/>
          </c:spPr>
          <c:invertIfNegative val="0"/>
          <c:dLbls>
            <c:dLbl>
              <c:idx val="4"/>
              <c:spPr>
                <a:solidFill>
                  <a:srgbClr val="FFC000">
                    <a:alpha val="35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1-4060-D946-AA8F-8A49A6230E2B}"/>
                </c:ext>
              </c:extLst>
            </c:dLbl>
            <c:dLbl>
              <c:idx val="5"/>
              <c:spPr>
                <a:solidFill>
                  <a:srgbClr val="FFC000">
                    <a:alpha val="35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4-4060-D946-AA8F-8A49A6230E2B}"/>
                </c:ext>
              </c:extLst>
            </c:dLbl>
            <c:spPr>
              <a:solidFill>
                <a:srgbClr val="FFC000">
                  <a:alpha val="4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player_work!$C$13:$H$13</c:f>
              <c:strCache>
                <c:ptCount val="6"/>
                <c:pt idx="0">
                  <c:v>2P ATTEMPTS</c:v>
                </c:pt>
                <c:pt idx="1">
                  <c:v>2P MADE</c:v>
                </c:pt>
                <c:pt idx="2">
                  <c:v>3P ATTEMPTS</c:v>
                </c:pt>
                <c:pt idx="3">
                  <c:v>3P MADE</c:v>
                </c:pt>
                <c:pt idx="4">
                  <c:v>FT ATTEMPTS</c:v>
                </c:pt>
                <c:pt idx="5">
                  <c:v>FT MADE</c:v>
                </c:pt>
              </c:strCache>
            </c:strRef>
          </c:cat>
          <c:val>
            <c:numRef>
              <c:f>player_work!$C$14:$H$14</c:f>
              <c:numCache>
                <c:formatCode>General</c:formatCode>
                <c:ptCount val="6"/>
                <c:pt idx="0">
                  <c:v>4.4000000000000004</c:v>
                </c:pt>
                <c:pt idx="1">
                  <c:v>2.8</c:v>
                </c:pt>
                <c:pt idx="2">
                  <c:v>0.1</c:v>
                </c:pt>
                <c:pt idx="3">
                  <c:v>0</c:v>
                </c:pt>
                <c:pt idx="4">
                  <c:v>1.2</c:v>
                </c:pt>
                <c:pt idx="5">
                  <c:v>0.8</c:v>
                </c:pt>
              </c:numCache>
            </c:numRef>
          </c:val>
          <c:extLst>
            <c:ext xmlns:c16="http://schemas.microsoft.com/office/drawing/2014/chart" uri="{C3380CC4-5D6E-409C-BE32-E72D297353CC}">
              <c16:uniqueId val="{00000002-4060-D946-AA8F-8A49A6230E2B}"/>
            </c:ext>
          </c:extLst>
        </c:ser>
        <c:ser>
          <c:idx val="1"/>
          <c:order val="1"/>
          <c:spPr>
            <a:solidFill>
              <a:sysClr val="windowText" lastClr="000000"/>
            </a:solidFill>
            <a:ln w="6350">
              <a:solidFill>
                <a:sysClr val="windowText" lastClr="000000"/>
              </a:solidFill>
              <a:headEnd type="oval"/>
            </a:ln>
            <a:effectLst>
              <a:glow rad="228600">
                <a:srgbClr val="ED7D31">
                  <a:lumMod val="75000"/>
                  <a:alpha val="40000"/>
                </a:srgbClr>
              </a:glow>
            </a:effectLst>
          </c:spPr>
          <c:invertIfNegative val="0"/>
          <c:dLbls>
            <c:spPr>
              <a:solidFill>
                <a:srgbClr val="ED7D31">
                  <a:alpha val="42000"/>
                </a:srgbClr>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player_work!$C$13:$H$13</c:f>
              <c:strCache>
                <c:ptCount val="6"/>
                <c:pt idx="0">
                  <c:v>2P ATTEMPTS</c:v>
                </c:pt>
                <c:pt idx="1">
                  <c:v>2P MADE</c:v>
                </c:pt>
                <c:pt idx="2">
                  <c:v>3P ATTEMPTS</c:v>
                </c:pt>
                <c:pt idx="3">
                  <c:v>3P MADE</c:v>
                </c:pt>
                <c:pt idx="4">
                  <c:v>FT ATTEMPTS</c:v>
                </c:pt>
                <c:pt idx="5">
                  <c:v>FT MADE</c:v>
                </c:pt>
              </c:strCache>
            </c:strRef>
          </c:cat>
          <c:val>
            <c:numRef>
              <c:f>player_work!$C$15:$H$15</c:f>
              <c:numCache>
                <c:formatCode>0.0</c:formatCode>
                <c:ptCount val="6"/>
                <c:pt idx="0">
                  <c:v>4.1849999999999996</c:v>
                </c:pt>
                <c:pt idx="1">
                  <c:v>2.2850000000000001</c:v>
                </c:pt>
                <c:pt idx="2">
                  <c:v>2.37</c:v>
                </c:pt>
                <c:pt idx="3">
                  <c:v>0.77999999999999992</c:v>
                </c:pt>
                <c:pt idx="4">
                  <c:v>1.5449999999999997</c:v>
                </c:pt>
                <c:pt idx="5">
                  <c:v>1.1400000000000001</c:v>
                </c:pt>
              </c:numCache>
            </c:numRef>
          </c:val>
          <c:extLst>
            <c:ext xmlns:c16="http://schemas.microsoft.com/office/drawing/2014/chart" uri="{C3380CC4-5D6E-409C-BE32-E72D297353CC}">
              <c16:uniqueId val="{00000003-4060-D946-AA8F-8A49A6230E2B}"/>
            </c:ext>
          </c:extLst>
        </c:ser>
        <c:dLbls>
          <c:showLegendKey val="0"/>
          <c:showVal val="0"/>
          <c:showCatName val="0"/>
          <c:showSerName val="0"/>
          <c:showPercent val="0"/>
          <c:showBubbleSize val="0"/>
        </c:dLbls>
        <c:gapWidth val="110"/>
        <c:overlap val="-33"/>
        <c:axId val="1984976368"/>
        <c:axId val="1802122432"/>
      </c:barChart>
      <c:catAx>
        <c:axId val="1984976368"/>
        <c:scaling>
          <c:orientation val="minMax"/>
        </c:scaling>
        <c:delete val="0"/>
        <c:axPos val="b"/>
        <c:majorGridlines>
          <c:spPr>
            <a:ln w="9525" cap="flat" cmpd="sng" algn="ctr">
              <a:solidFill>
                <a:sysClr val="windowText" lastClr="000000">
                  <a:alpha val="48000"/>
                </a:sys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1100" b="0" i="0" u="none" strike="noStrike" kern="1200" cap="all" spc="150" normalizeH="0" baseline="0">
                <a:solidFill>
                  <a:schemeClr val="tx1"/>
                </a:solidFill>
                <a:latin typeface="+mn-lt"/>
                <a:ea typeface="+mn-ea"/>
                <a:cs typeface="+mn-cs"/>
              </a:defRPr>
            </a:pPr>
            <a:endParaRPr lang="en-US"/>
          </a:p>
        </c:txPr>
        <c:crossAx val="1802122432"/>
        <c:crosses val="autoZero"/>
        <c:auto val="1"/>
        <c:lblAlgn val="ctr"/>
        <c:lblOffset val="100"/>
        <c:noMultiLvlLbl val="0"/>
      </c:catAx>
      <c:valAx>
        <c:axId val="1802122432"/>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GB" sz="1400" b="1">
                    <a:solidFill>
                      <a:schemeClr val="tx1"/>
                    </a:solidFill>
                  </a:rPr>
                  <a:t>NO.</a:t>
                </a:r>
                <a:r>
                  <a:rPr lang="en-GB" sz="1400" b="1" baseline="0">
                    <a:solidFill>
                      <a:schemeClr val="tx1"/>
                    </a:solidFill>
                  </a:rPr>
                  <a:t> OF SHOT S TAKEN</a:t>
                </a:r>
                <a:endParaRPr lang="en-GB" sz="1400" b="1">
                  <a:solidFill>
                    <a:schemeClr val="tx1"/>
                  </a:solidFill>
                </a:endParaRP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numFmt formatCode="General" sourceLinked="1"/>
        <c:majorTickMark val="in"/>
        <c:minorTickMark val="in"/>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84976368"/>
        <c:crosses val="autoZero"/>
        <c:crossBetween val="between"/>
      </c:valAx>
      <c:spPr>
        <a:noFill/>
        <a:ln>
          <a:noFill/>
        </a:ln>
        <a:effectLst/>
      </c:spPr>
    </c:plotArea>
    <c:plotVisOnly val="1"/>
    <c:dispBlanksAs val="gap"/>
    <c:showDLblsOverMax val="0"/>
    <c:extLst/>
  </c:chart>
  <c:spPr>
    <a:solidFill>
      <a:srgbClr val="FFC000"/>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[NBA LAKERS DASHBOARD.xlsx]team_work!PivotTable25</c:name>
    <c:fmtId val="19"/>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GB"/>
              <a:t>OPP STATS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spPr>
          <a:pattFill prst="ltUpDiag">
            <a:fgClr>
              <a:schemeClr val="accent1"/>
            </a:fgClr>
            <a:bgClr>
              <a:schemeClr val="lt1"/>
            </a:bgClr>
          </a:pattFill>
          <a:ln w="57150">
            <a:solidFill>
              <a:schemeClr val="tx1"/>
            </a:solid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57150">
            <a:solidFill>
              <a:schemeClr val="tx1"/>
            </a:solid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team_work!$H$35</c:f>
              <c:strCache>
                <c:ptCount val="1"/>
                <c:pt idx="0">
                  <c:v>Total</c:v>
                </c:pt>
              </c:strCache>
            </c:strRef>
          </c:tx>
          <c:spPr>
            <a:pattFill prst="ltUpDiag">
              <a:fgClr>
                <a:schemeClr val="accent1"/>
              </a:fgClr>
              <a:bgClr>
                <a:schemeClr val="lt1"/>
              </a:bgClr>
            </a:pattFill>
            <a:ln w="57150">
              <a:solidFill>
                <a:schemeClr val="tx1"/>
              </a:solid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team_work!$G$36:$G$42</c:f>
              <c:multiLvlStrCache>
                <c:ptCount val="6"/>
                <c:lvl>
                  <c:pt idx="0">
                    <c:v>POINTS</c:v>
                  </c:pt>
                  <c:pt idx="1">
                    <c:v>REBOUNDS</c:v>
                  </c:pt>
                  <c:pt idx="2">
                    <c:v>ASSISTS</c:v>
                  </c:pt>
                  <c:pt idx="3">
                    <c:v>STEALS</c:v>
                  </c:pt>
                  <c:pt idx="4">
                    <c:v>BLOCKS</c:v>
                  </c:pt>
                  <c:pt idx="5">
                    <c:v>TOV.</c:v>
                  </c:pt>
                </c:lvl>
                <c:lvl>
                  <c:pt idx="0">
                    <c:v>TOR</c:v>
                  </c:pt>
                </c:lvl>
              </c:multiLvlStrCache>
            </c:multiLvlStrRef>
          </c:cat>
          <c:val>
            <c:numRef>
              <c:f>team_work!$H$36:$H$42</c:f>
              <c:numCache>
                <c:formatCode>0</c:formatCode>
                <c:ptCount val="6"/>
                <c:pt idx="0">
                  <c:v>110</c:v>
                </c:pt>
                <c:pt idx="1">
                  <c:v>47</c:v>
                </c:pt>
                <c:pt idx="2">
                  <c:v>25</c:v>
                </c:pt>
                <c:pt idx="3">
                  <c:v>6.5</c:v>
                </c:pt>
                <c:pt idx="4">
                  <c:v>6.5</c:v>
                </c:pt>
                <c:pt idx="5">
                  <c:v>13.5</c:v>
                </c:pt>
              </c:numCache>
            </c:numRef>
          </c:val>
          <c:extLst>
            <c:ext xmlns:c16="http://schemas.microsoft.com/office/drawing/2014/chart" uri="{C3380CC4-5D6E-409C-BE32-E72D297353CC}">
              <c16:uniqueId val="{00000000-227F-0144-A486-74A58210CAC7}"/>
            </c:ext>
          </c:extLst>
        </c:ser>
        <c:dLbls>
          <c:showLegendKey val="0"/>
          <c:showVal val="0"/>
          <c:showCatName val="0"/>
          <c:showSerName val="0"/>
          <c:showPercent val="0"/>
          <c:showBubbleSize val="0"/>
        </c:dLbls>
        <c:gapWidth val="269"/>
        <c:overlap val="-20"/>
        <c:axId val="1881185376"/>
        <c:axId val="206885263"/>
      </c:barChart>
      <c:catAx>
        <c:axId val="1881185376"/>
        <c:scaling>
          <c:orientation val="minMax"/>
        </c:scaling>
        <c:delete val="0"/>
        <c:axPos val="b"/>
        <c:majorGridlines>
          <c:spPr>
            <a:ln w="9525" cap="flat" cmpd="sng" algn="ctr">
              <a:solidFill>
                <a:sysClr val="windowText" lastClr="000000">
                  <a:alpha val="25000"/>
                </a:sysClr>
              </a:solidFill>
              <a:round/>
            </a:ln>
            <a:effectLst/>
          </c:spPr>
        </c:majorGridlines>
        <c:numFmt formatCode="General" sourceLinked="1"/>
        <c:majorTickMark val="none"/>
        <c:minorTickMark val="none"/>
        <c:tickLblPos val="nextTo"/>
        <c:spPr>
          <a:noFill/>
          <a:ln w="3175" cap="flat" cmpd="sng" algn="ctr">
            <a:solidFill>
              <a:sysClr val="windowText" lastClr="000000"/>
            </a:solidFill>
            <a:round/>
          </a:ln>
          <a:effectLst/>
        </c:spPr>
        <c:txPr>
          <a:bodyPr rot="-60000000" spcFirstLastPara="1" vertOverflow="ellipsis" vert="horz" wrap="square" anchor="ctr" anchorCtr="1"/>
          <a:lstStyle/>
          <a:p>
            <a:pPr>
              <a:defRPr sz="1200" b="1" i="0" u="none" strike="noStrike" kern="1200" cap="all" spc="150" normalizeH="0" baseline="0">
                <a:solidFill>
                  <a:schemeClr val="tx1"/>
                </a:solidFill>
                <a:latin typeface="+mn-lt"/>
                <a:ea typeface="+mn-ea"/>
                <a:cs typeface="+mn-cs"/>
              </a:defRPr>
            </a:pPr>
            <a:endParaRPr lang="en-US"/>
          </a:p>
        </c:txPr>
        <c:crossAx val="206885263"/>
        <c:crosses val="autoZero"/>
        <c:auto val="1"/>
        <c:lblAlgn val="ctr"/>
        <c:lblOffset val="100"/>
        <c:noMultiLvlLbl val="0"/>
      </c:catAx>
      <c:valAx>
        <c:axId val="206885263"/>
        <c:scaling>
          <c:orientation val="minMax"/>
        </c:scaling>
        <c:delete val="0"/>
        <c:axPos val="l"/>
        <c:numFmt formatCode="0" sourceLinked="1"/>
        <c:majorTickMark val="in"/>
        <c:minorTickMark val="none"/>
        <c:tickLblPos val="nextTo"/>
        <c:spPr>
          <a:noFill/>
          <a:ln>
            <a:solidFill>
              <a:sysClr val="windowText" lastClr="000000">
                <a:lumMod val="95000"/>
                <a:lumOff val="5000"/>
              </a:sysClr>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81185376"/>
        <c:crosses val="autoZero"/>
        <c:crossBetween val="between"/>
      </c:valAx>
      <c:spPr>
        <a:noFill/>
        <a:ln>
          <a:noFill/>
        </a:ln>
        <a:effectLst/>
      </c:spPr>
    </c:plotArea>
    <c:plotVisOnly val="1"/>
    <c:dispBlanksAs val="gap"/>
    <c:showDLblsOverMax val="0"/>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2292557897381193"/>
          <c:y val="0.10807271888405219"/>
          <c:w val="0.78169636155163291"/>
          <c:h val="0.91184330346711662"/>
        </c:manualLayout>
      </c:layout>
      <c:doughnutChart>
        <c:varyColors val="1"/>
        <c:ser>
          <c:idx val="0"/>
          <c:order val="0"/>
          <c:spPr>
            <a:ln w="31750"/>
          </c:spPr>
          <c:dPt>
            <c:idx val="0"/>
            <c:bubble3D val="0"/>
            <c:spPr>
              <a:solidFill>
                <a:srgbClr val="92D050"/>
              </a:solidFill>
              <a:ln w="31750">
                <a:solidFill>
                  <a:schemeClr val="tx1"/>
                </a:solidFill>
              </a:ln>
              <a:effectLst/>
            </c:spPr>
            <c:extLst>
              <c:ext xmlns:c16="http://schemas.microsoft.com/office/drawing/2014/chart" uri="{C3380CC4-5D6E-409C-BE32-E72D297353CC}">
                <c16:uniqueId val="{00000001-6D8C-1D40-B809-C2BD99AC72F6}"/>
              </c:ext>
            </c:extLst>
          </c:dPt>
          <c:dPt>
            <c:idx val="1"/>
            <c:bubble3D val="0"/>
            <c:spPr>
              <a:solidFill>
                <a:schemeClr val="tx1"/>
              </a:solidFill>
              <a:ln w="44450">
                <a:solidFill>
                  <a:schemeClr val="tx1"/>
                </a:solidFill>
              </a:ln>
              <a:effectLst/>
            </c:spPr>
            <c:extLst>
              <c:ext xmlns:c16="http://schemas.microsoft.com/office/drawing/2014/chart" uri="{C3380CC4-5D6E-409C-BE32-E72D297353CC}">
                <c16:uniqueId val="{00000003-6D8C-1D40-B809-C2BD99AC72F6}"/>
              </c:ext>
            </c:extLst>
          </c:dPt>
          <c:val>
            <c:numRef>
              <c:f>player_work!$I$19:$J$19</c:f>
              <c:numCache>
                <c:formatCode>0.00%</c:formatCode>
                <c:ptCount val="2"/>
                <c:pt idx="0" formatCode="0.0%">
                  <c:v>0.64200000000000002</c:v>
                </c:pt>
                <c:pt idx="1">
                  <c:v>0.35799999999999998</c:v>
                </c:pt>
              </c:numCache>
            </c:numRef>
          </c:val>
          <c:extLst>
            <c:ext xmlns:c16="http://schemas.microsoft.com/office/drawing/2014/chart" uri="{C3380CC4-5D6E-409C-BE32-E72D297353CC}">
              <c16:uniqueId val="{00000004-6D8C-1D40-B809-C2BD99AC72F6}"/>
            </c:ext>
          </c:extLst>
        </c:ser>
        <c:dLbls>
          <c:showLegendKey val="0"/>
          <c:showVal val="0"/>
          <c:showCatName val="0"/>
          <c:showSerName val="0"/>
          <c:showPercent val="0"/>
          <c:showBubbleSize val="0"/>
          <c:showLeaderLines val="1"/>
        </c:dLbls>
        <c:firstSliceAng val="0"/>
        <c:holeSize val="43"/>
      </c:doughnutChart>
      <c:spPr>
        <a:noFill/>
        <a:ln>
          <a:noFill/>
        </a:ln>
        <a:effectLst/>
      </c:spPr>
    </c:plotArea>
    <c:legend>
      <c:legendPos val="tr"/>
      <c:layout>
        <c:manualLayout>
          <c:xMode val="edge"/>
          <c:yMode val="edge"/>
          <c:x val="0.95334404501015169"/>
          <c:y val="0"/>
          <c:w val="1.9847444800679435E-2"/>
          <c:h val="3.6734437638449198E-2"/>
        </c:manualLayout>
      </c:layout>
      <c:overlay val="1"/>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5517223835582428"/>
          <c:y val="0.13201936835702549"/>
          <c:w val="0.78169636155163291"/>
          <c:h val="0.91184330346711662"/>
        </c:manualLayout>
      </c:layout>
      <c:doughnutChart>
        <c:varyColors val="1"/>
        <c:ser>
          <c:idx val="0"/>
          <c:order val="0"/>
          <c:spPr>
            <a:ln w="31750"/>
          </c:spPr>
          <c:dPt>
            <c:idx val="0"/>
            <c:bubble3D val="0"/>
            <c:spPr>
              <a:solidFill>
                <a:srgbClr val="92D050"/>
              </a:solidFill>
              <a:ln w="31750">
                <a:solidFill>
                  <a:schemeClr val="tx1"/>
                </a:solidFill>
              </a:ln>
              <a:effectLst/>
            </c:spPr>
            <c:extLst>
              <c:ext xmlns:c16="http://schemas.microsoft.com/office/drawing/2014/chart" uri="{C3380CC4-5D6E-409C-BE32-E72D297353CC}">
                <c16:uniqueId val="{00000001-458E-4B41-BC05-4B32CE70C72A}"/>
              </c:ext>
            </c:extLst>
          </c:dPt>
          <c:dPt>
            <c:idx val="1"/>
            <c:bubble3D val="0"/>
            <c:spPr>
              <a:solidFill>
                <a:schemeClr val="tx1"/>
              </a:solidFill>
              <a:ln w="44450">
                <a:solidFill>
                  <a:schemeClr val="tx1"/>
                </a:solidFill>
              </a:ln>
              <a:effectLst/>
            </c:spPr>
            <c:extLst>
              <c:ext xmlns:c16="http://schemas.microsoft.com/office/drawing/2014/chart" uri="{C3380CC4-5D6E-409C-BE32-E72D297353CC}">
                <c16:uniqueId val="{00000003-458E-4B41-BC05-4B32CE70C72A}"/>
              </c:ext>
            </c:extLst>
          </c:dPt>
          <c:val>
            <c:numRef>
              <c:f>player_work!$I$29:$J$29</c:f>
              <c:numCache>
                <c:formatCode>0.00%</c:formatCode>
                <c:ptCount val="2"/>
                <c:pt idx="0" formatCode="0.0%">
                  <c:v>0.625</c:v>
                </c:pt>
                <c:pt idx="1">
                  <c:v>0.375</c:v>
                </c:pt>
              </c:numCache>
            </c:numRef>
          </c:val>
          <c:extLst>
            <c:ext xmlns:c16="http://schemas.microsoft.com/office/drawing/2014/chart" uri="{C3380CC4-5D6E-409C-BE32-E72D297353CC}">
              <c16:uniqueId val="{00000004-458E-4B41-BC05-4B32CE70C72A}"/>
            </c:ext>
          </c:extLst>
        </c:ser>
        <c:dLbls>
          <c:showLegendKey val="0"/>
          <c:showVal val="0"/>
          <c:showCatName val="0"/>
          <c:showSerName val="0"/>
          <c:showPercent val="0"/>
          <c:showBubbleSize val="0"/>
          <c:showLeaderLines val="1"/>
        </c:dLbls>
        <c:firstSliceAng val="0"/>
        <c:holeSize val="43"/>
      </c:doughnutChart>
      <c:spPr>
        <a:noFill/>
        <a:ln>
          <a:noFill/>
        </a:ln>
        <a:effectLst/>
      </c:spPr>
    </c:plotArea>
    <c:legend>
      <c:legendPos val="tr"/>
      <c:layout>
        <c:manualLayout>
          <c:xMode val="edge"/>
          <c:yMode val="edge"/>
          <c:x val="0.95334404501015169"/>
          <c:y val="0"/>
          <c:w val="1.9847444800679435E-2"/>
          <c:h val="3.6734437638449198E-2"/>
        </c:manualLayout>
      </c:layout>
      <c:overlay val="1"/>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r>
              <a:rPr lang="en-GB" baseline="0"/>
              <a:t>PLAYER BOX STATS vs team avg</a:t>
            </a:r>
            <a:endParaRPr lang="en-GB"/>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endParaRPr lang="en-US"/>
        </a:p>
      </c:txPr>
    </c:title>
    <c:autoTitleDeleted val="0"/>
    <c:pivotFmts>
      <c:pivotFmt>
        <c:idx val="0"/>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none"/>
        </c:marker>
        <c:dLbl>
          <c:idx val="0"/>
          <c:spPr>
            <a:solidFill>
              <a:srgbClr val="FFC000">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none"/>
        </c:marker>
        <c:dLbl>
          <c:idx val="0"/>
          <c:spPr>
            <a:solidFill>
              <a:srgbClr val="FFC000">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none"/>
        </c:marker>
        <c:dLbl>
          <c:idx val="0"/>
          <c:spPr>
            <a:solidFill>
              <a:srgbClr val="FFC000">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none"/>
        </c:marker>
        <c:dLbl>
          <c:idx val="0"/>
          <c:spPr>
            <a:solidFill>
              <a:srgbClr val="FFC000">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invertIfNegative val="0"/>
          <c:dLbls>
            <c:dLbl>
              <c:idx val="4"/>
              <c:spPr>
                <a:solidFill>
                  <a:srgbClr val="FFC000">
                    <a:alpha val="35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0-C647-FB47-B9CB-A8B82A31E7C0}"/>
                </c:ext>
              </c:extLst>
            </c:dLbl>
            <c:dLbl>
              <c:idx val="5"/>
              <c:spPr>
                <a:solidFill>
                  <a:srgbClr val="FFC000">
                    <a:alpha val="35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1-C647-FB47-B9CB-A8B82A31E7C0}"/>
                </c:ext>
              </c:extLst>
            </c:dLbl>
            <c:spPr>
              <a:solidFill>
                <a:srgbClr val="FFC000">
                  <a:alpha val="4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player_work!$J$13:$N$13</c:f>
              <c:strCache>
                <c:ptCount val="5"/>
                <c:pt idx="0">
                  <c:v>REBOUNDS</c:v>
                </c:pt>
                <c:pt idx="1">
                  <c:v>ASSISTS</c:v>
                </c:pt>
                <c:pt idx="2">
                  <c:v>STEAL</c:v>
                </c:pt>
                <c:pt idx="3">
                  <c:v>BLOCK</c:v>
                </c:pt>
                <c:pt idx="4">
                  <c:v>TURNOVER</c:v>
                </c:pt>
              </c:strCache>
            </c:strRef>
          </c:cat>
          <c:val>
            <c:numRef>
              <c:f>player_work!$J$14:$N$14</c:f>
              <c:numCache>
                <c:formatCode>General</c:formatCode>
                <c:ptCount val="5"/>
                <c:pt idx="0">
                  <c:v>5.7</c:v>
                </c:pt>
                <c:pt idx="1">
                  <c:v>0.5</c:v>
                </c:pt>
                <c:pt idx="2">
                  <c:v>0.5</c:v>
                </c:pt>
                <c:pt idx="3">
                  <c:v>1.4</c:v>
                </c:pt>
                <c:pt idx="4">
                  <c:v>0.8</c:v>
                </c:pt>
              </c:numCache>
            </c:numRef>
          </c:val>
          <c:extLst>
            <c:ext xmlns:c16="http://schemas.microsoft.com/office/drawing/2014/chart" uri="{C3380CC4-5D6E-409C-BE32-E72D297353CC}">
              <c16:uniqueId val="{00000002-C647-FB47-B9CB-A8B82A31E7C0}"/>
            </c:ext>
          </c:extLst>
        </c:ser>
        <c:dLbls>
          <c:showLegendKey val="0"/>
          <c:showVal val="1"/>
          <c:showCatName val="0"/>
          <c:showSerName val="0"/>
          <c:showPercent val="0"/>
          <c:showBubbleSize val="0"/>
        </c:dLbls>
        <c:gapWidth val="269"/>
        <c:axId val="1984976368"/>
        <c:axId val="1802122432"/>
      </c:barChart>
      <c:lineChart>
        <c:grouping val="standard"/>
        <c:varyColors val="0"/>
        <c:ser>
          <c:idx val="1"/>
          <c:order val="1"/>
          <c:spPr>
            <a:ln w="34925" cap="rnd" cmpd="sng">
              <a:solidFill>
                <a:sysClr val="windowText" lastClr="000000"/>
              </a:solidFill>
              <a:prstDash val="solid"/>
              <a:miter lim="800000"/>
              <a:headEnd type="oval"/>
              <a:tailEnd type="oval"/>
              <a:extLst>
                <a:ext uri="{C807C97D-BFC1-408E-A445-0C87EB9F89A2}">
                  <ask:lineSketchStyleProps xmlns:ask="http://schemas.microsoft.com/office/drawing/2018/sketchyshapes">
                    <ask:type>
                      <ask:lineSketchNone/>
                    </ask:type>
                  </ask:lineSketchStyleProps>
                </a:ext>
              </a:extLst>
            </a:ln>
            <a:effectLst>
              <a:glow rad="228600">
                <a:srgbClr val="ED7D31">
                  <a:lumMod val="75000"/>
                  <a:alpha val="40000"/>
                </a:srgbClr>
              </a:glow>
            </a:effectLst>
          </c:spPr>
          <c:marker>
            <c:symbol val="none"/>
          </c:marker>
          <c:cat>
            <c:strRef>
              <c:f>player_work!$J$13:$N$13</c:f>
              <c:strCache>
                <c:ptCount val="5"/>
                <c:pt idx="0">
                  <c:v>REBOUNDS</c:v>
                </c:pt>
                <c:pt idx="1">
                  <c:v>ASSISTS</c:v>
                </c:pt>
                <c:pt idx="2">
                  <c:v>STEAL</c:v>
                </c:pt>
                <c:pt idx="3">
                  <c:v>BLOCK</c:v>
                </c:pt>
                <c:pt idx="4">
                  <c:v>TURNOVER</c:v>
                </c:pt>
              </c:strCache>
            </c:strRef>
          </c:cat>
          <c:val>
            <c:numRef>
              <c:f>player_work!$J$15:$N$15</c:f>
              <c:numCache>
                <c:formatCode>0.0</c:formatCode>
                <c:ptCount val="5"/>
                <c:pt idx="0">
                  <c:v>3.1950000000000007</c:v>
                </c:pt>
                <c:pt idx="1">
                  <c:v>1.7449999999999999</c:v>
                </c:pt>
                <c:pt idx="2">
                  <c:v>0.61499999999999999</c:v>
                </c:pt>
                <c:pt idx="3">
                  <c:v>0.41000000000000003</c:v>
                </c:pt>
                <c:pt idx="4">
                  <c:v>1.0399999999999996</c:v>
                </c:pt>
              </c:numCache>
            </c:numRef>
          </c:val>
          <c:smooth val="1"/>
          <c:extLst>
            <c:ext xmlns:c16="http://schemas.microsoft.com/office/drawing/2014/chart" uri="{C3380CC4-5D6E-409C-BE32-E72D297353CC}">
              <c16:uniqueId val="{00000003-C647-FB47-B9CB-A8B82A31E7C0}"/>
            </c:ext>
          </c:extLst>
        </c:ser>
        <c:dLbls>
          <c:showLegendKey val="0"/>
          <c:showVal val="0"/>
          <c:showCatName val="0"/>
          <c:showSerName val="0"/>
          <c:showPercent val="0"/>
          <c:showBubbleSize val="0"/>
        </c:dLbls>
        <c:marker val="1"/>
        <c:smooth val="0"/>
        <c:axId val="1984976368"/>
        <c:axId val="1802122432"/>
      </c:lineChart>
      <c:catAx>
        <c:axId val="1984976368"/>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1100" b="0" i="0" u="none" strike="noStrike" kern="1200" cap="all" spc="150" normalizeH="0" baseline="0">
                <a:solidFill>
                  <a:schemeClr val="tx1"/>
                </a:solidFill>
                <a:latin typeface="+mn-lt"/>
                <a:ea typeface="+mn-ea"/>
                <a:cs typeface="+mn-cs"/>
              </a:defRPr>
            </a:pPr>
            <a:endParaRPr lang="en-US"/>
          </a:p>
        </c:txPr>
        <c:crossAx val="1802122432"/>
        <c:crosses val="autoZero"/>
        <c:auto val="1"/>
        <c:lblAlgn val="ctr"/>
        <c:lblOffset val="100"/>
        <c:noMultiLvlLbl val="0"/>
      </c:catAx>
      <c:valAx>
        <c:axId val="1802122432"/>
        <c:scaling>
          <c:orientation val="minMax"/>
        </c:scaling>
        <c:delete val="0"/>
        <c:axPos val="l"/>
        <c:numFmt formatCode="General" sourceLinked="1"/>
        <c:majorTickMark val="in"/>
        <c:minorTickMark val="in"/>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84976368"/>
        <c:crosses val="autoZero"/>
        <c:crossBetween val="between"/>
      </c:valAx>
      <c:spPr>
        <a:noFill/>
        <a:ln>
          <a:noFill/>
        </a:ln>
        <a:effectLst/>
      </c:spPr>
    </c:plotArea>
    <c:plotVisOnly val="1"/>
    <c:dispBlanksAs val="gap"/>
    <c:showDLblsOverMax val="0"/>
    <c:extLst/>
  </c:chart>
  <c:spPr>
    <a:solidFill>
      <a:srgbClr val="FFC000"/>
    </a:solidFill>
    <a:ln w="9525" cap="rnd" cmpd="sng" algn="ctr">
      <a:solidFill>
        <a:schemeClr val="accent1"/>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r>
              <a:rPr lang="en-GB"/>
              <a:t>PLAYER BOX STATS vs team avg</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endParaRPr lang="en-US"/>
        </a:p>
      </c:txPr>
    </c:title>
    <c:autoTitleDeleted val="0"/>
    <c:pivotFmts>
      <c:pivotFmt>
        <c:idx val="0"/>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none"/>
        </c:marker>
        <c:dLbl>
          <c:idx val="0"/>
          <c:spPr>
            <a:solidFill>
              <a:srgbClr val="FFC000">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none"/>
        </c:marker>
        <c:dLbl>
          <c:idx val="0"/>
          <c:spPr>
            <a:solidFill>
              <a:srgbClr val="FFC000">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none"/>
        </c:marker>
        <c:dLbl>
          <c:idx val="0"/>
          <c:spPr>
            <a:solidFill>
              <a:srgbClr val="FFC000">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none"/>
        </c:marker>
        <c:dLbl>
          <c:idx val="0"/>
          <c:spPr>
            <a:solidFill>
              <a:srgbClr val="FFC000">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invertIfNegative val="0"/>
          <c:dLbls>
            <c:dLbl>
              <c:idx val="4"/>
              <c:spPr>
                <a:solidFill>
                  <a:srgbClr val="FFC000">
                    <a:alpha val="35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0-76AC-E846-A4B4-5A8A954EA0EB}"/>
                </c:ext>
              </c:extLst>
            </c:dLbl>
            <c:dLbl>
              <c:idx val="5"/>
              <c:spPr>
                <a:solidFill>
                  <a:srgbClr val="FFC000">
                    <a:alpha val="35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1-76AC-E846-A4B4-5A8A954EA0EB}"/>
                </c:ext>
              </c:extLst>
            </c:dLbl>
            <c:spPr>
              <a:solidFill>
                <a:srgbClr val="FFC000">
                  <a:alpha val="4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player_work!$I$23:$N$23</c:f>
              <c:strCache>
                <c:ptCount val="6"/>
                <c:pt idx="0">
                  <c:v>POINTS</c:v>
                </c:pt>
                <c:pt idx="1">
                  <c:v>REBOUNDS</c:v>
                </c:pt>
                <c:pt idx="2">
                  <c:v>ASSISTS</c:v>
                </c:pt>
                <c:pt idx="3">
                  <c:v>STEAL</c:v>
                </c:pt>
                <c:pt idx="4">
                  <c:v>BLOCK</c:v>
                </c:pt>
                <c:pt idx="5">
                  <c:v>TURNOVER</c:v>
                </c:pt>
              </c:strCache>
            </c:strRef>
          </c:cat>
          <c:val>
            <c:numRef>
              <c:f>player_work!$I$24:$N$24</c:f>
              <c:numCache>
                <c:formatCode>General</c:formatCode>
                <c:ptCount val="6"/>
                <c:pt idx="0">
                  <c:v>2.9</c:v>
                </c:pt>
                <c:pt idx="1">
                  <c:v>3.1</c:v>
                </c:pt>
                <c:pt idx="2">
                  <c:v>0.5</c:v>
                </c:pt>
                <c:pt idx="3">
                  <c:v>0.1</c:v>
                </c:pt>
                <c:pt idx="4">
                  <c:v>0.7</c:v>
                </c:pt>
                <c:pt idx="5">
                  <c:v>0.6</c:v>
                </c:pt>
              </c:numCache>
            </c:numRef>
          </c:val>
          <c:extLst>
            <c:ext xmlns:c16="http://schemas.microsoft.com/office/drawing/2014/chart" uri="{C3380CC4-5D6E-409C-BE32-E72D297353CC}">
              <c16:uniqueId val="{00000002-76AC-E846-A4B4-5A8A954EA0EB}"/>
            </c:ext>
          </c:extLst>
        </c:ser>
        <c:dLbls>
          <c:showLegendKey val="0"/>
          <c:showVal val="1"/>
          <c:showCatName val="0"/>
          <c:showSerName val="0"/>
          <c:showPercent val="0"/>
          <c:showBubbleSize val="0"/>
        </c:dLbls>
        <c:gapWidth val="269"/>
        <c:axId val="1984976368"/>
        <c:axId val="1802122432"/>
      </c:barChart>
      <c:lineChart>
        <c:grouping val="standard"/>
        <c:varyColors val="0"/>
        <c:ser>
          <c:idx val="1"/>
          <c:order val="1"/>
          <c:spPr>
            <a:ln w="34925" cap="rnd">
              <a:solidFill>
                <a:sysClr val="windowText" lastClr="000000"/>
              </a:solidFill>
              <a:round/>
              <a:headEnd type="oval"/>
            </a:ln>
            <a:effectLst>
              <a:glow rad="228600">
                <a:srgbClr val="C00000">
                  <a:alpha val="19000"/>
                </a:srgbClr>
              </a:glow>
            </a:effectLst>
          </c:spPr>
          <c:marker>
            <c:symbol val="none"/>
          </c:marker>
          <c:cat>
            <c:strRef>
              <c:f>player_work!$I$23:$N$23</c:f>
              <c:strCache>
                <c:ptCount val="6"/>
                <c:pt idx="0">
                  <c:v>POINTS</c:v>
                </c:pt>
                <c:pt idx="1">
                  <c:v>REBOUNDS</c:v>
                </c:pt>
                <c:pt idx="2">
                  <c:v>ASSISTS</c:v>
                </c:pt>
                <c:pt idx="3">
                  <c:v>STEAL</c:v>
                </c:pt>
                <c:pt idx="4">
                  <c:v>BLOCK</c:v>
                </c:pt>
                <c:pt idx="5">
                  <c:v>TURNOVER</c:v>
                </c:pt>
              </c:strCache>
            </c:strRef>
          </c:cat>
          <c:val>
            <c:numRef>
              <c:f>player_work!$I$25:$N$25</c:f>
              <c:numCache>
                <c:formatCode>0.0</c:formatCode>
                <c:ptCount val="6"/>
                <c:pt idx="0">
                  <c:v>8.48</c:v>
                </c:pt>
                <c:pt idx="1">
                  <c:v>3.3133333333333335</c:v>
                </c:pt>
                <c:pt idx="2">
                  <c:v>1.9</c:v>
                </c:pt>
                <c:pt idx="3">
                  <c:v>0.65333333333333321</c:v>
                </c:pt>
                <c:pt idx="4">
                  <c:v>0.38666666666666666</c:v>
                </c:pt>
                <c:pt idx="5">
                  <c:v>1.0666666666666667</c:v>
                </c:pt>
              </c:numCache>
            </c:numRef>
          </c:val>
          <c:smooth val="1"/>
          <c:extLst>
            <c:ext xmlns:c16="http://schemas.microsoft.com/office/drawing/2014/chart" uri="{C3380CC4-5D6E-409C-BE32-E72D297353CC}">
              <c16:uniqueId val="{00000003-76AC-E846-A4B4-5A8A954EA0EB}"/>
            </c:ext>
          </c:extLst>
        </c:ser>
        <c:dLbls>
          <c:showLegendKey val="0"/>
          <c:showVal val="0"/>
          <c:showCatName val="0"/>
          <c:showSerName val="0"/>
          <c:showPercent val="0"/>
          <c:showBubbleSize val="0"/>
        </c:dLbls>
        <c:marker val="1"/>
        <c:smooth val="0"/>
        <c:axId val="1984976368"/>
        <c:axId val="1802122432"/>
      </c:lineChart>
      <c:catAx>
        <c:axId val="1984976368"/>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1100" b="0" i="0" u="none" strike="noStrike" kern="1200" cap="all" spc="150" normalizeH="0" baseline="0">
                <a:solidFill>
                  <a:schemeClr val="tx1"/>
                </a:solidFill>
                <a:latin typeface="+mn-lt"/>
                <a:ea typeface="+mn-ea"/>
                <a:cs typeface="+mn-cs"/>
              </a:defRPr>
            </a:pPr>
            <a:endParaRPr lang="en-US"/>
          </a:p>
        </c:txPr>
        <c:crossAx val="1802122432"/>
        <c:crosses val="autoZero"/>
        <c:auto val="1"/>
        <c:lblAlgn val="ctr"/>
        <c:lblOffset val="100"/>
        <c:noMultiLvlLbl val="0"/>
      </c:catAx>
      <c:valAx>
        <c:axId val="1802122432"/>
        <c:scaling>
          <c:orientation val="minMax"/>
        </c:scaling>
        <c:delete val="0"/>
        <c:axPos val="l"/>
        <c:numFmt formatCode="General" sourceLinked="1"/>
        <c:majorTickMark val="in"/>
        <c:minorTickMark val="in"/>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84976368"/>
        <c:crosses val="autoZero"/>
        <c:crossBetween val="between"/>
      </c:valAx>
      <c:spPr>
        <a:noFill/>
        <a:ln>
          <a:noFill/>
        </a:ln>
        <a:effectLst/>
      </c:spPr>
    </c:plotArea>
    <c:plotVisOnly val="1"/>
    <c:dispBlanksAs val="gap"/>
    <c:showDLblsOverMax val="0"/>
    <c:extLst/>
  </c:chart>
  <c:spPr>
    <a:solidFill>
      <a:srgbClr val="FFC000"/>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[NBA LAKERS DASHBOARD.xlsx]team_work!PivotTable12</c:name>
    <c:fmtId val="3"/>
  </c:pivotSource>
  <c:chart>
    <c:title>
      <c:tx>
        <c:rich>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r>
              <a:rPr lang="en-US">
                <a:solidFill>
                  <a:schemeClr val="tx1"/>
                </a:solidFill>
              </a:rPr>
              <a:t>LA FIELD GOAL</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endParaRPr lang="en-US"/>
        </a:p>
      </c:txPr>
    </c:title>
    <c:autoTitleDeleted val="0"/>
    <c:pivotFmts>
      <c:pivotFmt>
        <c:idx val="0"/>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none"/>
        </c:marker>
        <c:dLbl>
          <c:idx val="0"/>
          <c:spPr>
            <a:solidFill>
              <a:srgbClr val="FFC000">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none"/>
        </c:marker>
        <c:dLbl>
          <c:idx val="0"/>
          <c:spPr>
            <a:solidFill>
              <a:srgbClr val="FFC000">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none"/>
        </c:marker>
        <c:dLbl>
          <c:idx val="0"/>
          <c:spPr>
            <a:solidFill>
              <a:srgbClr val="FFC000">
                <a:alpha val="70000"/>
              </a:srgb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lt1"/>
            </a:bgClr>
          </a:patt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pattFill prst="ltUpDiag">
            <a:fgClr>
              <a:schemeClr val="accent1"/>
            </a:fgClr>
            <a:bgClr>
              <a:schemeClr val="lt1"/>
            </a:bgClr>
          </a:pattFill>
          <a:ln>
            <a:noFill/>
          </a:ln>
          <a:effectLst/>
        </c:spPr>
        <c:marker>
          <c:symbol val="none"/>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team_work!$B$3</c:f>
              <c:strCache>
                <c:ptCount val="1"/>
                <c:pt idx="0">
                  <c:v>Total</c:v>
                </c:pt>
              </c:strCache>
            </c:strRef>
          </c:tx>
          <c:spPr>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5715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team_work!$A$4:$A$8</c:f>
              <c:multiLvlStrCache>
                <c:ptCount val="2"/>
                <c:lvl>
                  <c:pt idx="0">
                    <c:v>FGA.</c:v>
                  </c:pt>
                  <c:pt idx="1">
                    <c:v>FGM.</c:v>
                  </c:pt>
                </c:lvl>
                <c:lvl>
                  <c:pt idx="0">
                    <c:v>TOR</c:v>
                  </c:pt>
                </c:lvl>
              </c:multiLvlStrCache>
            </c:multiLvlStrRef>
          </c:cat>
          <c:val>
            <c:numRef>
              <c:f>team_work!$B$4:$B$8</c:f>
              <c:numCache>
                <c:formatCode>0</c:formatCode>
                <c:ptCount val="2"/>
                <c:pt idx="0">
                  <c:v>88</c:v>
                </c:pt>
                <c:pt idx="1">
                  <c:v>35</c:v>
                </c:pt>
              </c:numCache>
            </c:numRef>
          </c:val>
          <c:extLst>
            <c:ext xmlns:c16="http://schemas.microsoft.com/office/drawing/2014/chart" uri="{C3380CC4-5D6E-409C-BE32-E72D297353CC}">
              <c16:uniqueId val="{00000002-AAE4-9E4A-87E8-6046E6F4666C}"/>
            </c:ext>
          </c:extLst>
        </c:ser>
        <c:dLbls>
          <c:showLegendKey val="0"/>
          <c:showVal val="1"/>
          <c:showCatName val="0"/>
          <c:showSerName val="0"/>
          <c:showPercent val="0"/>
          <c:showBubbleSize val="0"/>
        </c:dLbls>
        <c:gapWidth val="269"/>
        <c:overlap val="-20"/>
        <c:axId val="1984976368"/>
        <c:axId val="1802122432"/>
      </c:barChart>
      <c:catAx>
        <c:axId val="1984976368"/>
        <c:scaling>
          <c:orientation val="minMax"/>
        </c:scaling>
        <c:delete val="0"/>
        <c:axPos val="b"/>
        <c:majorGridlines>
          <c:spPr>
            <a:ln w="9525" cap="flat" cmpd="sng" algn="ctr">
              <a:solidFill>
                <a:schemeClr val="tx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1200" b="1" i="0" u="none" strike="noStrike" kern="1200" cap="all" spc="150" normalizeH="0" baseline="0">
                <a:solidFill>
                  <a:schemeClr val="tx1"/>
                </a:solidFill>
                <a:latin typeface="+mn-lt"/>
                <a:ea typeface="+mn-ea"/>
                <a:cs typeface="+mn-cs"/>
              </a:defRPr>
            </a:pPr>
            <a:endParaRPr lang="en-US"/>
          </a:p>
        </c:txPr>
        <c:crossAx val="1802122432"/>
        <c:crosses val="autoZero"/>
        <c:auto val="1"/>
        <c:lblAlgn val="ctr"/>
        <c:lblOffset val="100"/>
        <c:noMultiLvlLbl val="0"/>
      </c:catAx>
      <c:valAx>
        <c:axId val="180212243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GB" sz="1050">
                    <a:solidFill>
                      <a:schemeClr val="tx1"/>
                    </a:solidFill>
                  </a:rPr>
                  <a:t>NO.</a:t>
                </a:r>
                <a:r>
                  <a:rPr lang="en-GB" sz="1050" baseline="0">
                    <a:solidFill>
                      <a:schemeClr val="tx1"/>
                    </a:solidFill>
                  </a:rPr>
                  <a:t> OF SHOTS</a:t>
                </a:r>
                <a:endParaRPr lang="en-GB" sz="1050">
                  <a:solidFill>
                    <a:schemeClr val="tx1"/>
                  </a:solidFill>
                </a:endParaRP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0" sourceLinked="1"/>
        <c:majorTickMark val="in"/>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84976368"/>
        <c:crosses val="autoZero"/>
        <c:crossBetween val="between"/>
      </c:valAx>
      <c:spPr>
        <a:noFill/>
        <a:ln>
          <a:noFill/>
        </a:ln>
        <a:effectLst/>
      </c:spPr>
    </c:plotArea>
    <c:plotVisOnly val="1"/>
    <c:dispBlanksAs val="gap"/>
    <c:showDLblsOverMax val="0"/>
    <c:extLst/>
  </c:chart>
  <c:spPr>
    <a:solidFill>
      <a:srgbClr val="FFC00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[NBA LAKERS DASHBOARD.xlsx]team_work!PivotTable16</c:name>
    <c:fmtId val="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OPP</a:t>
            </a:r>
            <a:r>
              <a:rPr lang="en-US" baseline="0"/>
              <a:t> FIELD GOAL</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spPr>
          <a:pattFill prst="ltUpDiag">
            <a:fgClr>
              <a:schemeClr val="accent1"/>
            </a:fgClr>
            <a:bgClr>
              <a:schemeClr val="lt1"/>
            </a:bgClr>
          </a:pattFill>
          <a:ln w="57150">
            <a:solidFill>
              <a:schemeClr val="tx1"/>
            </a:solid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team_work!$H$3</c:f>
              <c:strCache>
                <c:ptCount val="1"/>
                <c:pt idx="0">
                  <c:v>Total</c:v>
                </c:pt>
              </c:strCache>
            </c:strRef>
          </c:tx>
          <c:spPr>
            <a:pattFill prst="ltUpDiag">
              <a:fgClr>
                <a:schemeClr val="accent1"/>
              </a:fgClr>
              <a:bgClr>
                <a:schemeClr val="lt1"/>
              </a:bgClr>
            </a:pattFill>
            <a:ln w="57150">
              <a:solidFill>
                <a:schemeClr val="tx1"/>
              </a:solid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team_work!$G$4:$G$8</c:f>
              <c:multiLvlStrCache>
                <c:ptCount val="2"/>
                <c:lvl>
                  <c:pt idx="0">
                    <c:v>Opp.FGA.</c:v>
                  </c:pt>
                  <c:pt idx="1">
                    <c:v>Opp.FGM.</c:v>
                  </c:pt>
                </c:lvl>
                <c:lvl>
                  <c:pt idx="0">
                    <c:v>TOR</c:v>
                  </c:pt>
                </c:lvl>
              </c:multiLvlStrCache>
            </c:multiLvlStrRef>
          </c:cat>
          <c:val>
            <c:numRef>
              <c:f>team_work!$H$4:$H$8</c:f>
              <c:numCache>
                <c:formatCode>0</c:formatCode>
                <c:ptCount val="2"/>
                <c:pt idx="0">
                  <c:v>86.5</c:v>
                </c:pt>
                <c:pt idx="1">
                  <c:v>39</c:v>
                </c:pt>
              </c:numCache>
            </c:numRef>
          </c:val>
          <c:extLst>
            <c:ext xmlns:c16="http://schemas.microsoft.com/office/drawing/2014/chart" uri="{C3380CC4-5D6E-409C-BE32-E72D297353CC}">
              <c16:uniqueId val="{00000000-227F-0144-A486-74A58210CAC7}"/>
            </c:ext>
          </c:extLst>
        </c:ser>
        <c:dLbls>
          <c:showLegendKey val="0"/>
          <c:showVal val="0"/>
          <c:showCatName val="0"/>
          <c:showSerName val="0"/>
          <c:showPercent val="0"/>
          <c:showBubbleSize val="0"/>
        </c:dLbls>
        <c:gapWidth val="269"/>
        <c:overlap val="-20"/>
        <c:axId val="1881185376"/>
        <c:axId val="206885263"/>
      </c:barChart>
      <c:catAx>
        <c:axId val="1881185376"/>
        <c:scaling>
          <c:orientation val="minMax"/>
        </c:scaling>
        <c:delete val="0"/>
        <c:axPos val="b"/>
        <c:majorGridlines>
          <c:spPr>
            <a:ln w="9525" cap="flat" cmpd="sng" algn="ctr">
              <a:solidFill>
                <a:schemeClr val="tx1">
                  <a:alpha val="25000"/>
                </a:schemeClr>
              </a:solidFill>
              <a:round/>
            </a:ln>
            <a:effectLst/>
          </c:spPr>
        </c:majorGridlines>
        <c:numFmt formatCode="General" sourceLinked="1"/>
        <c:majorTickMark val="none"/>
        <c:minorTickMark val="none"/>
        <c:tickLblPos val="nextTo"/>
        <c:spPr>
          <a:noFill/>
          <a:ln w="3175" cap="flat" cmpd="sng" algn="ctr">
            <a:solidFill>
              <a:schemeClr val="tx1">
                <a:lumMod val="95000"/>
                <a:lumOff val="5000"/>
              </a:schemeClr>
            </a:solidFill>
            <a:round/>
          </a:ln>
          <a:effectLst/>
        </c:spPr>
        <c:txPr>
          <a:bodyPr rot="-60000000" spcFirstLastPara="1" vertOverflow="ellipsis" vert="horz" wrap="square" anchor="ctr" anchorCtr="1"/>
          <a:lstStyle/>
          <a:p>
            <a:pPr>
              <a:defRPr sz="1400" b="1" i="0" u="none" strike="noStrike" kern="1200" cap="all" spc="150" normalizeH="0" baseline="0">
                <a:solidFill>
                  <a:schemeClr val="tx1"/>
                </a:solidFill>
                <a:latin typeface="+mn-lt"/>
                <a:ea typeface="+mn-ea"/>
                <a:cs typeface="+mn-cs"/>
              </a:defRPr>
            </a:pPr>
            <a:endParaRPr lang="en-US"/>
          </a:p>
        </c:txPr>
        <c:crossAx val="206885263"/>
        <c:crosses val="autoZero"/>
        <c:auto val="1"/>
        <c:lblAlgn val="ctr"/>
        <c:lblOffset val="100"/>
        <c:noMultiLvlLbl val="0"/>
      </c:catAx>
      <c:valAx>
        <c:axId val="206885263"/>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GB" sz="1050">
                    <a:solidFill>
                      <a:schemeClr val="tx1"/>
                    </a:solidFill>
                  </a:rPr>
                  <a:t>NO.</a:t>
                </a:r>
                <a:r>
                  <a:rPr lang="en-GB" sz="1050" baseline="0">
                    <a:solidFill>
                      <a:schemeClr val="tx1"/>
                    </a:solidFill>
                  </a:rPr>
                  <a:t> OF SHOTS</a:t>
                </a:r>
                <a:endParaRPr lang="en-GB" sz="1050">
                  <a:solidFill>
                    <a:schemeClr val="tx1"/>
                  </a:solidFill>
                </a:endParaRP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0" sourceLinked="1"/>
        <c:majorTickMark val="in"/>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81185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547845473566701"/>
          <c:y val="9.8946142285489619E-2"/>
          <c:w val="0.78169636155163291"/>
          <c:h val="0.91184330346711662"/>
        </c:manualLayout>
      </c:layout>
      <c:doughnutChart>
        <c:varyColors val="1"/>
        <c:ser>
          <c:idx val="0"/>
          <c:order val="0"/>
          <c:spPr>
            <a:ln w="31750"/>
          </c:spPr>
          <c:dPt>
            <c:idx val="0"/>
            <c:bubble3D val="0"/>
            <c:spPr>
              <a:solidFill>
                <a:srgbClr val="92D050"/>
              </a:solidFill>
              <a:ln w="31750">
                <a:solidFill>
                  <a:schemeClr val="tx1"/>
                </a:solidFill>
              </a:ln>
              <a:effectLst/>
            </c:spPr>
            <c:extLst>
              <c:ext xmlns:c16="http://schemas.microsoft.com/office/drawing/2014/chart" uri="{C3380CC4-5D6E-409C-BE32-E72D297353CC}">
                <c16:uniqueId val="{00000001-2234-1640-AA75-9B51F985747F}"/>
              </c:ext>
            </c:extLst>
          </c:dPt>
          <c:dPt>
            <c:idx val="1"/>
            <c:bubble3D val="0"/>
            <c:spPr>
              <a:solidFill>
                <a:schemeClr val="tx1"/>
              </a:solidFill>
              <a:ln w="44450">
                <a:solidFill>
                  <a:schemeClr val="tx1"/>
                </a:solidFill>
              </a:ln>
              <a:effectLst/>
            </c:spPr>
            <c:extLst>
              <c:ext xmlns:c16="http://schemas.microsoft.com/office/drawing/2014/chart" uri="{C3380CC4-5D6E-409C-BE32-E72D297353CC}">
                <c16:uniqueId val="{00000003-2234-1640-AA75-9B51F985747F}"/>
              </c:ext>
            </c:extLst>
          </c:dPt>
          <c:val>
            <c:numRef>
              <c:f>team_work!$Q$4:$R$4</c:f>
              <c:numCache>
                <c:formatCode>0%</c:formatCode>
                <c:ptCount val="2"/>
                <c:pt idx="0">
                  <c:v>0.39500000000000002</c:v>
                </c:pt>
                <c:pt idx="1">
                  <c:v>0.60499999999999998</c:v>
                </c:pt>
              </c:numCache>
            </c:numRef>
          </c:val>
          <c:extLst>
            <c:ext xmlns:c16="http://schemas.microsoft.com/office/drawing/2014/chart" uri="{C3380CC4-5D6E-409C-BE32-E72D297353CC}">
              <c16:uniqueId val="{00000004-2234-1640-AA75-9B51F985747F}"/>
            </c:ext>
          </c:extLst>
        </c:ser>
        <c:dLbls>
          <c:showLegendKey val="0"/>
          <c:showVal val="0"/>
          <c:showCatName val="0"/>
          <c:showSerName val="0"/>
          <c:showPercent val="0"/>
          <c:showBubbleSize val="0"/>
          <c:showLeaderLines val="1"/>
        </c:dLbls>
        <c:firstSliceAng val="0"/>
        <c:holeSize val="43"/>
      </c:doughnutChart>
      <c:spPr>
        <a:noFill/>
        <a:ln>
          <a:noFill/>
        </a:ln>
        <a:effectLst/>
      </c:spPr>
    </c:plotArea>
    <c:legend>
      <c:legendPos val="tr"/>
      <c:layout>
        <c:manualLayout>
          <c:xMode val="edge"/>
          <c:yMode val="edge"/>
          <c:x val="0.95334404501015169"/>
          <c:y val="0"/>
          <c:w val="1.9847444800679435E-2"/>
          <c:h val="3.6734437638449198E-2"/>
        </c:manualLayout>
      </c:layout>
      <c:overlay val="1"/>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image" Target="../media/image1.emf"/><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hyperlink" Target="https://de.m.wikipedia.org/wiki/L._A._Lakers" TargetMode="External"/></Relationships>
</file>

<file path=xl/drawings/_rels/drawing3.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chart" Target="../charts/chart19.xml"/><Relationship Id="rId3" Type="http://schemas.openxmlformats.org/officeDocument/2006/relationships/chart" Target="../charts/chart9.xml"/><Relationship Id="rId7" Type="http://schemas.openxmlformats.org/officeDocument/2006/relationships/chart" Target="../charts/chart13.xml"/><Relationship Id="rId12" Type="http://schemas.openxmlformats.org/officeDocument/2006/relationships/chart" Target="../charts/chart18.xml"/><Relationship Id="rId2" Type="http://schemas.openxmlformats.org/officeDocument/2006/relationships/chart" Target="../charts/chart8.xml"/><Relationship Id="rId16" Type="http://schemas.openxmlformats.org/officeDocument/2006/relationships/hyperlink" Target="https://de.m.wikipedia.org/wiki/L._A._Lakers" TargetMode="Externa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chart" Target="../charts/chart17.xml"/><Relationship Id="rId5" Type="http://schemas.openxmlformats.org/officeDocument/2006/relationships/chart" Target="../charts/chart11.xml"/><Relationship Id="rId15" Type="http://schemas.openxmlformats.org/officeDocument/2006/relationships/image" Target="../media/image4.png"/><Relationship Id="rId10" Type="http://schemas.openxmlformats.org/officeDocument/2006/relationships/chart" Target="../charts/chart16.xml"/><Relationship Id="rId4" Type="http://schemas.openxmlformats.org/officeDocument/2006/relationships/chart" Target="../charts/chart10.xml"/><Relationship Id="rId9" Type="http://schemas.openxmlformats.org/officeDocument/2006/relationships/chart" Target="../charts/chart15.xml"/><Relationship Id="rId14" Type="http://schemas.openxmlformats.org/officeDocument/2006/relationships/chart" Target="../charts/chart20.xml"/></Relationships>
</file>

<file path=xl/drawings/_rels/drawing5.xml.rels><?xml version="1.0" encoding="UTF-8" standalone="yes"?>
<Relationships xmlns="http://schemas.openxmlformats.org/package/2006/relationships"><Relationship Id="rId13" Type="http://schemas.openxmlformats.org/officeDocument/2006/relationships/image" Target="../media/image11.jpeg"/><Relationship Id="rId18" Type="http://schemas.openxmlformats.org/officeDocument/2006/relationships/hyperlink" Target="https://heavy.com/sports/los-angeles-lakers/2020/06/lakers-dwight-howard/" TargetMode="External"/><Relationship Id="rId26" Type="http://schemas.openxmlformats.org/officeDocument/2006/relationships/hyperlink" Target="https://thunderousintentions.com/2021/02/18/talen-horton-tucker-okc-thunder-re-draft/" TargetMode="External"/><Relationship Id="rId39" Type="http://schemas.openxmlformats.org/officeDocument/2006/relationships/image" Target="../media/image24.jpeg"/><Relationship Id="rId21" Type="http://schemas.openxmlformats.org/officeDocument/2006/relationships/image" Target="../media/image15.jpeg"/><Relationship Id="rId34" Type="http://schemas.openxmlformats.org/officeDocument/2006/relationships/hyperlink" Target="https://www.talkbasket.net/124759-devontae-cacok-will-start-for-the-lakers-vs-the-pelicans" TargetMode="External"/><Relationship Id="rId7" Type="http://schemas.openxmlformats.org/officeDocument/2006/relationships/image" Target="../media/image8.jpeg"/><Relationship Id="rId12" Type="http://schemas.openxmlformats.org/officeDocument/2006/relationships/hyperlink" Target="https://www.silverscreenandroll.com/2019/10/3/20898065/lakers-news-avery-bradley-anthony-davis-lineups-defense-training-camp-kevin-garnett-celtics" TargetMode="External"/><Relationship Id="rId17" Type="http://schemas.openxmlformats.org/officeDocument/2006/relationships/image" Target="../media/image13.jpeg"/><Relationship Id="rId25" Type="http://schemas.openxmlformats.org/officeDocument/2006/relationships/image" Target="../media/image17.jpeg"/><Relationship Id="rId33" Type="http://schemas.openxmlformats.org/officeDocument/2006/relationships/image" Target="../media/image21.jpeg"/><Relationship Id="rId38" Type="http://schemas.openxmlformats.org/officeDocument/2006/relationships/hyperlink" Target="https://bleacherreport.com/articles/10004285-report-kostas-antetokounmpo-away-from-lakers-due-to-personal-matter-return-tbd" TargetMode="External"/><Relationship Id="rId2" Type="http://schemas.openxmlformats.org/officeDocument/2006/relationships/hyperlink" Target="https://it.anygator.com/fonte/repubblicait-gt;-sport__1003" TargetMode="External"/><Relationship Id="rId16" Type="http://schemas.openxmlformats.org/officeDocument/2006/relationships/hyperlink" Target="https://www.sportingnews.com/au/nba/news/nba-free-agency-2019-report-rajon-rondo-los-angeles-lakers-re-sign-two-year-deal/537y6o6ixvat1seo7kb68jk3b" TargetMode="External"/><Relationship Id="rId20" Type="http://schemas.openxmlformats.org/officeDocument/2006/relationships/hyperlink" Target="https://www.foxnews.com/sports/lakers-alex-caruso-optimistic-about-playing-in-orlando" TargetMode="External"/><Relationship Id="rId29" Type="http://schemas.openxmlformats.org/officeDocument/2006/relationships/image" Target="../media/image19.jpeg"/><Relationship Id="rId1" Type="http://schemas.openxmlformats.org/officeDocument/2006/relationships/image" Target="../media/image5.jpeg"/><Relationship Id="rId6" Type="http://schemas.openxmlformats.org/officeDocument/2006/relationships/hyperlink" Target="https://www.tmz.com/2017/12/21/lakers-kentavious-caldwell-pope-jail-games/" TargetMode="External"/><Relationship Id="rId11" Type="http://schemas.openxmlformats.org/officeDocument/2006/relationships/image" Target="../media/image10.jpeg"/><Relationship Id="rId24" Type="http://schemas.openxmlformats.org/officeDocument/2006/relationships/hyperlink" Target="https://www.silverscreenandroll.com/2020/2/25/21153071/lakers-markieff-morris-debut-vs-pelicans-x-factor-practice-interview-frank-vogel-lineups" TargetMode="External"/><Relationship Id="rId32" Type="http://schemas.openxmlformats.org/officeDocument/2006/relationships/hyperlink" Target="https://lasportshub.com/2020/03/02/los-angeles-lakers-reaction-troy-daniels/" TargetMode="External"/><Relationship Id="rId37" Type="http://schemas.openxmlformats.org/officeDocument/2006/relationships/image" Target="../media/image23.jpeg"/><Relationship Id="rId40" Type="http://schemas.openxmlformats.org/officeDocument/2006/relationships/hyperlink" Target="https://www.chatsports.com/los-angeles-lakers/a/source/south-bay-lakers-face-challenging-g-league-schedule-15753682" TargetMode="External"/><Relationship Id="rId5" Type="http://schemas.openxmlformats.org/officeDocument/2006/relationships/image" Target="../media/image7.jpeg"/><Relationship Id="rId15" Type="http://schemas.openxmlformats.org/officeDocument/2006/relationships/image" Target="../media/image12.jpeg"/><Relationship Id="rId23" Type="http://schemas.openxmlformats.org/officeDocument/2006/relationships/image" Target="../media/image16.jpeg"/><Relationship Id="rId28" Type="http://schemas.openxmlformats.org/officeDocument/2006/relationships/hyperlink" Target="https://www.silverscreenandroll.com/2020/7/3/21307944/lakers-profile-jr-smith-backup-shooting-guard-three-pointers-cleveland-free-agent" TargetMode="External"/><Relationship Id="rId36" Type="http://schemas.openxmlformats.org/officeDocument/2006/relationships/hyperlink" Target="https://photos.gq.com/story/jared-dudley-nba-strike-interview" TargetMode="External"/><Relationship Id="rId10" Type="http://schemas.openxmlformats.org/officeDocument/2006/relationships/hyperlink" Target="https://www.silverscreenandroll.com/2020/3/1/21160380/lakers-news-danny-green-3-point-stats-specialist-role-defense" TargetMode="External"/><Relationship Id="rId19" Type="http://schemas.openxmlformats.org/officeDocument/2006/relationships/image" Target="../media/image14.jpeg"/><Relationship Id="rId31" Type="http://schemas.openxmlformats.org/officeDocument/2006/relationships/image" Target="../media/image20.jpeg"/><Relationship Id="rId4" Type="http://schemas.openxmlformats.org/officeDocument/2006/relationships/hyperlink" Target="https://www.nintendoblast.com.br/2019/07/nba-2k20-switch-6-setembro.html" TargetMode="External"/><Relationship Id="rId9" Type="http://schemas.openxmlformats.org/officeDocument/2006/relationships/image" Target="../media/image9.jpeg"/><Relationship Id="rId14" Type="http://schemas.openxmlformats.org/officeDocument/2006/relationships/hyperlink" Target="https://www.silverscreenandroll.com/2020/3/2/21161390/lakers-podcast-would-dion-waiters-be-good-fit-rumors-apple-spotify-pelicans-final-score-troy-daniels" TargetMode="External"/><Relationship Id="rId22" Type="http://schemas.openxmlformats.org/officeDocument/2006/relationships/hyperlink" Target="https://bleacherreport.com/articles/2799073-lakers-javale-mcgee-feels-nba-doesnt-want-big-men-in-the-league" TargetMode="External"/><Relationship Id="rId27" Type="http://schemas.openxmlformats.org/officeDocument/2006/relationships/image" Target="../media/image18.jpeg"/><Relationship Id="rId30" Type="http://schemas.openxmlformats.org/officeDocument/2006/relationships/hyperlink" Target="https://touchdownwire.usatoday.com/2020/01/30/these-are-the-nba-players-who-changed-numbers-to-honor-kobe-bryant/nba-los-angeles-lakers-at-miami-heat/" TargetMode="External"/><Relationship Id="rId35" Type="http://schemas.openxmlformats.org/officeDocument/2006/relationships/image" Target="../media/image22.jpeg"/><Relationship Id="rId8" Type="http://schemas.openxmlformats.org/officeDocument/2006/relationships/hyperlink" Target="https://lasportshub.com/2017/12/20/kyle-kuzma-solidified-case-remain-starter-lakers/" TargetMode="External"/><Relationship Id="rId3" Type="http://schemas.openxmlformats.org/officeDocument/2006/relationships/image" Target="../media/image6.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0</xdr:col>
      <xdr:colOff>44303</xdr:colOff>
      <xdr:row>7</xdr:row>
      <xdr:rowOff>50800</xdr:rowOff>
    </xdr:from>
    <xdr:to>
      <xdr:col>7</xdr:col>
      <xdr:colOff>73838</xdr:colOff>
      <xdr:row>11</xdr:row>
      <xdr:rowOff>0</xdr:rowOff>
    </xdr:to>
    <xdr:sp macro="" textlink="">
      <xdr:nvSpPr>
        <xdr:cNvPr id="10" name="Rounded Rectangle 9">
          <a:extLst>
            <a:ext uri="{FF2B5EF4-FFF2-40B4-BE49-F238E27FC236}">
              <a16:creationId xmlns:a16="http://schemas.microsoft.com/office/drawing/2014/main" id="{926FF31B-FB44-9048-9438-E939E512DD86}"/>
            </a:ext>
          </a:extLst>
        </xdr:cNvPr>
        <xdr:cNvSpPr/>
      </xdr:nvSpPr>
      <xdr:spPr>
        <a:xfrm>
          <a:off x="44303" y="1498009"/>
          <a:ext cx="7368954" cy="2149549"/>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67733</xdr:colOff>
      <xdr:row>22</xdr:row>
      <xdr:rowOff>84666</xdr:rowOff>
    </xdr:from>
    <xdr:to>
      <xdr:col>6</xdr:col>
      <xdr:colOff>254000</xdr:colOff>
      <xdr:row>53</xdr:row>
      <xdr:rowOff>25400</xdr:rowOff>
    </xdr:to>
    <xdr:sp macro="" textlink="">
      <xdr:nvSpPr>
        <xdr:cNvPr id="9" name="Rounded Rectangle 8">
          <a:extLst>
            <a:ext uri="{FF2B5EF4-FFF2-40B4-BE49-F238E27FC236}">
              <a16:creationId xmlns:a16="http://schemas.microsoft.com/office/drawing/2014/main" id="{ECDEAA90-01E9-1D4A-B8BA-2CFB1FA77DC2}"/>
            </a:ext>
          </a:extLst>
        </xdr:cNvPr>
        <xdr:cNvSpPr/>
      </xdr:nvSpPr>
      <xdr:spPr>
        <a:xfrm>
          <a:off x="67733" y="7044266"/>
          <a:ext cx="9660467" cy="6239934"/>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7</xdr:col>
      <xdr:colOff>287866</xdr:colOff>
      <xdr:row>22</xdr:row>
      <xdr:rowOff>148166</xdr:rowOff>
    </xdr:from>
    <xdr:to>
      <xdr:col>35</xdr:col>
      <xdr:colOff>423334</xdr:colOff>
      <xdr:row>52</xdr:row>
      <xdr:rowOff>158750</xdr:rowOff>
    </xdr:to>
    <xdr:sp macro="" textlink="">
      <xdr:nvSpPr>
        <xdr:cNvPr id="7" name="Rounded Rectangle 6">
          <a:extLst>
            <a:ext uri="{FF2B5EF4-FFF2-40B4-BE49-F238E27FC236}">
              <a16:creationId xmlns:a16="http://schemas.microsoft.com/office/drawing/2014/main" id="{5E116270-B7F5-CB42-B422-557AF2388774}"/>
            </a:ext>
          </a:extLst>
        </xdr:cNvPr>
        <xdr:cNvSpPr/>
      </xdr:nvSpPr>
      <xdr:spPr>
        <a:xfrm>
          <a:off x="9969748" y="7110754"/>
          <a:ext cx="23144880" cy="6285878"/>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7</xdr:col>
      <xdr:colOff>304800</xdr:colOff>
      <xdr:row>2</xdr:row>
      <xdr:rowOff>21167</xdr:rowOff>
    </xdr:from>
    <xdr:to>
      <xdr:col>35</xdr:col>
      <xdr:colOff>508000</xdr:colOff>
      <xdr:row>21</xdr:row>
      <xdr:rowOff>169335</xdr:rowOff>
    </xdr:to>
    <xdr:sp macro="" textlink="">
      <xdr:nvSpPr>
        <xdr:cNvPr id="5" name="Rounded Rectangle 4">
          <a:extLst>
            <a:ext uri="{FF2B5EF4-FFF2-40B4-BE49-F238E27FC236}">
              <a16:creationId xmlns:a16="http://schemas.microsoft.com/office/drawing/2014/main" id="{FB43AE33-F520-8152-978B-E8D1B4AD0372}"/>
            </a:ext>
          </a:extLst>
        </xdr:cNvPr>
        <xdr:cNvSpPr/>
      </xdr:nvSpPr>
      <xdr:spPr>
        <a:xfrm>
          <a:off x="9999133" y="444500"/>
          <a:ext cx="23317200" cy="6434668"/>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7</xdr:col>
      <xdr:colOff>729884</xdr:colOff>
      <xdr:row>27</xdr:row>
      <xdr:rowOff>185486</xdr:rowOff>
    </xdr:from>
    <xdr:to>
      <xdr:col>18</xdr:col>
      <xdr:colOff>677334</xdr:colOff>
      <xdr:row>50</xdr:row>
      <xdr:rowOff>59530</xdr:rowOff>
    </xdr:to>
    <xdr:graphicFrame macro="">
      <xdr:nvGraphicFramePr>
        <xdr:cNvPr id="31" name="Chart 30">
          <a:extLst>
            <a:ext uri="{FF2B5EF4-FFF2-40B4-BE49-F238E27FC236}">
              <a16:creationId xmlns:a16="http://schemas.microsoft.com/office/drawing/2014/main" id="{2C76A35D-BC5A-2E46-808A-901EA15A8B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802874</xdr:colOff>
      <xdr:row>8</xdr:row>
      <xdr:rowOff>21166</xdr:rowOff>
    </xdr:from>
    <xdr:to>
      <xdr:col>18</xdr:col>
      <xdr:colOff>762000</xdr:colOff>
      <xdr:row>20</xdr:row>
      <xdr:rowOff>39440</xdr:rowOff>
    </xdr:to>
    <xdr:graphicFrame macro="">
      <xdr:nvGraphicFramePr>
        <xdr:cNvPr id="28" name="Chart 27">
          <a:extLst>
            <a:ext uri="{FF2B5EF4-FFF2-40B4-BE49-F238E27FC236}">
              <a16:creationId xmlns:a16="http://schemas.microsoft.com/office/drawing/2014/main" id="{6E4C4217-82ED-7549-88EF-F6BDAE0417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2038895</xdr:colOff>
          <xdr:row>9</xdr:row>
          <xdr:rowOff>108898</xdr:rowOff>
        </xdr:from>
        <xdr:to>
          <xdr:col>2</xdr:col>
          <xdr:colOff>2222500</xdr:colOff>
          <xdr:row>9</xdr:row>
          <xdr:rowOff>1752600</xdr:rowOff>
        </xdr:to>
        <xdr:pic>
          <xdr:nvPicPr>
            <xdr:cNvPr id="6" name="Picture 5">
              <a:extLst>
                <a:ext uri="{FF2B5EF4-FFF2-40B4-BE49-F238E27FC236}">
                  <a16:creationId xmlns:a16="http://schemas.microsoft.com/office/drawing/2014/main" id="{97375240-258F-F5F3-1140-8A73912F7E76}"/>
                </a:ext>
              </a:extLst>
            </xdr:cNvPr>
            <xdr:cNvPicPr>
              <a:picLocks noChangeAspect="1" noChangeArrowheads="1"/>
              <a:extLst>
                <a:ext uri="{84589F7E-364E-4C9E-8A38-B11213B215E9}">
                  <a14:cameraTool cellRange="playerfacelookup" spid="_x0000_s29776"/>
                </a:ext>
              </a:extLst>
            </xdr:cNvPicPr>
          </xdr:nvPicPr>
          <xdr:blipFill>
            <a:blip xmlns:r="http://schemas.openxmlformats.org/officeDocument/2006/relationships" r:embed="rId3"/>
            <a:srcRect/>
            <a:stretch>
              <a:fillRect/>
            </a:stretch>
          </xdr:blipFill>
          <xdr:spPr bwMode="auto">
            <a:xfrm>
              <a:off x="2445295" y="1607498"/>
              <a:ext cx="2368005" cy="1643702"/>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1574800</xdr:colOff>
      <xdr:row>9</xdr:row>
      <xdr:rowOff>101600</xdr:rowOff>
    </xdr:from>
    <xdr:to>
      <xdr:col>2</xdr:col>
      <xdr:colOff>2336799</xdr:colOff>
      <xdr:row>10</xdr:row>
      <xdr:rowOff>203200</xdr:rowOff>
    </xdr:to>
    <xdr:sp macro="" textlink="">
      <xdr:nvSpPr>
        <xdr:cNvPr id="8" name="Frame 7">
          <a:extLst>
            <a:ext uri="{FF2B5EF4-FFF2-40B4-BE49-F238E27FC236}">
              <a16:creationId xmlns:a16="http://schemas.microsoft.com/office/drawing/2014/main" id="{FBEF026E-203D-B48D-2382-E1AD59189DEC}"/>
            </a:ext>
          </a:extLst>
        </xdr:cNvPr>
        <xdr:cNvSpPr/>
      </xdr:nvSpPr>
      <xdr:spPr>
        <a:xfrm>
          <a:off x="1981200" y="1600200"/>
          <a:ext cx="2946399" cy="1981200"/>
        </a:xfrm>
        <a:prstGeom prst="fram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17</xdr:col>
      <xdr:colOff>339461</xdr:colOff>
      <xdr:row>5</xdr:row>
      <xdr:rowOff>170747</xdr:rowOff>
    </xdr:from>
    <xdr:to>
      <xdr:col>19</xdr:col>
      <xdr:colOff>57888</xdr:colOff>
      <xdr:row>9</xdr:row>
      <xdr:rowOff>950324</xdr:rowOff>
    </xdr:to>
    <xdr:graphicFrame macro="">
      <xdr:nvGraphicFramePr>
        <xdr:cNvPr id="24" name="Chart 23">
          <a:extLst>
            <a:ext uri="{FF2B5EF4-FFF2-40B4-BE49-F238E27FC236}">
              <a16:creationId xmlns:a16="http://schemas.microsoft.com/office/drawing/2014/main" id="{7ACB2EF1-2C17-1143-AC33-21B3263D2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761638</xdr:colOff>
      <xdr:row>9</xdr:row>
      <xdr:rowOff>229168</xdr:rowOff>
    </xdr:from>
    <xdr:to>
      <xdr:col>18</xdr:col>
      <xdr:colOff>589170</xdr:colOff>
      <xdr:row>9</xdr:row>
      <xdr:rowOff>545254</xdr:rowOff>
    </xdr:to>
    <xdr:sp macro="" textlink="player_work!I19">
      <xdr:nvSpPr>
        <xdr:cNvPr id="25" name="TextBox 24">
          <a:extLst>
            <a:ext uri="{FF2B5EF4-FFF2-40B4-BE49-F238E27FC236}">
              <a16:creationId xmlns:a16="http://schemas.microsoft.com/office/drawing/2014/main" id="{20378718-4F87-2337-4370-AD73ADE04DD6}"/>
            </a:ext>
          </a:extLst>
        </xdr:cNvPr>
        <xdr:cNvSpPr txBox="1"/>
      </xdr:nvSpPr>
      <xdr:spPr>
        <a:xfrm>
          <a:off x="18694038" y="1915728"/>
          <a:ext cx="650492" cy="316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EC463C6-D1FF-B245-B5C5-D3097912353A}" type="TxLink">
            <a:rPr lang="en-US" sz="1200" b="1" i="0" u="none" strike="noStrike">
              <a:solidFill>
                <a:srgbClr val="000000"/>
              </a:solidFill>
              <a:latin typeface="Calibri"/>
              <a:cs typeface="Calibri"/>
            </a:rPr>
            <a:pPr/>
            <a:t>64.2%</a:t>
          </a:fld>
          <a:endParaRPr lang="en-GB" sz="1200" b="1"/>
        </a:p>
      </xdr:txBody>
    </xdr:sp>
    <xdr:clientData/>
  </xdr:twoCellAnchor>
  <xdr:twoCellAnchor>
    <xdr:from>
      <xdr:col>17</xdr:col>
      <xdr:colOff>260773</xdr:colOff>
      <xdr:row>27</xdr:row>
      <xdr:rowOff>20180</xdr:rowOff>
    </xdr:from>
    <xdr:to>
      <xdr:col>18</xdr:col>
      <xdr:colOff>760335</xdr:colOff>
      <xdr:row>33</xdr:row>
      <xdr:rowOff>121920</xdr:rowOff>
    </xdr:to>
    <xdr:graphicFrame macro="">
      <xdr:nvGraphicFramePr>
        <xdr:cNvPr id="26" name="Chart 25">
          <a:extLst>
            <a:ext uri="{FF2B5EF4-FFF2-40B4-BE49-F238E27FC236}">
              <a16:creationId xmlns:a16="http://schemas.microsoft.com/office/drawing/2014/main" id="{7AD9CDBD-4C1E-8E42-84E5-BE7EA96091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706241</xdr:colOff>
      <xdr:row>29</xdr:row>
      <xdr:rowOff>176106</xdr:rowOff>
    </xdr:from>
    <xdr:to>
      <xdr:col>18</xdr:col>
      <xdr:colOff>587551</xdr:colOff>
      <xdr:row>31</xdr:row>
      <xdr:rowOff>131637</xdr:rowOff>
    </xdr:to>
    <xdr:sp macro="" textlink="player_work!I29">
      <xdr:nvSpPr>
        <xdr:cNvPr id="27" name="TextBox 26">
          <a:extLst>
            <a:ext uri="{FF2B5EF4-FFF2-40B4-BE49-F238E27FC236}">
              <a16:creationId xmlns:a16="http://schemas.microsoft.com/office/drawing/2014/main" id="{892A982C-48B3-FDD4-210C-CE2FCED16A00}"/>
            </a:ext>
          </a:extLst>
        </xdr:cNvPr>
        <xdr:cNvSpPr txBox="1"/>
      </xdr:nvSpPr>
      <xdr:spPr>
        <a:xfrm>
          <a:off x="18638641" y="8568266"/>
          <a:ext cx="704270" cy="361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E6DE3D-07A9-E940-BFBC-BA7C7DA47700}" type="TxLink">
            <a:rPr lang="en-US" sz="1200" b="1" i="0" u="none" strike="noStrike">
              <a:solidFill>
                <a:srgbClr val="000000"/>
              </a:solidFill>
              <a:latin typeface="Calibri"/>
              <a:cs typeface="Calibri"/>
            </a:rPr>
            <a:pPr/>
            <a:t>62.5%</a:t>
          </a:fld>
          <a:endParaRPr lang="en-GB" sz="1100" b="1"/>
        </a:p>
      </xdr:txBody>
    </xdr:sp>
    <xdr:clientData/>
  </xdr:twoCellAnchor>
  <xdr:twoCellAnchor>
    <xdr:from>
      <xdr:col>22</xdr:col>
      <xdr:colOff>226708</xdr:colOff>
      <xdr:row>5</xdr:row>
      <xdr:rowOff>189177</xdr:rowOff>
    </xdr:from>
    <xdr:to>
      <xdr:col>32</xdr:col>
      <xdr:colOff>361155</xdr:colOff>
      <xdr:row>19</xdr:row>
      <xdr:rowOff>233909</xdr:rowOff>
    </xdr:to>
    <xdr:graphicFrame macro="">
      <xdr:nvGraphicFramePr>
        <xdr:cNvPr id="30" name="Chart 29">
          <a:extLst>
            <a:ext uri="{FF2B5EF4-FFF2-40B4-BE49-F238E27FC236}">
              <a16:creationId xmlns:a16="http://schemas.microsoft.com/office/drawing/2014/main" id="{F647262E-C48A-AA4D-A30A-A859A824B3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279135</xdr:colOff>
      <xdr:row>27</xdr:row>
      <xdr:rowOff>114289</xdr:rowOff>
    </xdr:from>
    <xdr:to>
      <xdr:col>32</xdr:col>
      <xdr:colOff>437885</xdr:colOff>
      <xdr:row>49</xdr:row>
      <xdr:rowOff>148166</xdr:rowOff>
    </xdr:to>
    <xdr:graphicFrame macro="">
      <xdr:nvGraphicFramePr>
        <xdr:cNvPr id="32" name="Chart 31">
          <a:extLst>
            <a:ext uri="{FF2B5EF4-FFF2-40B4-BE49-F238E27FC236}">
              <a16:creationId xmlns:a16="http://schemas.microsoft.com/office/drawing/2014/main" id="{F93FB273-B632-5149-A2F4-C1324A1F9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50800</xdr:colOff>
      <xdr:row>3</xdr:row>
      <xdr:rowOff>86834</xdr:rowOff>
    </xdr:from>
    <xdr:to>
      <xdr:col>34</xdr:col>
      <xdr:colOff>761999</xdr:colOff>
      <xdr:row>5</xdr:row>
      <xdr:rowOff>138597</xdr:rowOff>
    </xdr:to>
    <xdr:sp macro="" textlink="">
      <xdr:nvSpPr>
        <xdr:cNvPr id="33" name="TextBox 32">
          <a:extLst>
            <a:ext uri="{FF2B5EF4-FFF2-40B4-BE49-F238E27FC236}">
              <a16:creationId xmlns:a16="http://schemas.microsoft.com/office/drawing/2014/main" id="{3DD08751-1721-49C1-2151-380273F6A637}"/>
            </a:ext>
          </a:extLst>
        </xdr:cNvPr>
        <xdr:cNvSpPr txBox="1"/>
      </xdr:nvSpPr>
      <xdr:spPr>
        <a:xfrm>
          <a:off x="10642600" y="696434"/>
          <a:ext cx="22504399" cy="6867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4000" b="1">
              <a:solidFill>
                <a:srgbClr val="7030A0"/>
              </a:solidFill>
            </a:rPr>
            <a:t>REGULAR</a:t>
          </a:r>
          <a:r>
            <a:rPr lang="en-GB" sz="3600" b="1">
              <a:solidFill>
                <a:srgbClr val="7030A0"/>
              </a:solidFill>
            </a:rPr>
            <a:t> SEASON STATS</a:t>
          </a:r>
        </a:p>
      </xdr:txBody>
    </xdr:sp>
    <xdr:clientData/>
  </xdr:twoCellAnchor>
  <xdr:twoCellAnchor>
    <xdr:from>
      <xdr:col>7</xdr:col>
      <xdr:colOff>812800</xdr:colOff>
      <xdr:row>23</xdr:row>
      <xdr:rowOff>176203</xdr:rowOff>
    </xdr:from>
    <xdr:to>
      <xdr:col>34</xdr:col>
      <xdr:colOff>711200</xdr:colOff>
      <xdr:row>27</xdr:row>
      <xdr:rowOff>68930</xdr:rowOff>
    </xdr:to>
    <xdr:sp macro="" textlink="">
      <xdr:nvSpPr>
        <xdr:cNvPr id="34" name="TextBox 33">
          <a:extLst>
            <a:ext uri="{FF2B5EF4-FFF2-40B4-BE49-F238E27FC236}">
              <a16:creationId xmlns:a16="http://schemas.microsoft.com/office/drawing/2014/main" id="{3E0E71D6-E916-873D-A6E8-B1418D0CCA37}"/>
            </a:ext>
          </a:extLst>
        </xdr:cNvPr>
        <xdr:cNvSpPr txBox="1"/>
      </xdr:nvSpPr>
      <xdr:spPr>
        <a:xfrm>
          <a:off x="10566400" y="7339003"/>
          <a:ext cx="22529800" cy="705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4000" b="1">
              <a:solidFill>
                <a:srgbClr val="7030A0"/>
              </a:solidFill>
            </a:rPr>
            <a:t>PLAYOFF STATS</a:t>
          </a:r>
        </a:p>
      </xdr:txBody>
    </xdr:sp>
    <xdr:clientData/>
  </xdr:twoCellAnchor>
  <xdr:twoCellAnchor editAs="oneCell">
    <xdr:from>
      <xdr:col>1</xdr:col>
      <xdr:colOff>592666</xdr:colOff>
      <xdr:row>25</xdr:row>
      <xdr:rowOff>122768</xdr:rowOff>
    </xdr:from>
    <xdr:to>
      <xdr:col>5</xdr:col>
      <xdr:colOff>863599</xdr:colOff>
      <xdr:row>51</xdr:row>
      <xdr:rowOff>12700</xdr:rowOff>
    </xdr:to>
    <xdr:pic>
      <xdr:nvPicPr>
        <xdr:cNvPr id="3" name="Picture 2" descr="Los Angeles Lakers – Wikipedia">
          <a:extLst>
            <a:ext uri="{FF2B5EF4-FFF2-40B4-BE49-F238E27FC236}">
              <a16:creationId xmlns:a16="http://schemas.microsoft.com/office/drawing/2014/main" id="{8D74CF8A-80E2-6C3F-9BEC-54EAEB0D6AF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837473B0-CC2E-450A-ABE3-18F120FF3D39}">
              <a1611:picAttrSrcUrl xmlns:a1611="http://schemas.microsoft.com/office/drawing/2016/11/main" r:id="rId9"/>
            </a:ext>
          </a:extLst>
        </a:blip>
        <a:stretch>
          <a:fillRect/>
        </a:stretch>
      </xdr:blipFill>
      <xdr:spPr>
        <a:xfrm>
          <a:off x="999066" y="7691968"/>
          <a:ext cx="7865533" cy="5173132"/>
        </a:xfrm>
        <a:prstGeom prst="rect">
          <a:avLst/>
        </a:prstGeom>
      </xdr:spPr>
    </xdr:pic>
    <xdr:clientData/>
  </xdr:twoCellAnchor>
  <xdr:oneCellAnchor>
    <xdr:from>
      <xdr:col>2</xdr:col>
      <xdr:colOff>3024736</xdr:colOff>
      <xdr:row>9</xdr:row>
      <xdr:rowOff>203200</xdr:rowOff>
    </xdr:from>
    <xdr:ext cx="3909463" cy="1905000"/>
    <xdr:sp macro="" textlink="">
      <xdr:nvSpPr>
        <xdr:cNvPr id="12" name="Rectangle 11">
          <a:extLst>
            <a:ext uri="{FF2B5EF4-FFF2-40B4-BE49-F238E27FC236}">
              <a16:creationId xmlns:a16="http://schemas.microsoft.com/office/drawing/2014/main" id="{2EE0F543-A485-0042-DD2F-A697495B44A5}"/>
            </a:ext>
          </a:extLst>
        </xdr:cNvPr>
        <xdr:cNvSpPr/>
      </xdr:nvSpPr>
      <xdr:spPr>
        <a:xfrm>
          <a:off x="5615536" y="1879600"/>
          <a:ext cx="3909463" cy="1905000"/>
        </a:xfrm>
        <a:prstGeom prst="rect">
          <a:avLst/>
        </a:prstGeom>
        <a:noFill/>
      </xdr:spPr>
      <xdr:txBody>
        <a:bodyPr wrap="none" lIns="91440" tIns="45720" rIns="91440" bIns="45720">
          <a:noAutofit/>
        </a:bodyPr>
        <a:lstStyle/>
        <a:p>
          <a:pPr algn="ctr"/>
          <a:r>
            <a:rPr lang="en-GB" sz="5400" b="1" cap="none" spc="0">
              <a:ln w="13462">
                <a:solidFill>
                  <a:schemeClr val="bg1"/>
                </a:solidFill>
                <a:prstDash val="solid"/>
              </a:ln>
              <a:solidFill>
                <a:srgbClr val="FFC000"/>
              </a:solidFill>
              <a:effectLst>
                <a:glow rad="247518">
                  <a:srgbClr val="7030A0">
                    <a:alpha val="60000"/>
                  </a:srgbClr>
                </a:glow>
                <a:outerShdw dist="38100" dir="2700000" algn="bl" rotWithShape="0">
                  <a:schemeClr val="accent5"/>
                </a:outerShdw>
              </a:effectLst>
            </a:rPr>
            <a:t>SEASON </a:t>
          </a:r>
        </a:p>
        <a:p>
          <a:pPr algn="ctr"/>
          <a:r>
            <a:rPr lang="en-GB" sz="5400" b="1" cap="none" spc="0">
              <a:ln w="13462">
                <a:solidFill>
                  <a:schemeClr val="bg1"/>
                </a:solidFill>
                <a:prstDash val="solid"/>
              </a:ln>
              <a:solidFill>
                <a:srgbClr val="FFC000"/>
              </a:solidFill>
              <a:effectLst>
                <a:glow rad="247518">
                  <a:srgbClr val="7030A0">
                    <a:alpha val="60000"/>
                  </a:srgbClr>
                </a:glow>
                <a:outerShdw dist="38100" dir="2700000" algn="bl" rotWithShape="0">
                  <a:schemeClr val="accent5"/>
                </a:outerShdw>
              </a:effectLst>
            </a:rPr>
            <a:t>2019 - 20</a:t>
          </a:r>
        </a:p>
      </xdr:txBody>
    </xdr:sp>
    <xdr:clientData/>
  </xdr:oneCellAnchor>
  <xdr:twoCellAnchor>
    <xdr:from>
      <xdr:col>16</xdr:col>
      <xdr:colOff>647743</xdr:colOff>
      <xdr:row>9</xdr:row>
      <xdr:rowOff>203155</xdr:rowOff>
    </xdr:from>
    <xdr:to>
      <xdr:col>18</xdr:col>
      <xdr:colOff>48704</xdr:colOff>
      <xdr:row>9</xdr:row>
      <xdr:rowOff>473197</xdr:rowOff>
    </xdr:to>
    <xdr:sp macro="" textlink="">
      <xdr:nvSpPr>
        <xdr:cNvPr id="2" name="TextBox 1">
          <a:extLst>
            <a:ext uri="{FF2B5EF4-FFF2-40B4-BE49-F238E27FC236}">
              <a16:creationId xmlns:a16="http://schemas.microsoft.com/office/drawing/2014/main" id="{0812BF0F-9C4C-C0D9-A33D-277A9576833B}"/>
            </a:ext>
          </a:extLst>
        </xdr:cNvPr>
        <xdr:cNvSpPr txBox="1"/>
      </xdr:nvSpPr>
      <xdr:spPr>
        <a:xfrm>
          <a:off x="17757183" y="1889715"/>
          <a:ext cx="1046881" cy="270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t>eFG% =</a:t>
          </a:r>
        </a:p>
      </xdr:txBody>
    </xdr:sp>
    <xdr:clientData/>
  </xdr:twoCellAnchor>
  <xdr:twoCellAnchor>
    <xdr:from>
      <xdr:col>19</xdr:col>
      <xdr:colOff>119528</xdr:colOff>
      <xdr:row>12</xdr:row>
      <xdr:rowOff>100854</xdr:rowOff>
    </xdr:from>
    <xdr:to>
      <xdr:col>21</xdr:col>
      <xdr:colOff>747058</xdr:colOff>
      <xdr:row>17</xdr:row>
      <xdr:rowOff>20158</xdr:rowOff>
    </xdr:to>
    <xdr:sp macro="" textlink="">
      <xdr:nvSpPr>
        <xdr:cNvPr id="13" name="TextBox 12">
          <a:extLst>
            <a:ext uri="{FF2B5EF4-FFF2-40B4-BE49-F238E27FC236}">
              <a16:creationId xmlns:a16="http://schemas.microsoft.com/office/drawing/2014/main" id="{2FD23D51-9915-33A4-E716-40532F19F908}"/>
            </a:ext>
          </a:extLst>
        </xdr:cNvPr>
        <xdr:cNvSpPr txBox="1"/>
      </xdr:nvSpPr>
      <xdr:spPr>
        <a:xfrm>
          <a:off x="19754131" y="4314029"/>
          <a:ext cx="2280546" cy="1330415"/>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t>       </a:t>
          </a:r>
        </a:p>
        <a:p>
          <a:r>
            <a:rPr lang="en-GB" sz="1600" b="1"/>
            <a:t>       </a:t>
          </a:r>
        </a:p>
        <a:p>
          <a:endParaRPr lang="en-GB" sz="1600" b="1"/>
        </a:p>
        <a:p>
          <a:r>
            <a:rPr lang="en-GB" sz="1600" b="1"/>
            <a:t>            =</a:t>
          </a:r>
          <a:r>
            <a:rPr lang="en-GB" sz="1600" b="1" baseline="0"/>
            <a:t> </a:t>
          </a:r>
          <a:r>
            <a:rPr lang="en-GB" sz="1600" b="1"/>
            <a:t>TEAM AVERAGE</a:t>
          </a:r>
        </a:p>
      </xdr:txBody>
    </xdr:sp>
    <xdr:clientData/>
  </xdr:twoCellAnchor>
  <xdr:twoCellAnchor>
    <xdr:from>
      <xdr:col>19</xdr:col>
      <xdr:colOff>372284</xdr:colOff>
      <xdr:row>14</xdr:row>
      <xdr:rowOff>14942</xdr:rowOff>
    </xdr:from>
    <xdr:to>
      <xdr:col>19</xdr:col>
      <xdr:colOff>647451</xdr:colOff>
      <xdr:row>16</xdr:row>
      <xdr:rowOff>59766</xdr:rowOff>
    </xdr:to>
    <xdr:sp macro="" textlink="">
      <xdr:nvSpPr>
        <xdr:cNvPr id="14" name="Rectangle 13">
          <a:extLst>
            <a:ext uri="{FF2B5EF4-FFF2-40B4-BE49-F238E27FC236}">
              <a16:creationId xmlns:a16="http://schemas.microsoft.com/office/drawing/2014/main" id="{CAEEC4C2-EEED-BB4C-A024-193C80EFD226}"/>
            </a:ext>
          </a:extLst>
        </xdr:cNvPr>
        <xdr:cNvSpPr/>
      </xdr:nvSpPr>
      <xdr:spPr>
        <a:xfrm>
          <a:off x="19915343" y="4766236"/>
          <a:ext cx="275167" cy="642471"/>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86917</xdr:colOff>
      <xdr:row>40</xdr:row>
      <xdr:rowOff>190975</xdr:rowOff>
    </xdr:from>
    <xdr:to>
      <xdr:col>22</xdr:col>
      <xdr:colOff>67732</xdr:colOff>
      <xdr:row>47</xdr:row>
      <xdr:rowOff>40318</xdr:rowOff>
    </xdr:to>
    <xdr:sp macro="" textlink="">
      <xdr:nvSpPr>
        <xdr:cNvPr id="15" name="TextBox 14">
          <a:extLst>
            <a:ext uri="{FF2B5EF4-FFF2-40B4-BE49-F238E27FC236}">
              <a16:creationId xmlns:a16="http://schemas.microsoft.com/office/drawing/2014/main" id="{9A4D7180-21F8-CA4E-AF11-78608DDCAE06}"/>
            </a:ext>
          </a:extLst>
        </xdr:cNvPr>
        <xdr:cNvSpPr txBox="1"/>
      </xdr:nvSpPr>
      <xdr:spPr>
        <a:xfrm>
          <a:off x="19746517" y="10825108"/>
          <a:ext cx="2470015" cy="1271743"/>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t>       </a:t>
          </a:r>
        </a:p>
        <a:p>
          <a:r>
            <a:rPr lang="en-GB" sz="1600" b="1"/>
            <a:t>  </a:t>
          </a:r>
        </a:p>
        <a:p>
          <a:r>
            <a:rPr lang="en-GB" sz="1600" b="1" baseline="0"/>
            <a:t>             </a:t>
          </a:r>
          <a:r>
            <a:rPr lang="en-GB" sz="1600" b="1"/>
            <a:t>  = TEAM AVERAGE</a:t>
          </a:r>
        </a:p>
      </xdr:txBody>
    </xdr:sp>
    <xdr:clientData/>
  </xdr:twoCellAnchor>
  <xdr:twoCellAnchor>
    <xdr:from>
      <xdr:col>19</xdr:col>
      <xdr:colOff>325979</xdr:colOff>
      <xdr:row>42</xdr:row>
      <xdr:rowOff>64270</xdr:rowOff>
    </xdr:from>
    <xdr:to>
      <xdr:col>19</xdr:col>
      <xdr:colOff>604762</xdr:colOff>
      <xdr:row>45</xdr:row>
      <xdr:rowOff>181429</xdr:rowOff>
    </xdr:to>
    <xdr:sp macro="" textlink="">
      <xdr:nvSpPr>
        <xdr:cNvPr id="16" name="Rectangle 15">
          <a:extLst>
            <a:ext uri="{FF2B5EF4-FFF2-40B4-BE49-F238E27FC236}">
              <a16:creationId xmlns:a16="http://schemas.microsoft.com/office/drawing/2014/main" id="{1EFB1726-2105-5E42-9566-DF8FE444A0D8}"/>
            </a:ext>
          </a:extLst>
        </xdr:cNvPr>
        <xdr:cNvSpPr/>
      </xdr:nvSpPr>
      <xdr:spPr>
        <a:xfrm>
          <a:off x="19960582" y="11030619"/>
          <a:ext cx="278783" cy="721921"/>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32</xdr:col>
      <xdr:colOff>488349</xdr:colOff>
      <xdr:row>13</xdr:row>
      <xdr:rowOff>80635</xdr:rowOff>
    </xdr:from>
    <xdr:to>
      <xdr:col>35</xdr:col>
      <xdr:colOff>339261</xdr:colOff>
      <xdr:row>17</xdr:row>
      <xdr:rowOff>40317</xdr:rowOff>
    </xdr:to>
    <xdr:sp macro="" textlink="">
      <xdr:nvSpPr>
        <xdr:cNvPr id="17" name="TextBox 16">
          <a:extLst>
            <a:ext uri="{FF2B5EF4-FFF2-40B4-BE49-F238E27FC236}">
              <a16:creationId xmlns:a16="http://schemas.microsoft.com/office/drawing/2014/main" id="{12C83818-0004-CA20-72F0-F295E241C886}"/>
            </a:ext>
          </a:extLst>
        </xdr:cNvPr>
        <xdr:cNvSpPr txBox="1"/>
      </xdr:nvSpPr>
      <xdr:spPr>
        <a:xfrm>
          <a:off x="30867555" y="4495397"/>
          <a:ext cx="2330436" cy="1169206"/>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600"/>
        </a:p>
        <a:p>
          <a:endParaRPr lang="en-GB" sz="1600"/>
        </a:p>
        <a:p>
          <a:r>
            <a:rPr lang="en-GB" sz="1600"/>
            <a:t>             </a:t>
          </a:r>
          <a:r>
            <a:rPr lang="en-GB" sz="1600" baseline="0"/>
            <a:t> </a:t>
          </a:r>
          <a:r>
            <a:rPr lang="en-GB" sz="1600"/>
            <a:t>= </a:t>
          </a:r>
          <a:r>
            <a:rPr lang="en-GB" sz="1500"/>
            <a:t>TEAM AVERAGE</a:t>
          </a:r>
        </a:p>
      </xdr:txBody>
    </xdr:sp>
    <xdr:clientData/>
  </xdr:twoCellAnchor>
  <xdr:twoCellAnchor>
    <xdr:from>
      <xdr:col>32</xdr:col>
      <xdr:colOff>621034</xdr:colOff>
      <xdr:row>13</xdr:row>
      <xdr:rowOff>234330</xdr:rowOff>
    </xdr:from>
    <xdr:to>
      <xdr:col>33</xdr:col>
      <xdr:colOff>717388</xdr:colOff>
      <xdr:row>16</xdr:row>
      <xdr:rowOff>149620</xdr:rowOff>
    </xdr:to>
    <xdr:sp macro="" textlink="">
      <xdr:nvSpPr>
        <xdr:cNvPr id="19" name="Freeform 18">
          <a:extLst>
            <a:ext uri="{FF2B5EF4-FFF2-40B4-BE49-F238E27FC236}">
              <a16:creationId xmlns:a16="http://schemas.microsoft.com/office/drawing/2014/main" id="{973B5A25-D65E-6CDF-D9BD-8998C5B549F7}"/>
            </a:ext>
          </a:extLst>
        </xdr:cNvPr>
        <xdr:cNvSpPr/>
      </xdr:nvSpPr>
      <xdr:spPr>
        <a:xfrm>
          <a:off x="31000240" y="4649092"/>
          <a:ext cx="922862" cy="822433"/>
        </a:xfrm>
        <a:custGeom>
          <a:avLst/>
          <a:gdLst>
            <a:gd name="connsiteX0" fmla="*/ 0 w 924615"/>
            <a:gd name="connsiteY0" fmla="*/ 0 h 826377"/>
            <a:gd name="connsiteX1" fmla="*/ 496957 w 924615"/>
            <a:gd name="connsiteY1" fmla="*/ 773044 h 826377"/>
            <a:gd name="connsiteX2" fmla="*/ 897283 w 924615"/>
            <a:gd name="connsiteY2" fmla="*/ 759239 h 826377"/>
            <a:gd name="connsiteX3" fmla="*/ 911087 w 924615"/>
            <a:gd name="connsiteY3" fmla="*/ 759239 h 826377"/>
          </a:gdLst>
          <a:ahLst/>
          <a:cxnLst>
            <a:cxn ang="0">
              <a:pos x="connsiteX0" y="connsiteY0"/>
            </a:cxn>
            <a:cxn ang="0">
              <a:pos x="connsiteX1" y="connsiteY1"/>
            </a:cxn>
            <a:cxn ang="0">
              <a:pos x="connsiteX2" y="connsiteY2"/>
            </a:cxn>
            <a:cxn ang="0">
              <a:pos x="connsiteX3" y="connsiteY3"/>
            </a:cxn>
          </a:cxnLst>
          <a:rect l="l" t="t" r="r" b="b"/>
          <a:pathLst>
            <a:path w="924615" h="826377">
              <a:moveTo>
                <a:pt x="0" y="0"/>
              </a:moveTo>
              <a:cubicBezTo>
                <a:pt x="173705" y="323252"/>
                <a:pt x="347410" y="646504"/>
                <a:pt x="496957" y="773044"/>
              </a:cubicBezTo>
              <a:cubicBezTo>
                <a:pt x="646504" y="899584"/>
                <a:pt x="828261" y="761540"/>
                <a:pt x="897283" y="759239"/>
              </a:cubicBezTo>
              <a:cubicBezTo>
                <a:pt x="966305" y="756938"/>
                <a:pt x="878877" y="786848"/>
                <a:pt x="911087" y="759239"/>
              </a:cubicBezTo>
            </a:path>
          </a:pathLst>
        </a:custGeom>
        <a:noFill/>
        <a:ln w="28575" cap="rnd">
          <a:solidFill>
            <a:schemeClr val="tx1"/>
          </a:solidFill>
          <a:round/>
        </a:ln>
        <a:effectLst>
          <a:glow rad="127000">
            <a:srgbClr val="C00000">
              <a:alpha val="31801"/>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32</xdr:col>
      <xdr:colOff>522940</xdr:colOff>
      <xdr:row>40</xdr:row>
      <xdr:rowOff>16240</xdr:rowOff>
    </xdr:from>
    <xdr:to>
      <xdr:col>35</xdr:col>
      <xdr:colOff>246689</xdr:colOff>
      <xdr:row>45</xdr:row>
      <xdr:rowOff>197809</xdr:rowOff>
    </xdr:to>
    <xdr:sp macro="" textlink="">
      <xdr:nvSpPr>
        <xdr:cNvPr id="22" name="TextBox 21">
          <a:extLst>
            <a:ext uri="{FF2B5EF4-FFF2-40B4-BE49-F238E27FC236}">
              <a16:creationId xmlns:a16="http://schemas.microsoft.com/office/drawing/2014/main" id="{2CD46C94-BEE9-F94E-A0E1-04E7C75C62B4}"/>
            </a:ext>
          </a:extLst>
        </xdr:cNvPr>
        <xdr:cNvSpPr txBox="1"/>
      </xdr:nvSpPr>
      <xdr:spPr>
        <a:xfrm>
          <a:off x="30748940" y="10744005"/>
          <a:ext cx="2189043" cy="1227451"/>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600"/>
        </a:p>
        <a:p>
          <a:endParaRPr lang="en-GB" sz="1600"/>
        </a:p>
        <a:p>
          <a:r>
            <a:rPr lang="en-GB" sz="1600" b="1"/>
            <a:t>           </a:t>
          </a:r>
          <a:r>
            <a:rPr lang="en-GB" sz="1600" b="1" baseline="0"/>
            <a:t> </a:t>
          </a:r>
          <a:r>
            <a:rPr lang="en-GB" sz="1600" b="1"/>
            <a:t>= </a:t>
          </a:r>
          <a:r>
            <a:rPr lang="en-GB" sz="1500" b="1"/>
            <a:t>TEAM AVERAGE</a:t>
          </a:r>
        </a:p>
      </xdr:txBody>
    </xdr:sp>
    <xdr:clientData/>
  </xdr:twoCellAnchor>
  <xdr:twoCellAnchor>
    <xdr:from>
      <xdr:col>32</xdr:col>
      <xdr:colOff>688917</xdr:colOff>
      <xdr:row>41</xdr:row>
      <xdr:rowOff>65612</xdr:rowOff>
    </xdr:from>
    <xdr:to>
      <xdr:col>33</xdr:col>
      <xdr:colOff>785271</xdr:colOff>
      <xdr:row>45</xdr:row>
      <xdr:rowOff>63727</xdr:rowOff>
    </xdr:to>
    <xdr:sp macro="" textlink="">
      <xdr:nvSpPr>
        <xdr:cNvPr id="21" name="Freeform 20">
          <a:extLst>
            <a:ext uri="{FF2B5EF4-FFF2-40B4-BE49-F238E27FC236}">
              <a16:creationId xmlns:a16="http://schemas.microsoft.com/office/drawing/2014/main" id="{DD104875-E378-A947-82A8-578578E83DCE}"/>
            </a:ext>
          </a:extLst>
        </xdr:cNvPr>
        <xdr:cNvSpPr/>
      </xdr:nvSpPr>
      <xdr:spPr>
        <a:xfrm>
          <a:off x="30914917" y="11002553"/>
          <a:ext cx="918119" cy="834821"/>
        </a:xfrm>
        <a:custGeom>
          <a:avLst/>
          <a:gdLst>
            <a:gd name="connsiteX0" fmla="*/ 0 w 924615"/>
            <a:gd name="connsiteY0" fmla="*/ 0 h 826377"/>
            <a:gd name="connsiteX1" fmla="*/ 496957 w 924615"/>
            <a:gd name="connsiteY1" fmla="*/ 773044 h 826377"/>
            <a:gd name="connsiteX2" fmla="*/ 897283 w 924615"/>
            <a:gd name="connsiteY2" fmla="*/ 759239 h 826377"/>
            <a:gd name="connsiteX3" fmla="*/ 911087 w 924615"/>
            <a:gd name="connsiteY3" fmla="*/ 759239 h 826377"/>
          </a:gdLst>
          <a:ahLst/>
          <a:cxnLst>
            <a:cxn ang="0">
              <a:pos x="connsiteX0" y="connsiteY0"/>
            </a:cxn>
            <a:cxn ang="0">
              <a:pos x="connsiteX1" y="connsiteY1"/>
            </a:cxn>
            <a:cxn ang="0">
              <a:pos x="connsiteX2" y="connsiteY2"/>
            </a:cxn>
            <a:cxn ang="0">
              <a:pos x="connsiteX3" y="connsiteY3"/>
            </a:cxn>
          </a:cxnLst>
          <a:rect l="l" t="t" r="r" b="b"/>
          <a:pathLst>
            <a:path w="924615" h="826377">
              <a:moveTo>
                <a:pt x="0" y="0"/>
              </a:moveTo>
              <a:cubicBezTo>
                <a:pt x="173705" y="323252"/>
                <a:pt x="347410" y="646504"/>
                <a:pt x="496957" y="773044"/>
              </a:cubicBezTo>
              <a:cubicBezTo>
                <a:pt x="646504" y="899584"/>
                <a:pt x="828261" y="761540"/>
                <a:pt x="897283" y="759239"/>
              </a:cubicBezTo>
              <a:cubicBezTo>
                <a:pt x="966305" y="756938"/>
                <a:pt x="878877" y="786848"/>
                <a:pt x="911087" y="759239"/>
              </a:cubicBezTo>
            </a:path>
          </a:pathLst>
        </a:custGeom>
        <a:noFill/>
        <a:ln w="28575" cap="rnd">
          <a:solidFill>
            <a:schemeClr val="tx1"/>
          </a:solidFill>
          <a:round/>
        </a:ln>
        <a:effectLst>
          <a:glow rad="127000">
            <a:srgbClr val="FF0000">
              <a:alpha val="29161"/>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32</xdr:col>
      <xdr:colOff>490963</xdr:colOff>
      <xdr:row>9</xdr:row>
      <xdr:rowOff>1350634</xdr:rowOff>
    </xdr:from>
    <xdr:to>
      <xdr:col>35</xdr:col>
      <xdr:colOff>358588</xdr:colOff>
      <xdr:row>12</xdr:row>
      <xdr:rowOff>29881</xdr:rowOff>
    </xdr:to>
    <xdr:sp macro="" textlink="">
      <xdr:nvSpPr>
        <xdr:cNvPr id="23" name="TextBox 22">
          <a:extLst>
            <a:ext uri="{FF2B5EF4-FFF2-40B4-BE49-F238E27FC236}">
              <a16:creationId xmlns:a16="http://schemas.microsoft.com/office/drawing/2014/main" id="{313BB47D-FD94-EE77-30A6-1050214D4003}"/>
            </a:ext>
          </a:extLst>
        </xdr:cNvPr>
        <xdr:cNvSpPr txBox="1"/>
      </xdr:nvSpPr>
      <xdr:spPr>
        <a:xfrm>
          <a:off x="30870169" y="3023809"/>
          <a:ext cx="2347149" cy="1219247"/>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a:p>
          <a:endParaRPr lang="en-GB" sz="1100"/>
        </a:p>
        <a:p>
          <a:endParaRPr lang="en-GB" sz="1100"/>
        </a:p>
        <a:p>
          <a:r>
            <a:rPr lang="en-GB" sz="1100"/>
            <a:t>               </a:t>
          </a:r>
        </a:p>
        <a:p>
          <a:r>
            <a:rPr lang="en-GB" sz="1600" b="1"/>
            <a:t>               = PLAYER STATS</a:t>
          </a:r>
        </a:p>
      </xdr:txBody>
    </xdr:sp>
    <xdr:clientData/>
  </xdr:twoCellAnchor>
  <xdr:twoCellAnchor>
    <xdr:from>
      <xdr:col>32</xdr:col>
      <xdr:colOff>747062</xdr:colOff>
      <xdr:row>9</xdr:row>
      <xdr:rowOff>1572380</xdr:rowOff>
    </xdr:from>
    <xdr:to>
      <xdr:col>33</xdr:col>
      <xdr:colOff>181430</xdr:colOff>
      <xdr:row>11</xdr:row>
      <xdr:rowOff>164352</xdr:rowOff>
    </xdr:to>
    <xdr:sp macro="" textlink="">
      <xdr:nvSpPr>
        <xdr:cNvPr id="29" name="Rectangle 28">
          <a:extLst>
            <a:ext uri="{FF2B5EF4-FFF2-40B4-BE49-F238E27FC236}">
              <a16:creationId xmlns:a16="http://schemas.microsoft.com/office/drawing/2014/main" id="{405B5492-2FE8-97B4-D7B6-EBE297ADFA01}"/>
            </a:ext>
          </a:extLst>
        </xdr:cNvPr>
        <xdr:cNvSpPr/>
      </xdr:nvSpPr>
      <xdr:spPr>
        <a:xfrm>
          <a:off x="31126268" y="3245555"/>
          <a:ext cx="260876" cy="849749"/>
        </a:xfrm>
        <a:prstGeom prst="rect">
          <a:avLst/>
        </a:prstGeom>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32</xdr:col>
      <xdr:colOff>501814</xdr:colOff>
      <xdr:row>32</xdr:row>
      <xdr:rowOff>100793</xdr:rowOff>
    </xdr:from>
    <xdr:to>
      <xdr:col>35</xdr:col>
      <xdr:colOff>209177</xdr:colOff>
      <xdr:row>38</xdr:row>
      <xdr:rowOff>119528</xdr:rowOff>
    </xdr:to>
    <xdr:sp macro="" textlink="">
      <xdr:nvSpPr>
        <xdr:cNvPr id="38" name="TextBox 37">
          <a:extLst>
            <a:ext uri="{FF2B5EF4-FFF2-40B4-BE49-F238E27FC236}">
              <a16:creationId xmlns:a16="http://schemas.microsoft.com/office/drawing/2014/main" id="{81F5BC9B-97E4-B448-9A4B-C87148A82288}"/>
            </a:ext>
          </a:extLst>
        </xdr:cNvPr>
        <xdr:cNvSpPr txBox="1"/>
      </xdr:nvSpPr>
      <xdr:spPr>
        <a:xfrm>
          <a:off x="30881020" y="9051269"/>
          <a:ext cx="2186887" cy="1228259"/>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a:p>
          <a:endParaRPr lang="en-GB" sz="1100"/>
        </a:p>
        <a:p>
          <a:endParaRPr lang="en-GB" sz="1100"/>
        </a:p>
        <a:p>
          <a:r>
            <a:rPr lang="en-GB" sz="1100"/>
            <a:t>               </a:t>
          </a:r>
        </a:p>
        <a:p>
          <a:r>
            <a:rPr lang="en-GB" sz="1600" b="1"/>
            <a:t>              = PLAYER STATS</a:t>
          </a:r>
        </a:p>
      </xdr:txBody>
    </xdr:sp>
    <xdr:clientData/>
  </xdr:twoCellAnchor>
  <xdr:twoCellAnchor>
    <xdr:from>
      <xdr:col>19</xdr:col>
      <xdr:colOff>134469</xdr:colOff>
      <xdr:row>9</xdr:row>
      <xdr:rowOff>1209523</xdr:rowOff>
    </xdr:from>
    <xdr:to>
      <xdr:col>21</xdr:col>
      <xdr:colOff>757543</xdr:colOff>
      <xdr:row>11</xdr:row>
      <xdr:rowOff>141234</xdr:rowOff>
    </xdr:to>
    <xdr:sp macro="" textlink="">
      <xdr:nvSpPr>
        <xdr:cNvPr id="39" name="TextBox 38">
          <a:extLst>
            <a:ext uri="{FF2B5EF4-FFF2-40B4-BE49-F238E27FC236}">
              <a16:creationId xmlns:a16="http://schemas.microsoft.com/office/drawing/2014/main" id="{DC35FD7D-2B3F-6C4C-9BF0-1FC8DD4FB531}"/>
            </a:ext>
          </a:extLst>
        </xdr:cNvPr>
        <xdr:cNvSpPr txBox="1"/>
      </xdr:nvSpPr>
      <xdr:spPr>
        <a:xfrm>
          <a:off x="19769072" y="2882698"/>
          <a:ext cx="2276090" cy="1189488"/>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a:p>
          <a:endParaRPr lang="en-GB" sz="1100"/>
        </a:p>
        <a:p>
          <a:endParaRPr lang="en-GB" sz="1100"/>
        </a:p>
        <a:p>
          <a:r>
            <a:rPr lang="en-GB" sz="1100"/>
            <a:t>               </a:t>
          </a:r>
        </a:p>
        <a:p>
          <a:r>
            <a:rPr lang="en-GB" sz="1600" b="1"/>
            <a:t>              = PLAYER STATS</a:t>
          </a:r>
        </a:p>
      </xdr:txBody>
    </xdr:sp>
    <xdr:clientData/>
  </xdr:twoCellAnchor>
  <xdr:twoCellAnchor>
    <xdr:from>
      <xdr:col>32</xdr:col>
      <xdr:colOff>775999</xdr:colOff>
      <xdr:row>33</xdr:row>
      <xdr:rowOff>100794</xdr:rowOff>
    </xdr:from>
    <xdr:to>
      <xdr:col>33</xdr:col>
      <xdr:colOff>201589</xdr:colOff>
      <xdr:row>37</xdr:row>
      <xdr:rowOff>179294</xdr:rowOff>
    </xdr:to>
    <xdr:sp macro="" textlink="">
      <xdr:nvSpPr>
        <xdr:cNvPr id="35" name="Rectangle 34">
          <a:extLst>
            <a:ext uri="{FF2B5EF4-FFF2-40B4-BE49-F238E27FC236}">
              <a16:creationId xmlns:a16="http://schemas.microsoft.com/office/drawing/2014/main" id="{0C60F4A3-7414-C042-842D-13374EFF4B80}"/>
            </a:ext>
          </a:extLst>
        </xdr:cNvPr>
        <xdr:cNvSpPr/>
      </xdr:nvSpPr>
      <xdr:spPr>
        <a:xfrm>
          <a:off x="31155205" y="9252857"/>
          <a:ext cx="252098" cy="884850"/>
        </a:xfrm>
        <a:prstGeom prst="rect">
          <a:avLst/>
        </a:prstGeom>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104641</xdr:colOff>
      <xdr:row>32</xdr:row>
      <xdr:rowOff>141111</xdr:rowOff>
    </xdr:from>
    <xdr:to>
      <xdr:col>22</xdr:col>
      <xdr:colOff>67209</xdr:colOff>
      <xdr:row>39</xdr:row>
      <xdr:rowOff>177536</xdr:rowOff>
    </xdr:to>
    <xdr:sp macro="" textlink="">
      <xdr:nvSpPr>
        <xdr:cNvPr id="40" name="TextBox 39">
          <a:extLst>
            <a:ext uri="{FF2B5EF4-FFF2-40B4-BE49-F238E27FC236}">
              <a16:creationId xmlns:a16="http://schemas.microsoft.com/office/drawing/2014/main" id="{75549F6A-2C7C-B048-9DA4-523396476B1C}"/>
            </a:ext>
          </a:extLst>
        </xdr:cNvPr>
        <xdr:cNvSpPr txBox="1"/>
      </xdr:nvSpPr>
      <xdr:spPr>
        <a:xfrm>
          <a:off x="19739244" y="9091587"/>
          <a:ext cx="2442092" cy="1447536"/>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a:p>
          <a:endParaRPr lang="en-GB" sz="1100"/>
        </a:p>
        <a:p>
          <a:endParaRPr lang="en-GB" sz="1100"/>
        </a:p>
        <a:p>
          <a:r>
            <a:rPr lang="en-GB" sz="1100"/>
            <a:t>               </a:t>
          </a:r>
        </a:p>
        <a:p>
          <a:r>
            <a:rPr lang="en-GB" sz="1600" b="1"/>
            <a:t>              = PLAYER STATS</a:t>
          </a:r>
        </a:p>
      </xdr:txBody>
    </xdr:sp>
    <xdr:clientData/>
  </xdr:twoCellAnchor>
  <xdr:twoCellAnchor>
    <xdr:from>
      <xdr:col>19</xdr:col>
      <xdr:colOff>287867</xdr:colOff>
      <xdr:row>33</xdr:row>
      <xdr:rowOff>135358</xdr:rowOff>
    </xdr:from>
    <xdr:to>
      <xdr:col>19</xdr:col>
      <xdr:colOff>599797</xdr:colOff>
      <xdr:row>39</xdr:row>
      <xdr:rowOff>37586</xdr:rowOff>
    </xdr:to>
    <xdr:sp macro="" textlink="">
      <xdr:nvSpPr>
        <xdr:cNvPr id="37" name="Rectangle 36">
          <a:extLst>
            <a:ext uri="{FF2B5EF4-FFF2-40B4-BE49-F238E27FC236}">
              <a16:creationId xmlns:a16="http://schemas.microsoft.com/office/drawing/2014/main" id="{0AAE7E25-32B2-204B-A183-EF4071FF95FC}"/>
            </a:ext>
          </a:extLst>
        </xdr:cNvPr>
        <xdr:cNvSpPr/>
      </xdr:nvSpPr>
      <xdr:spPr>
        <a:xfrm>
          <a:off x="19922470" y="9287421"/>
          <a:ext cx="311930" cy="1111752"/>
        </a:xfrm>
        <a:prstGeom prst="rect">
          <a:avLst/>
        </a:prstGeom>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364829</xdr:colOff>
      <xdr:row>9</xdr:row>
      <xdr:rowOff>1451428</xdr:rowOff>
    </xdr:from>
    <xdr:to>
      <xdr:col>19</xdr:col>
      <xdr:colOff>624921</xdr:colOff>
      <xdr:row>11</xdr:row>
      <xdr:rowOff>57653</xdr:rowOff>
    </xdr:to>
    <xdr:sp macro="" textlink="">
      <xdr:nvSpPr>
        <xdr:cNvPr id="36" name="Rectangle 35">
          <a:extLst>
            <a:ext uri="{FF2B5EF4-FFF2-40B4-BE49-F238E27FC236}">
              <a16:creationId xmlns:a16="http://schemas.microsoft.com/office/drawing/2014/main" id="{0520E3D9-105C-2142-AB9D-688813D74AD9}"/>
            </a:ext>
          </a:extLst>
        </xdr:cNvPr>
        <xdr:cNvSpPr/>
      </xdr:nvSpPr>
      <xdr:spPr>
        <a:xfrm>
          <a:off x="19999432" y="3124603"/>
          <a:ext cx="260092" cy="864002"/>
        </a:xfrm>
        <a:prstGeom prst="rect">
          <a:avLst/>
        </a:prstGeom>
        <a:gradFill>
          <a:gsLst>
            <a:gs pos="100000">
              <a:srgbClr val="FFFF00">
                <a:lumMod val="63000"/>
                <a:lumOff val="37000"/>
              </a:srgbClr>
            </a:gs>
            <a:gs pos="80000">
              <a:srgbClr val="FFC000">
                <a:lumMod val="75000"/>
                <a:alpha val="99000"/>
              </a:srgbClr>
            </a:gs>
            <a:gs pos="40000">
              <a:srgbClr val="7030A0">
                <a:lumMod val="96000"/>
                <a:lumOff val="4000"/>
              </a:srgbClr>
            </a:gs>
          </a:gsLst>
          <a:path path="circle">
            <a:fillToRect l="50000" t="130000" r="50000" b="-30000"/>
          </a:path>
        </a:gra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0.80641</cdr:x>
      <cdr:y>0.08321</cdr:y>
    </cdr:from>
    <cdr:to>
      <cdr:x>0.97245</cdr:x>
      <cdr:y>0.16137</cdr:y>
    </cdr:to>
    <cdr:sp macro="" textlink="">
      <cdr:nvSpPr>
        <cdr:cNvPr id="2" name="TextBox 1">
          <a:extLst xmlns:a="http://schemas.openxmlformats.org/drawingml/2006/main">
            <a:ext uri="{FF2B5EF4-FFF2-40B4-BE49-F238E27FC236}">
              <a16:creationId xmlns:a16="http://schemas.microsoft.com/office/drawing/2014/main" id="{0812BF0F-9C4C-C0D9-A33D-277A9576833B}"/>
            </a:ext>
          </a:extLst>
        </cdr:cNvPr>
        <cdr:cNvSpPr txBox="1"/>
      </cdr:nvSpPr>
      <cdr:spPr>
        <a:xfrm xmlns:a="http://schemas.openxmlformats.org/drawingml/2006/main">
          <a:off x="7257687" y="378425"/>
          <a:ext cx="1494362" cy="35544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GB" sz="1400" b="1"/>
            <a:t>eFG% =</a:t>
          </a:r>
        </a:p>
      </cdr:txBody>
    </cdr:sp>
  </cdr:relSizeAnchor>
</c:userShapes>
</file>

<file path=xl/drawings/drawing3.xml><?xml version="1.0" encoding="utf-8"?>
<xdr:wsDr xmlns:xdr="http://schemas.openxmlformats.org/drawingml/2006/spreadsheetDrawing" xmlns:a="http://schemas.openxmlformats.org/drawingml/2006/main">
  <xdr:twoCellAnchor>
    <xdr:from>
      <xdr:col>5</xdr:col>
      <xdr:colOff>355600</xdr:colOff>
      <xdr:row>17</xdr:row>
      <xdr:rowOff>91806</xdr:rowOff>
    </xdr:from>
    <xdr:to>
      <xdr:col>11</xdr:col>
      <xdr:colOff>228600</xdr:colOff>
      <xdr:row>45</xdr:row>
      <xdr:rowOff>76505</xdr:rowOff>
    </xdr:to>
    <xdr:sp macro="" textlink="">
      <xdr:nvSpPr>
        <xdr:cNvPr id="36" name="Rounded Rectangle 35">
          <a:extLst>
            <a:ext uri="{FF2B5EF4-FFF2-40B4-BE49-F238E27FC236}">
              <a16:creationId xmlns:a16="http://schemas.microsoft.com/office/drawing/2014/main" id="{09FD22A3-7C00-65AF-53D5-14A247F7384E}"/>
            </a:ext>
          </a:extLst>
        </xdr:cNvPr>
        <xdr:cNvSpPr/>
      </xdr:nvSpPr>
      <xdr:spPr>
        <a:xfrm>
          <a:off x="4486925" y="3473372"/>
          <a:ext cx="4830591" cy="5554338"/>
        </a:xfrm>
        <a:prstGeom prst="round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412750</xdr:colOff>
      <xdr:row>1</xdr:row>
      <xdr:rowOff>126999</xdr:rowOff>
    </xdr:from>
    <xdr:to>
      <xdr:col>32</xdr:col>
      <xdr:colOff>635000</xdr:colOff>
      <xdr:row>8</xdr:row>
      <xdr:rowOff>153011</xdr:rowOff>
    </xdr:to>
    <xdr:sp macro="" textlink="">
      <xdr:nvSpPr>
        <xdr:cNvPr id="35" name="Rounded Rectangle 34">
          <a:extLst>
            <a:ext uri="{FF2B5EF4-FFF2-40B4-BE49-F238E27FC236}">
              <a16:creationId xmlns:a16="http://schemas.microsoft.com/office/drawing/2014/main" id="{778E06AA-4498-0F71-F59B-71E33A0A0A8A}"/>
            </a:ext>
          </a:extLst>
        </xdr:cNvPr>
        <xdr:cNvSpPr/>
      </xdr:nvSpPr>
      <xdr:spPr>
        <a:xfrm>
          <a:off x="4544075" y="325915"/>
          <a:ext cx="22531407" cy="1418421"/>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376767</xdr:colOff>
      <xdr:row>46</xdr:row>
      <xdr:rowOff>107109</xdr:rowOff>
    </xdr:from>
    <xdr:to>
      <xdr:col>11</xdr:col>
      <xdr:colOff>292100</xdr:colOff>
      <xdr:row>65</xdr:row>
      <xdr:rowOff>165793</xdr:rowOff>
    </xdr:to>
    <xdr:sp macro="" textlink="">
      <xdr:nvSpPr>
        <xdr:cNvPr id="30" name="Rounded Rectangle 29">
          <a:extLst>
            <a:ext uri="{FF2B5EF4-FFF2-40B4-BE49-F238E27FC236}">
              <a16:creationId xmlns:a16="http://schemas.microsoft.com/office/drawing/2014/main" id="{0D891E98-1914-F744-B485-BC5C5917098A}"/>
            </a:ext>
          </a:extLst>
        </xdr:cNvPr>
        <xdr:cNvSpPr/>
      </xdr:nvSpPr>
      <xdr:spPr>
        <a:xfrm>
          <a:off x="4508092" y="9257229"/>
          <a:ext cx="4872924" cy="3838082"/>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22</xdr:col>
      <xdr:colOff>76200</xdr:colOff>
      <xdr:row>44</xdr:row>
      <xdr:rowOff>67732</xdr:rowOff>
    </xdr:from>
    <xdr:to>
      <xdr:col>32</xdr:col>
      <xdr:colOff>812800</xdr:colOff>
      <xdr:row>66</xdr:row>
      <xdr:rowOff>33865</xdr:rowOff>
    </xdr:to>
    <xdr:sp macro="" textlink="">
      <xdr:nvSpPr>
        <xdr:cNvPr id="29" name="Rounded Rectangle 28">
          <a:extLst>
            <a:ext uri="{FF2B5EF4-FFF2-40B4-BE49-F238E27FC236}">
              <a16:creationId xmlns:a16="http://schemas.microsoft.com/office/drawing/2014/main" id="{C6563824-051C-1E4A-B74F-9764C59F7157}"/>
            </a:ext>
          </a:extLst>
        </xdr:cNvPr>
        <xdr:cNvSpPr/>
      </xdr:nvSpPr>
      <xdr:spPr>
        <a:xfrm>
          <a:off x="18330333" y="9008532"/>
          <a:ext cx="9033934" cy="4436533"/>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457199</xdr:colOff>
      <xdr:row>44</xdr:row>
      <xdr:rowOff>0</xdr:rowOff>
    </xdr:from>
    <xdr:to>
      <xdr:col>22</xdr:col>
      <xdr:colOff>609600</xdr:colOff>
      <xdr:row>66</xdr:row>
      <xdr:rowOff>63500</xdr:rowOff>
    </xdr:to>
    <xdr:sp macro="" textlink="">
      <xdr:nvSpPr>
        <xdr:cNvPr id="12" name="Rounded Rectangle 11">
          <a:extLst>
            <a:ext uri="{FF2B5EF4-FFF2-40B4-BE49-F238E27FC236}">
              <a16:creationId xmlns:a16="http://schemas.microsoft.com/office/drawing/2014/main" id="{615C3F5E-47ED-FD4D-9D45-4AAAF730D546}"/>
            </a:ext>
          </a:extLst>
        </xdr:cNvPr>
        <xdr:cNvSpPr/>
      </xdr:nvSpPr>
      <xdr:spPr>
        <a:xfrm>
          <a:off x="9584266" y="8940800"/>
          <a:ext cx="9279467" cy="453390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25</xdr:col>
      <xdr:colOff>541867</xdr:colOff>
      <xdr:row>27</xdr:row>
      <xdr:rowOff>84667</xdr:rowOff>
    </xdr:from>
    <xdr:to>
      <xdr:col>33</xdr:col>
      <xdr:colOff>4232</xdr:colOff>
      <xdr:row>45</xdr:row>
      <xdr:rowOff>169333</xdr:rowOff>
    </xdr:to>
    <xdr:sp macro="" textlink="">
      <xdr:nvSpPr>
        <xdr:cNvPr id="11" name="Rounded Rectangle 10">
          <a:extLst>
            <a:ext uri="{FF2B5EF4-FFF2-40B4-BE49-F238E27FC236}">
              <a16:creationId xmlns:a16="http://schemas.microsoft.com/office/drawing/2014/main" id="{90A9F059-79D8-2E4F-B2DD-386FF4C0C2B9}"/>
            </a:ext>
          </a:extLst>
        </xdr:cNvPr>
        <xdr:cNvSpPr/>
      </xdr:nvSpPr>
      <xdr:spPr>
        <a:xfrm>
          <a:off x="21285200" y="5571067"/>
          <a:ext cx="6100232" cy="3742266"/>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18</xdr:col>
      <xdr:colOff>626533</xdr:colOff>
      <xdr:row>26</xdr:row>
      <xdr:rowOff>169333</xdr:rowOff>
    </xdr:from>
    <xdr:to>
      <xdr:col>26</xdr:col>
      <xdr:colOff>-1</xdr:colOff>
      <xdr:row>45</xdr:row>
      <xdr:rowOff>0</xdr:rowOff>
    </xdr:to>
    <xdr:sp macro="" textlink="">
      <xdr:nvSpPr>
        <xdr:cNvPr id="8" name="Rounded Rectangle 7">
          <a:extLst>
            <a:ext uri="{FF2B5EF4-FFF2-40B4-BE49-F238E27FC236}">
              <a16:creationId xmlns:a16="http://schemas.microsoft.com/office/drawing/2014/main" id="{8FAA8081-3838-AE4C-838A-BBB198DB4161}"/>
            </a:ext>
          </a:extLst>
        </xdr:cNvPr>
        <xdr:cNvSpPr/>
      </xdr:nvSpPr>
      <xdr:spPr>
        <a:xfrm>
          <a:off x="15561733" y="5452533"/>
          <a:ext cx="6011333" cy="3691467"/>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491066</xdr:colOff>
      <xdr:row>26</xdr:row>
      <xdr:rowOff>80433</xdr:rowOff>
    </xdr:from>
    <xdr:to>
      <xdr:col>18</xdr:col>
      <xdr:colOff>660399</xdr:colOff>
      <xdr:row>45</xdr:row>
      <xdr:rowOff>21166</xdr:rowOff>
    </xdr:to>
    <xdr:sp macro="" textlink="">
      <xdr:nvSpPr>
        <xdr:cNvPr id="7" name="Rounded Rectangle 6">
          <a:extLst>
            <a:ext uri="{FF2B5EF4-FFF2-40B4-BE49-F238E27FC236}">
              <a16:creationId xmlns:a16="http://schemas.microsoft.com/office/drawing/2014/main" id="{C2A5C866-2EB1-1149-9B2D-8FCC7C4171A0}"/>
            </a:ext>
          </a:extLst>
        </xdr:cNvPr>
        <xdr:cNvSpPr/>
      </xdr:nvSpPr>
      <xdr:spPr>
        <a:xfrm>
          <a:off x="9571566" y="5583766"/>
          <a:ext cx="5947833" cy="396240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25</xdr:col>
      <xdr:colOff>592666</xdr:colOff>
      <xdr:row>9</xdr:row>
      <xdr:rowOff>169333</xdr:rowOff>
    </xdr:from>
    <xdr:to>
      <xdr:col>33</xdr:col>
      <xdr:colOff>16932</xdr:colOff>
      <xdr:row>27</xdr:row>
      <xdr:rowOff>135467</xdr:rowOff>
    </xdr:to>
    <xdr:sp macro="" textlink="">
      <xdr:nvSpPr>
        <xdr:cNvPr id="4" name="Rounded Rectangle 3">
          <a:extLst>
            <a:ext uri="{FF2B5EF4-FFF2-40B4-BE49-F238E27FC236}">
              <a16:creationId xmlns:a16="http://schemas.microsoft.com/office/drawing/2014/main" id="{7C157E79-9354-634F-B90A-FA13BD5003CD}"/>
            </a:ext>
          </a:extLst>
        </xdr:cNvPr>
        <xdr:cNvSpPr/>
      </xdr:nvSpPr>
      <xdr:spPr>
        <a:xfrm>
          <a:off x="21335999" y="1998133"/>
          <a:ext cx="6062133" cy="3623734"/>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18</xdr:col>
      <xdr:colOff>575732</xdr:colOff>
      <xdr:row>9</xdr:row>
      <xdr:rowOff>186266</xdr:rowOff>
    </xdr:from>
    <xdr:to>
      <xdr:col>26</xdr:col>
      <xdr:colOff>118532</xdr:colOff>
      <xdr:row>27</xdr:row>
      <xdr:rowOff>84666</xdr:rowOff>
    </xdr:to>
    <xdr:sp macro="" textlink="">
      <xdr:nvSpPr>
        <xdr:cNvPr id="3" name="Rounded Rectangle 2">
          <a:extLst>
            <a:ext uri="{FF2B5EF4-FFF2-40B4-BE49-F238E27FC236}">
              <a16:creationId xmlns:a16="http://schemas.microsoft.com/office/drawing/2014/main" id="{569461C4-D73E-7D42-9189-46753284F8E8}"/>
            </a:ext>
          </a:extLst>
        </xdr:cNvPr>
        <xdr:cNvSpPr/>
      </xdr:nvSpPr>
      <xdr:spPr>
        <a:xfrm>
          <a:off x="15510932" y="2015066"/>
          <a:ext cx="6180667" cy="355600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524933</xdr:colOff>
      <xdr:row>9</xdr:row>
      <xdr:rowOff>169333</xdr:rowOff>
    </xdr:from>
    <xdr:to>
      <xdr:col>18</xdr:col>
      <xdr:colOff>728133</xdr:colOff>
      <xdr:row>27</xdr:row>
      <xdr:rowOff>67733</xdr:rowOff>
    </xdr:to>
    <xdr:sp macro="" textlink="">
      <xdr:nvSpPr>
        <xdr:cNvPr id="2" name="Rounded Rectangle 1">
          <a:extLst>
            <a:ext uri="{FF2B5EF4-FFF2-40B4-BE49-F238E27FC236}">
              <a16:creationId xmlns:a16="http://schemas.microsoft.com/office/drawing/2014/main" id="{3E1E2F3C-385B-690A-A658-F3CFAE9B9333}"/>
            </a:ext>
          </a:extLst>
        </xdr:cNvPr>
        <xdr:cNvSpPr/>
      </xdr:nvSpPr>
      <xdr:spPr>
        <a:xfrm>
          <a:off x="9652000" y="1998133"/>
          <a:ext cx="6011333" cy="355600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16379</xdr:colOff>
      <xdr:row>10</xdr:row>
      <xdr:rowOff>197683</xdr:rowOff>
    </xdr:from>
    <xdr:to>
      <xdr:col>18</xdr:col>
      <xdr:colOff>448235</xdr:colOff>
      <xdr:row>26</xdr:row>
      <xdr:rowOff>104588</xdr:rowOff>
    </xdr:to>
    <xdr:graphicFrame macro="">
      <xdr:nvGraphicFramePr>
        <xdr:cNvPr id="5" name="Chart 4">
          <a:extLst>
            <a:ext uri="{FF2B5EF4-FFF2-40B4-BE49-F238E27FC236}">
              <a16:creationId xmlns:a16="http://schemas.microsoft.com/office/drawing/2014/main" id="{49CEC467-1512-654A-967C-369EAE1CE0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15514</xdr:colOff>
      <xdr:row>28</xdr:row>
      <xdr:rowOff>12605</xdr:rowOff>
    </xdr:from>
    <xdr:to>
      <xdr:col>18</xdr:col>
      <xdr:colOff>442621</xdr:colOff>
      <xdr:row>43</xdr:row>
      <xdr:rowOff>171060</xdr:rowOff>
    </xdr:to>
    <xdr:graphicFrame macro="">
      <xdr:nvGraphicFramePr>
        <xdr:cNvPr id="6" name="Chart 5">
          <a:extLst>
            <a:ext uri="{FF2B5EF4-FFF2-40B4-BE49-F238E27FC236}">
              <a16:creationId xmlns:a16="http://schemas.microsoft.com/office/drawing/2014/main" id="{19050176-1A53-4E45-97CB-4E5F1C883E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524649</xdr:colOff>
      <xdr:row>12</xdr:row>
      <xdr:rowOff>182352</xdr:rowOff>
    </xdr:from>
    <xdr:to>
      <xdr:col>18</xdr:col>
      <xdr:colOff>241667</xdr:colOff>
      <xdr:row>14</xdr:row>
      <xdr:rowOff>45220</xdr:rowOff>
    </xdr:to>
    <xdr:sp macro="" textlink="team_work!Q4">
      <xdr:nvSpPr>
        <xdr:cNvPr id="9" name="TextBox 8">
          <a:extLst>
            <a:ext uri="{FF2B5EF4-FFF2-40B4-BE49-F238E27FC236}">
              <a16:creationId xmlns:a16="http://schemas.microsoft.com/office/drawing/2014/main" id="{17069183-484F-23CD-DB81-46DCBD322413}"/>
            </a:ext>
          </a:extLst>
        </xdr:cNvPr>
        <xdr:cNvSpPr txBox="1"/>
      </xdr:nvSpPr>
      <xdr:spPr>
        <a:xfrm>
          <a:off x="14630116" y="2620752"/>
          <a:ext cx="546751" cy="2692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0B24BB9-A536-374E-92DF-D520737156D7}" type="TxLink">
            <a:rPr lang="en-US" sz="1200" b="1" i="0" u="none" strike="noStrike">
              <a:solidFill>
                <a:srgbClr val="000000"/>
              </a:solidFill>
              <a:latin typeface="Calibri"/>
              <a:cs typeface="Calibri"/>
            </a:rPr>
            <a:pPr/>
            <a:t>40%</a:t>
          </a:fld>
          <a:endParaRPr lang="en-GB" sz="1200" b="1"/>
        </a:p>
      </xdr:txBody>
    </xdr:sp>
    <xdr:clientData/>
  </xdr:twoCellAnchor>
  <xdr:twoCellAnchor>
    <xdr:from>
      <xdr:col>17</xdr:col>
      <xdr:colOff>25543</xdr:colOff>
      <xdr:row>10</xdr:row>
      <xdr:rowOff>44191</xdr:rowOff>
    </xdr:from>
    <xdr:to>
      <xdr:col>18</xdr:col>
      <xdr:colOff>370971</xdr:colOff>
      <xdr:row>16</xdr:row>
      <xdr:rowOff>71807</xdr:rowOff>
    </xdr:to>
    <xdr:graphicFrame macro="">
      <xdr:nvGraphicFramePr>
        <xdr:cNvPr id="10" name="Chart 9">
          <a:extLst>
            <a:ext uri="{FF2B5EF4-FFF2-40B4-BE49-F238E27FC236}">
              <a16:creationId xmlns:a16="http://schemas.microsoft.com/office/drawing/2014/main" id="{4118EAFB-DE39-4449-9E7B-C19D867018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118533</xdr:colOff>
      <xdr:row>28</xdr:row>
      <xdr:rowOff>34472</xdr:rowOff>
    </xdr:from>
    <xdr:to>
      <xdr:col>18</xdr:col>
      <xdr:colOff>429777</xdr:colOff>
      <xdr:row>33</xdr:row>
      <xdr:rowOff>16933</xdr:rowOff>
    </xdr:to>
    <xdr:graphicFrame macro="">
      <xdr:nvGraphicFramePr>
        <xdr:cNvPr id="13" name="Chart 12">
          <a:extLst>
            <a:ext uri="{FF2B5EF4-FFF2-40B4-BE49-F238E27FC236}">
              <a16:creationId xmlns:a16="http://schemas.microsoft.com/office/drawing/2014/main" id="{02E54CFC-7827-7FB2-F19F-24BE8ABC98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590471</xdr:colOff>
      <xdr:row>29</xdr:row>
      <xdr:rowOff>128520</xdr:rowOff>
    </xdr:from>
    <xdr:to>
      <xdr:col>18</xdr:col>
      <xdr:colOff>260600</xdr:colOff>
      <xdr:row>31</xdr:row>
      <xdr:rowOff>32548</xdr:rowOff>
    </xdr:to>
    <xdr:sp macro="" textlink="team_work!Q6">
      <xdr:nvSpPr>
        <xdr:cNvPr id="14" name="TextBox 13">
          <a:extLst>
            <a:ext uri="{FF2B5EF4-FFF2-40B4-BE49-F238E27FC236}">
              <a16:creationId xmlns:a16="http://schemas.microsoft.com/office/drawing/2014/main" id="{2A42B65C-C951-B78F-11F3-2FEB063B5ED8}"/>
            </a:ext>
          </a:extLst>
        </xdr:cNvPr>
        <xdr:cNvSpPr txBox="1"/>
      </xdr:nvSpPr>
      <xdr:spPr>
        <a:xfrm>
          <a:off x="14695938" y="6021320"/>
          <a:ext cx="499862" cy="310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307AF41-FCEB-4A46-B036-CA7ACC0EAC74}" type="TxLink">
            <a:rPr lang="en-US" sz="1200" b="1" i="0" u="none" strike="noStrike">
              <a:solidFill>
                <a:srgbClr val="000000"/>
              </a:solidFill>
              <a:latin typeface="Calibri"/>
              <a:cs typeface="Calibri"/>
            </a:rPr>
            <a:pPr/>
            <a:t>45%</a:t>
          </a:fld>
          <a:endParaRPr lang="en-GB" sz="1200" b="1"/>
        </a:p>
      </xdr:txBody>
    </xdr:sp>
    <xdr:clientData/>
  </xdr:twoCellAnchor>
  <xdr:twoCellAnchor>
    <xdr:from>
      <xdr:col>19</xdr:col>
      <xdr:colOff>113381</xdr:colOff>
      <xdr:row>11</xdr:row>
      <xdr:rowOff>13547</xdr:rowOff>
    </xdr:from>
    <xdr:to>
      <xdr:col>25</xdr:col>
      <xdr:colOff>639417</xdr:colOff>
      <xdr:row>26</xdr:row>
      <xdr:rowOff>144451</xdr:rowOff>
    </xdr:to>
    <xdr:graphicFrame macro="">
      <xdr:nvGraphicFramePr>
        <xdr:cNvPr id="15" name="Chart 14">
          <a:extLst>
            <a:ext uri="{FF2B5EF4-FFF2-40B4-BE49-F238E27FC236}">
              <a16:creationId xmlns:a16="http://schemas.microsoft.com/office/drawing/2014/main" id="{6906238D-F80E-264F-8573-C275740C22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91476</xdr:colOff>
      <xdr:row>28</xdr:row>
      <xdr:rowOff>25140</xdr:rowOff>
    </xdr:from>
    <xdr:to>
      <xdr:col>25</xdr:col>
      <xdr:colOff>576102</xdr:colOff>
      <xdr:row>43</xdr:row>
      <xdr:rowOff>198463</xdr:rowOff>
    </xdr:to>
    <xdr:graphicFrame macro="">
      <xdr:nvGraphicFramePr>
        <xdr:cNvPr id="16" name="Chart 15">
          <a:extLst>
            <a:ext uri="{FF2B5EF4-FFF2-40B4-BE49-F238E27FC236}">
              <a16:creationId xmlns:a16="http://schemas.microsoft.com/office/drawing/2014/main" id="{671510A1-FB49-6C43-B2CF-37BEB4F94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186266</xdr:colOff>
      <xdr:row>10</xdr:row>
      <xdr:rowOff>50801</xdr:rowOff>
    </xdr:from>
    <xdr:to>
      <xdr:col>25</xdr:col>
      <xdr:colOff>524932</xdr:colOff>
      <xdr:row>16</xdr:row>
      <xdr:rowOff>33867</xdr:rowOff>
    </xdr:to>
    <xdr:graphicFrame macro="">
      <xdr:nvGraphicFramePr>
        <xdr:cNvPr id="17" name="Chart 16">
          <a:extLst>
            <a:ext uri="{FF2B5EF4-FFF2-40B4-BE49-F238E27FC236}">
              <a16:creationId xmlns:a16="http://schemas.microsoft.com/office/drawing/2014/main" id="{BE7E104D-7283-4240-86CF-396A3607EC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135467</xdr:colOff>
      <xdr:row>27</xdr:row>
      <xdr:rowOff>33867</xdr:rowOff>
    </xdr:from>
    <xdr:to>
      <xdr:col>25</xdr:col>
      <xdr:colOff>508000</xdr:colOff>
      <xdr:row>33</xdr:row>
      <xdr:rowOff>84667</xdr:rowOff>
    </xdr:to>
    <xdr:graphicFrame macro="">
      <xdr:nvGraphicFramePr>
        <xdr:cNvPr id="18" name="Chart 17">
          <a:extLst>
            <a:ext uri="{FF2B5EF4-FFF2-40B4-BE49-F238E27FC236}">
              <a16:creationId xmlns:a16="http://schemas.microsoft.com/office/drawing/2014/main" id="{500209CF-1A10-794C-B2B6-7D0ACF29A5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671127</xdr:colOff>
      <xdr:row>12</xdr:row>
      <xdr:rowOff>148428</xdr:rowOff>
    </xdr:from>
    <xdr:to>
      <xdr:col>25</xdr:col>
      <xdr:colOff>350746</xdr:colOff>
      <xdr:row>14</xdr:row>
      <xdr:rowOff>85880</xdr:rowOff>
    </xdr:to>
    <xdr:sp macro="" textlink="team_work!Q15">
      <xdr:nvSpPr>
        <xdr:cNvPr id="19" name="TextBox 18">
          <a:extLst>
            <a:ext uri="{FF2B5EF4-FFF2-40B4-BE49-F238E27FC236}">
              <a16:creationId xmlns:a16="http://schemas.microsoft.com/office/drawing/2014/main" id="{8D618D87-6A15-ED89-8FA6-523ABDA33EC6}"/>
            </a:ext>
          </a:extLst>
        </xdr:cNvPr>
        <xdr:cNvSpPr txBox="1"/>
      </xdr:nvSpPr>
      <xdr:spPr>
        <a:xfrm>
          <a:off x="20584727" y="2586828"/>
          <a:ext cx="509352" cy="3438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FD2E5E1-5A57-FB48-9792-8ECB2E293A52}" type="TxLink">
            <a:rPr lang="en-US" sz="1200" b="1" i="0" u="none" strike="noStrike">
              <a:solidFill>
                <a:srgbClr val="000000"/>
              </a:solidFill>
              <a:latin typeface="Calibri"/>
              <a:cs typeface="Calibri"/>
            </a:rPr>
            <a:pPr/>
            <a:t>29%</a:t>
          </a:fld>
          <a:endParaRPr lang="en-GB" sz="1200" b="1"/>
        </a:p>
      </xdr:txBody>
    </xdr:sp>
    <xdr:clientData/>
  </xdr:twoCellAnchor>
  <xdr:twoCellAnchor>
    <xdr:from>
      <xdr:col>24</xdr:col>
      <xdr:colOff>653628</xdr:colOff>
      <xdr:row>29</xdr:row>
      <xdr:rowOff>180375</xdr:rowOff>
    </xdr:from>
    <xdr:to>
      <xdr:col>25</xdr:col>
      <xdr:colOff>358987</xdr:colOff>
      <xdr:row>31</xdr:row>
      <xdr:rowOff>54187</xdr:rowOff>
    </xdr:to>
    <xdr:sp macro="" textlink="team_work!Q17">
      <xdr:nvSpPr>
        <xdr:cNvPr id="20" name="TextBox 19">
          <a:extLst>
            <a:ext uri="{FF2B5EF4-FFF2-40B4-BE49-F238E27FC236}">
              <a16:creationId xmlns:a16="http://schemas.microsoft.com/office/drawing/2014/main" id="{7F691C5D-BDD3-2C66-1095-BDCC7C5B3DFC}"/>
            </a:ext>
          </a:extLst>
        </xdr:cNvPr>
        <xdr:cNvSpPr txBox="1"/>
      </xdr:nvSpPr>
      <xdr:spPr>
        <a:xfrm>
          <a:off x="20567228" y="6073175"/>
          <a:ext cx="535092" cy="280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D8968D2-6019-B848-B870-C47D696CA87D}" type="TxLink">
            <a:rPr lang="en-US" sz="1200" b="1" i="0" u="none" strike="noStrike">
              <a:solidFill>
                <a:srgbClr val="000000"/>
              </a:solidFill>
              <a:latin typeface="Calibri"/>
              <a:cs typeface="Calibri"/>
            </a:rPr>
            <a:pPr/>
            <a:t>37%</a:t>
          </a:fld>
          <a:endParaRPr lang="en-GB" sz="1200" b="1"/>
        </a:p>
      </xdr:txBody>
    </xdr:sp>
    <xdr:clientData/>
  </xdr:twoCellAnchor>
  <xdr:twoCellAnchor>
    <xdr:from>
      <xdr:col>26</xdr:col>
      <xdr:colOff>183318</xdr:colOff>
      <xdr:row>11</xdr:row>
      <xdr:rowOff>18837</xdr:rowOff>
    </xdr:from>
    <xdr:to>
      <xdr:col>32</xdr:col>
      <xdr:colOff>423330</xdr:colOff>
      <xdr:row>26</xdr:row>
      <xdr:rowOff>187970</xdr:rowOff>
    </xdr:to>
    <xdr:graphicFrame macro="">
      <xdr:nvGraphicFramePr>
        <xdr:cNvPr id="21" name="Chart 20">
          <a:extLst>
            <a:ext uri="{FF2B5EF4-FFF2-40B4-BE49-F238E27FC236}">
              <a16:creationId xmlns:a16="http://schemas.microsoft.com/office/drawing/2014/main" id="{8B77539B-5380-0545-BDBD-3DB1F6EE92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161966</xdr:colOff>
      <xdr:row>28</xdr:row>
      <xdr:rowOff>18038</xdr:rowOff>
    </xdr:from>
    <xdr:to>
      <xdr:col>32</xdr:col>
      <xdr:colOff>465663</xdr:colOff>
      <xdr:row>43</xdr:row>
      <xdr:rowOff>191778</xdr:rowOff>
    </xdr:to>
    <xdr:graphicFrame macro="">
      <xdr:nvGraphicFramePr>
        <xdr:cNvPr id="22" name="Chart 21">
          <a:extLst>
            <a:ext uri="{FF2B5EF4-FFF2-40B4-BE49-F238E27FC236}">
              <a16:creationId xmlns:a16="http://schemas.microsoft.com/office/drawing/2014/main" id="{C8D05E9F-1D0C-3741-86C0-5E93EBAB75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30</xdr:col>
      <xdr:colOff>711201</xdr:colOff>
      <xdr:row>10</xdr:row>
      <xdr:rowOff>135469</xdr:rowOff>
    </xdr:from>
    <xdr:to>
      <xdr:col>32</xdr:col>
      <xdr:colOff>220132</xdr:colOff>
      <xdr:row>15</xdr:row>
      <xdr:rowOff>186268</xdr:rowOff>
    </xdr:to>
    <xdr:graphicFrame macro="">
      <xdr:nvGraphicFramePr>
        <xdr:cNvPr id="23" name="Chart 22">
          <a:extLst>
            <a:ext uri="{FF2B5EF4-FFF2-40B4-BE49-F238E27FC236}">
              <a16:creationId xmlns:a16="http://schemas.microsoft.com/office/drawing/2014/main" id="{10C58850-ADB9-944D-84E1-DBF141419A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30</xdr:col>
      <xdr:colOff>745066</xdr:colOff>
      <xdr:row>27</xdr:row>
      <xdr:rowOff>152401</xdr:rowOff>
    </xdr:from>
    <xdr:to>
      <xdr:col>32</xdr:col>
      <xdr:colOff>304799</xdr:colOff>
      <xdr:row>33</xdr:row>
      <xdr:rowOff>50801</xdr:rowOff>
    </xdr:to>
    <xdr:graphicFrame macro="">
      <xdr:nvGraphicFramePr>
        <xdr:cNvPr id="24" name="Chart 23">
          <a:extLst>
            <a:ext uri="{FF2B5EF4-FFF2-40B4-BE49-F238E27FC236}">
              <a16:creationId xmlns:a16="http://schemas.microsoft.com/office/drawing/2014/main" id="{526A7CA7-5366-3C45-9BAB-D297B47F1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31</xdr:col>
      <xdr:colOff>352762</xdr:colOff>
      <xdr:row>12</xdr:row>
      <xdr:rowOff>120784</xdr:rowOff>
    </xdr:from>
    <xdr:to>
      <xdr:col>32</xdr:col>
      <xdr:colOff>132628</xdr:colOff>
      <xdr:row>14</xdr:row>
      <xdr:rowOff>103852</xdr:rowOff>
    </xdr:to>
    <xdr:sp macro="" textlink="team_work!Q26">
      <xdr:nvSpPr>
        <xdr:cNvPr id="25" name="TextBox 24">
          <a:extLst>
            <a:ext uri="{FF2B5EF4-FFF2-40B4-BE49-F238E27FC236}">
              <a16:creationId xmlns:a16="http://schemas.microsoft.com/office/drawing/2014/main" id="{919D4AE2-1BBE-8659-BAFE-4D7B5AF8A905}"/>
            </a:ext>
          </a:extLst>
        </xdr:cNvPr>
        <xdr:cNvSpPr txBox="1"/>
      </xdr:nvSpPr>
      <xdr:spPr>
        <a:xfrm>
          <a:off x="26074495" y="2559184"/>
          <a:ext cx="609600" cy="3894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B7AD594-A3BF-6F4D-9F54-AF23ADC30532}" type="TxLink">
            <a:rPr lang="en-US" sz="1500" b="1" i="0" u="none" strike="noStrike">
              <a:solidFill>
                <a:srgbClr val="000000"/>
              </a:solidFill>
              <a:latin typeface="Calibri"/>
              <a:cs typeface="Calibri"/>
            </a:rPr>
            <a:pPr/>
            <a:t>68%</a:t>
          </a:fld>
          <a:endParaRPr lang="en-GB" sz="1500" b="1"/>
        </a:p>
      </xdr:txBody>
    </xdr:sp>
    <xdr:clientData/>
  </xdr:twoCellAnchor>
  <xdr:twoCellAnchor>
    <xdr:from>
      <xdr:col>31</xdr:col>
      <xdr:colOff>424435</xdr:colOff>
      <xdr:row>29</xdr:row>
      <xdr:rowOff>193305</xdr:rowOff>
    </xdr:from>
    <xdr:to>
      <xdr:col>32</xdr:col>
      <xdr:colOff>99321</xdr:colOff>
      <xdr:row>31</xdr:row>
      <xdr:rowOff>119348</xdr:rowOff>
    </xdr:to>
    <xdr:sp macro="" textlink="team_work!Q28">
      <xdr:nvSpPr>
        <xdr:cNvPr id="26" name="TextBox 25">
          <a:extLst>
            <a:ext uri="{FF2B5EF4-FFF2-40B4-BE49-F238E27FC236}">
              <a16:creationId xmlns:a16="http://schemas.microsoft.com/office/drawing/2014/main" id="{748F725F-04D7-F339-F82E-526850EEF87A}"/>
            </a:ext>
          </a:extLst>
        </xdr:cNvPr>
        <xdr:cNvSpPr txBox="1"/>
      </xdr:nvSpPr>
      <xdr:spPr>
        <a:xfrm>
          <a:off x="26146168" y="6086105"/>
          <a:ext cx="504620" cy="332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C35226-D5A6-4643-9772-0D3C0260A36E}" type="TxLink">
            <a:rPr lang="en-US" sz="1200" b="1" i="0" u="none" strike="noStrike">
              <a:solidFill>
                <a:srgbClr val="000000"/>
              </a:solidFill>
              <a:latin typeface="Calibri"/>
              <a:cs typeface="Calibri"/>
            </a:rPr>
            <a:pPr/>
            <a:t>78%</a:t>
          </a:fld>
          <a:endParaRPr lang="en-GB" sz="1100" b="1"/>
        </a:p>
      </xdr:txBody>
    </xdr:sp>
    <xdr:clientData/>
  </xdr:twoCellAnchor>
  <xdr:twoCellAnchor>
    <xdr:from>
      <xdr:col>12</xdr:col>
      <xdr:colOff>1471</xdr:colOff>
      <xdr:row>46</xdr:row>
      <xdr:rowOff>82274</xdr:rowOff>
    </xdr:from>
    <xdr:to>
      <xdr:col>22</xdr:col>
      <xdr:colOff>270933</xdr:colOff>
      <xdr:row>64</xdr:row>
      <xdr:rowOff>152400</xdr:rowOff>
    </xdr:to>
    <xdr:graphicFrame macro="">
      <xdr:nvGraphicFramePr>
        <xdr:cNvPr id="27" name="Chart 26">
          <a:extLst>
            <a:ext uri="{FF2B5EF4-FFF2-40B4-BE49-F238E27FC236}">
              <a16:creationId xmlns:a16="http://schemas.microsoft.com/office/drawing/2014/main" id="{01B702E3-7644-A644-B03C-18BF714C08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22</xdr:col>
      <xdr:colOff>389467</xdr:colOff>
      <xdr:row>46</xdr:row>
      <xdr:rowOff>80430</xdr:rowOff>
    </xdr:from>
    <xdr:to>
      <xdr:col>32</xdr:col>
      <xdr:colOff>338668</xdr:colOff>
      <xdr:row>64</xdr:row>
      <xdr:rowOff>118533</xdr:rowOff>
    </xdr:to>
    <xdr:graphicFrame macro="">
      <xdr:nvGraphicFramePr>
        <xdr:cNvPr id="28" name="Chart 27">
          <a:extLst>
            <a:ext uri="{FF2B5EF4-FFF2-40B4-BE49-F238E27FC236}">
              <a16:creationId xmlns:a16="http://schemas.microsoft.com/office/drawing/2014/main" id="{02398A96-C3E1-6743-A52D-9CBBBE76B7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5</xdr:col>
      <xdr:colOff>766669</xdr:colOff>
      <xdr:row>19</xdr:row>
      <xdr:rowOff>2386</xdr:rowOff>
    </xdr:from>
    <xdr:to>
      <xdr:col>10</xdr:col>
      <xdr:colOff>734969</xdr:colOff>
      <xdr:row>43</xdr:row>
      <xdr:rowOff>37346</xdr:rowOff>
    </xdr:to>
    <mc:AlternateContent xmlns:mc="http://schemas.openxmlformats.org/markup-compatibility/2006" xmlns:a14="http://schemas.microsoft.com/office/drawing/2010/main">
      <mc:Choice Requires="a14">
        <xdr:graphicFrame macro="">
          <xdr:nvGraphicFramePr>
            <xdr:cNvPr id="32" name="Opp 1">
              <a:extLst>
                <a:ext uri="{FF2B5EF4-FFF2-40B4-BE49-F238E27FC236}">
                  <a16:creationId xmlns:a16="http://schemas.microsoft.com/office/drawing/2014/main" id="{36FC59AD-F738-E7F4-66A0-5EB808833032}"/>
                </a:ext>
              </a:extLst>
            </xdr:cNvPr>
            <xdr:cNvGraphicFramePr/>
          </xdr:nvGraphicFramePr>
          <xdr:xfrm>
            <a:off x="0" y="0"/>
            <a:ext cx="0" cy="0"/>
          </xdr:xfrm>
          <a:graphic>
            <a:graphicData uri="http://schemas.microsoft.com/office/drawing/2010/slicer">
              <sle:slicer xmlns:sle="http://schemas.microsoft.com/office/drawing/2010/slicer" name="Opp 1"/>
            </a:graphicData>
          </a:graphic>
        </xdr:graphicFrame>
      </mc:Choice>
      <mc:Fallback xmlns="">
        <xdr:sp macro="" textlink="">
          <xdr:nvSpPr>
            <xdr:cNvPr id="0" name=""/>
            <xdr:cNvSpPr>
              <a:spLocks noTextEdit="1"/>
            </xdr:cNvSpPr>
          </xdr:nvSpPr>
          <xdr:spPr>
            <a:xfrm>
              <a:off x="4957669" y="3863186"/>
              <a:ext cx="4159300" cy="49117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677333</xdr:colOff>
      <xdr:row>2</xdr:row>
      <xdr:rowOff>105834</xdr:rowOff>
    </xdr:from>
    <xdr:to>
      <xdr:col>32</xdr:col>
      <xdr:colOff>423332</xdr:colOff>
      <xdr:row>7</xdr:row>
      <xdr:rowOff>168313</xdr:rowOff>
    </xdr:to>
    <xdr:sp macro="" textlink="">
      <xdr:nvSpPr>
        <xdr:cNvPr id="34" name="TextBox 33">
          <a:extLst>
            <a:ext uri="{FF2B5EF4-FFF2-40B4-BE49-F238E27FC236}">
              <a16:creationId xmlns:a16="http://schemas.microsoft.com/office/drawing/2014/main" id="{EC513671-ADBA-6EA0-2B92-CF91DF7994FD}"/>
            </a:ext>
          </a:extLst>
        </xdr:cNvPr>
        <xdr:cNvSpPr txBox="1"/>
      </xdr:nvSpPr>
      <xdr:spPr>
        <a:xfrm>
          <a:off x="4808658" y="503665"/>
          <a:ext cx="22055156" cy="105705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5800">
              <a:ln w="3175">
                <a:solidFill>
                  <a:schemeClr val="bg1">
                    <a:alpha val="34165"/>
                  </a:schemeClr>
                </a:solidFill>
              </a:ln>
              <a:gradFill>
                <a:gsLst>
                  <a:gs pos="0">
                    <a:srgbClr val="FFC000">
                      <a:lumMod val="0"/>
                      <a:lumOff val="100000"/>
                    </a:srgbClr>
                  </a:gs>
                  <a:gs pos="59000">
                    <a:srgbClr val="7030A0"/>
                  </a:gs>
                  <a:gs pos="32000">
                    <a:srgbClr val="FFC000"/>
                  </a:gs>
                  <a:gs pos="100000">
                    <a:srgbClr val="7030A0"/>
                  </a:gs>
                </a:gsLst>
                <a:lin ang="5400000" scaled="1"/>
              </a:gradFill>
            </a:rPr>
            <a:t>LA</a:t>
          </a:r>
          <a:r>
            <a:rPr lang="en-GB" sz="5800" baseline="0">
              <a:ln w="3175">
                <a:solidFill>
                  <a:schemeClr val="bg1">
                    <a:alpha val="34165"/>
                  </a:schemeClr>
                </a:solidFill>
              </a:ln>
              <a:gradFill>
                <a:gsLst>
                  <a:gs pos="0">
                    <a:srgbClr val="FFC000">
                      <a:lumMod val="0"/>
                      <a:lumOff val="100000"/>
                    </a:srgbClr>
                  </a:gs>
                  <a:gs pos="59000">
                    <a:srgbClr val="7030A0"/>
                  </a:gs>
                  <a:gs pos="32000">
                    <a:srgbClr val="FFC000"/>
                  </a:gs>
                  <a:gs pos="100000">
                    <a:srgbClr val="7030A0"/>
                  </a:gs>
                </a:gsLst>
                <a:lin ang="5400000" scaled="1"/>
              </a:gradFill>
            </a:rPr>
            <a:t> LAKERS  VS  OPPONENT  MATCH  STATS</a:t>
          </a:r>
          <a:endParaRPr lang="en-GB" sz="5800">
            <a:ln w="3175">
              <a:solidFill>
                <a:schemeClr val="bg1">
                  <a:alpha val="34165"/>
                </a:schemeClr>
              </a:solidFill>
            </a:ln>
            <a:gradFill>
              <a:gsLst>
                <a:gs pos="0">
                  <a:srgbClr val="FFC000">
                    <a:lumMod val="0"/>
                    <a:lumOff val="100000"/>
                  </a:srgbClr>
                </a:gs>
                <a:gs pos="59000">
                  <a:srgbClr val="7030A0"/>
                </a:gs>
                <a:gs pos="32000">
                  <a:srgbClr val="FFC000"/>
                </a:gs>
                <a:gs pos="100000">
                  <a:srgbClr val="7030A0"/>
                </a:gs>
              </a:gsLst>
              <a:lin ang="5400000" scaled="1"/>
            </a:gradFill>
          </a:endParaRPr>
        </a:p>
      </xdr:txBody>
    </xdr:sp>
    <xdr:clientData/>
  </xdr:twoCellAnchor>
  <xdr:twoCellAnchor editAs="oneCell">
    <xdr:from>
      <xdr:col>5</xdr:col>
      <xdr:colOff>553904</xdr:colOff>
      <xdr:row>49</xdr:row>
      <xdr:rowOff>13965</xdr:rowOff>
    </xdr:from>
    <xdr:to>
      <xdr:col>11</xdr:col>
      <xdr:colOff>249104</xdr:colOff>
      <xdr:row>64</xdr:row>
      <xdr:rowOff>115565</xdr:rowOff>
    </xdr:to>
    <xdr:pic>
      <xdr:nvPicPr>
        <xdr:cNvPr id="38" name="Picture 37" descr="Los Angeles Lakers – Wikipedia">
          <a:extLst>
            <a:ext uri="{FF2B5EF4-FFF2-40B4-BE49-F238E27FC236}">
              <a16:creationId xmlns:a16="http://schemas.microsoft.com/office/drawing/2014/main" id="{DEECCA5B-051F-5B34-B6D0-1A884E729B21}"/>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837473B0-CC2E-450A-ABE3-18F120FF3D39}">
              <a1611:picAttrSrcUrl xmlns:a1611="http://schemas.microsoft.com/office/drawing/2016/11/main" r:id="rId16"/>
            </a:ext>
          </a:extLst>
        </a:blip>
        <a:stretch>
          <a:fillRect/>
        </a:stretch>
      </xdr:blipFill>
      <xdr:spPr>
        <a:xfrm>
          <a:off x="4685229" y="9760832"/>
          <a:ext cx="4652791" cy="3085335"/>
        </a:xfrm>
        <a:prstGeom prst="rect">
          <a:avLst/>
        </a:prstGeom>
      </xdr:spPr>
    </xdr:pic>
    <xdr:clientData/>
  </xdr:twoCellAnchor>
  <xdr:twoCellAnchor>
    <xdr:from>
      <xdr:col>16</xdr:col>
      <xdr:colOff>639235</xdr:colOff>
      <xdr:row>29</xdr:row>
      <xdr:rowOff>128083</xdr:rowOff>
    </xdr:from>
    <xdr:to>
      <xdr:col>17</xdr:col>
      <xdr:colOff>539012</xdr:colOff>
      <xdr:row>31</xdr:row>
      <xdr:rowOff>7383</xdr:rowOff>
    </xdr:to>
    <xdr:sp macro="" textlink="">
      <xdr:nvSpPr>
        <xdr:cNvPr id="37" name="TextBox 36">
          <a:extLst>
            <a:ext uri="{FF2B5EF4-FFF2-40B4-BE49-F238E27FC236}">
              <a16:creationId xmlns:a16="http://schemas.microsoft.com/office/drawing/2014/main" id="{D7D49F9D-2208-A1D5-FF70-0775BD0EAFF7}"/>
            </a:ext>
          </a:extLst>
        </xdr:cNvPr>
        <xdr:cNvSpPr txBox="1"/>
      </xdr:nvSpPr>
      <xdr:spPr>
        <a:xfrm>
          <a:off x="13870863" y="6123664"/>
          <a:ext cx="726754" cy="292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t>FG% =</a:t>
          </a:r>
        </a:p>
      </xdr:txBody>
    </xdr:sp>
    <xdr:clientData/>
  </xdr:twoCellAnchor>
  <xdr:twoCellAnchor>
    <xdr:from>
      <xdr:col>23</xdr:col>
      <xdr:colOff>593049</xdr:colOff>
      <xdr:row>29</xdr:row>
      <xdr:rowOff>171498</xdr:rowOff>
    </xdr:from>
    <xdr:to>
      <xdr:col>24</xdr:col>
      <xdr:colOff>534737</xdr:colOff>
      <xdr:row>31</xdr:row>
      <xdr:rowOff>133685</xdr:rowOff>
    </xdr:to>
    <xdr:sp macro="" textlink="">
      <xdr:nvSpPr>
        <xdr:cNvPr id="39" name="TextBox 38">
          <a:extLst>
            <a:ext uri="{FF2B5EF4-FFF2-40B4-BE49-F238E27FC236}">
              <a16:creationId xmlns:a16="http://schemas.microsoft.com/office/drawing/2014/main" id="{9FAED5B0-DE29-C257-B6A1-D5C15EA0CBCD}"/>
            </a:ext>
          </a:extLst>
        </xdr:cNvPr>
        <xdr:cNvSpPr txBox="1"/>
      </xdr:nvSpPr>
      <xdr:spPr>
        <a:xfrm>
          <a:off x="19480718" y="5986761"/>
          <a:ext cx="762891" cy="363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t>3PT% =</a:t>
          </a:r>
        </a:p>
      </xdr:txBody>
    </xdr:sp>
    <xdr:clientData/>
  </xdr:twoCellAnchor>
  <xdr:twoCellAnchor>
    <xdr:from>
      <xdr:col>30</xdr:col>
      <xdr:colOff>439376</xdr:colOff>
      <xdr:row>29</xdr:row>
      <xdr:rowOff>188432</xdr:rowOff>
    </xdr:from>
    <xdr:to>
      <xdr:col>31</xdr:col>
      <xdr:colOff>219624</xdr:colOff>
      <xdr:row>31</xdr:row>
      <xdr:rowOff>76392</xdr:rowOff>
    </xdr:to>
    <xdr:sp macro="" textlink="">
      <xdr:nvSpPr>
        <xdr:cNvPr id="40" name="TextBox 39">
          <a:extLst>
            <a:ext uri="{FF2B5EF4-FFF2-40B4-BE49-F238E27FC236}">
              <a16:creationId xmlns:a16="http://schemas.microsoft.com/office/drawing/2014/main" id="{7527A709-CB6B-DD73-BF4B-205AADF465B0}"/>
            </a:ext>
          </a:extLst>
        </xdr:cNvPr>
        <xdr:cNvSpPr txBox="1"/>
      </xdr:nvSpPr>
      <xdr:spPr>
        <a:xfrm>
          <a:off x="25075466" y="6003695"/>
          <a:ext cx="601451" cy="289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t>FT% =</a:t>
          </a:r>
        </a:p>
      </xdr:txBody>
    </xdr:sp>
    <xdr:clientData/>
  </xdr:twoCellAnchor>
  <xdr:twoCellAnchor>
    <xdr:from>
      <xdr:col>16</xdr:col>
      <xdr:colOff>508383</xdr:colOff>
      <xdr:row>12</xdr:row>
      <xdr:rowOff>177992</xdr:rowOff>
    </xdr:from>
    <xdr:to>
      <xdr:col>17</xdr:col>
      <xdr:colOff>296015</xdr:colOff>
      <xdr:row>14</xdr:row>
      <xdr:rowOff>57294</xdr:rowOff>
    </xdr:to>
    <xdr:sp macro="" textlink="">
      <xdr:nvSpPr>
        <xdr:cNvPr id="44" name="TextBox 43">
          <a:extLst>
            <a:ext uri="{FF2B5EF4-FFF2-40B4-BE49-F238E27FC236}">
              <a16:creationId xmlns:a16="http://schemas.microsoft.com/office/drawing/2014/main" id="{BAC1C478-7550-E94C-90B7-44915DAFB72F}"/>
            </a:ext>
          </a:extLst>
        </xdr:cNvPr>
        <xdr:cNvSpPr txBox="1"/>
      </xdr:nvSpPr>
      <xdr:spPr>
        <a:xfrm>
          <a:off x="13647631" y="2584308"/>
          <a:ext cx="608835" cy="2803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t>FG% =</a:t>
          </a:r>
        </a:p>
      </xdr:txBody>
    </xdr:sp>
    <xdr:clientData/>
  </xdr:twoCellAnchor>
  <xdr:twoCellAnchor>
    <xdr:from>
      <xdr:col>23</xdr:col>
      <xdr:colOff>626025</xdr:colOff>
      <xdr:row>12</xdr:row>
      <xdr:rowOff>134576</xdr:rowOff>
    </xdr:from>
    <xdr:to>
      <xdr:col>24</xdr:col>
      <xdr:colOff>515640</xdr:colOff>
      <xdr:row>14</xdr:row>
      <xdr:rowOff>57294</xdr:rowOff>
    </xdr:to>
    <xdr:sp macro="" textlink="">
      <xdr:nvSpPr>
        <xdr:cNvPr id="45" name="TextBox 44">
          <a:extLst>
            <a:ext uri="{FF2B5EF4-FFF2-40B4-BE49-F238E27FC236}">
              <a16:creationId xmlns:a16="http://schemas.microsoft.com/office/drawing/2014/main" id="{C6F3B591-814E-7644-8590-9D8D439928C0}"/>
            </a:ext>
          </a:extLst>
        </xdr:cNvPr>
        <xdr:cNvSpPr txBox="1"/>
      </xdr:nvSpPr>
      <xdr:spPr>
        <a:xfrm>
          <a:off x="19513694" y="2540892"/>
          <a:ext cx="710818" cy="323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t>3PT% =</a:t>
          </a:r>
        </a:p>
      </xdr:txBody>
    </xdr:sp>
    <xdr:clientData/>
  </xdr:twoCellAnchor>
  <xdr:twoCellAnchor>
    <xdr:from>
      <xdr:col>30</xdr:col>
      <xdr:colOff>424225</xdr:colOff>
      <xdr:row>12</xdr:row>
      <xdr:rowOff>144124</xdr:rowOff>
    </xdr:from>
    <xdr:to>
      <xdr:col>31</xdr:col>
      <xdr:colOff>162331</xdr:colOff>
      <xdr:row>14</xdr:row>
      <xdr:rowOff>9550</xdr:rowOff>
    </xdr:to>
    <xdr:sp macro="" textlink="">
      <xdr:nvSpPr>
        <xdr:cNvPr id="46" name="TextBox 45">
          <a:extLst>
            <a:ext uri="{FF2B5EF4-FFF2-40B4-BE49-F238E27FC236}">
              <a16:creationId xmlns:a16="http://schemas.microsoft.com/office/drawing/2014/main" id="{C73F482B-2670-E04A-A476-01136156C7C8}"/>
            </a:ext>
          </a:extLst>
        </xdr:cNvPr>
        <xdr:cNvSpPr txBox="1"/>
      </xdr:nvSpPr>
      <xdr:spPr>
        <a:xfrm>
          <a:off x="25060315" y="2550440"/>
          <a:ext cx="559309" cy="266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t>FT% =</a:t>
          </a:r>
        </a:p>
      </xdr:txBody>
    </xdr:sp>
    <xdr:clientData/>
  </xdr:twoCellAnchor>
  <xdr:twoCellAnchor>
    <xdr:from>
      <xdr:col>5</xdr:col>
      <xdr:colOff>260121</xdr:colOff>
      <xdr:row>10</xdr:row>
      <xdr:rowOff>30603</xdr:rowOff>
    </xdr:from>
    <xdr:to>
      <xdr:col>11</xdr:col>
      <xdr:colOff>137710</xdr:colOff>
      <xdr:row>16</xdr:row>
      <xdr:rowOff>168315</xdr:rowOff>
    </xdr:to>
    <xdr:sp macro="" textlink="">
      <xdr:nvSpPr>
        <xdr:cNvPr id="47" name="Rounded Rectangle 46">
          <a:extLst>
            <a:ext uri="{FF2B5EF4-FFF2-40B4-BE49-F238E27FC236}">
              <a16:creationId xmlns:a16="http://schemas.microsoft.com/office/drawing/2014/main" id="{E50FA6E3-AF30-BFF9-AF2C-66BBA281EE05}"/>
            </a:ext>
          </a:extLst>
        </xdr:cNvPr>
        <xdr:cNvSpPr/>
      </xdr:nvSpPr>
      <xdr:spPr>
        <a:xfrm>
          <a:off x="4391446" y="2019760"/>
          <a:ext cx="4835180" cy="1331206"/>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336628</xdr:colOff>
      <xdr:row>11</xdr:row>
      <xdr:rowOff>183614</xdr:rowOff>
    </xdr:from>
    <xdr:to>
      <xdr:col>11</xdr:col>
      <xdr:colOff>76507</xdr:colOff>
      <xdr:row>15</xdr:row>
      <xdr:rowOff>61204</xdr:rowOff>
    </xdr:to>
    <xdr:sp macro="" textlink="">
      <xdr:nvSpPr>
        <xdr:cNvPr id="49" name="TextBox 48">
          <a:extLst>
            <a:ext uri="{FF2B5EF4-FFF2-40B4-BE49-F238E27FC236}">
              <a16:creationId xmlns:a16="http://schemas.microsoft.com/office/drawing/2014/main" id="{D7AC9705-1C65-AD03-2834-1325A461F105}"/>
            </a:ext>
          </a:extLst>
        </xdr:cNvPr>
        <xdr:cNvSpPr txBox="1"/>
      </xdr:nvSpPr>
      <xdr:spPr>
        <a:xfrm>
          <a:off x="4467953" y="2371686"/>
          <a:ext cx="4697470" cy="6732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3600" b="1" cap="none" spc="0">
              <a:ln w="13462">
                <a:solidFill>
                  <a:schemeClr val="bg1"/>
                </a:solidFill>
                <a:prstDash val="solid"/>
              </a:ln>
              <a:solidFill>
                <a:srgbClr val="FFC000"/>
              </a:solidFill>
              <a:effectLst>
                <a:glow rad="247518">
                  <a:srgbClr val="7030A0">
                    <a:alpha val="60000"/>
                  </a:srgbClr>
                </a:glow>
                <a:outerShdw dist="38100" dir="2700000" algn="bl" rotWithShape="0">
                  <a:schemeClr val="accent5"/>
                </a:outerShdw>
              </a:effectLst>
            </a:rPr>
            <a:t>LAL</a:t>
          </a:r>
          <a:r>
            <a:rPr lang="en-GB" sz="3600" b="1" cap="none" spc="0" baseline="0">
              <a:ln w="13462">
                <a:solidFill>
                  <a:schemeClr val="bg1"/>
                </a:solidFill>
                <a:prstDash val="solid"/>
              </a:ln>
              <a:solidFill>
                <a:srgbClr val="FFC000"/>
              </a:solidFill>
              <a:effectLst>
                <a:glow rad="247518">
                  <a:srgbClr val="7030A0">
                    <a:alpha val="60000"/>
                  </a:srgbClr>
                </a:glow>
                <a:outerShdw dist="38100" dir="2700000" algn="bl" rotWithShape="0">
                  <a:schemeClr val="accent5"/>
                </a:outerShdw>
              </a:effectLst>
            </a:rPr>
            <a:t>  </a:t>
          </a:r>
          <a:r>
            <a:rPr lang="en-GB" sz="3600" b="1" cap="none" spc="0">
              <a:ln w="13462">
                <a:solidFill>
                  <a:schemeClr val="bg1"/>
                </a:solidFill>
                <a:prstDash val="solid"/>
              </a:ln>
              <a:solidFill>
                <a:srgbClr val="FFC000"/>
              </a:solidFill>
              <a:effectLst>
                <a:glow rad="247518">
                  <a:srgbClr val="7030A0">
                    <a:alpha val="60000"/>
                  </a:srgbClr>
                </a:glow>
                <a:outerShdw dist="38100" dir="2700000" algn="bl" rotWithShape="0">
                  <a:schemeClr val="accent5"/>
                </a:outerShdw>
              </a:effectLst>
            </a:rPr>
            <a:t>SEASON </a:t>
          </a:r>
          <a:r>
            <a:rPr lang="en-GB" sz="3600" b="1" cap="none" spc="0" baseline="0">
              <a:ln w="13462">
                <a:solidFill>
                  <a:schemeClr val="bg1"/>
                </a:solidFill>
                <a:prstDash val="solid"/>
              </a:ln>
              <a:solidFill>
                <a:srgbClr val="FFC000"/>
              </a:solidFill>
              <a:effectLst>
                <a:glow rad="247518">
                  <a:srgbClr val="7030A0">
                    <a:alpha val="60000"/>
                  </a:srgbClr>
                </a:glow>
                <a:outerShdw dist="38100" dir="2700000" algn="bl" rotWithShape="0">
                  <a:schemeClr val="accent5"/>
                </a:outerShdw>
              </a:effectLst>
            </a:rPr>
            <a:t> </a:t>
          </a:r>
          <a:r>
            <a:rPr lang="en-GB" sz="3600" b="1" cap="none" spc="0">
              <a:ln w="13462">
                <a:solidFill>
                  <a:schemeClr val="bg1"/>
                </a:solidFill>
                <a:prstDash val="solid"/>
              </a:ln>
              <a:solidFill>
                <a:srgbClr val="FFC000"/>
              </a:solidFill>
              <a:effectLst>
                <a:glow rad="247518">
                  <a:srgbClr val="7030A0">
                    <a:alpha val="60000"/>
                  </a:srgbClr>
                </a:glow>
                <a:outerShdw dist="38100" dir="2700000" algn="bl" rotWithShape="0">
                  <a:schemeClr val="accent5"/>
                </a:outerShdw>
              </a:effectLst>
            </a:rPr>
            <a:t>2019 - 20</a:t>
          </a:r>
        </a:p>
        <a:p>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33</xdr:col>
      <xdr:colOff>22149</xdr:colOff>
      <xdr:row>8</xdr:row>
      <xdr:rowOff>0</xdr:rowOff>
    </xdr:from>
    <xdr:to>
      <xdr:col>35</xdr:col>
      <xdr:colOff>205469</xdr:colOff>
      <xdr:row>20</xdr:row>
      <xdr:rowOff>148073</xdr:rowOff>
    </xdr:to>
    <mc:AlternateContent xmlns:mc="http://schemas.openxmlformats.org/markup-compatibility/2006" xmlns:a14="http://schemas.microsoft.com/office/drawing/2010/main">
      <mc:Choice Requires="a14">
        <xdr:graphicFrame macro="">
          <xdr:nvGraphicFramePr>
            <xdr:cNvPr id="8" name="Player 1">
              <a:extLst>
                <a:ext uri="{FF2B5EF4-FFF2-40B4-BE49-F238E27FC236}">
                  <a16:creationId xmlns:a16="http://schemas.microsoft.com/office/drawing/2014/main" id="{CB02CCBB-926A-124F-8FF5-48BCFB09F1F2}"/>
                </a:ext>
              </a:extLst>
            </xdr:cNvPr>
            <xdr:cNvGraphicFramePr/>
          </xdr:nvGraphicFramePr>
          <xdr:xfrm>
            <a:off x="0" y="0"/>
            <a:ext cx="0" cy="0"/>
          </xdr:xfrm>
          <a:graphic>
            <a:graphicData uri="http://schemas.microsoft.com/office/drawing/2010/slicer">
              <sle:slicer xmlns:sle="http://schemas.microsoft.com/office/drawing/2010/slicer" name="Player 1"/>
            </a:graphicData>
          </a:graphic>
        </xdr:graphicFrame>
      </mc:Choice>
      <mc:Fallback xmlns="">
        <xdr:sp macro="" textlink="">
          <xdr:nvSpPr>
            <xdr:cNvPr id="0" name=""/>
            <xdr:cNvSpPr>
              <a:spLocks noTextEdit="1"/>
            </xdr:cNvSpPr>
          </xdr:nvSpPr>
          <xdr:spPr>
            <a:xfrm>
              <a:off x="30790016" y="2641600"/>
              <a:ext cx="1842786" cy="260340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30</xdr:col>
      <xdr:colOff>201039</xdr:colOff>
      <xdr:row>15</xdr:row>
      <xdr:rowOff>98304</xdr:rowOff>
    </xdr:from>
    <xdr:to>
      <xdr:col>30</xdr:col>
      <xdr:colOff>1991360</xdr:colOff>
      <xdr:row>15</xdr:row>
      <xdr:rowOff>1543161</xdr:rowOff>
    </xdr:to>
    <xdr:pic>
      <xdr:nvPicPr>
        <xdr:cNvPr id="45" name="Picture 44" descr="Anygator. Le notizie e le novità più social per la categoria Sport ...">
          <a:extLst>
            <a:ext uri="{FF2B5EF4-FFF2-40B4-BE49-F238E27FC236}">
              <a16:creationId xmlns:a16="http://schemas.microsoft.com/office/drawing/2014/main" id="{E3822B96-D262-FA47-94B3-0C58A8C620A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26058239" y="2099824"/>
          <a:ext cx="1790321" cy="1444857"/>
        </a:xfrm>
        <a:prstGeom prst="rect">
          <a:avLst/>
        </a:prstGeom>
      </xdr:spPr>
    </xdr:pic>
    <xdr:clientData/>
  </xdr:twoCellAnchor>
  <xdr:twoCellAnchor editAs="absolute">
    <xdr:from>
      <xdr:col>30</xdr:col>
      <xdr:colOff>148102</xdr:colOff>
      <xdr:row>3</xdr:row>
      <xdr:rowOff>61764</xdr:rowOff>
    </xdr:from>
    <xdr:to>
      <xdr:col>30</xdr:col>
      <xdr:colOff>2010973</xdr:colOff>
      <xdr:row>3</xdr:row>
      <xdr:rowOff>1281853</xdr:rowOff>
    </xdr:to>
    <xdr:pic>
      <xdr:nvPicPr>
        <xdr:cNvPr id="46" name="Picture 45" descr="NBA 2K20 (Switch) será lançado em 6 de setembro - Nintendo Blast">
          <a:extLst>
            <a:ext uri="{FF2B5EF4-FFF2-40B4-BE49-F238E27FC236}">
              <a16:creationId xmlns:a16="http://schemas.microsoft.com/office/drawing/2014/main" id="{CFCD72A9-11E6-004C-BC77-B280673CC6C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26208502" y="4024164"/>
          <a:ext cx="1862871" cy="1220089"/>
        </a:xfrm>
        <a:prstGeom prst="rect">
          <a:avLst/>
        </a:prstGeom>
      </xdr:spPr>
    </xdr:pic>
    <xdr:clientData/>
  </xdr:twoCellAnchor>
  <xdr:twoCellAnchor>
    <xdr:from>
      <xdr:col>30</xdr:col>
      <xdr:colOff>152703</xdr:colOff>
      <xdr:row>12</xdr:row>
      <xdr:rowOff>41838</xdr:rowOff>
    </xdr:from>
    <xdr:to>
      <xdr:col>30</xdr:col>
      <xdr:colOff>2063969</xdr:colOff>
      <xdr:row>12</xdr:row>
      <xdr:rowOff>1281882</xdr:rowOff>
    </xdr:to>
    <xdr:pic>
      <xdr:nvPicPr>
        <xdr:cNvPr id="47" name="Picture 46" descr="Lakers' Kentavious Caldwell-Pope Serving Jail Sentence, But Allowed to ...">
          <a:extLst>
            <a:ext uri="{FF2B5EF4-FFF2-40B4-BE49-F238E27FC236}">
              <a16:creationId xmlns:a16="http://schemas.microsoft.com/office/drawing/2014/main" id="{B3C10565-0878-BD42-B9BD-B548E143CEF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26213103" y="5418171"/>
          <a:ext cx="1911266" cy="1240044"/>
        </a:xfrm>
        <a:prstGeom prst="rect">
          <a:avLst/>
        </a:prstGeom>
      </xdr:spPr>
    </xdr:pic>
    <xdr:clientData/>
  </xdr:twoCellAnchor>
  <xdr:twoCellAnchor>
    <xdr:from>
      <xdr:col>30</xdr:col>
      <xdr:colOff>84411</xdr:colOff>
      <xdr:row>14</xdr:row>
      <xdr:rowOff>49335</xdr:rowOff>
    </xdr:from>
    <xdr:to>
      <xdr:col>30</xdr:col>
      <xdr:colOff>2119848</xdr:colOff>
      <xdr:row>14</xdr:row>
      <xdr:rowOff>1361668</xdr:rowOff>
    </xdr:to>
    <xdr:pic>
      <xdr:nvPicPr>
        <xdr:cNvPr id="48" name="Picture 47" descr="Kyle Kuzma has solidified his case to remain a starter with Lakers">
          <a:extLst>
            <a:ext uri="{FF2B5EF4-FFF2-40B4-BE49-F238E27FC236}">
              <a16:creationId xmlns:a16="http://schemas.microsoft.com/office/drawing/2014/main" id="{CB93A975-48A3-8840-83AE-C8E4CA780E4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26391554" y="6523470"/>
          <a:ext cx="2035437" cy="1312333"/>
        </a:xfrm>
        <a:prstGeom prst="rect">
          <a:avLst/>
        </a:prstGeom>
      </xdr:spPr>
    </xdr:pic>
    <xdr:clientData/>
  </xdr:twoCellAnchor>
  <xdr:twoCellAnchor>
    <xdr:from>
      <xdr:col>30</xdr:col>
      <xdr:colOff>86482</xdr:colOff>
      <xdr:row>5</xdr:row>
      <xdr:rowOff>49432</xdr:rowOff>
    </xdr:from>
    <xdr:to>
      <xdr:col>30</xdr:col>
      <xdr:colOff>2100752</xdr:colOff>
      <xdr:row>5</xdr:row>
      <xdr:rowOff>1332132</xdr:rowOff>
    </xdr:to>
    <xdr:pic>
      <xdr:nvPicPr>
        <xdr:cNvPr id="49" name="Picture 48" descr="Danny Green says he hasn’t been 3-point ‘specialist’ Lakers need him to ...">
          <a:extLst>
            <a:ext uri="{FF2B5EF4-FFF2-40B4-BE49-F238E27FC236}">
              <a16:creationId xmlns:a16="http://schemas.microsoft.com/office/drawing/2014/main" id="{21C5E765-7E0E-8343-BA2A-14C75E8A3C7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26393625" y="7984545"/>
          <a:ext cx="2014270" cy="1282700"/>
        </a:xfrm>
        <a:prstGeom prst="rect">
          <a:avLst/>
        </a:prstGeom>
      </xdr:spPr>
    </xdr:pic>
    <xdr:clientData/>
  </xdr:twoCellAnchor>
  <xdr:twoCellAnchor>
    <xdr:from>
      <xdr:col>30</xdr:col>
      <xdr:colOff>87563</xdr:colOff>
      <xdr:row>4</xdr:row>
      <xdr:rowOff>50513</xdr:rowOff>
    </xdr:from>
    <xdr:to>
      <xdr:col>30</xdr:col>
      <xdr:colOff>2110300</xdr:colOff>
      <xdr:row>4</xdr:row>
      <xdr:rowOff>1327293</xdr:rowOff>
    </xdr:to>
    <xdr:pic>
      <xdr:nvPicPr>
        <xdr:cNvPr id="50" name="Picture 49" descr="Lakers News: Avery Bradley says having a big man like Anthony Davis can ...">
          <a:extLst>
            <a:ext uri="{FF2B5EF4-FFF2-40B4-BE49-F238E27FC236}">
              <a16:creationId xmlns:a16="http://schemas.microsoft.com/office/drawing/2014/main" id="{3D04E059-C2AA-D241-BB7F-673C22FC47EF}"/>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837473B0-CC2E-450A-ABE3-18F120FF3D39}">
              <a1611:picAttrSrcUrl xmlns:a1611="http://schemas.microsoft.com/office/drawing/2016/11/main" r:id="rId12"/>
            </a:ext>
          </a:extLst>
        </a:blip>
        <a:stretch>
          <a:fillRect/>
        </a:stretch>
      </xdr:blipFill>
      <xdr:spPr>
        <a:xfrm>
          <a:off x="26394706" y="9417957"/>
          <a:ext cx="2022737" cy="1276780"/>
        </a:xfrm>
        <a:prstGeom prst="rect">
          <a:avLst/>
        </a:prstGeom>
      </xdr:spPr>
    </xdr:pic>
    <xdr:clientData/>
  </xdr:twoCellAnchor>
  <xdr:twoCellAnchor>
    <xdr:from>
      <xdr:col>30</xdr:col>
      <xdr:colOff>117388</xdr:colOff>
      <xdr:row>7</xdr:row>
      <xdr:rowOff>59967</xdr:rowOff>
    </xdr:from>
    <xdr:to>
      <xdr:col>30</xdr:col>
      <xdr:colOff>2100752</xdr:colOff>
      <xdr:row>7</xdr:row>
      <xdr:rowOff>1391762</xdr:rowOff>
    </xdr:to>
    <xdr:pic>
      <xdr:nvPicPr>
        <xdr:cNvPr id="51" name="Picture 50" descr="Lakers Podcast: Would Dion Waiters be a good fit? - Silver Screen and Roll">
          <a:extLst>
            <a:ext uri="{FF2B5EF4-FFF2-40B4-BE49-F238E27FC236}">
              <a16:creationId xmlns:a16="http://schemas.microsoft.com/office/drawing/2014/main" id="{28E1CEE9-8574-544D-97D9-B5DB56934DF9}"/>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837473B0-CC2E-450A-ABE3-18F120FF3D39}">
              <a1611:picAttrSrcUrl xmlns:a1611="http://schemas.microsoft.com/office/drawing/2016/11/main" r:id="rId14"/>
            </a:ext>
          </a:extLst>
        </a:blip>
        <a:stretch>
          <a:fillRect/>
        </a:stretch>
      </xdr:blipFill>
      <xdr:spPr>
        <a:xfrm>
          <a:off x="26424531" y="10850193"/>
          <a:ext cx="1983364" cy="1331795"/>
        </a:xfrm>
        <a:prstGeom prst="rect">
          <a:avLst/>
        </a:prstGeom>
      </xdr:spPr>
    </xdr:pic>
    <xdr:clientData/>
  </xdr:twoCellAnchor>
  <xdr:twoCellAnchor>
    <xdr:from>
      <xdr:col>30</xdr:col>
      <xdr:colOff>114944</xdr:colOff>
      <xdr:row>18</xdr:row>
      <xdr:rowOff>70075</xdr:rowOff>
    </xdr:from>
    <xdr:to>
      <xdr:col>30</xdr:col>
      <xdr:colOff>2100752</xdr:colOff>
      <xdr:row>18</xdr:row>
      <xdr:rowOff>1355940</xdr:rowOff>
    </xdr:to>
    <xdr:pic>
      <xdr:nvPicPr>
        <xdr:cNvPr id="52" name="Picture 51" descr="NBA Free Agency 2019: Rajon Rondo reportedly will return to the Los ...">
          <a:extLst>
            <a:ext uri="{FF2B5EF4-FFF2-40B4-BE49-F238E27FC236}">
              <a16:creationId xmlns:a16="http://schemas.microsoft.com/office/drawing/2014/main" id="{DDEAA0AF-B337-AC4C-83E0-228971B16D25}"/>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837473B0-CC2E-450A-ABE3-18F120FF3D39}">
              <a1611:picAttrSrcUrl xmlns:a1611="http://schemas.microsoft.com/office/drawing/2016/11/main" r:id="rId16"/>
            </a:ext>
          </a:extLst>
        </a:blip>
        <a:stretch>
          <a:fillRect/>
        </a:stretch>
      </xdr:blipFill>
      <xdr:spPr>
        <a:xfrm>
          <a:off x="26422087" y="12359473"/>
          <a:ext cx="1985808" cy="1285865"/>
        </a:xfrm>
        <a:prstGeom prst="rect">
          <a:avLst/>
        </a:prstGeom>
      </xdr:spPr>
    </xdr:pic>
    <xdr:clientData/>
  </xdr:twoCellAnchor>
  <xdr:twoCellAnchor>
    <xdr:from>
      <xdr:col>30</xdr:col>
      <xdr:colOff>111815</xdr:colOff>
      <xdr:row>8</xdr:row>
      <xdr:rowOff>54335</xdr:rowOff>
    </xdr:from>
    <xdr:to>
      <xdr:col>30</xdr:col>
      <xdr:colOff>2091202</xdr:colOff>
      <xdr:row>8</xdr:row>
      <xdr:rowOff>1348381</xdr:rowOff>
    </xdr:to>
    <xdr:pic>
      <xdr:nvPicPr>
        <xdr:cNvPr id="53" name="Picture 52" descr="Lakers’ Dwight Howard Issues Statement on Sitting Out | Heavy.com">
          <a:extLst>
            <a:ext uri="{FF2B5EF4-FFF2-40B4-BE49-F238E27FC236}">
              <a16:creationId xmlns:a16="http://schemas.microsoft.com/office/drawing/2014/main" id="{DB0754A4-7F35-544F-8490-C1E9CB4F7233}"/>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837473B0-CC2E-450A-ABE3-18F120FF3D39}">
              <a1611:picAttrSrcUrl xmlns:a1611="http://schemas.microsoft.com/office/drawing/2016/11/main" r:id="rId18"/>
            </a:ext>
          </a:extLst>
        </a:blip>
        <a:stretch>
          <a:fillRect/>
        </a:stretch>
      </xdr:blipFill>
      <xdr:spPr>
        <a:xfrm>
          <a:off x="26418958" y="13852455"/>
          <a:ext cx="1979387" cy="1294046"/>
        </a:xfrm>
        <a:prstGeom prst="rect">
          <a:avLst/>
        </a:prstGeom>
      </xdr:spPr>
    </xdr:pic>
    <xdr:clientData/>
  </xdr:twoCellAnchor>
  <xdr:twoCellAnchor editAs="absolute">
    <xdr:from>
      <xdr:col>30</xdr:col>
      <xdr:colOff>103329</xdr:colOff>
      <xdr:row>2</xdr:row>
      <xdr:rowOff>43018</xdr:rowOff>
    </xdr:from>
    <xdr:to>
      <xdr:col>30</xdr:col>
      <xdr:colOff>2091203</xdr:colOff>
      <xdr:row>2</xdr:row>
      <xdr:rowOff>1211625</xdr:rowOff>
    </xdr:to>
    <xdr:pic>
      <xdr:nvPicPr>
        <xdr:cNvPr id="54" name="Picture 53" descr="Lakers' Alex Caruso optimistic about playing in Orlando | Fox News">
          <a:extLst>
            <a:ext uri="{FF2B5EF4-FFF2-40B4-BE49-F238E27FC236}">
              <a16:creationId xmlns:a16="http://schemas.microsoft.com/office/drawing/2014/main" id="{0731F7C2-3FB8-7B40-9FF5-F583B1B48172}"/>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837473B0-CC2E-450A-ABE3-18F120FF3D39}">
              <a1611:picAttrSrcUrl xmlns:a1611="http://schemas.microsoft.com/office/drawing/2016/11/main" r:id="rId20"/>
            </a:ext>
          </a:extLst>
        </a:blip>
        <a:stretch>
          <a:fillRect/>
        </a:stretch>
      </xdr:blipFill>
      <xdr:spPr>
        <a:xfrm>
          <a:off x="26410472" y="15292567"/>
          <a:ext cx="1987874" cy="1168607"/>
        </a:xfrm>
        <a:prstGeom prst="rect">
          <a:avLst/>
        </a:prstGeom>
      </xdr:spPr>
    </xdr:pic>
    <xdr:clientData/>
  </xdr:twoCellAnchor>
  <xdr:twoCellAnchor>
    <xdr:from>
      <xdr:col>30</xdr:col>
      <xdr:colOff>458346</xdr:colOff>
      <xdr:row>11</xdr:row>
      <xdr:rowOff>30422</xdr:rowOff>
    </xdr:from>
    <xdr:to>
      <xdr:col>30</xdr:col>
      <xdr:colOff>1776090</xdr:colOff>
      <xdr:row>11</xdr:row>
      <xdr:rowOff>1389190</xdr:rowOff>
    </xdr:to>
    <xdr:pic>
      <xdr:nvPicPr>
        <xdr:cNvPr id="55" name="Picture 54" descr="Lakers' JaVale McGee Feels NBA Doesn't Want Big Men in the League ...">
          <a:extLst>
            <a:ext uri="{FF2B5EF4-FFF2-40B4-BE49-F238E27FC236}">
              <a16:creationId xmlns:a16="http://schemas.microsoft.com/office/drawing/2014/main" id="{8C55D96B-A706-AC44-8F52-BB9E4E3BBB82}"/>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837473B0-CC2E-450A-ABE3-18F120FF3D39}">
              <a1611:picAttrSrcUrl xmlns:a1611="http://schemas.microsoft.com/office/drawing/2016/11/main" r:id="rId22"/>
            </a:ext>
          </a:extLst>
        </a:blip>
        <a:stretch>
          <a:fillRect/>
        </a:stretch>
      </xdr:blipFill>
      <xdr:spPr>
        <a:xfrm>
          <a:off x="26765489" y="16578617"/>
          <a:ext cx="1317744" cy="1358768"/>
        </a:xfrm>
        <a:prstGeom prst="rect">
          <a:avLst/>
        </a:prstGeom>
      </xdr:spPr>
    </xdr:pic>
    <xdr:clientData/>
  </xdr:twoCellAnchor>
  <xdr:twoCellAnchor>
    <xdr:from>
      <xdr:col>30</xdr:col>
      <xdr:colOff>83644</xdr:colOff>
      <xdr:row>16</xdr:row>
      <xdr:rowOff>59951</xdr:rowOff>
    </xdr:from>
    <xdr:to>
      <xdr:col>30</xdr:col>
      <xdr:colOff>2100752</xdr:colOff>
      <xdr:row>16</xdr:row>
      <xdr:rowOff>1253958</xdr:rowOff>
    </xdr:to>
    <xdr:pic>
      <xdr:nvPicPr>
        <xdr:cNvPr id="56" name="Picture 55" descr="Markieff Morris wants to be the ‘X-Factor’ for Lakers - Silver Screen ...">
          <a:extLst>
            <a:ext uri="{FF2B5EF4-FFF2-40B4-BE49-F238E27FC236}">
              <a16:creationId xmlns:a16="http://schemas.microsoft.com/office/drawing/2014/main" id="{652F4CBA-6A90-DF48-9947-86BAD1CEDEEA}"/>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837473B0-CC2E-450A-ABE3-18F120FF3D39}">
              <a1611:picAttrSrcUrl xmlns:a1611="http://schemas.microsoft.com/office/drawing/2016/11/main" r:id="rId24"/>
            </a:ext>
          </a:extLst>
        </a:blip>
        <a:stretch>
          <a:fillRect/>
        </a:stretch>
      </xdr:blipFill>
      <xdr:spPr>
        <a:xfrm>
          <a:off x="26390787" y="18107319"/>
          <a:ext cx="2017108" cy="1194007"/>
        </a:xfrm>
        <a:prstGeom prst="rect">
          <a:avLst/>
        </a:prstGeom>
      </xdr:spPr>
    </xdr:pic>
    <xdr:clientData/>
  </xdr:twoCellAnchor>
  <xdr:twoCellAnchor>
    <xdr:from>
      <xdr:col>30</xdr:col>
      <xdr:colOff>102758</xdr:colOff>
      <xdr:row>19</xdr:row>
      <xdr:rowOff>58342</xdr:rowOff>
    </xdr:from>
    <xdr:to>
      <xdr:col>30</xdr:col>
      <xdr:colOff>2081653</xdr:colOff>
      <xdr:row>19</xdr:row>
      <xdr:rowOff>1471326</xdr:rowOff>
    </xdr:to>
    <xdr:pic>
      <xdr:nvPicPr>
        <xdr:cNvPr id="57" name="Picture 56" descr="B/R has Talen Horton-Tucker coming to OKC Thunder in 2019 Re-Draft">
          <a:extLst>
            <a:ext uri="{FF2B5EF4-FFF2-40B4-BE49-F238E27FC236}">
              <a16:creationId xmlns:a16="http://schemas.microsoft.com/office/drawing/2014/main" id="{0DC0F28E-DD86-E84B-86AA-BE5D964F1DE4}"/>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837473B0-CC2E-450A-ABE3-18F120FF3D39}">
              <a1611:picAttrSrcUrl xmlns:a1611="http://schemas.microsoft.com/office/drawing/2016/11/main" r:id="rId26"/>
            </a:ext>
          </a:extLst>
        </a:blip>
        <a:stretch>
          <a:fillRect/>
        </a:stretch>
      </xdr:blipFill>
      <xdr:spPr>
        <a:xfrm>
          <a:off x="26409901" y="19452101"/>
          <a:ext cx="1978895" cy="1412984"/>
        </a:xfrm>
        <a:prstGeom prst="rect">
          <a:avLst/>
        </a:prstGeom>
      </xdr:spPr>
    </xdr:pic>
    <xdr:clientData/>
  </xdr:twoCellAnchor>
  <xdr:twoCellAnchor>
    <xdr:from>
      <xdr:col>30</xdr:col>
      <xdr:colOff>77048</xdr:colOff>
      <xdr:row>9</xdr:row>
      <xdr:rowOff>60676</xdr:rowOff>
    </xdr:from>
    <xdr:to>
      <xdr:col>30</xdr:col>
      <xdr:colOff>2100752</xdr:colOff>
      <xdr:row>9</xdr:row>
      <xdr:rowOff>1480076</xdr:rowOff>
    </xdr:to>
    <xdr:pic>
      <xdr:nvPicPr>
        <xdr:cNvPr id="58" name="Picture 57" descr="What the Lakers should expect from J.R. Smith when the NBA returns ...">
          <a:extLst>
            <a:ext uri="{FF2B5EF4-FFF2-40B4-BE49-F238E27FC236}">
              <a16:creationId xmlns:a16="http://schemas.microsoft.com/office/drawing/2014/main" id="{E92E3AB9-7DD6-E443-92CE-D2309E7E075D}"/>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837473B0-CC2E-450A-ABE3-18F120FF3D39}">
              <a1611:picAttrSrcUrl xmlns:a1611="http://schemas.microsoft.com/office/drawing/2016/11/main" r:id="rId28"/>
            </a:ext>
          </a:extLst>
        </a:blip>
        <a:stretch>
          <a:fillRect/>
        </a:stretch>
      </xdr:blipFill>
      <xdr:spPr>
        <a:xfrm>
          <a:off x="26384191" y="20982255"/>
          <a:ext cx="2023704" cy="1419400"/>
        </a:xfrm>
        <a:prstGeom prst="rect">
          <a:avLst/>
        </a:prstGeom>
      </xdr:spPr>
    </xdr:pic>
    <xdr:clientData/>
  </xdr:twoCellAnchor>
  <xdr:twoCellAnchor>
    <xdr:from>
      <xdr:col>30</xdr:col>
      <xdr:colOff>105037</xdr:colOff>
      <xdr:row>17</xdr:row>
      <xdr:rowOff>54904</xdr:rowOff>
    </xdr:from>
    <xdr:to>
      <xdr:col>30</xdr:col>
      <xdr:colOff>2100752</xdr:colOff>
      <xdr:row>17</xdr:row>
      <xdr:rowOff>1481117</xdr:rowOff>
    </xdr:to>
    <xdr:pic>
      <xdr:nvPicPr>
        <xdr:cNvPr id="59" name="Picture 58" descr="QUINN COOK, LOS ANGELES LAKERS | Touchdown Wire">
          <a:extLst>
            <a:ext uri="{FF2B5EF4-FFF2-40B4-BE49-F238E27FC236}">
              <a16:creationId xmlns:a16="http://schemas.microsoft.com/office/drawing/2014/main" id="{08377BDF-51D7-B748-A22A-B5353CB38792}"/>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 uri="{837473B0-CC2E-450A-ABE3-18F120FF3D39}">
              <a1611:picAttrSrcUrl xmlns:a1611="http://schemas.microsoft.com/office/drawing/2016/11/main" r:id="rId30"/>
            </a:ext>
          </a:extLst>
        </a:blip>
        <a:stretch>
          <a:fillRect/>
        </a:stretch>
      </xdr:blipFill>
      <xdr:spPr>
        <a:xfrm>
          <a:off x="26412180" y="22561596"/>
          <a:ext cx="1995715" cy="1426213"/>
        </a:xfrm>
        <a:prstGeom prst="rect">
          <a:avLst/>
        </a:prstGeom>
      </xdr:spPr>
    </xdr:pic>
    <xdr:clientData/>
  </xdr:twoCellAnchor>
  <xdr:twoCellAnchor>
    <xdr:from>
      <xdr:col>30</xdr:col>
      <xdr:colOff>97766</xdr:colOff>
      <xdr:row>20</xdr:row>
      <xdr:rowOff>46420</xdr:rowOff>
    </xdr:from>
    <xdr:to>
      <xdr:col>30</xdr:col>
      <xdr:colOff>2072105</xdr:colOff>
      <xdr:row>20</xdr:row>
      <xdr:rowOff>1413234</xdr:rowOff>
    </xdr:to>
    <xdr:pic>
      <xdr:nvPicPr>
        <xdr:cNvPr id="60" name="Picture 59" descr="Los Angeles Lakers: Reaction to Troy Daniels being waived">
          <a:extLst>
            <a:ext uri="{FF2B5EF4-FFF2-40B4-BE49-F238E27FC236}">
              <a16:creationId xmlns:a16="http://schemas.microsoft.com/office/drawing/2014/main" id="{7DB07EBA-B745-3740-8B7D-058FCF19C080}"/>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837473B0-CC2E-450A-ABE3-18F120FF3D39}">
              <a1611:picAttrSrcUrl xmlns:a1611="http://schemas.microsoft.com/office/drawing/2016/11/main" r:id="rId32"/>
            </a:ext>
          </a:extLst>
        </a:blip>
        <a:stretch>
          <a:fillRect/>
        </a:stretch>
      </xdr:blipFill>
      <xdr:spPr>
        <a:xfrm>
          <a:off x="26404909" y="24157322"/>
          <a:ext cx="1974339" cy="1366814"/>
        </a:xfrm>
        <a:prstGeom prst="rect">
          <a:avLst/>
        </a:prstGeom>
      </xdr:spPr>
    </xdr:pic>
    <xdr:clientData/>
  </xdr:twoCellAnchor>
  <xdr:twoCellAnchor>
    <xdr:from>
      <xdr:col>30</xdr:col>
      <xdr:colOff>119315</xdr:colOff>
      <xdr:row>6</xdr:row>
      <xdr:rowOff>49248</xdr:rowOff>
    </xdr:from>
    <xdr:to>
      <xdr:col>30</xdr:col>
      <xdr:colOff>2072106</xdr:colOff>
      <xdr:row>6</xdr:row>
      <xdr:rowOff>1470527</xdr:rowOff>
    </xdr:to>
    <xdr:pic>
      <xdr:nvPicPr>
        <xdr:cNvPr id="61" name="Picture 60" descr="Devontae Cacok will start for the Lakers vs the Pelicans - TalkBasket.net">
          <a:extLst>
            <a:ext uri="{FF2B5EF4-FFF2-40B4-BE49-F238E27FC236}">
              <a16:creationId xmlns:a16="http://schemas.microsoft.com/office/drawing/2014/main" id="{0756DB09-5F5B-8644-B10D-7E190FFA30EC}"/>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 uri="{837473B0-CC2E-450A-ABE3-18F120FF3D39}">
              <a1611:picAttrSrcUrl xmlns:a1611="http://schemas.microsoft.com/office/drawing/2016/11/main" r:id="rId34"/>
            </a:ext>
          </a:extLst>
        </a:blip>
        <a:stretch>
          <a:fillRect/>
        </a:stretch>
      </xdr:blipFill>
      <xdr:spPr>
        <a:xfrm>
          <a:off x="26426458" y="25659323"/>
          <a:ext cx="1952791" cy="1421279"/>
        </a:xfrm>
        <a:prstGeom prst="rect">
          <a:avLst/>
        </a:prstGeom>
      </xdr:spPr>
    </xdr:pic>
    <xdr:clientData/>
  </xdr:twoCellAnchor>
  <xdr:twoCellAnchor>
    <xdr:from>
      <xdr:col>30</xdr:col>
      <xdr:colOff>75863</xdr:colOff>
      <xdr:row>10</xdr:row>
      <xdr:rowOff>39697</xdr:rowOff>
    </xdr:from>
    <xdr:to>
      <xdr:col>30</xdr:col>
      <xdr:colOff>2110300</xdr:colOff>
      <xdr:row>10</xdr:row>
      <xdr:rowOff>1327293</xdr:rowOff>
    </xdr:to>
    <xdr:pic>
      <xdr:nvPicPr>
        <xdr:cNvPr id="62" name="Picture 61" descr="Jared Dudley Talks About What Really Happened When the NBA Went on ...">
          <a:extLst>
            <a:ext uri="{FF2B5EF4-FFF2-40B4-BE49-F238E27FC236}">
              <a16:creationId xmlns:a16="http://schemas.microsoft.com/office/drawing/2014/main" id="{FB663267-02C9-5E43-A519-06558D67251F}"/>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 uri="{837473B0-CC2E-450A-ABE3-18F120FF3D39}">
              <a1611:picAttrSrcUrl xmlns:a1611="http://schemas.microsoft.com/office/drawing/2016/11/main" r:id="rId36"/>
            </a:ext>
          </a:extLst>
        </a:blip>
        <a:stretch>
          <a:fillRect/>
        </a:stretch>
      </xdr:blipFill>
      <xdr:spPr>
        <a:xfrm>
          <a:off x="26383006" y="27215787"/>
          <a:ext cx="2034437" cy="1287596"/>
        </a:xfrm>
        <a:prstGeom prst="rect">
          <a:avLst/>
        </a:prstGeom>
      </xdr:spPr>
    </xdr:pic>
    <xdr:clientData/>
  </xdr:twoCellAnchor>
  <xdr:twoCellAnchor>
    <xdr:from>
      <xdr:col>30</xdr:col>
      <xdr:colOff>99665</xdr:colOff>
      <xdr:row>13</xdr:row>
      <xdr:rowOff>52167</xdr:rowOff>
    </xdr:from>
    <xdr:to>
      <xdr:col>30</xdr:col>
      <xdr:colOff>2091203</xdr:colOff>
      <xdr:row>13</xdr:row>
      <xdr:rowOff>1422783</xdr:rowOff>
    </xdr:to>
    <xdr:pic>
      <xdr:nvPicPr>
        <xdr:cNvPr id="63" name="Picture 62" descr="Report: Kostas Antetokounmpo Away from Lakers Due to Personal Matter ...">
          <a:extLst>
            <a:ext uri="{FF2B5EF4-FFF2-40B4-BE49-F238E27FC236}">
              <a16:creationId xmlns:a16="http://schemas.microsoft.com/office/drawing/2014/main" id="{CFD93AB7-DC85-1840-BABB-5C2E74413AE6}"/>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 uri="{837473B0-CC2E-450A-ABE3-18F120FF3D39}">
              <a1611:picAttrSrcUrl xmlns:a1611="http://schemas.microsoft.com/office/drawing/2016/11/main" r:id="rId38"/>
            </a:ext>
          </a:extLst>
        </a:blip>
        <a:stretch>
          <a:fillRect/>
        </a:stretch>
      </xdr:blipFill>
      <xdr:spPr>
        <a:xfrm>
          <a:off x="26406808" y="28727430"/>
          <a:ext cx="1991538" cy="1370616"/>
        </a:xfrm>
        <a:prstGeom prst="rect">
          <a:avLst/>
        </a:prstGeom>
      </xdr:spPr>
    </xdr:pic>
    <xdr:clientData/>
  </xdr:twoCellAnchor>
  <xdr:twoCellAnchor editAs="absolute">
    <xdr:from>
      <xdr:col>30</xdr:col>
      <xdr:colOff>121193</xdr:colOff>
      <xdr:row>21</xdr:row>
      <xdr:rowOff>70968</xdr:rowOff>
    </xdr:from>
    <xdr:to>
      <xdr:col>30</xdr:col>
      <xdr:colOff>2110301</xdr:colOff>
      <xdr:row>21</xdr:row>
      <xdr:rowOff>1384587</xdr:rowOff>
    </xdr:to>
    <xdr:pic>
      <xdr:nvPicPr>
        <xdr:cNvPr id="64" name="Picture 63" descr="South Bay Lakers face challenging G League schedule">
          <a:extLst>
            <a:ext uri="{FF2B5EF4-FFF2-40B4-BE49-F238E27FC236}">
              <a16:creationId xmlns:a16="http://schemas.microsoft.com/office/drawing/2014/main" id="{A2EF62DE-95D9-904B-8C58-0D2DE6C80D4B}"/>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 uri="{837473B0-CC2E-450A-ABE3-18F120FF3D39}">
              <a1611:picAttrSrcUrl xmlns:a1611="http://schemas.microsoft.com/office/drawing/2016/11/main" r:id="rId40"/>
            </a:ext>
          </a:extLst>
        </a:blip>
        <a:stretch>
          <a:fillRect/>
        </a:stretch>
      </xdr:blipFill>
      <xdr:spPr>
        <a:xfrm>
          <a:off x="26428336" y="30321795"/>
          <a:ext cx="1989108" cy="131361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ru Darshan" refreshedDate="44981.851141319443" createdVersion="8" refreshedVersion="8" minRefreshableVersion="3" recordCount="20" xr:uid="{5D20CDB4-5035-8B45-9BC3-A08C735E216A}">
  <cacheSource type="worksheet">
    <worksheetSource name="Table13"/>
  </cacheSource>
  <cacheFields count="66">
    <cacheField name="Rk" numFmtId="0">
      <sharedItems containsSemiMixedTypes="0" containsString="0" containsNumber="1" containsInteger="1" minValue="1" maxValue="20"/>
    </cacheField>
    <cacheField name="Player" numFmtId="0">
      <sharedItems count="20">
        <s v="Alex Caruso"/>
        <s v="Anthony Davis"/>
        <s v="Avery Bradley"/>
        <s v="Danny Green"/>
        <s v="Devontae Cacok"/>
        <s v="Dion Waiters"/>
        <s v="Dwight Howard"/>
        <s v="J.R. Smith"/>
        <s v="Jared Dudley"/>
        <s v="JaVale McGee"/>
        <s v="Kentavious Caldwell-Pope"/>
        <s v="Kostas Antetokounmpo"/>
        <s v="Kyle Kuzma"/>
        <s v="LeBron James"/>
        <s v="Markieff Morris"/>
        <s v="Quinn Cook"/>
        <s v="Rajon Rondo"/>
        <s v="Talen Horton-Tucker"/>
        <s v="Troy Daniels"/>
        <s v="Zach Norvell"/>
      </sharedItems>
    </cacheField>
    <cacheField name="AGE" numFmtId="0">
      <sharedItems containsSemiMixedTypes="0" containsString="0" containsNumber="1" containsInteger="1" minValue="19" maxValue="35"/>
    </cacheField>
    <cacheField name="G" numFmtId="0">
      <sharedItems containsSemiMixedTypes="0" containsString="0" containsNumber="1" containsInteger="1" minValue="1" maxValue="69"/>
    </cacheField>
    <cacheField name="GS" numFmtId="0">
      <sharedItems containsSemiMixedTypes="0" containsString="0" containsNumber="1" containsInteger="1" minValue="0" maxValue="68"/>
    </cacheField>
    <cacheField name="MP" numFmtId="0">
      <sharedItems containsSemiMixedTypes="0" containsString="0" containsNumber="1" minValue="2.5" maxValue="34.6"/>
    </cacheField>
    <cacheField name="FG" numFmtId="0">
      <sharedItems containsSemiMixedTypes="0" containsString="0" containsNumber="1" minValue="0" maxValue="9.6"/>
    </cacheField>
    <cacheField name="FGA" numFmtId="0">
      <sharedItems containsSemiMixedTypes="0" containsString="0" containsNumber="1" minValue="0.5" maxValue="19.399999999999999"/>
    </cacheField>
    <cacheField name="FG%" numFmtId="0">
      <sharedItems containsSemiMixedTypes="0" containsString="0" containsNumber="1" minValue="0" maxValue="1"/>
    </cacheField>
    <cacheField name="3PM" numFmtId="0">
      <sharedItems containsSemiMixedTypes="0" containsString="0" containsNumber="1" minValue="0" maxValue="2.2000000000000002"/>
    </cacheField>
    <cacheField name="3PA" numFmtId="0">
      <sharedItems containsSemiMixedTypes="0" containsString="0" containsNumber="1" minValue="0" maxValue="6.3"/>
    </cacheField>
    <cacheField name="3PMISS" numFmtId="0">
      <sharedItems containsSemiMixedTypes="0" containsString="0" containsNumber="1" minValue="0" maxValue="4.0999999999999996"/>
    </cacheField>
    <cacheField name="3P%" numFmtId="164">
      <sharedItems containsSemiMixedTypes="0" containsString="0" containsNumber="1" minValue="0" maxValue="0.6"/>
    </cacheField>
    <cacheField name="2PM" numFmtId="0">
      <sharedItems containsSemiMixedTypes="0" containsString="0" containsNumber="1" minValue="0" maxValue="7.7"/>
    </cacheField>
    <cacheField name="2PA" numFmtId="0">
      <sharedItems containsSemiMixedTypes="0" containsString="0" containsNumber="1" minValue="0.4" maxValue="14.2"/>
    </cacheField>
    <cacheField name="2PMISS" numFmtId="0">
      <sharedItems containsSemiMixedTypes="0" containsString="0" containsNumber="1" minValue="0" maxValue="6.4999999999999991"/>
    </cacheField>
    <cacheField name="2P%" numFmtId="164">
      <sharedItems containsSemiMixedTypes="0" containsString="0" containsNumber="1" minValue="0" maxValue="1"/>
    </cacheField>
    <cacheField name="eFG%" numFmtId="0">
      <sharedItems containsSemiMixedTypes="0" containsString="0" containsNumber="1" minValue="0" maxValue="1"/>
    </cacheField>
    <cacheField name="FT" numFmtId="0">
      <sharedItems containsSemiMixedTypes="0" containsString="0" containsNumber="1" minValue="0" maxValue="7.2"/>
    </cacheField>
    <cacheField name="FTA" numFmtId="0">
      <sharedItems containsSemiMixedTypes="0" containsString="0" containsNumber="1" minValue="0" maxValue="8.5"/>
    </cacheField>
    <cacheField name="FT%" numFmtId="0">
      <sharedItems containsString="0" containsBlank="1" containsNumber="1" minValue="0" maxValue="1"/>
    </cacheField>
    <cacheField name="ORB" numFmtId="0">
      <sharedItems containsSemiMixedTypes="0" containsString="0" containsNumber="1" minValue="0" maxValue="2.5"/>
    </cacheField>
    <cacheField name="DRB" numFmtId="0">
      <sharedItems containsSemiMixedTypes="0" containsString="0" containsNumber="1" minValue="0.2" maxValue="7"/>
    </cacheField>
    <cacheField name="TRB" numFmtId="0">
      <sharedItems containsSemiMixedTypes="0" containsString="0" containsNumber="1" minValue="0.5" maxValue="9.3000000000000007"/>
    </cacheField>
    <cacheField name="AST" numFmtId="0">
      <sharedItems containsSemiMixedTypes="0" containsString="0" containsNumber="1" minValue="0" maxValue="10.199999999999999"/>
    </cacheField>
    <cacheField name="STL" numFmtId="0">
      <sharedItems containsSemiMixedTypes="0" containsString="0" containsNumber="1" minValue="0" maxValue="1.5"/>
    </cacheField>
    <cacheField name="BLK" numFmtId="0">
      <sharedItems containsSemiMixedTypes="0" containsString="0" containsNumber="1" minValue="0" maxValue="2.2999999999999998"/>
    </cacheField>
    <cacheField name="TOV" numFmtId="0">
      <sharedItems containsSemiMixedTypes="0" containsString="0" containsNumber="1" minValue="0" maxValue="3.9"/>
    </cacheField>
    <cacheField name="PF" numFmtId="0">
      <sharedItems containsSemiMixedTypes="0" containsString="0" containsNumber="1" minValue="0" maxValue="3.2"/>
    </cacheField>
    <cacheField name="PTS/G" numFmtId="0">
      <sharedItems containsSemiMixedTypes="0" containsString="0" containsNumber="1" minValue="0" maxValue="26.1"/>
    </cacheField>
    <cacheField name="Photo" numFmtId="0">
      <sharedItems containsNonDate="0" containsString="0" containsBlank="1"/>
    </cacheField>
    <cacheField name="Jersey No." numFmtId="0">
      <sharedItems containsMixedTypes="1" containsNumber="1" containsInteger="1" minValue="0" maxValue="88"/>
    </cacheField>
    <cacheField name="Position" numFmtId="0">
      <sharedItems/>
    </cacheField>
    <cacheField name="Height" numFmtId="0">
      <sharedItems/>
    </cacheField>
    <cacheField name="Weight" numFmtId="0">
      <sharedItems containsSemiMixedTypes="0" containsString="0" containsNumber="1" containsInteger="1" minValue="180" maxValue="270"/>
    </cacheField>
    <cacheField name="Birth Date" numFmtId="0">
      <sharedItems/>
    </cacheField>
    <cacheField name="Experience" numFmtId="0">
      <sharedItems containsMixedTypes="1" containsNumber="1" containsInteger="1" minValue="1" maxValue="16"/>
    </cacheField>
    <cacheField name="College" numFmtId="0">
      <sharedItems containsBlank="1"/>
    </cacheField>
    <cacheField name="P.Age" numFmtId="0">
      <sharedItems containsMixedTypes="1" containsNumber="1" containsInteger="1" minValue="19" maxValue="35"/>
    </cacheField>
    <cacheField name="P.G" numFmtId="0">
      <sharedItems containsMixedTypes="1" containsNumber="1" containsInteger="1" minValue="2" maxValue="21"/>
    </cacheField>
    <cacheField name="P.GS" numFmtId="0">
      <sharedItems containsMixedTypes="1" containsNumber="1" containsInteger="1" minValue="0" maxValue="21"/>
    </cacheField>
    <cacheField name="P.MP" numFmtId="0">
      <sharedItems containsMixedTypes="1" containsNumber="1" minValue="3.4" maxValue="36.6"/>
    </cacheField>
    <cacheField name="P.FG" numFmtId="0">
      <sharedItems containsMixedTypes="1" containsNumber="1" minValue="0" maxValue="10.199999999999999"/>
    </cacheField>
    <cacheField name="P.FGA" numFmtId="0">
      <sharedItems containsMixedTypes="1" containsNumber="1" minValue="0.4" maxValue="18.2"/>
    </cacheField>
    <cacheField name="P.FG%" numFmtId="0">
      <sharedItems containsMixedTypes="1" containsNumber="1" minValue="0" maxValue="0.68400000000000005"/>
    </cacheField>
    <cacheField name="P.3PM" numFmtId="0">
      <sharedItems containsMixedTypes="1" containsNumber="1" minValue="0" maxValue="2.1"/>
    </cacheField>
    <cacheField name="P.3PA" numFmtId="0">
      <sharedItems containsMixedTypes="1" containsNumber="1" minValue="0.1" maxValue="5.7"/>
    </cacheField>
    <cacheField name="P.3PMISS" numFmtId="0">
      <sharedItems containsMixedTypes="1" containsNumber="1" minValue="0.1" maxValue="4.0999999999999996"/>
    </cacheField>
    <cacheField name="P.3P%" numFmtId="0">
      <sharedItems containsMixedTypes="1" containsNumber="1" minValue="0" maxValue="0.5"/>
    </cacheField>
    <cacheField name="P.2PM" numFmtId="0">
      <sharedItems containsMixedTypes="1" containsNumber="1" minValue="0" maxValue="8.6999999999999993"/>
    </cacheField>
    <cacheField name="P.2PA" numFmtId="0">
      <sharedItems containsMixedTypes="1" containsNumber="1" minValue="0.1" maxValue="14.2"/>
    </cacheField>
    <cacheField name="P.2PMISS" numFmtId="0">
      <sharedItems containsMixedTypes="1" containsNumber="1" minValue="0.30000000000000004" maxValue="6.4999999999999991"/>
    </cacheField>
    <cacheField name="P.2P%" numFmtId="0">
      <sharedItems containsMixedTypes="1" containsNumber="1" minValue="0" maxValue="0.69099999999999995"/>
    </cacheField>
    <cacheField name="P.eFG%" numFmtId="0">
      <sharedItems containsMixedTypes="1" containsNumber="1" minValue="0" maxValue="0.69299999999999995"/>
    </cacheField>
    <cacheField name="P.FT" numFmtId="0">
      <sharedItems containsMixedTypes="1" containsNumber="1" minValue="0" maxValue="7.1"/>
    </cacheField>
    <cacheField name="P.FTA" numFmtId="0">
      <sharedItems containsMixedTypes="1" containsNumber="1" minValue="0" maxValue="8.5"/>
    </cacheField>
    <cacheField name="P.FT%" numFmtId="0">
      <sharedItems containsMixedTypes="1" containsNumber="1" minValue="0" maxValue="1"/>
    </cacheField>
    <cacheField name="P.ORB" numFmtId="0">
      <sharedItems containsMixedTypes="1" containsNumber="1" minValue="0" maxValue="2.6"/>
    </cacheField>
    <cacheField name="P.DRB" numFmtId="0">
      <sharedItems containsMixedTypes="1" containsNumber="1" minValue="0.2" maxValue="9.4"/>
    </cacheField>
    <cacheField name="P.TRB" numFmtId="0">
      <sharedItems containsMixedTypes="1" containsNumber="1" minValue="0.2" maxValue="10.8"/>
    </cacheField>
    <cacheField name="P.AST" numFmtId="0">
      <sharedItems containsMixedTypes="1" containsNumber="1" minValue="0" maxValue="8.8000000000000007"/>
    </cacheField>
    <cacheField name="P.STL" numFmtId="0">
      <sharedItems containsMixedTypes="1" containsNumber="1" minValue="0" maxValue="1.4"/>
    </cacheField>
    <cacheField name="P.BLK" numFmtId="0">
      <sharedItems containsMixedTypes="1" containsNumber="1" minValue="0" maxValue="1.4"/>
    </cacheField>
    <cacheField name="P.TOV" numFmtId="0">
      <sharedItems containsMixedTypes="1" containsNumber="1" minValue="0" maxValue="4"/>
    </cacheField>
    <cacheField name="P.PF" numFmtId="0">
      <sharedItems containsMixedTypes="1" containsNumber="1" minValue="0.2" maxValue="3.1"/>
    </cacheField>
    <cacheField name="P.PTS/G" numFmtId="0">
      <sharedItems containsMixedTypes="1" containsNumber="1" minValue="0" maxValue="27.7"/>
    </cacheField>
  </cacheFields>
  <extLst>
    <ext xmlns:x14="http://schemas.microsoft.com/office/spreadsheetml/2009/9/main" uri="{725AE2AE-9491-48be-B2B4-4EB974FC3084}">
      <x14:pivotCacheDefinition pivotCacheId="30388621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ru Darshan" refreshedDate="44981.851158101854" createdVersion="8" refreshedVersion="8" minRefreshableVersion="3" recordCount="71" xr:uid="{DB6B29FC-E199-5D46-8A53-9A33E7B26BDE}">
  <cacheSource type="worksheet">
    <worksheetSource name="Table7"/>
  </cacheSource>
  <cacheFields count="42">
    <cacheField name="Rk" numFmtId="0">
      <sharedItems containsSemiMixedTypes="0" containsString="0" containsNumber="1" containsInteger="1" minValue="1" maxValue="71"/>
    </cacheField>
    <cacheField name="G.Num" numFmtId="0">
      <sharedItems containsSemiMixedTypes="0" containsString="0" containsNumber="1" containsInteger="1" minValue="1" maxValue="71"/>
    </cacheField>
    <cacheField name="Date" numFmtId="14">
      <sharedItems containsSemiMixedTypes="0" containsNonDate="0" containsDate="1" containsString="0" minDate="2019-10-22T00:00:00" maxDate="2020-08-14T00:00:00"/>
    </cacheField>
    <cacheField name="Court" numFmtId="0">
      <sharedItems count="2">
        <s v="AWAY"/>
        <s v="HOME"/>
      </sharedItems>
    </cacheField>
    <cacheField name="Opp" numFmtId="0">
      <sharedItems count="29">
        <s v="LAC"/>
        <s v="UTA"/>
        <s v="CHO"/>
        <s v="MEM"/>
        <s v="DAL"/>
        <s v="SAS"/>
        <s v="CHI"/>
        <s v="MIA"/>
        <s v="TOR"/>
        <s v="PHO"/>
        <s v="GSW"/>
        <s v="SAC"/>
        <s v="ATL"/>
        <s v="OKC"/>
        <s v="NOP"/>
        <s v="WAS"/>
        <s v="DEN"/>
        <s v="POR"/>
        <s v="MIN"/>
        <s v="ORL"/>
        <s v="IND"/>
        <s v="MIL"/>
        <s v="DET"/>
        <s v="NYK"/>
        <s v="CLE"/>
        <s v="HOU"/>
        <s v="BOS"/>
        <s v="BRK"/>
        <s v="PHI"/>
      </sharedItems>
    </cacheField>
    <cacheField name="Column1" numFmtId="0">
      <sharedItems count="4">
        <s v="GAME1"/>
        <s v="GAME2"/>
        <s v="GAME3"/>
        <s v="GAME4"/>
      </sharedItems>
    </cacheField>
    <cacheField name="W/L" numFmtId="0">
      <sharedItems count="2">
        <s v="L"/>
        <s v="W"/>
      </sharedItems>
    </cacheField>
    <cacheField name="Tm" numFmtId="0">
      <sharedItems containsSemiMixedTypes="0" containsString="0" containsNumber="1" containsInteger="1" minValue="86" maxValue="142"/>
    </cacheField>
    <cacheField name="Opp2" numFmtId="0">
      <sharedItems containsSemiMixedTypes="0" containsString="0" containsNumber="1" containsInteger="1" minValue="80" maxValue="139"/>
    </cacheField>
    <cacheField name="FGM" numFmtId="0">
      <sharedItems containsSemiMixedTypes="0" containsString="0" containsNumber="1" containsInteger="1" minValue="29" maxValue="55"/>
    </cacheField>
    <cacheField name="FGA" numFmtId="0">
      <sharedItems containsSemiMixedTypes="0" containsString="0" containsNumber="1" containsInteger="1" minValue="76" maxValue="102"/>
    </cacheField>
    <cacheField name="FG%" numFmtId="10">
      <sharedItems containsSemiMixedTypes="0" containsString="0" containsNumber="1" minValue="0.35199999999999998" maxValue="0.58799999999999997"/>
    </cacheField>
    <cacheField name="3PM" numFmtId="0">
      <sharedItems containsSemiMixedTypes="0" containsString="0" containsNumber="1" containsInteger="1" minValue="2" maxValue="19"/>
    </cacheField>
    <cacheField name="3PA" numFmtId="0">
      <sharedItems containsSemiMixedTypes="0" containsString="0" containsNumber="1" containsInteger="1" minValue="19" maxValue="45"/>
    </cacheField>
    <cacheField name="3P%" numFmtId="10">
      <sharedItems containsSemiMixedTypes="0" containsString="0" containsNumber="1" minValue="0.105" maxValue="0.54800000000000004"/>
    </cacheField>
    <cacheField name="FTM" numFmtId="0">
      <sharedItems containsSemiMixedTypes="0" containsString="0" containsNumber="1" containsInteger="1" minValue="7" maxValue="33"/>
    </cacheField>
    <cacheField name="FTA" numFmtId="0">
      <sharedItems containsSemiMixedTypes="0" containsString="0" containsNumber="1" containsInteger="1" minValue="8" maxValue="40"/>
    </cacheField>
    <cacheField name="FT%" numFmtId="10">
      <sharedItems containsSemiMixedTypes="0" containsString="0" containsNumber="1" minValue="0.47099999999999997" maxValue="0.90900000000000003"/>
    </cacheField>
    <cacheField name="ORB" numFmtId="0">
      <sharedItems containsSemiMixedTypes="0" containsString="0" containsNumber="1" containsInteger="1" minValue="3" maxValue="19"/>
    </cacheField>
    <cacheField name="TRB" numFmtId="0">
      <sharedItems containsSemiMixedTypes="0" containsString="0" containsNumber="1" containsInteger="1" minValue="32" maxValue="62"/>
    </cacheField>
    <cacheField name="AST" numFmtId="0">
      <sharedItems containsSemiMixedTypes="0" containsString="0" containsNumber="1" containsInteger="1" minValue="17" maxValue="39"/>
    </cacheField>
    <cacheField name="STL" numFmtId="0">
      <sharedItems containsSemiMixedTypes="0" containsString="0" containsNumber="1" containsInteger="1" minValue="2" maxValue="14"/>
    </cacheField>
    <cacheField name="BLK" numFmtId="0">
      <sharedItems containsSemiMixedTypes="0" containsString="0" containsNumber="1" containsInteger="1" minValue="1" maxValue="20"/>
    </cacheField>
    <cacheField name="TOV" numFmtId="0">
      <sharedItems containsSemiMixedTypes="0" containsString="0" containsNumber="1" containsInteger="1" minValue="7" maxValue="24"/>
    </cacheField>
    <cacheField name="PF" numFmtId="0">
      <sharedItems containsSemiMixedTypes="0" containsString="0" containsNumber="1" containsInteger="1" minValue="13" maxValue="28"/>
    </cacheField>
    <cacheField name="Team W/L Streak" numFmtId="0">
      <sharedItems/>
    </cacheField>
    <cacheField name="Opp.FGM" numFmtId="0">
      <sharedItems containsSemiMixedTypes="0" containsString="0" containsNumber="1" containsInteger="1" minValue="28" maxValue="54"/>
    </cacheField>
    <cacheField name="Opp.FGA" numFmtId="0">
      <sharedItems containsSemiMixedTypes="0" containsString="0" containsNumber="1" containsInteger="1" minValue="70" maxValue="102"/>
    </cacheField>
    <cacheField name="OppFG%" numFmtId="10">
      <sharedItems containsSemiMixedTypes="0" containsString="0" containsNumber="1" minValue="0.32600000000000001" maxValue="0.58399999999999996"/>
    </cacheField>
    <cacheField name="Opp.3PM" numFmtId="0">
      <sharedItems containsSemiMixedTypes="0" containsString="0" containsNumber="1" containsInteger="1" minValue="4" maxValue="21"/>
    </cacheField>
    <cacheField name="Opp.3PA" numFmtId="0">
      <sharedItems containsSemiMixedTypes="0" containsString="0" containsNumber="1" containsInteger="1" minValue="15" maxValue="57"/>
    </cacheField>
    <cacheField name="Opp.3P%" numFmtId="10">
      <sharedItems containsSemiMixedTypes="0" containsString="0" containsNumber="1" minValue="0.17100000000000001" maxValue="0.56499999999999995"/>
    </cacheField>
    <cacheField name="Opp.FTM" numFmtId="0">
      <sharedItems containsSemiMixedTypes="0" containsString="0" containsNumber="1" containsInteger="1" minValue="6" maxValue="32"/>
    </cacheField>
    <cacheField name="Opp.FTA" numFmtId="0">
      <sharedItems containsSemiMixedTypes="0" containsString="0" containsNumber="1" containsInteger="1" minValue="7" maxValue="37"/>
    </cacheField>
    <cacheField name="Opp.FT%" numFmtId="10">
      <sharedItems containsSemiMixedTypes="0" containsString="0" containsNumber="1" minValue="0.51600000000000001" maxValue="1"/>
    </cacheField>
    <cacheField name="Opp.ORB" numFmtId="0">
      <sharedItems containsSemiMixedTypes="0" containsString="0" containsNumber="1" containsInteger="1" minValue="3" maxValue="18"/>
    </cacheField>
    <cacheField name="Opp.TRB" numFmtId="0">
      <sharedItems containsSemiMixedTypes="0" containsString="0" containsNumber="1" containsInteger="1" minValue="28" maxValue="61"/>
    </cacheField>
    <cacheField name="Opp.AST" numFmtId="0">
      <sharedItems containsSemiMixedTypes="0" containsString="0" containsNumber="1" containsInteger="1" minValue="12" maxValue="37"/>
    </cacheField>
    <cacheField name="Opp.STL" numFmtId="0">
      <sharedItems containsSemiMixedTypes="0" containsString="0" containsNumber="1" containsInteger="1" minValue="3" maxValue="15"/>
    </cacheField>
    <cacheField name="Opp.BLK" numFmtId="0">
      <sharedItems containsSemiMixedTypes="0" containsString="0" containsNumber="1" containsInteger="1" minValue="0" maxValue="10"/>
    </cacheField>
    <cacheField name="Opp.TOV" numFmtId="0">
      <sharedItems containsSemiMixedTypes="0" containsString="0" containsNumber="1" containsInteger="1" minValue="5" maxValue="26"/>
    </cacheField>
    <cacheField name="Opp.PF" numFmtId="0">
      <sharedItems containsSemiMixedTypes="0" containsString="0" containsNumber="1" containsInteger="1" minValue="11" maxValue="32"/>
    </cacheField>
  </cacheFields>
  <extLst>
    <ext xmlns:x14="http://schemas.microsoft.com/office/spreadsheetml/2009/9/main" uri="{725AE2AE-9491-48be-B2B4-4EB974FC3084}">
      <x14:pivotCacheDefinition pivotCacheId="2262625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n v="10"/>
    <x v="0"/>
    <n v="25"/>
    <n v="64"/>
    <n v="2"/>
    <n v="18.399999999999999"/>
    <n v="1.9"/>
    <n v="4.5"/>
    <n v="0.41199999999999998"/>
    <n v="0.6"/>
    <n v="1.9"/>
    <n v="1.2999999999999998"/>
    <n v="0.33300000000000002"/>
    <n v="1.3"/>
    <n v="2.7"/>
    <n v="1.4000000000000001"/>
    <n v="0.46800000000000003"/>
    <n v="0.48099999999999998"/>
    <n v="1.1000000000000001"/>
    <n v="1.5"/>
    <n v="0.73399999999999999"/>
    <n v="0.3"/>
    <n v="1.7"/>
    <n v="1.9"/>
    <n v="1.9"/>
    <n v="1.1000000000000001"/>
    <n v="0.3"/>
    <n v="0.8"/>
    <n v="1.5"/>
    <n v="5.5"/>
    <m/>
    <n v="4"/>
    <s v="PG"/>
    <s v="6 feet 4 inches"/>
    <n v="186"/>
    <s v="February 28, 1994"/>
    <n v="2"/>
    <s v="Texas A&amp;M"/>
    <n v="25"/>
    <n v="21"/>
    <n v="1"/>
    <n v="24.3"/>
    <n v="2.2999999999999998"/>
    <n v="5.4"/>
    <n v="0.42499999999999999"/>
    <n v="0.8"/>
    <n v="2.9"/>
    <n v="1.2999999999999998"/>
    <n v="0.27900000000000003"/>
    <n v="1.5"/>
    <n v="2.5"/>
    <n v="1.4000000000000001"/>
    <n v="0.59599999999999997"/>
    <n v="0.5"/>
    <n v="1.1000000000000001"/>
    <n v="1.4"/>
    <n v="0.8"/>
    <n v="0.7"/>
    <n v="1.6"/>
    <n v="2.2999999999999998"/>
    <n v="2.8"/>
    <n v="1.1000000000000001"/>
    <n v="0.6"/>
    <n v="1.5"/>
    <n v="2.6"/>
    <n v="6.5"/>
  </r>
  <r>
    <n v="2"/>
    <x v="1"/>
    <n v="26"/>
    <n v="62"/>
    <n v="62"/>
    <n v="34.4"/>
    <n v="8.9"/>
    <n v="17.7"/>
    <n v="0.503"/>
    <n v="1.2"/>
    <n v="3.5"/>
    <n v="2.2999999999999998"/>
    <n v="0.33"/>
    <n v="7.7"/>
    <n v="14.2"/>
    <n v="6.4999999999999991"/>
    <n v="0.54600000000000004"/>
    <n v="0.53600000000000003"/>
    <n v="7.2"/>
    <n v="8.5"/>
    <n v="0.84599999999999997"/>
    <n v="2.2999999999999998"/>
    <n v="7"/>
    <n v="9.3000000000000007"/>
    <n v="3.2"/>
    <n v="1.5"/>
    <n v="2.2999999999999998"/>
    <n v="2.5"/>
    <n v="2.5"/>
    <n v="26.1"/>
    <m/>
    <n v="3"/>
    <s v="PF"/>
    <s v="6 feet 10 inches"/>
    <n v="253"/>
    <s v="March 11, 1993"/>
    <n v="7"/>
    <s v="Kentucky"/>
    <n v="26"/>
    <n v="21"/>
    <n v="21"/>
    <n v="36.6"/>
    <n v="9.8000000000000007"/>
    <n v="17.100000000000001"/>
    <n v="0.57099999999999995"/>
    <n v="1.1000000000000001"/>
    <n v="2.9"/>
    <n v="2.2999999999999998"/>
    <n v="0.38300000000000001"/>
    <n v="8.6999999999999993"/>
    <n v="14.2"/>
    <n v="6.4999999999999991"/>
    <n v="0.60899999999999999"/>
    <n v="0.60299999999999998"/>
    <n v="7.1"/>
    <n v="8.5"/>
    <n v="0.83199999999999996"/>
    <n v="2.6"/>
    <n v="7.1"/>
    <n v="9.6999999999999993"/>
    <n v="3.5"/>
    <n v="1.2"/>
    <n v="1.4"/>
    <n v="2.5"/>
    <n v="2.7"/>
    <n v="27.7"/>
  </r>
  <r>
    <n v="6"/>
    <x v="2"/>
    <n v="29"/>
    <n v="49"/>
    <n v="44"/>
    <n v="24.2"/>
    <n v="3.5"/>
    <n v="7.8"/>
    <n v="0.44400000000000001"/>
    <n v="1.3"/>
    <n v="3.5"/>
    <n v="2.2000000000000002"/>
    <n v="0.36399999999999999"/>
    <n v="2.2000000000000002"/>
    <n v="4.3"/>
    <n v="2.0999999999999996"/>
    <n v="0.51"/>
    <n v="0.52600000000000002"/>
    <n v="0.4"/>
    <n v="0.5"/>
    <n v="0.83299999999999996"/>
    <n v="0.4"/>
    <n v="2"/>
    <n v="2.2999999999999998"/>
    <n v="1.3"/>
    <n v="0.9"/>
    <n v="0.1"/>
    <n v="1"/>
    <n v="2.2000000000000002"/>
    <n v="8.6"/>
    <m/>
    <n v="11"/>
    <s v="SG"/>
    <s v="6 feet 3 inches"/>
    <n v="180"/>
    <s v="November 26, 1990"/>
    <n v="9"/>
    <s v="Texas"/>
    <s v="-"/>
    <s v="-"/>
    <s v="-"/>
    <s v="-"/>
    <s v="-"/>
    <s v="-"/>
    <s v="-"/>
    <s v="-"/>
    <s v="-"/>
    <s v="-"/>
    <s v="-"/>
    <s v="-"/>
    <s v="-"/>
    <s v="-"/>
    <s v="-"/>
    <s v="-"/>
    <s v="-"/>
    <s v="-"/>
    <s v="-"/>
    <s v="-"/>
    <s v="-"/>
    <s v="-"/>
    <s v="-"/>
    <s v="-"/>
    <s v="-"/>
    <s v="-"/>
    <s v="-"/>
    <s v="--"/>
  </r>
  <r>
    <n v="5"/>
    <x v="3"/>
    <n v="32"/>
    <n v="68"/>
    <n v="68"/>
    <n v="24.8"/>
    <n v="2.9"/>
    <n v="7"/>
    <n v="0.41599999999999998"/>
    <n v="1.8"/>
    <n v="4.8"/>
    <n v="3"/>
    <n v="0.36699999999999999"/>
    <n v="1.1000000000000001"/>
    <n v="2.2000000000000002"/>
    <n v="1.1000000000000001"/>
    <n v="0.52400000000000002"/>
    <n v="0.54200000000000004"/>
    <n v="0.5"/>
    <n v="0.7"/>
    <n v="0.68799999999999994"/>
    <n v="0.8"/>
    <n v="2.6"/>
    <n v="3.3"/>
    <n v="1.3"/>
    <n v="1.3"/>
    <n v="0.5"/>
    <n v="0.9"/>
    <n v="2"/>
    <n v="8"/>
    <m/>
    <n v="14"/>
    <s v="SG"/>
    <s v="6 feet 6 inches"/>
    <n v="215"/>
    <s v="June 22, 1987"/>
    <n v="10"/>
    <s v="UNC"/>
    <n v="32"/>
    <n v="21"/>
    <n v="21"/>
    <n v="25"/>
    <n v="2.8"/>
    <n v="8.1"/>
    <n v="0.34699999999999998"/>
    <n v="1.9"/>
    <n v="5.5"/>
    <n v="3"/>
    <n v="0.33900000000000002"/>
    <n v="1"/>
    <n v="2.6"/>
    <n v="1.1000000000000001"/>
    <n v="0.36399999999999999"/>
    <n v="0.46200000000000002"/>
    <n v="0.5"/>
    <n v="0.7"/>
    <n v="0.66700000000000004"/>
    <n v="1.2"/>
    <n v="2"/>
    <n v="3.1"/>
    <n v="1.2"/>
    <n v="1"/>
    <n v="0.8"/>
    <n v="0.6"/>
    <n v="2.2999999999999998"/>
    <n v="8"/>
  </r>
  <r>
    <n v="17"/>
    <x v="4"/>
    <n v="23"/>
    <n v="1"/>
    <n v="0"/>
    <n v="9"/>
    <n v="3"/>
    <n v="6"/>
    <n v="0.5"/>
    <n v="0"/>
    <n v="0"/>
    <n v="0"/>
    <n v="0"/>
    <n v="3"/>
    <n v="6"/>
    <n v="3"/>
    <n v="0.5"/>
    <n v="0.5"/>
    <n v="0"/>
    <n v="0"/>
    <m/>
    <n v="2"/>
    <n v="3"/>
    <n v="5"/>
    <n v="1"/>
    <n v="0"/>
    <n v="0"/>
    <n v="0"/>
    <n v="0"/>
    <n v="6"/>
    <m/>
    <n v="12"/>
    <s v="C"/>
    <s v="6 feet 7 inches"/>
    <n v="240"/>
    <s v="October 8, 1996"/>
    <s v="R"/>
    <s v="UNC Wilmington"/>
    <s v="-"/>
    <s v="-"/>
    <s v="-"/>
    <s v="-"/>
    <s v="-"/>
    <s v="-"/>
    <s v="-"/>
    <s v="-"/>
    <s v="-"/>
    <s v="-"/>
    <s v="-"/>
    <s v="-"/>
    <s v="-"/>
    <s v="-"/>
    <s v="-"/>
    <s v="-"/>
    <s v="-"/>
    <s v="-"/>
    <s v="-"/>
    <s v="-"/>
    <s v="-"/>
    <s v="-"/>
    <s v="-"/>
    <s v="-"/>
    <s v="-"/>
    <s v="-"/>
    <s v="-"/>
    <s v="--"/>
  </r>
  <r>
    <n v="7"/>
    <x v="5"/>
    <n v="28"/>
    <n v="7"/>
    <n v="0"/>
    <n v="23.6"/>
    <n v="4.4000000000000004"/>
    <n v="10.4"/>
    <n v="0.42499999999999999"/>
    <n v="1"/>
    <n v="4.3"/>
    <n v="3.3"/>
    <n v="0.23300000000000001"/>
    <n v="3.4"/>
    <n v="6.1"/>
    <n v="2.6999999999999997"/>
    <n v="0.55800000000000005"/>
    <n v="0.47299999999999998"/>
    <n v="2"/>
    <n v="2.2999999999999998"/>
    <n v="0.875"/>
    <n v="0.3"/>
    <n v="1.6"/>
    <n v="1.9"/>
    <n v="2.4"/>
    <n v="0.6"/>
    <n v="0.6"/>
    <n v="1.9"/>
    <n v="2.2999999999999998"/>
    <n v="11.9"/>
    <m/>
    <n v="18"/>
    <s v="SG"/>
    <s v="6 feet 4 inches"/>
    <n v="215"/>
    <s v="December 10, 1991"/>
    <n v="7"/>
    <s v="Syracuse"/>
    <n v="28"/>
    <n v="5"/>
    <n v="0"/>
    <n v="7.6"/>
    <n v="0.8"/>
    <n v="2.4"/>
    <n v="0.33300000000000002"/>
    <n v="0"/>
    <n v="0.8"/>
    <n v="3.3"/>
    <n v="0"/>
    <n v="0.8"/>
    <n v="1.6"/>
    <n v="2.6999999999999997"/>
    <n v="0.5"/>
    <n v="0.33300000000000002"/>
    <n v="0.4"/>
    <n v="0.4"/>
    <n v="1"/>
    <n v="0"/>
    <n v="0.4"/>
    <n v="0.4"/>
    <n v="0.4"/>
    <n v="0.2"/>
    <n v="0.2"/>
    <n v="0.2"/>
    <n v="0.4"/>
    <n v="2"/>
  </r>
  <r>
    <n v="9"/>
    <x v="6"/>
    <n v="34"/>
    <n v="69"/>
    <n v="2"/>
    <n v="18.899999999999999"/>
    <n v="2.9"/>
    <n v="4"/>
    <n v="0.72899999999999998"/>
    <n v="0"/>
    <n v="0.1"/>
    <n v="0.1"/>
    <n v="0.6"/>
    <n v="2.9"/>
    <n v="3.9"/>
    <n v="1"/>
    <n v="0.73199999999999998"/>
    <n v="0.73499999999999999"/>
    <n v="1.6"/>
    <n v="3.1"/>
    <n v="0.51400000000000001"/>
    <n v="2.5"/>
    <n v="4.9000000000000004"/>
    <n v="7.3"/>
    <n v="0.7"/>
    <n v="0.4"/>
    <n v="1.1000000000000001"/>
    <n v="1.2"/>
    <n v="3.2"/>
    <n v="7.5"/>
    <m/>
    <n v="39"/>
    <s v="C"/>
    <s v="6 feet 10 inches"/>
    <n v="265"/>
    <s v="December 8, 1985"/>
    <n v="15"/>
    <m/>
    <n v="34"/>
    <n v="18"/>
    <n v="7"/>
    <n v="15.7"/>
    <n v="2.2000000000000002"/>
    <n v="3.2"/>
    <n v="0.68400000000000005"/>
    <n v="0.1"/>
    <n v="0.1"/>
    <n v="0.1"/>
    <n v="0.5"/>
    <n v="2.1"/>
    <n v="3.1"/>
    <n v="1"/>
    <n v="0.69099999999999995"/>
    <n v="0.69299999999999995"/>
    <n v="1.4"/>
    <n v="2.5"/>
    <n v="0.55600000000000005"/>
    <n v="1.8"/>
    <n v="2.8"/>
    <n v="4.5999999999999996"/>
    <n v="0.5"/>
    <n v="0.4"/>
    <n v="0.4"/>
    <n v="0.9"/>
    <n v="3.1"/>
    <n v="5.8"/>
  </r>
  <r>
    <n v="14"/>
    <x v="7"/>
    <n v="34"/>
    <n v="6"/>
    <n v="0"/>
    <n v="13.2"/>
    <n v="1.2"/>
    <n v="3.7"/>
    <n v="0.318"/>
    <n v="0.2"/>
    <n v="1.8"/>
    <n v="1.6"/>
    <n v="9.0999999999999998E-2"/>
    <n v="1"/>
    <n v="1.8"/>
    <n v="0.8"/>
    <n v="0.54500000000000004"/>
    <n v="0.34100000000000003"/>
    <n v="0.3"/>
    <n v="0.3"/>
    <n v="1"/>
    <n v="0"/>
    <n v="0.8"/>
    <n v="0.8"/>
    <n v="0.5"/>
    <n v="0.2"/>
    <n v="0"/>
    <n v="0.7"/>
    <n v="0.8"/>
    <n v="2.8"/>
    <m/>
    <n v="21"/>
    <s v="SG"/>
    <s v="6 feet 6 inches"/>
    <n v="225"/>
    <s v="September 9, 1985"/>
    <n v="15"/>
    <s v="No college experience"/>
    <n v="34"/>
    <n v="10"/>
    <n v="0"/>
    <n v="7.5"/>
    <n v="0.7"/>
    <n v="2.6"/>
    <n v="0.26900000000000002"/>
    <n v="0.6"/>
    <n v="2.2000000000000002"/>
    <n v="1.6"/>
    <n v="0.27300000000000002"/>
    <n v="0.1"/>
    <n v="0.4"/>
    <n v="0.8"/>
    <n v="0.25"/>
    <n v="0.38500000000000001"/>
    <n v="0"/>
    <n v="0"/>
    <n v="0"/>
    <n v="0"/>
    <n v="0.3"/>
    <n v="0.3"/>
    <n v="0.3"/>
    <n v="0.2"/>
    <n v="0"/>
    <n v="0.7"/>
    <n v="1.1000000000000001"/>
    <n v="2"/>
  </r>
  <r>
    <n v="18"/>
    <x v="8"/>
    <n v="34"/>
    <n v="45"/>
    <n v="1"/>
    <n v="8.1"/>
    <n v="0.5"/>
    <n v="1.3"/>
    <n v="0.4"/>
    <n v="0.4"/>
    <n v="0.9"/>
    <n v="0.5"/>
    <n v="0.42899999999999999"/>
    <n v="0.1"/>
    <n v="0.4"/>
    <n v="0.30000000000000004"/>
    <n v="0.33300000000000002"/>
    <n v="0.55000000000000004"/>
    <n v="0"/>
    <n v="0"/>
    <n v="1"/>
    <n v="0.1"/>
    <n v="1"/>
    <n v="1.2"/>
    <n v="0.6"/>
    <n v="0.3"/>
    <n v="0.1"/>
    <n v="0.2"/>
    <n v="0.9"/>
    <n v="1.5"/>
    <m/>
    <n v="10"/>
    <s v="PF"/>
    <s v="6 feet 6 inches"/>
    <n v="237"/>
    <s v="July 10, 1985"/>
    <n v="12"/>
    <s v="Boston College"/>
    <n v="34"/>
    <n v="9"/>
    <n v="0"/>
    <n v="3.4"/>
    <n v="0"/>
    <n v="0.4"/>
    <n v="0"/>
    <n v="0"/>
    <n v="0.3"/>
    <n v="0.5"/>
    <n v="0"/>
    <n v="0"/>
    <n v="0.1"/>
    <n v="0.30000000000000004"/>
    <n v="0"/>
    <n v="0"/>
    <n v="0"/>
    <n v="0"/>
    <n v="0"/>
    <n v="0"/>
    <n v="0.2"/>
    <n v="0.2"/>
    <n v="0"/>
    <n v="0.4"/>
    <n v="0.1"/>
    <n v="0.2"/>
    <n v="0.2"/>
    <n v="0"/>
  </r>
  <r>
    <n v="11"/>
    <x v="9"/>
    <n v="32"/>
    <n v="68"/>
    <n v="68"/>
    <n v="16.600000000000001"/>
    <n v="2.9"/>
    <n v="4.5"/>
    <n v="0.63700000000000001"/>
    <n v="0"/>
    <n v="0.1"/>
    <n v="0.1"/>
    <n v="0.5"/>
    <n v="2.8"/>
    <n v="4.4000000000000004"/>
    <n v="1.6000000000000005"/>
    <n v="0.64"/>
    <n v="0.64200000000000002"/>
    <n v="0.8"/>
    <n v="1.2"/>
    <n v="0.64600000000000002"/>
    <n v="1.8"/>
    <n v="3.9"/>
    <n v="5.7"/>
    <n v="0.5"/>
    <n v="0.5"/>
    <n v="1.4"/>
    <n v="0.8"/>
    <n v="2.2999999999999998"/>
    <n v="6.6"/>
    <m/>
    <n v="7"/>
    <s v="C"/>
    <s v="7 feet"/>
    <n v="270"/>
    <s v="January 19, 1988"/>
    <n v="11"/>
    <s v="Nevada"/>
    <n v="32"/>
    <n v="14"/>
    <n v="11"/>
    <n v="9.6"/>
    <n v="1.4"/>
    <n v="2.2999999999999998"/>
    <n v="0.625"/>
    <n v="0"/>
    <n v="0.1"/>
    <n v="0.1"/>
    <n v="0"/>
    <n v="1.4"/>
    <n v="2.1"/>
    <n v="1.6000000000000005"/>
    <n v="0.66700000000000004"/>
    <n v="0.625"/>
    <n v="0.1"/>
    <n v="0.1"/>
    <n v="0.5"/>
    <n v="1.1000000000000001"/>
    <n v="2"/>
    <n v="3.1"/>
    <n v="0.5"/>
    <n v="0.1"/>
    <n v="0.7"/>
    <n v="0.6"/>
    <n v="1.6"/>
    <n v="2.9"/>
  </r>
  <r>
    <n v="3"/>
    <x v="10"/>
    <n v="26"/>
    <n v="69"/>
    <n v="26"/>
    <n v="25.5"/>
    <n v="3.4"/>
    <n v="7.3"/>
    <n v="0.46700000000000003"/>
    <n v="1.3"/>
    <n v="3.5"/>
    <n v="2.2000000000000002"/>
    <n v="0.38500000000000001"/>
    <n v="2.1"/>
    <n v="3.9"/>
    <n v="1.7999999999999998"/>
    <n v="0.54100000000000004"/>
    <n v="0.55800000000000005"/>
    <n v="1.1000000000000001"/>
    <n v="1.5"/>
    <n v="0.77500000000000002"/>
    <n v="0.6"/>
    <n v="1.5"/>
    <n v="2.1"/>
    <n v="1.6"/>
    <n v="0.8"/>
    <n v="0.2"/>
    <n v="0.9"/>
    <n v="1.9"/>
    <n v="9.3000000000000007"/>
    <m/>
    <n v="1"/>
    <s v="SG"/>
    <s v="6 feet 5 inches"/>
    <n v="204"/>
    <s v="February 18, 1993"/>
    <n v="6"/>
    <s v="Georgia"/>
    <n v="26"/>
    <n v="21"/>
    <n v="21"/>
    <n v="29"/>
    <n v="3.8"/>
    <n v="9"/>
    <n v="0.41799999999999998"/>
    <n v="2.1"/>
    <n v="5.7"/>
    <n v="2.2000000000000002"/>
    <n v="0.378"/>
    <n v="1.6"/>
    <n v="3.3"/>
    <n v="1.7999999999999998"/>
    <n v="0.48599999999999999"/>
    <n v="0.53700000000000003"/>
    <n v="1"/>
    <n v="1.3"/>
    <n v="0.81499999999999995"/>
    <n v="0.4"/>
    <n v="1.7"/>
    <n v="2.1"/>
    <n v="1.3"/>
    <n v="1"/>
    <n v="0.2"/>
    <n v="0.7"/>
    <n v="1.9"/>
    <n v="10.7"/>
  </r>
  <r>
    <n v="19"/>
    <x v="11"/>
    <n v="22"/>
    <n v="5"/>
    <n v="0"/>
    <n v="4"/>
    <n v="0.6"/>
    <n v="0.6"/>
    <n v="1"/>
    <n v="0"/>
    <n v="0"/>
    <n v="0"/>
    <n v="0"/>
    <n v="0.6"/>
    <n v="0.6"/>
    <n v="0"/>
    <n v="1"/>
    <n v="1"/>
    <n v="0.2"/>
    <n v="0.4"/>
    <n v="0.5"/>
    <n v="0.4"/>
    <n v="0.2"/>
    <n v="0.6"/>
    <n v="0.4"/>
    <n v="0"/>
    <n v="0"/>
    <n v="0.2"/>
    <n v="0.4"/>
    <n v="1.4"/>
    <m/>
    <n v="37"/>
    <s v="PF"/>
    <s v="6 feet 10 inches"/>
    <n v="200"/>
    <s v="November 20, 1997"/>
    <n v="1"/>
    <s v="Dayton"/>
    <s v="-"/>
    <s v="-"/>
    <s v="-"/>
    <s v="-"/>
    <s v="-"/>
    <s v="-"/>
    <s v="-"/>
    <s v="-"/>
    <s v="-"/>
    <s v="-"/>
    <s v="-"/>
    <s v="-"/>
    <s v="-"/>
    <s v="-"/>
    <s v="-"/>
    <s v="-"/>
    <s v="-"/>
    <s v="-"/>
    <s v="-"/>
    <s v="-"/>
    <s v="-"/>
    <s v="-"/>
    <s v="-"/>
    <s v="-"/>
    <s v="-"/>
    <s v="-"/>
    <s v="-"/>
    <s v="--"/>
  </r>
  <r>
    <n v="4"/>
    <x v="12"/>
    <n v="24"/>
    <n v="61"/>
    <n v="9"/>
    <n v="25"/>
    <n v="4.8"/>
    <n v="11"/>
    <n v="0.436"/>
    <n v="1.4"/>
    <n v="4.5"/>
    <n v="3.1"/>
    <n v="0.316"/>
    <n v="3.4"/>
    <n v="6.5"/>
    <n v="3.1"/>
    <n v="0.51800000000000002"/>
    <n v="0.5"/>
    <n v="1.9"/>
    <n v="2.5"/>
    <n v="0.73499999999999999"/>
    <n v="0.9"/>
    <n v="3.6"/>
    <n v="4.5"/>
    <n v="1.3"/>
    <n v="0.5"/>
    <n v="0.4"/>
    <n v="1.5"/>
    <n v="2.1"/>
    <n v="12.8"/>
    <m/>
    <n v="0"/>
    <s v="PF"/>
    <s v="6 feet 9 inches"/>
    <n v="221"/>
    <s v="July 24, 1995"/>
    <n v="2"/>
    <s v="Utah"/>
    <n v="24"/>
    <n v="21"/>
    <n v="0"/>
    <n v="23"/>
    <n v="3.7"/>
    <n v="8.5"/>
    <n v="0.43"/>
    <n v="1.2"/>
    <n v="4"/>
    <n v="3.1"/>
    <n v="0.313"/>
    <n v="2.4"/>
    <n v="4.5999999999999996"/>
    <n v="3.1"/>
    <n v="0.53100000000000003"/>
    <n v="0.503"/>
    <n v="1.4"/>
    <n v="1.8"/>
    <n v="0.78400000000000003"/>
    <n v="0.9"/>
    <n v="2.2000000000000002"/>
    <n v="3.1"/>
    <n v="0.8"/>
    <n v="0.3"/>
    <n v="0.3"/>
    <n v="1"/>
    <n v="2.4"/>
    <n v="10"/>
  </r>
  <r>
    <n v="1"/>
    <x v="13"/>
    <n v="35"/>
    <n v="67"/>
    <n v="67"/>
    <n v="34.6"/>
    <n v="9.6"/>
    <n v="19.399999999999999"/>
    <n v="0.49299999999999999"/>
    <n v="2.2000000000000002"/>
    <n v="6.3"/>
    <n v="4.0999999999999996"/>
    <n v="0.34799999999999998"/>
    <n v="7.4"/>
    <n v="13.1"/>
    <n v="5.6999999999999993"/>
    <n v="0.56399999999999995"/>
    <n v="0.55000000000000004"/>
    <n v="3.9"/>
    <n v="5.7"/>
    <n v="0.69299999999999995"/>
    <n v="1"/>
    <n v="6.9"/>
    <n v="7.8"/>
    <n v="10.199999999999999"/>
    <n v="1.2"/>
    <n v="0.5"/>
    <n v="3.9"/>
    <n v="1.8"/>
    <n v="25.3"/>
    <m/>
    <n v="23"/>
    <s v="PG"/>
    <s v="6 feet 8 inches"/>
    <n v="250"/>
    <s v="December 30, 1984"/>
    <n v="16"/>
    <s v="No college experience"/>
    <n v="35"/>
    <n v="21"/>
    <n v="21"/>
    <n v="36.299999999999997"/>
    <n v="10.199999999999999"/>
    <n v="18.2"/>
    <n v="0.56000000000000005"/>
    <n v="2.1"/>
    <n v="5.7"/>
    <n v="4.0999999999999996"/>
    <n v="0.37"/>
    <n v="8.1"/>
    <n v="12.5"/>
    <n v="5.6999999999999993"/>
    <n v="0.64600000000000002"/>
    <n v="0.61799999999999999"/>
    <n v="5.0999999999999996"/>
    <n v="7.1"/>
    <n v="0.72"/>
    <n v="1.3"/>
    <n v="9.4"/>
    <n v="10.8"/>
    <n v="8.8000000000000007"/>
    <n v="1.2"/>
    <n v="0.9"/>
    <n v="4"/>
    <n v="1.9"/>
    <n v="27.6"/>
  </r>
  <r>
    <n v="12"/>
    <x v="14"/>
    <n v="30"/>
    <n v="14"/>
    <n v="1"/>
    <n v="14.2"/>
    <n v="2"/>
    <n v="4.9000000000000004"/>
    <n v="0.40600000000000003"/>
    <n v="0.9"/>
    <n v="2.8"/>
    <n v="1.9"/>
    <n v="0.33300000000000002"/>
    <n v="1.1000000000000001"/>
    <n v="2.1"/>
    <n v="1"/>
    <n v="0.5"/>
    <n v="0.5"/>
    <n v="0.4"/>
    <n v="0.4"/>
    <n v="0.83299999999999996"/>
    <n v="1.1000000000000001"/>
    <n v="2.1"/>
    <n v="3.2"/>
    <n v="0.6"/>
    <n v="0.4"/>
    <n v="0.4"/>
    <n v="0.4"/>
    <n v="2.1"/>
    <n v="5.3"/>
    <m/>
    <n v="88"/>
    <s v="PF"/>
    <s v="6 feet 9 inches"/>
    <n v="245"/>
    <s v="September 2, 1989"/>
    <n v="8"/>
    <s v="Kansas"/>
    <n v="30"/>
    <n v="21"/>
    <n v="2"/>
    <n v="18.3"/>
    <n v="2.1"/>
    <n v="4.7"/>
    <n v="0.44900000000000001"/>
    <n v="1.4"/>
    <n v="3.3"/>
    <n v="1.9"/>
    <n v="0.42"/>
    <n v="0.7"/>
    <n v="1.4"/>
    <n v="1"/>
    <n v="0.51700000000000002"/>
    <n v="0.59699999999999998"/>
    <n v="0.3"/>
    <n v="0.4"/>
    <n v="0.77800000000000002"/>
    <n v="0.6"/>
    <n v="2.5"/>
    <n v="3"/>
    <n v="1"/>
    <n v="0.3"/>
    <n v="0.1"/>
    <n v="0.8"/>
    <n v="2.6"/>
    <n v="5.9"/>
  </r>
  <r>
    <n v="15"/>
    <x v="15"/>
    <n v="26"/>
    <n v="44"/>
    <n v="1"/>
    <n v="11.5"/>
    <n v="2.1"/>
    <n v="4.9000000000000004"/>
    <n v="0.42499999999999999"/>
    <n v="0.7"/>
    <n v="1.9"/>
    <n v="1.2"/>
    <n v="0.36499999999999999"/>
    <n v="1.4"/>
    <n v="2.9"/>
    <n v="1.5"/>
    <n v="0.46500000000000002"/>
    <n v="0.498"/>
    <n v="0.3"/>
    <n v="0.3"/>
    <n v="0.78600000000000003"/>
    <n v="0.3"/>
    <n v="0.9"/>
    <n v="1.2"/>
    <n v="1.1000000000000001"/>
    <n v="0.3"/>
    <n v="0"/>
    <n v="0.8"/>
    <n v="0.6"/>
    <n v="5.0999999999999996"/>
    <m/>
    <s v="2, 28"/>
    <s v="PG"/>
    <s v="6 feet 1 inch"/>
    <n v="180"/>
    <s v="March 23, 1993"/>
    <n v="3"/>
    <s v="Duke"/>
    <n v="26"/>
    <n v="6"/>
    <n v="0"/>
    <n v="4"/>
    <n v="0.8"/>
    <n v="1.7"/>
    <n v="0.5"/>
    <n v="0.3"/>
    <n v="0.7"/>
    <n v="1.2"/>
    <n v="0.5"/>
    <n v="0.5"/>
    <n v="1"/>
    <n v="1.5"/>
    <n v="0.5"/>
    <n v="0.6"/>
    <n v="0.2"/>
    <n v="0.2"/>
    <n v="1"/>
    <n v="0"/>
    <n v="0.2"/>
    <n v="0.2"/>
    <n v="0.8"/>
    <n v="0"/>
    <n v="0"/>
    <n v="0.2"/>
    <n v="0.2"/>
    <n v="2.2000000000000002"/>
  </r>
  <r>
    <n v="8"/>
    <x v="16"/>
    <n v="33"/>
    <n v="48"/>
    <n v="3"/>
    <n v="20.5"/>
    <n v="2.9"/>
    <n v="6.8"/>
    <n v="0.41799999999999998"/>
    <n v="0.9"/>
    <n v="2.6"/>
    <n v="1.7000000000000002"/>
    <n v="0.32800000000000001"/>
    <n v="2"/>
    <n v="4.2"/>
    <n v="2.2000000000000002"/>
    <n v="0.47299999999999998"/>
    <n v="0.48"/>
    <n v="0.6"/>
    <n v="0.9"/>
    <n v="0.65900000000000003"/>
    <n v="0.5"/>
    <n v="2.5"/>
    <n v="3"/>
    <n v="5"/>
    <n v="0.8"/>
    <n v="0"/>
    <n v="1.9"/>
    <n v="1.2"/>
    <n v="7.1"/>
    <m/>
    <n v="9"/>
    <s v="PG"/>
    <s v="6 feet 1 inch"/>
    <n v="180"/>
    <s v="February 22, 1986"/>
    <n v="13"/>
    <s v="Kentucky"/>
    <n v="33"/>
    <n v="16"/>
    <n v="0"/>
    <n v="24.7"/>
    <n v="3.4"/>
    <n v="7.6"/>
    <n v="0.45500000000000002"/>
    <n v="1.3"/>
    <n v="3.1"/>
    <n v="1.7000000000000002"/>
    <n v="0.4"/>
    <n v="2.2000000000000002"/>
    <n v="4.4000000000000004"/>
    <n v="2.2000000000000002"/>
    <n v="0.49299999999999999"/>
    <n v="0.53700000000000003"/>
    <n v="0.8"/>
    <n v="1.2"/>
    <n v="0.68400000000000005"/>
    <n v="0.8"/>
    <n v="3.5"/>
    <n v="4.3"/>
    <n v="6.6"/>
    <n v="1.4"/>
    <n v="0.1"/>
    <n v="2.1"/>
    <n v="2.2999999999999998"/>
    <n v="8.9"/>
  </r>
  <r>
    <n v="13"/>
    <x v="17"/>
    <n v="19"/>
    <n v="6"/>
    <n v="1"/>
    <n v="13.5"/>
    <n v="2.2999999999999998"/>
    <n v="5"/>
    <n v="0.46700000000000003"/>
    <n v="0.7"/>
    <n v="2.2000000000000002"/>
    <n v="1.5000000000000002"/>
    <n v="0.308"/>
    <n v="1.7"/>
    <n v="2.8"/>
    <n v="1.0999999999999999"/>
    <n v="0.58799999999999997"/>
    <n v="0.53300000000000003"/>
    <n v="0.3"/>
    <n v="0.7"/>
    <n v="0.5"/>
    <n v="0.3"/>
    <n v="0.8"/>
    <n v="1.2"/>
    <n v="1"/>
    <n v="1.3"/>
    <n v="0.2"/>
    <n v="1"/>
    <n v="1.7"/>
    <n v="5.7"/>
    <m/>
    <n v="5"/>
    <s v="SG"/>
    <s v="6 feet 4 inches"/>
    <n v="234"/>
    <s v="November 25, 2000"/>
    <s v="R"/>
    <s v="Iowa State"/>
    <n v="19"/>
    <n v="2"/>
    <n v="0"/>
    <n v="8.5"/>
    <n v="3"/>
    <n v="6"/>
    <n v="0.5"/>
    <n v="1"/>
    <n v="2.5"/>
    <n v="1.5000000000000002"/>
    <n v="0.4"/>
    <n v="2"/>
    <n v="3.5"/>
    <n v="1.0999999999999999"/>
    <n v="0.57099999999999995"/>
    <n v="0.58299999999999996"/>
    <n v="0"/>
    <n v="0"/>
    <n v="0"/>
    <n v="0"/>
    <n v="2.5"/>
    <n v="2.5"/>
    <n v="0"/>
    <n v="1"/>
    <n v="0"/>
    <n v="0"/>
    <n v="2"/>
    <n v="7"/>
  </r>
  <r>
    <n v="16"/>
    <x v="18"/>
    <n v="28"/>
    <n v="41"/>
    <n v="0"/>
    <n v="11.1"/>
    <n v="1.5"/>
    <n v="3.9"/>
    <n v="0.39200000000000002"/>
    <n v="1"/>
    <n v="2.7"/>
    <n v="1.7000000000000002"/>
    <n v="0.35699999999999998"/>
    <n v="0.5"/>
    <n v="1.1000000000000001"/>
    <n v="0.60000000000000009"/>
    <n v="0.47799999999999998"/>
    <n v="0.51900000000000002"/>
    <n v="0.2"/>
    <n v="0.4"/>
    <n v="0.625"/>
    <n v="0.3"/>
    <n v="0.8"/>
    <n v="1.1000000000000001"/>
    <n v="0.3"/>
    <n v="0.2"/>
    <n v="0.1"/>
    <n v="0.2"/>
    <n v="0.7"/>
    <n v="4.2"/>
    <m/>
    <n v="30"/>
    <s v="SG"/>
    <s v="6 feet 4 inches"/>
    <n v="200"/>
    <s v="July 15, 1991"/>
    <n v="6"/>
    <s v="VCU"/>
    <s v="-"/>
    <s v="-"/>
    <s v="-"/>
    <s v="-"/>
    <s v="-"/>
    <s v="-"/>
    <s v="-"/>
    <s v="-"/>
    <s v="-"/>
    <s v="-"/>
    <s v="-"/>
    <s v="-"/>
    <s v="-"/>
    <s v="-"/>
    <s v="-"/>
    <s v="-"/>
    <s v="-"/>
    <s v="-"/>
    <s v="-"/>
    <s v="-"/>
    <s v="-"/>
    <s v="-"/>
    <s v="-"/>
    <s v="-"/>
    <s v="-"/>
    <s v="-"/>
    <s v="-"/>
    <s v="--"/>
  </r>
  <r>
    <n v="20"/>
    <x v="19"/>
    <n v="22"/>
    <n v="2"/>
    <n v="0"/>
    <n v="2.5"/>
    <n v="0"/>
    <n v="0.5"/>
    <n v="0"/>
    <n v="0"/>
    <n v="0"/>
    <n v="0"/>
    <n v="0"/>
    <n v="0"/>
    <n v="0.5"/>
    <n v="0.5"/>
    <n v="0"/>
    <n v="0"/>
    <n v="0"/>
    <n v="0"/>
    <n v="0"/>
    <n v="0"/>
    <n v="0.5"/>
    <n v="0.5"/>
    <n v="0"/>
    <n v="0"/>
    <n v="0"/>
    <n v="0"/>
    <n v="0"/>
    <n v="0"/>
    <m/>
    <n v="21"/>
    <s v="SG"/>
    <s v="6 feet 5 inches"/>
    <n v="206"/>
    <s v="December 9, 1997"/>
    <s v="R"/>
    <s v="Gonzaga"/>
    <s v="-"/>
    <s v="-"/>
    <s v="-"/>
    <s v="-"/>
    <s v="-"/>
    <s v="-"/>
    <s v="-"/>
    <s v="-"/>
    <s v="-"/>
    <s v="-"/>
    <s v="-"/>
    <s v="-"/>
    <s v="-"/>
    <s v="-"/>
    <s v="-"/>
    <s v="-"/>
    <s v="-"/>
    <s v="-"/>
    <s v="-"/>
    <s v="-"/>
    <s v="-"/>
    <s v="-"/>
    <s v="-"/>
    <s v="-"/>
    <s v="-"/>
    <s v="-"/>
    <s v="-"/>
    <s v="--"/>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
  <r>
    <n v="1"/>
    <n v="1"/>
    <d v="2019-10-22T00:00:00"/>
    <x v="0"/>
    <x v="0"/>
    <x v="0"/>
    <x v="0"/>
    <n v="102"/>
    <n v="112"/>
    <n v="37"/>
    <n v="85"/>
    <n v="0.435"/>
    <n v="13"/>
    <n v="33"/>
    <n v="0.39400000000000002"/>
    <n v="15"/>
    <n v="21"/>
    <n v="0.71399999999999997"/>
    <n v="9"/>
    <n v="41"/>
    <n v="20"/>
    <n v="4"/>
    <n v="7"/>
    <n v="14"/>
    <n v="24"/>
    <s v="L 1"/>
    <n v="42"/>
    <n v="81"/>
    <n v="0.51900000000000002"/>
    <n v="11"/>
    <n v="31"/>
    <n v="0.35499999999999998"/>
    <n v="17"/>
    <n v="24"/>
    <n v="0.70799999999999996"/>
    <n v="11"/>
    <n v="45"/>
    <n v="24"/>
    <n v="8"/>
    <n v="5"/>
    <n v="14"/>
    <n v="25"/>
  </r>
  <r>
    <n v="2"/>
    <n v="2"/>
    <d v="2019-10-25T00:00:00"/>
    <x v="1"/>
    <x v="1"/>
    <x v="0"/>
    <x v="1"/>
    <n v="95"/>
    <n v="86"/>
    <n v="34"/>
    <n v="86"/>
    <n v="0.39500000000000002"/>
    <n v="8"/>
    <n v="26"/>
    <n v="0.308"/>
    <n v="19"/>
    <n v="24"/>
    <n v="0.79200000000000004"/>
    <n v="11"/>
    <n v="42"/>
    <n v="19"/>
    <n v="14"/>
    <n v="9"/>
    <n v="14"/>
    <n v="21"/>
    <s v="W 1"/>
    <n v="29"/>
    <n v="70"/>
    <n v="0.41399999999999998"/>
    <n v="8"/>
    <n v="25"/>
    <n v="0.32"/>
    <n v="20"/>
    <n v="21"/>
    <n v="0.95199999999999996"/>
    <n v="3"/>
    <n v="40"/>
    <n v="19"/>
    <n v="8"/>
    <n v="2"/>
    <n v="22"/>
    <n v="25"/>
  </r>
  <r>
    <n v="3"/>
    <n v="3"/>
    <d v="2019-10-27T00:00:00"/>
    <x v="1"/>
    <x v="2"/>
    <x v="0"/>
    <x v="1"/>
    <n v="120"/>
    <n v="101"/>
    <n v="49"/>
    <n v="93"/>
    <n v="0.52700000000000002"/>
    <n v="11"/>
    <n v="31"/>
    <n v="0.35499999999999998"/>
    <n v="11"/>
    <n v="14"/>
    <n v="0.78600000000000003"/>
    <n v="10"/>
    <n v="47"/>
    <n v="30"/>
    <n v="7"/>
    <n v="8"/>
    <n v="13"/>
    <n v="22"/>
    <s v="W 2"/>
    <n v="35"/>
    <n v="91"/>
    <n v="0.38500000000000001"/>
    <n v="10"/>
    <n v="35"/>
    <n v="0.28599999999999998"/>
    <n v="21"/>
    <n v="23"/>
    <n v="0.91300000000000003"/>
    <n v="13"/>
    <n v="45"/>
    <n v="19"/>
    <n v="7"/>
    <n v="4"/>
    <n v="14"/>
    <n v="20"/>
  </r>
  <r>
    <n v="4"/>
    <n v="4"/>
    <d v="2019-10-29T00:00:00"/>
    <x v="1"/>
    <x v="3"/>
    <x v="0"/>
    <x v="1"/>
    <n v="120"/>
    <n v="91"/>
    <n v="40"/>
    <n v="86"/>
    <n v="0.46500000000000002"/>
    <n v="7"/>
    <n v="26"/>
    <n v="0.26900000000000002"/>
    <n v="33"/>
    <n v="39"/>
    <n v="0.84599999999999997"/>
    <n v="10"/>
    <n v="54"/>
    <n v="25"/>
    <n v="9"/>
    <n v="8"/>
    <n v="18"/>
    <n v="19"/>
    <s v="W 3"/>
    <n v="31"/>
    <n v="95"/>
    <n v="0.32600000000000001"/>
    <n v="7"/>
    <n v="34"/>
    <n v="0.20599999999999999"/>
    <n v="22"/>
    <n v="23"/>
    <n v="0.95699999999999996"/>
    <n v="13"/>
    <n v="46"/>
    <n v="20"/>
    <n v="10"/>
    <n v="3"/>
    <n v="21"/>
    <n v="27"/>
  </r>
  <r>
    <n v="5"/>
    <n v="5"/>
    <d v="2019-11-01T00:00:00"/>
    <x v="0"/>
    <x v="4"/>
    <x v="0"/>
    <x v="1"/>
    <n v="119"/>
    <n v="110"/>
    <n v="47"/>
    <n v="96"/>
    <n v="0.49"/>
    <n v="9"/>
    <n v="32"/>
    <n v="0.28100000000000003"/>
    <n v="16"/>
    <n v="21"/>
    <n v="0.76200000000000001"/>
    <n v="6"/>
    <n v="41"/>
    <n v="24"/>
    <n v="11"/>
    <n v="7"/>
    <n v="11"/>
    <n v="21"/>
    <s v="W 4"/>
    <n v="40"/>
    <n v="102"/>
    <n v="0.39200000000000002"/>
    <n v="14"/>
    <n v="36"/>
    <n v="0.38900000000000001"/>
    <n v="16"/>
    <n v="23"/>
    <n v="0.69599999999999995"/>
    <n v="18"/>
    <n v="61"/>
    <n v="23"/>
    <n v="5"/>
    <n v="1"/>
    <n v="22"/>
    <n v="21"/>
  </r>
  <r>
    <n v="6"/>
    <n v="6"/>
    <d v="2019-11-03T00:00:00"/>
    <x v="0"/>
    <x v="5"/>
    <x v="0"/>
    <x v="1"/>
    <n v="103"/>
    <n v="96"/>
    <n v="42"/>
    <n v="87"/>
    <n v="0.48299999999999998"/>
    <n v="6"/>
    <n v="24"/>
    <n v="0.25"/>
    <n v="13"/>
    <n v="19"/>
    <n v="0.68400000000000005"/>
    <n v="7"/>
    <n v="46"/>
    <n v="21"/>
    <n v="8"/>
    <n v="10"/>
    <n v="18"/>
    <n v="22"/>
    <s v="W 5"/>
    <n v="33"/>
    <n v="83"/>
    <n v="0.39800000000000002"/>
    <n v="6"/>
    <n v="25"/>
    <n v="0.24"/>
    <n v="24"/>
    <n v="29"/>
    <n v="0.82799999999999996"/>
    <n v="8"/>
    <n v="47"/>
    <n v="23"/>
    <n v="11"/>
    <n v="4"/>
    <n v="17"/>
    <n v="18"/>
  </r>
  <r>
    <n v="7"/>
    <n v="7"/>
    <d v="2019-11-05T00:00:00"/>
    <x v="0"/>
    <x v="6"/>
    <x v="0"/>
    <x v="1"/>
    <n v="118"/>
    <n v="112"/>
    <n v="45"/>
    <n v="92"/>
    <n v="0.48899999999999999"/>
    <n v="11"/>
    <n v="33"/>
    <n v="0.33300000000000002"/>
    <n v="17"/>
    <n v="24"/>
    <n v="0.70799999999999996"/>
    <n v="12"/>
    <n v="49"/>
    <n v="26"/>
    <n v="10"/>
    <n v="10"/>
    <n v="15"/>
    <n v="18"/>
    <s v="W 6"/>
    <n v="43"/>
    <n v="85"/>
    <n v="0.50600000000000001"/>
    <n v="14"/>
    <n v="32"/>
    <n v="0.438"/>
    <n v="12"/>
    <n v="23"/>
    <n v="0.52200000000000002"/>
    <n v="7"/>
    <n v="42"/>
    <n v="22"/>
    <n v="11"/>
    <n v="4"/>
    <n v="16"/>
    <n v="21"/>
  </r>
  <r>
    <n v="8"/>
    <n v="8"/>
    <d v="2019-11-08T00:00:00"/>
    <x v="1"/>
    <x v="7"/>
    <x v="0"/>
    <x v="1"/>
    <n v="95"/>
    <n v="80"/>
    <n v="40"/>
    <n v="89"/>
    <n v="0.44900000000000001"/>
    <n v="8"/>
    <n v="32"/>
    <n v="0.25"/>
    <n v="7"/>
    <n v="8"/>
    <n v="0.875"/>
    <n v="10"/>
    <n v="48"/>
    <n v="30"/>
    <n v="6"/>
    <n v="5"/>
    <n v="18"/>
    <n v="24"/>
    <s v="W 7"/>
    <n v="28"/>
    <n v="80"/>
    <n v="0.35"/>
    <n v="6"/>
    <n v="35"/>
    <n v="0.17100000000000001"/>
    <n v="18"/>
    <n v="24"/>
    <n v="0.75"/>
    <n v="8"/>
    <n v="37"/>
    <n v="18"/>
    <n v="9"/>
    <n v="2"/>
    <n v="12"/>
    <n v="12"/>
  </r>
  <r>
    <n v="9"/>
    <n v="9"/>
    <d v="2019-11-10T00:00:00"/>
    <x v="1"/>
    <x v="8"/>
    <x v="0"/>
    <x v="0"/>
    <n v="104"/>
    <n v="113"/>
    <n v="41"/>
    <n v="94"/>
    <n v="0.436"/>
    <n v="10"/>
    <n v="30"/>
    <n v="0.33300000000000002"/>
    <n v="12"/>
    <n v="19"/>
    <n v="0.63200000000000001"/>
    <n v="13"/>
    <n v="51"/>
    <n v="31"/>
    <n v="6"/>
    <n v="7"/>
    <n v="12"/>
    <n v="20"/>
    <s v="L 1"/>
    <n v="43"/>
    <n v="89"/>
    <n v="0.48299999999999998"/>
    <n v="12"/>
    <n v="36"/>
    <n v="0.33300000000000002"/>
    <n v="15"/>
    <n v="22"/>
    <n v="0.68200000000000005"/>
    <n v="7"/>
    <n v="43"/>
    <n v="26"/>
    <n v="6"/>
    <n v="8"/>
    <n v="13"/>
    <n v="17"/>
  </r>
  <r>
    <n v="10"/>
    <n v="10"/>
    <d v="2019-11-12T00:00:00"/>
    <x v="0"/>
    <x v="9"/>
    <x v="0"/>
    <x v="1"/>
    <n v="123"/>
    <n v="115"/>
    <n v="51"/>
    <n v="95"/>
    <n v="0.53700000000000003"/>
    <n v="10"/>
    <n v="25"/>
    <n v="0.4"/>
    <n v="11"/>
    <n v="21"/>
    <n v="0.52400000000000002"/>
    <n v="8"/>
    <n v="44"/>
    <n v="39"/>
    <n v="4"/>
    <n v="4"/>
    <n v="9"/>
    <n v="21"/>
    <s v="W 1"/>
    <n v="43"/>
    <n v="91"/>
    <n v="0.47299999999999998"/>
    <n v="16"/>
    <n v="38"/>
    <n v="0.42099999999999999"/>
    <n v="13"/>
    <n v="17"/>
    <n v="0.76500000000000001"/>
    <n v="6"/>
    <n v="39"/>
    <n v="32"/>
    <n v="3"/>
    <n v="4"/>
    <n v="11"/>
    <n v="22"/>
  </r>
  <r>
    <n v="11"/>
    <n v="11"/>
    <d v="2019-11-13T00:00:00"/>
    <x v="1"/>
    <x v="10"/>
    <x v="0"/>
    <x v="1"/>
    <n v="120"/>
    <n v="94"/>
    <n v="48"/>
    <n v="89"/>
    <n v="0.53900000000000003"/>
    <n v="9"/>
    <n v="20"/>
    <n v="0.45"/>
    <n v="15"/>
    <n v="18"/>
    <n v="0.83299999999999996"/>
    <n v="13"/>
    <n v="51"/>
    <n v="31"/>
    <n v="8"/>
    <n v="6"/>
    <n v="19"/>
    <n v="18"/>
    <s v="W 2"/>
    <n v="36"/>
    <n v="89"/>
    <n v="0.40400000000000003"/>
    <n v="9"/>
    <n v="35"/>
    <n v="0.25700000000000001"/>
    <n v="13"/>
    <n v="17"/>
    <n v="0.76500000000000001"/>
    <n v="10"/>
    <n v="33"/>
    <n v="29"/>
    <n v="8"/>
    <n v="7"/>
    <n v="17"/>
    <n v="14"/>
  </r>
  <r>
    <n v="12"/>
    <n v="12"/>
    <d v="2019-11-15T00:00:00"/>
    <x v="1"/>
    <x v="11"/>
    <x v="0"/>
    <x v="1"/>
    <n v="99"/>
    <n v="97"/>
    <n v="34"/>
    <n v="81"/>
    <n v="0.42"/>
    <n v="11"/>
    <n v="37"/>
    <n v="0.29699999999999999"/>
    <n v="20"/>
    <n v="22"/>
    <n v="0.90900000000000003"/>
    <n v="10"/>
    <n v="41"/>
    <n v="22"/>
    <n v="11"/>
    <n v="6"/>
    <n v="13"/>
    <n v="18"/>
    <s v="W 3"/>
    <n v="36"/>
    <n v="82"/>
    <n v="0.439"/>
    <n v="16"/>
    <n v="39"/>
    <n v="0.41"/>
    <n v="9"/>
    <n v="9"/>
    <n v="1"/>
    <n v="10"/>
    <n v="43"/>
    <n v="24"/>
    <n v="7"/>
    <n v="0"/>
    <n v="17"/>
    <n v="22"/>
  </r>
  <r>
    <n v="13"/>
    <n v="13"/>
    <d v="2019-11-17T00:00:00"/>
    <x v="1"/>
    <x v="12"/>
    <x v="0"/>
    <x v="1"/>
    <n v="122"/>
    <n v="101"/>
    <n v="47"/>
    <n v="89"/>
    <n v="0.52800000000000002"/>
    <n v="15"/>
    <n v="35"/>
    <n v="0.42899999999999999"/>
    <n v="13"/>
    <n v="16"/>
    <n v="0.81299999999999994"/>
    <n v="10"/>
    <n v="42"/>
    <n v="26"/>
    <n v="10"/>
    <n v="14"/>
    <n v="16"/>
    <n v="19"/>
    <s v="W 4"/>
    <n v="37"/>
    <n v="86"/>
    <n v="0.43"/>
    <n v="8"/>
    <n v="28"/>
    <n v="0.28599999999999998"/>
    <n v="19"/>
    <n v="25"/>
    <n v="0.76"/>
    <n v="9"/>
    <n v="37"/>
    <n v="16"/>
    <n v="11"/>
    <n v="2"/>
    <n v="18"/>
    <n v="19"/>
  </r>
  <r>
    <n v="14"/>
    <n v="14"/>
    <d v="2019-11-19T00:00:00"/>
    <x v="1"/>
    <x v="13"/>
    <x v="0"/>
    <x v="1"/>
    <n v="112"/>
    <n v="107"/>
    <n v="43"/>
    <n v="89"/>
    <n v="0.48299999999999998"/>
    <n v="14"/>
    <n v="31"/>
    <n v="0.45200000000000001"/>
    <n v="12"/>
    <n v="19"/>
    <n v="0.63200000000000001"/>
    <n v="14"/>
    <n v="46"/>
    <n v="29"/>
    <n v="9"/>
    <n v="8"/>
    <n v="16"/>
    <n v="20"/>
    <s v="W 5"/>
    <n v="38"/>
    <n v="80"/>
    <n v="0.47499999999999998"/>
    <n v="9"/>
    <n v="28"/>
    <n v="0.32100000000000001"/>
    <n v="22"/>
    <n v="25"/>
    <n v="0.88"/>
    <n v="8"/>
    <n v="39"/>
    <n v="22"/>
    <n v="10"/>
    <n v="2"/>
    <n v="15"/>
    <n v="22"/>
  </r>
  <r>
    <n v="15"/>
    <n v="15"/>
    <d v="2019-11-22T00:00:00"/>
    <x v="0"/>
    <x v="13"/>
    <x v="1"/>
    <x v="1"/>
    <n v="130"/>
    <n v="127"/>
    <n v="45"/>
    <n v="88"/>
    <n v="0.51100000000000001"/>
    <n v="17"/>
    <n v="31"/>
    <n v="0.54800000000000004"/>
    <n v="23"/>
    <n v="29"/>
    <n v="0.79300000000000004"/>
    <n v="11"/>
    <n v="45"/>
    <n v="32"/>
    <n v="7"/>
    <n v="6"/>
    <n v="15"/>
    <n v="20"/>
    <s v="W 6"/>
    <n v="49"/>
    <n v="93"/>
    <n v="0.52700000000000002"/>
    <n v="11"/>
    <n v="31"/>
    <n v="0.35499999999999998"/>
    <n v="18"/>
    <n v="20"/>
    <n v="0.9"/>
    <n v="6"/>
    <n v="37"/>
    <n v="28"/>
    <n v="8"/>
    <n v="3"/>
    <n v="11"/>
    <n v="23"/>
  </r>
  <r>
    <n v="16"/>
    <n v="16"/>
    <d v="2019-11-23T00:00:00"/>
    <x v="0"/>
    <x v="3"/>
    <x v="1"/>
    <x v="1"/>
    <n v="109"/>
    <n v="108"/>
    <n v="38"/>
    <n v="84"/>
    <n v="0.45200000000000001"/>
    <n v="13"/>
    <n v="39"/>
    <n v="0.33300000000000002"/>
    <n v="20"/>
    <n v="29"/>
    <n v="0.69"/>
    <n v="11"/>
    <n v="40"/>
    <n v="19"/>
    <n v="12"/>
    <n v="7"/>
    <n v="16"/>
    <n v="14"/>
    <s v="W 7"/>
    <n v="43"/>
    <n v="89"/>
    <n v="0.48299999999999998"/>
    <n v="14"/>
    <n v="30"/>
    <n v="0.46700000000000003"/>
    <n v="8"/>
    <n v="13"/>
    <n v="0.61499999999999999"/>
    <n v="12"/>
    <n v="47"/>
    <n v="28"/>
    <n v="12"/>
    <n v="3"/>
    <n v="19"/>
    <n v="19"/>
  </r>
  <r>
    <n v="17"/>
    <n v="17"/>
    <d v="2019-11-25T00:00:00"/>
    <x v="0"/>
    <x v="5"/>
    <x v="1"/>
    <x v="1"/>
    <n v="114"/>
    <n v="104"/>
    <n v="44"/>
    <n v="89"/>
    <n v="0.49399999999999999"/>
    <n v="14"/>
    <n v="33"/>
    <n v="0.42399999999999999"/>
    <n v="12"/>
    <n v="18"/>
    <n v="0.66700000000000004"/>
    <n v="10"/>
    <n v="40"/>
    <n v="28"/>
    <n v="7"/>
    <n v="6"/>
    <n v="9"/>
    <n v="18"/>
    <s v="W 8"/>
    <n v="41"/>
    <n v="88"/>
    <n v="0.46600000000000003"/>
    <n v="10"/>
    <n v="25"/>
    <n v="0.4"/>
    <n v="12"/>
    <n v="15"/>
    <n v="0.8"/>
    <n v="9"/>
    <n v="41"/>
    <n v="23"/>
    <n v="4"/>
    <n v="5"/>
    <n v="13"/>
    <n v="22"/>
  </r>
  <r>
    <n v="18"/>
    <n v="18"/>
    <d v="2019-11-27T00:00:00"/>
    <x v="0"/>
    <x v="14"/>
    <x v="0"/>
    <x v="1"/>
    <n v="114"/>
    <n v="110"/>
    <n v="44"/>
    <n v="85"/>
    <n v="0.51800000000000002"/>
    <n v="8"/>
    <n v="24"/>
    <n v="0.33300000000000002"/>
    <n v="18"/>
    <n v="25"/>
    <n v="0.72"/>
    <n v="7"/>
    <n v="37"/>
    <n v="25"/>
    <n v="9"/>
    <n v="6"/>
    <n v="15"/>
    <n v="24"/>
    <s v="W 9"/>
    <n v="34"/>
    <n v="84"/>
    <n v="0.40500000000000003"/>
    <n v="17"/>
    <n v="40"/>
    <n v="0.42499999999999999"/>
    <n v="25"/>
    <n v="30"/>
    <n v="0.83299999999999996"/>
    <n v="13"/>
    <n v="42"/>
    <n v="20"/>
    <n v="7"/>
    <n v="4"/>
    <n v="19"/>
    <n v="23"/>
  </r>
  <r>
    <n v="19"/>
    <n v="19"/>
    <d v="2019-11-29T00:00:00"/>
    <x v="1"/>
    <x v="15"/>
    <x v="0"/>
    <x v="1"/>
    <n v="125"/>
    <n v="103"/>
    <n v="45"/>
    <n v="87"/>
    <n v="0.51700000000000002"/>
    <n v="14"/>
    <n v="32"/>
    <n v="0.438"/>
    <n v="21"/>
    <n v="28"/>
    <n v="0.75"/>
    <n v="7"/>
    <n v="47"/>
    <n v="29"/>
    <n v="9"/>
    <n v="8"/>
    <n v="18"/>
    <n v="20"/>
    <s v="W 10"/>
    <n v="38"/>
    <n v="96"/>
    <n v="0.39600000000000002"/>
    <n v="10"/>
    <n v="37"/>
    <n v="0.27"/>
    <n v="17"/>
    <n v="19"/>
    <n v="0.89500000000000002"/>
    <n v="13"/>
    <n v="45"/>
    <n v="25"/>
    <n v="10"/>
    <n v="2"/>
    <n v="17"/>
    <n v="23"/>
  </r>
  <r>
    <n v="20"/>
    <n v="20"/>
    <d v="2019-12-01T00:00:00"/>
    <x v="1"/>
    <x v="4"/>
    <x v="1"/>
    <x v="0"/>
    <n v="100"/>
    <n v="114"/>
    <n v="40"/>
    <n v="87"/>
    <n v="0.46"/>
    <n v="7"/>
    <n v="27"/>
    <n v="0.25900000000000001"/>
    <n v="13"/>
    <n v="16"/>
    <n v="0.81299999999999994"/>
    <n v="9"/>
    <n v="45"/>
    <n v="25"/>
    <n v="9"/>
    <n v="3"/>
    <n v="17"/>
    <n v="14"/>
    <s v="L 1"/>
    <n v="42"/>
    <n v="97"/>
    <n v="0.433"/>
    <n v="17"/>
    <n v="49"/>
    <n v="0.34699999999999998"/>
    <n v="13"/>
    <n v="18"/>
    <n v="0.72199999999999998"/>
    <n v="16"/>
    <n v="51"/>
    <n v="24"/>
    <n v="11"/>
    <n v="1"/>
    <n v="13"/>
    <n v="20"/>
  </r>
  <r>
    <n v="21"/>
    <n v="21"/>
    <d v="2019-12-03T00:00:00"/>
    <x v="0"/>
    <x v="16"/>
    <x v="0"/>
    <x v="1"/>
    <n v="105"/>
    <n v="96"/>
    <n v="39"/>
    <n v="84"/>
    <n v="0.46400000000000002"/>
    <n v="7"/>
    <n v="24"/>
    <n v="0.29199999999999998"/>
    <n v="20"/>
    <n v="30"/>
    <n v="0.66700000000000004"/>
    <n v="14"/>
    <n v="56"/>
    <n v="24"/>
    <n v="8"/>
    <n v="5"/>
    <n v="16"/>
    <n v="23"/>
    <s v="W 1"/>
    <n v="37"/>
    <n v="91"/>
    <n v="0.40699999999999997"/>
    <n v="6"/>
    <n v="29"/>
    <n v="0.20699999999999999"/>
    <n v="16"/>
    <n v="17"/>
    <n v="0.94099999999999995"/>
    <n v="7"/>
    <n v="35"/>
    <n v="26"/>
    <n v="9"/>
    <n v="4"/>
    <n v="11"/>
    <n v="25"/>
  </r>
  <r>
    <n v="22"/>
    <n v="22"/>
    <d v="2019-12-04T00:00:00"/>
    <x v="0"/>
    <x v="1"/>
    <x v="1"/>
    <x v="1"/>
    <n v="121"/>
    <n v="96"/>
    <n v="46"/>
    <n v="90"/>
    <n v="0.51100000000000001"/>
    <n v="14"/>
    <n v="29"/>
    <n v="0.48299999999999998"/>
    <n v="15"/>
    <n v="25"/>
    <n v="0.6"/>
    <n v="8"/>
    <n v="46"/>
    <n v="27"/>
    <n v="13"/>
    <n v="12"/>
    <n v="7"/>
    <n v="17"/>
    <s v="W 2"/>
    <n v="34"/>
    <n v="83"/>
    <n v="0.41"/>
    <n v="14"/>
    <n v="31"/>
    <n v="0.45200000000000001"/>
    <n v="14"/>
    <n v="19"/>
    <n v="0.73699999999999999"/>
    <n v="8"/>
    <n v="40"/>
    <n v="20"/>
    <n v="3"/>
    <n v="3"/>
    <n v="18"/>
    <n v="24"/>
  </r>
  <r>
    <n v="23"/>
    <n v="23"/>
    <d v="2019-12-06T00:00:00"/>
    <x v="0"/>
    <x v="17"/>
    <x v="0"/>
    <x v="1"/>
    <n v="136"/>
    <n v="113"/>
    <n v="46"/>
    <n v="85"/>
    <n v="0.54100000000000004"/>
    <n v="17"/>
    <n v="36"/>
    <n v="0.47199999999999998"/>
    <n v="27"/>
    <n v="33"/>
    <n v="0.81799999999999995"/>
    <n v="3"/>
    <n v="45"/>
    <n v="26"/>
    <n v="10"/>
    <n v="8"/>
    <n v="16"/>
    <n v="23"/>
    <s v="W 3"/>
    <n v="39"/>
    <n v="86"/>
    <n v="0.45300000000000001"/>
    <n v="10"/>
    <n v="34"/>
    <n v="0.29399999999999998"/>
    <n v="25"/>
    <n v="29"/>
    <n v="0.86199999999999999"/>
    <n v="4"/>
    <n v="34"/>
    <n v="20"/>
    <n v="9"/>
    <n v="4"/>
    <n v="15"/>
    <n v="25"/>
  </r>
  <r>
    <n v="24"/>
    <n v="24"/>
    <d v="2019-12-08T00:00:00"/>
    <x v="1"/>
    <x v="18"/>
    <x v="0"/>
    <x v="1"/>
    <n v="142"/>
    <n v="125"/>
    <n v="55"/>
    <n v="94"/>
    <n v="0.58499999999999996"/>
    <n v="14"/>
    <n v="31"/>
    <n v="0.45200000000000001"/>
    <n v="18"/>
    <n v="20"/>
    <n v="0.9"/>
    <n v="10"/>
    <n v="41"/>
    <n v="32"/>
    <n v="9"/>
    <n v="1"/>
    <n v="10"/>
    <n v="19"/>
    <s v="W 4"/>
    <n v="44"/>
    <n v="84"/>
    <n v="0.52400000000000002"/>
    <n v="15"/>
    <n v="37"/>
    <n v="0.40500000000000003"/>
    <n v="22"/>
    <n v="26"/>
    <n v="0.84599999999999997"/>
    <n v="6"/>
    <n v="31"/>
    <n v="27"/>
    <n v="5"/>
    <n v="6"/>
    <n v="15"/>
    <n v="18"/>
  </r>
  <r>
    <n v="25"/>
    <n v="25"/>
    <d v="2019-12-11T00:00:00"/>
    <x v="0"/>
    <x v="19"/>
    <x v="0"/>
    <x v="1"/>
    <n v="96"/>
    <n v="87"/>
    <n v="37"/>
    <n v="87"/>
    <n v="0.42499999999999999"/>
    <n v="12"/>
    <n v="31"/>
    <n v="0.38700000000000001"/>
    <n v="10"/>
    <n v="19"/>
    <n v="0.52600000000000002"/>
    <n v="12"/>
    <n v="49"/>
    <n v="20"/>
    <n v="10"/>
    <n v="4"/>
    <n v="13"/>
    <n v="17"/>
    <s v="W 5"/>
    <n v="34"/>
    <n v="81"/>
    <n v="0.42"/>
    <n v="8"/>
    <n v="26"/>
    <n v="0.308"/>
    <n v="11"/>
    <n v="17"/>
    <n v="0.64700000000000002"/>
    <n v="8"/>
    <n v="41"/>
    <n v="20"/>
    <n v="10"/>
    <n v="5"/>
    <n v="14"/>
    <n v="17"/>
  </r>
  <r>
    <n v="26"/>
    <n v="26"/>
    <d v="2019-12-13T00:00:00"/>
    <x v="0"/>
    <x v="7"/>
    <x v="1"/>
    <x v="1"/>
    <n v="113"/>
    <n v="110"/>
    <n v="43"/>
    <n v="87"/>
    <n v="0.49399999999999999"/>
    <n v="12"/>
    <n v="37"/>
    <n v="0.32400000000000001"/>
    <n v="15"/>
    <n v="23"/>
    <n v="0.65200000000000002"/>
    <n v="14"/>
    <n v="50"/>
    <n v="26"/>
    <n v="5"/>
    <n v="9"/>
    <n v="19"/>
    <n v="23"/>
    <s v="W 6"/>
    <n v="39"/>
    <n v="85"/>
    <n v="0.45900000000000002"/>
    <n v="10"/>
    <n v="33"/>
    <n v="0.30299999999999999"/>
    <n v="22"/>
    <n v="28"/>
    <n v="0.78600000000000003"/>
    <n v="5"/>
    <n v="34"/>
    <n v="24"/>
    <n v="8"/>
    <n v="2"/>
    <n v="8"/>
    <n v="21"/>
  </r>
  <r>
    <n v="27"/>
    <n v="27"/>
    <d v="2019-12-15T00:00:00"/>
    <x v="0"/>
    <x v="12"/>
    <x v="1"/>
    <x v="1"/>
    <n v="101"/>
    <n v="96"/>
    <n v="36"/>
    <n v="84"/>
    <n v="0.42899999999999999"/>
    <n v="5"/>
    <n v="31"/>
    <n v="0.161"/>
    <n v="24"/>
    <n v="33"/>
    <n v="0.72699999999999998"/>
    <n v="13"/>
    <n v="56"/>
    <n v="21"/>
    <n v="14"/>
    <n v="9"/>
    <n v="22"/>
    <n v="24"/>
    <s v="W 7"/>
    <n v="31"/>
    <n v="86"/>
    <n v="0.36"/>
    <n v="12"/>
    <n v="42"/>
    <n v="0.28599999999999998"/>
    <n v="22"/>
    <n v="25"/>
    <n v="0.88"/>
    <n v="8"/>
    <n v="42"/>
    <n v="18"/>
    <n v="8"/>
    <n v="5"/>
    <n v="19"/>
    <n v="27"/>
  </r>
  <r>
    <n v="28"/>
    <n v="28"/>
    <d v="2019-12-17T00:00:00"/>
    <x v="0"/>
    <x v="20"/>
    <x v="0"/>
    <x v="0"/>
    <n v="102"/>
    <n v="105"/>
    <n v="43"/>
    <n v="91"/>
    <n v="0.47299999999999998"/>
    <n v="8"/>
    <n v="31"/>
    <n v="0.25800000000000001"/>
    <n v="8"/>
    <n v="17"/>
    <n v="0.47099999999999997"/>
    <n v="14"/>
    <n v="42"/>
    <n v="28"/>
    <n v="5"/>
    <n v="6"/>
    <n v="13"/>
    <n v="19"/>
    <s v="L 1"/>
    <n v="41"/>
    <n v="85"/>
    <n v="0.48199999999999998"/>
    <n v="10"/>
    <n v="25"/>
    <n v="0.4"/>
    <n v="13"/>
    <n v="20"/>
    <n v="0.65"/>
    <n v="13"/>
    <n v="43"/>
    <n v="22"/>
    <n v="9"/>
    <n v="6"/>
    <n v="12"/>
    <n v="21"/>
  </r>
  <r>
    <n v="29"/>
    <n v="29"/>
    <d v="2019-12-19T00:00:00"/>
    <x v="0"/>
    <x v="21"/>
    <x v="0"/>
    <x v="0"/>
    <n v="104"/>
    <n v="111"/>
    <n v="37"/>
    <n v="80"/>
    <n v="0.46300000000000002"/>
    <n v="12"/>
    <n v="35"/>
    <n v="0.34300000000000003"/>
    <n v="18"/>
    <n v="23"/>
    <n v="0.78300000000000003"/>
    <n v="7"/>
    <n v="38"/>
    <n v="24"/>
    <n v="4"/>
    <n v="6"/>
    <n v="18"/>
    <n v="24"/>
    <s v="L 2"/>
    <n v="36"/>
    <n v="77"/>
    <n v="0.46800000000000003"/>
    <n v="16"/>
    <n v="39"/>
    <n v="0.41"/>
    <n v="23"/>
    <n v="32"/>
    <n v="0.71899999999999997"/>
    <n v="8"/>
    <n v="40"/>
    <n v="22"/>
    <n v="14"/>
    <n v="7"/>
    <n v="13"/>
    <n v="25"/>
  </r>
  <r>
    <n v="30"/>
    <n v="30"/>
    <d v="2019-12-22T00:00:00"/>
    <x v="1"/>
    <x v="16"/>
    <x v="1"/>
    <x v="0"/>
    <n v="104"/>
    <n v="128"/>
    <n v="39"/>
    <n v="83"/>
    <n v="0.47"/>
    <n v="10"/>
    <n v="29"/>
    <n v="0.34499999999999997"/>
    <n v="16"/>
    <n v="22"/>
    <n v="0.72699999999999998"/>
    <n v="18"/>
    <n v="45"/>
    <n v="18"/>
    <n v="7"/>
    <n v="9"/>
    <n v="19"/>
    <n v="25"/>
    <s v="L 3"/>
    <n v="45"/>
    <n v="92"/>
    <n v="0.48899999999999999"/>
    <n v="11"/>
    <n v="32"/>
    <n v="0.34399999999999997"/>
    <n v="27"/>
    <n v="30"/>
    <n v="0.9"/>
    <n v="17"/>
    <n v="44"/>
    <n v="31"/>
    <n v="13"/>
    <n v="2"/>
    <n v="8"/>
    <n v="19"/>
  </r>
  <r>
    <n v="31"/>
    <n v="31"/>
    <d v="2019-12-25T00:00:00"/>
    <x v="1"/>
    <x v="0"/>
    <x v="1"/>
    <x v="0"/>
    <n v="106"/>
    <n v="111"/>
    <n v="39"/>
    <n v="96"/>
    <n v="0.40600000000000003"/>
    <n v="12"/>
    <n v="45"/>
    <n v="0.26700000000000002"/>
    <n v="16"/>
    <n v="21"/>
    <n v="0.76200000000000001"/>
    <n v="12"/>
    <n v="42"/>
    <n v="24"/>
    <n v="11"/>
    <n v="10"/>
    <n v="13"/>
    <n v="23"/>
    <s v="L 4"/>
    <n v="39"/>
    <n v="85"/>
    <n v="0.45900000000000002"/>
    <n v="9"/>
    <n v="25"/>
    <n v="0.36"/>
    <n v="24"/>
    <n v="32"/>
    <n v="0.75"/>
    <n v="13"/>
    <n v="50"/>
    <n v="24"/>
    <n v="6"/>
    <n v="6"/>
    <n v="16"/>
    <n v="17"/>
  </r>
  <r>
    <n v="32"/>
    <n v="32"/>
    <d v="2019-12-28T00:00:00"/>
    <x v="0"/>
    <x v="17"/>
    <x v="1"/>
    <x v="1"/>
    <n v="128"/>
    <n v="120"/>
    <n v="47"/>
    <n v="91"/>
    <n v="0.51600000000000001"/>
    <n v="11"/>
    <n v="32"/>
    <n v="0.34399999999999997"/>
    <n v="23"/>
    <n v="28"/>
    <n v="0.82099999999999995"/>
    <n v="11"/>
    <n v="44"/>
    <n v="32"/>
    <n v="6"/>
    <n v="7"/>
    <n v="9"/>
    <n v="25"/>
    <s v="W 1"/>
    <n v="41"/>
    <n v="86"/>
    <n v="0.47699999999999998"/>
    <n v="15"/>
    <n v="35"/>
    <n v="0.42899999999999999"/>
    <n v="23"/>
    <n v="27"/>
    <n v="0.85199999999999998"/>
    <n v="9"/>
    <n v="39"/>
    <n v="18"/>
    <n v="4"/>
    <n v="8"/>
    <n v="16"/>
    <n v="22"/>
  </r>
  <r>
    <n v="33"/>
    <n v="33"/>
    <d v="2019-12-29T00:00:00"/>
    <x v="1"/>
    <x v="4"/>
    <x v="2"/>
    <x v="1"/>
    <n v="108"/>
    <n v="95"/>
    <n v="38"/>
    <n v="78"/>
    <n v="0.48699999999999999"/>
    <n v="9"/>
    <n v="23"/>
    <n v="0.39100000000000001"/>
    <n v="23"/>
    <n v="28"/>
    <n v="0.82099999999999995"/>
    <n v="6"/>
    <n v="39"/>
    <n v="28"/>
    <n v="12"/>
    <n v="7"/>
    <n v="16"/>
    <n v="23"/>
    <s v="W 2"/>
    <n v="32"/>
    <n v="89"/>
    <n v="0.36"/>
    <n v="13"/>
    <n v="43"/>
    <n v="0.30199999999999999"/>
    <n v="18"/>
    <n v="20"/>
    <n v="0.9"/>
    <n v="13"/>
    <n v="45"/>
    <n v="17"/>
    <n v="11"/>
    <n v="4"/>
    <n v="18"/>
    <n v="23"/>
  </r>
  <r>
    <n v="34"/>
    <n v="34"/>
    <d v="2020-01-01T00:00:00"/>
    <x v="1"/>
    <x v="9"/>
    <x v="1"/>
    <x v="1"/>
    <n v="117"/>
    <n v="107"/>
    <n v="43"/>
    <n v="90"/>
    <n v="0.47799999999999998"/>
    <n v="7"/>
    <n v="28"/>
    <n v="0.25"/>
    <n v="24"/>
    <n v="34"/>
    <n v="0.70599999999999996"/>
    <n v="13"/>
    <n v="45"/>
    <n v="25"/>
    <n v="9"/>
    <n v="5"/>
    <n v="12"/>
    <n v="17"/>
    <s v="W 3"/>
    <n v="42"/>
    <n v="86"/>
    <n v="0.48799999999999999"/>
    <n v="6"/>
    <n v="23"/>
    <n v="0.26100000000000001"/>
    <n v="17"/>
    <n v="23"/>
    <n v="0.73899999999999999"/>
    <n v="11"/>
    <n v="47"/>
    <n v="32"/>
    <n v="7"/>
    <n v="3"/>
    <n v="14"/>
    <n v="28"/>
  </r>
  <r>
    <n v="35"/>
    <n v="35"/>
    <d v="2020-01-03T00:00:00"/>
    <x v="1"/>
    <x v="14"/>
    <x v="1"/>
    <x v="1"/>
    <n v="123"/>
    <n v="113"/>
    <n v="43"/>
    <n v="86"/>
    <n v="0.5"/>
    <n v="14"/>
    <n v="29"/>
    <n v="0.48299999999999998"/>
    <n v="23"/>
    <n v="28"/>
    <n v="0.82099999999999995"/>
    <n v="8"/>
    <n v="47"/>
    <n v="29"/>
    <n v="9"/>
    <n v="4"/>
    <n v="12"/>
    <n v="14"/>
    <s v="W 4"/>
    <n v="48"/>
    <n v="102"/>
    <n v="0.47099999999999997"/>
    <n v="11"/>
    <n v="37"/>
    <n v="0.29699999999999999"/>
    <n v="6"/>
    <n v="7"/>
    <n v="0.85699999999999998"/>
    <n v="9"/>
    <n v="40"/>
    <n v="24"/>
    <n v="4"/>
    <n v="10"/>
    <n v="11"/>
    <n v="20"/>
  </r>
  <r>
    <n v="36"/>
    <n v="36"/>
    <d v="2020-01-05T00:00:00"/>
    <x v="1"/>
    <x v="22"/>
    <x v="0"/>
    <x v="1"/>
    <n v="106"/>
    <n v="99"/>
    <n v="42"/>
    <n v="92"/>
    <n v="0.45700000000000002"/>
    <n v="6"/>
    <n v="20"/>
    <n v="0.3"/>
    <n v="16"/>
    <n v="23"/>
    <n v="0.69599999999999995"/>
    <n v="11"/>
    <n v="50"/>
    <n v="23"/>
    <n v="8"/>
    <n v="20"/>
    <n v="13"/>
    <n v="22"/>
    <s v="W 5"/>
    <n v="29"/>
    <n v="78"/>
    <n v="0.372"/>
    <n v="11"/>
    <n v="26"/>
    <n v="0.42299999999999999"/>
    <n v="30"/>
    <n v="35"/>
    <n v="0.85699999999999998"/>
    <n v="6"/>
    <n v="43"/>
    <n v="21"/>
    <n v="8"/>
    <n v="6"/>
    <n v="16"/>
    <n v="22"/>
  </r>
  <r>
    <n v="37"/>
    <n v="37"/>
    <d v="2020-01-07T00:00:00"/>
    <x v="1"/>
    <x v="23"/>
    <x v="0"/>
    <x v="1"/>
    <n v="117"/>
    <n v="87"/>
    <n v="41"/>
    <n v="82"/>
    <n v="0.5"/>
    <n v="17"/>
    <n v="36"/>
    <n v="0.47199999999999998"/>
    <n v="18"/>
    <n v="21"/>
    <n v="0.85699999999999998"/>
    <n v="6"/>
    <n v="48"/>
    <n v="27"/>
    <n v="11"/>
    <n v="11"/>
    <n v="17"/>
    <n v="19"/>
    <s v="W 6"/>
    <n v="37"/>
    <n v="95"/>
    <n v="0.38900000000000001"/>
    <n v="4"/>
    <n v="20"/>
    <n v="0.2"/>
    <n v="9"/>
    <n v="16"/>
    <n v="0.56299999999999994"/>
    <n v="15"/>
    <n v="47"/>
    <n v="15"/>
    <n v="10"/>
    <n v="3"/>
    <n v="16"/>
    <n v="20"/>
  </r>
  <r>
    <n v="38"/>
    <n v="38"/>
    <d v="2020-01-10T00:00:00"/>
    <x v="0"/>
    <x v="4"/>
    <x v="3"/>
    <x v="1"/>
    <n v="129"/>
    <n v="114"/>
    <n v="47"/>
    <n v="89"/>
    <n v="0.52800000000000002"/>
    <n v="10"/>
    <n v="24"/>
    <n v="0.41699999999999998"/>
    <n v="25"/>
    <n v="32"/>
    <n v="0.78100000000000003"/>
    <n v="12"/>
    <n v="49"/>
    <n v="18"/>
    <n v="6"/>
    <n v="5"/>
    <n v="7"/>
    <n v="27"/>
    <s v="W 7"/>
    <n v="39"/>
    <n v="96"/>
    <n v="0.40600000000000003"/>
    <n v="11"/>
    <n v="38"/>
    <n v="0.28899999999999998"/>
    <n v="25"/>
    <n v="37"/>
    <n v="0.67600000000000005"/>
    <n v="17"/>
    <n v="47"/>
    <n v="19"/>
    <n v="4"/>
    <n v="3"/>
    <n v="9"/>
    <n v="20"/>
  </r>
  <r>
    <n v="39"/>
    <n v="39"/>
    <d v="2020-01-11T00:00:00"/>
    <x v="0"/>
    <x v="13"/>
    <x v="2"/>
    <x v="1"/>
    <n v="125"/>
    <n v="110"/>
    <n v="51"/>
    <n v="99"/>
    <n v="0.51500000000000001"/>
    <n v="15"/>
    <n v="32"/>
    <n v="0.46899999999999997"/>
    <n v="8"/>
    <n v="10"/>
    <n v="0.8"/>
    <n v="12"/>
    <n v="54"/>
    <n v="21"/>
    <n v="3"/>
    <n v="4"/>
    <n v="12"/>
    <n v="17"/>
    <s v="W 8"/>
    <n v="43"/>
    <n v="92"/>
    <n v="0.46700000000000003"/>
    <n v="9"/>
    <n v="31"/>
    <n v="0.28999999999999998"/>
    <n v="15"/>
    <n v="17"/>
    <n v="0.88200000000000001"/>
    <n v="5"/>
    <n v="37"/>
    <n v="23"/>
    <n v="6"/>
    <n v="6"/>
    <n v="7"/>
    <n v="13"/>
  </r>
  <r>
    <n v="40"/>
    <n v="40"/>
    <d v="2020-01-13T00:00:00"/>
    <x v="1"/>
    <x v="24"/>
    <x v="0"/>
    <x v="1"/>
    <n v="128"/>
    <n v="99"/>
    <n v="48"/>
    <n v="88"/>
    <n v="0.54500000000000004"/>
    <n v="11"/>
    <n v="30"/>
    <n v="0.36699999999999999"/>
    <n v="21"/>
    <n v="28"/>
    <n v="0.75"/>
    <n v="11"/>
    <n v="45"/>
    <n v="33"/>
    <n v="8"/>
    <n v="3"/>
    <n v="9"/>
    <n v="25"/>
    <s v="W 9"/>
    <n v="38"/>
    <n v="85"/>
    <n v="0.44700000000000001"/>
    <n v="7"/>
    <n v="25"/>
    <n v="0.28000000000000003"/>
    <n v="16"/>
    <n v="24"/>
    <n v="0.66700000000000004"/>
    <n v="10"/>
    <n v="40"/>
    <n v="21"/>
    <n v="4"/>
    <n v="1"/>
    <n v="19"/>
    <n v="22"/>
  </r>
  <r>
    <n v="41"/>
    <n v="41"/>
    <d v="2020-01-15T00:00:00"/>
    <x v="1"/>
    <x v="19"/>
    <x v="1"/>
    <x v="0"/>
    <n v="118"/>
    <n v="119"/>
    <n v="48"/>
    <n v="97"/>
    <n v="0.495"/>
    <n v="15"/>
    <n v="38"/>
    <n v="0.39500000000000002"/>
    <n v="7"/>
    <n v="11"/>
    <n v="0.63600000000000001"/>
    <n v="13"/>
    <n v="48"/>
    <n v="34"/>
    <n v="7"/>
    <n v="6"/>
    <n v="16"/>
    <n v="20"/>
    <s v="L 1"/>
    <n v="43"/>
    <n v="94"/>
    <n v="0.45700000000000002"/>
    <n v="10"/>
    <n v="26"/>
    <n v="0.38500000000000001"/>
    <n v="23"/>
    <n v="29"/>
    <n v="0.79300000000000004"/>
    <n v="13"/>
    <n v="48"/>
    <n v="22"/>
    <n v="10"/>
    <n v="2"/>
    <n v="13"/>
    <n v="15"/>
  </r>
  <r>
    <n v="42"/>
    <n v="42"/>
    <d v="2020-01-18T00:00:00"/>
    <x v="0"/>
    <x v="25"/>
    <x v="0"/>
    <x v="1"/>
    <n v="124"/>
    <n v="115"/>
    <n v="45"/>
    <n v="93"/>
    <n v="0.48399999999999999"/>
    <n v="11"/>
    <n v="33"/>
    <n v="0.33300000000000002"/>
    <n v="23"/>
    <n v="32"/>
    <n v="0.71899999999999997"/>
    <n v="15"/>
    <n v="49"/>
    <n v="25"/>
    <n v="13"/>
    <n v="9"/>
    <n v="17"/>
    <n v="27"/>
    <s v="W 1"/>
    <n v="40"/>
    <n v="90"/>
    <n v="0.44400000000000001"/>
    <n v="12"/>
    <n v="37"/>
    <n v="0.32400000000000001"/>
    <n v="23"/>
    <n v="29"/>
    <n v="0.79300000000000004"/>
    <n v="11"/>
    <n v="46"/>
    <n v="20"/>
    <n v="8"/>
    <n v="4"/>
    <n v="20"/>
    <n v="26"/>
  </r>
  <r>
    <n v="43"/>
    <n v="43"/>
    <d v="2020-01-20T00:00:00"/>
    <x v="0"/>
    <x v="26"/>
    <x v="0"/>
    <x v="0"/>
    <n v="107"/>
    <n v="139"/>
    <n v="39"/>
    <n v="89"/>
    <n v="0.438"/>
    <n v="7"/>
    <n v="26"/>
    <n v="0.26900000000000002"/>
    <n v="22"/>
    <n v="29"/>
    <n v="0.75900000000000001"/>
    <n v="12"/>
    <n v="36"/>
    <n v="22"/>
    <n v="5"/>
    <n v="8"/>
    <n v="15"/>
    <n v="23"/>
    <s v="L 1"/>
    <n v="52"/>
    <n v="93"/>
    <n v="0.55900000000000005"/>
    <n v="16"/>
    <n v="34"/>
    <n v="0.47099999999999997"/>
    <n v="19"/>
    <n v="29"/>
    <n v="0.65500000000000003"/>
    <n v="14"/>
    <n v="48"/>
    <n v="31"/>
    <n v="10"/>
    <n v="5"/>
    <n v="12"/>
    <n v="26"/>
  </r>
  <r>
    <n v="44"/>
    <n v="44"/>
    <d v="2020-01-22T00:00:00"/>
    <x v="0"/>
    <x v="23"/>
    <x v="1"/>
    <x v="1"/>
    <n v="100"/>
    <n v="92"/>
    <n v="36"/>
    <n v="82"/>
    <n v="0.439"/>
    <n v="9"/>
    <n v="27"/>
    <n v="0.33300000000000002"/>
    <n v="19"/>
    <n v="28"/>
    <n v="0.67900000000000005"/>
    <n v="11"/>
    <n v="43"/>
    <n v="18"/>
    <n v="13"/>
    <n v="8"/>
    <n v="10"/>
    <n v="14"/>
    <s v="W 1"/>
    <n v="36"/>
    <n v="88"/>
    <n v="0.40899999999999997"/>
    <n v="11"/>
    <n v="34"/>
    <n v="0.32400000000000001"/>
    <n v="9"/>
    <n v="13"/>
    <n v="0.69199999999999995"/>
    <n v="13"/>
    <n v="47"/>
    <n v="24"/>
    <n v="4"/>
    <n v="4"/>
    <n v="17"/>
    <n v="23"/>
  </r>
  <r>
    <n v="45"/>
    <n v="45"/>
    <d v="2020-01-23T00:00:00"/>
    <x v="0"/>
    <x v="27"/>
    <x v="0"/>
    <x v="1"/>
    <n v="128"/>
    <n v="113"/>
    <n v="47"/>
    <n v="94"/>
    <n v="0.5"/>
    <n v="19"/>
    <n v="38"/>
    <n v="0.5"/>
    <n v="15"/>
    <n v="20"/>
    <n v="0.75"/>
    <n v="11"/>
    <n v="52"/>
    <n v="28"/>
    <n v="9"/>
    <n v="6"/>
    <n v="15"/>
    <n v="15"/>
    <s v="W 2"/>
    <n v="40"/>
    <n v="91"/>
    <n v="0.44"/>
    <n v="21"/>
    <n v="46"/>
    <n v="0.45700000000000002"/>
    <n v="12"/>
    <n v="15"/>
    <n v="0.8"/>
    <n v="8"/>
    <n v="41"/>
    <n v="30"/>
    <n v="12"/>
    <n v="3"/>
    <n v="16"/>
    <n v="17"/>
  </r>
  <r>
    <n v="46"/>
    <n v="46"/>
    <d v="2020-01-25T00:00:00"/>
    <x v="0"/>
    <x v="28"/>
    <x v="0"/>
    <x v="0"/>
    <n v="91"/>
    <n v="108"/>
    <n v="35"/>
    <n v="76"/>
    <n v="0.46100000000000002"/>
    <n v="6"/>
    <n v="31"/>
    <n v="0.19400000000000001"/>
    <n v="15"/>
    <n v="23"/>
    <n v="0.65200000000000002"/>
    <n v="6"/>
    <n v="35"/>
    <n v="23"/>
    <n v="12"/>
    <n v="1"/>
    <n v="21"/>
    <n v="18"/>
    <s v="L 1"/>
    <n v="41"/>
    <n v="78"/>
    <n v="0.52600000000000002"/>
    <n v="13"/>
    <n v="37"/>
    <n v="0.35099999999999998"/>
    <n v="13"/>
    <n v="19"/>
    <n v="0.68400000000000005"/>
    <n v="8"/>
    <n v="41"/>
    <n v="19"/>
    <n v="12"/>
    <n v="3"/>
    <n v="21"/>
    <n v="18"/>
  </r>
  <r>
    <n v="47"/>
    <n v="47"/>
    <d v="2020-01-31T00:00:00"/>
    <x v="1"/>
    <x v="17"/>
    <x v="2"/>
    <x v="0"/>
    <n v="119"/>
    <n v="127"/>
    <n v="45"/>
    <n v="96"/>
    <n v="0.46899999999999997"/>
    <n v="11"/>
    <n v="32"/>
    <n v="0.34399999999999997"/>
    <n v="18"/>
    <n v="28"/>
    <n v="0.64300000000000002"/>
    <n v="19"/>
    <n v="62"/>
    <n v="28"/>
    <n v="2"/>
    <n v="10"/>
    <n v="18"/>
    <n v="21"/>
    <s v="L 2"/>
    <n v="49"/>
    <n v="97"/>
    <n v="0.505"/>
    <n v="13"/>
    <n v="36"/>
    <n v="0.36099999999999999"/>
    <n v="16"/>
    <n v="21"/>
    <n v="0.76200000000000001"/>
    <n v="6"/>
    <n v="40"/>
    <n v="25"/>
    <n v="10"/>
    <n v="8"/>
    <n v="5"/>
    <n v="22"/>
  </r>
  <r>
    <n v="48"/>
    <n v="48"/>
    <d v="2020-02-01T00:00:00"/>
    <x v="0"/>
    <x v="11"/>
    <x v="1"/>
    <x v="1"/>
    <n v="129"/>
    <n v="113"/>
    <n v="44"/>
    <n v="86"/>
    <n v="0.51200000000000001"/>
    <n v="19"/>
    <n v="43"/>
    <n v="0.442"/>
    <n v="22"/>
    <n v="27"/>
    <n v="0.81499999999999995"/>
    <n v="11"/>
    <n v="46"/>
    <n v="33"/>
    <n v="10"/>
    <n v="5"/>
    <n v="14"/>
    <n v="22"/>
    <s v="W 1"/>
    <n v="39"/>
    <n v="91"/>
    <n v="0.42899999999999999"/>
    <n v="14"/>
    <n v="44"/>
    <n v="0.318"/>
    <n v="21"/>
    <n v="26"/>
    <n v="0.80800000000000005"/>
    <n v="13"/>
    <n v="44"/>
    <n v="21"/>
    <n v="5"/>
    <n v="4"/>
    <n v="16"/>
    <n v="24"/>
  </r>
  <r>
    <n v="49"/>
    <n v="49"/>
    <d v="2020-02-04T00:00:00"/>
    <x v="1"/>
    <x v="5"/>
    <x v="2"/>
    <x v="1"/>
    <n v="129"/>
    <n v="102"/>
    <n v="50"/>
    <n v="85"/>
    <n v="0.58799999999999997"/>
    <n v="12"/>
    <n v="28"/>
    <n v="0.42899999999999999"/>
    <n v="17"/>
    <n v="25"/>
    <n v="0.68"/>
    <n v="12"/>
    <n v="58"/>
    <n v="28"/>
    <n v="5"/>
    <n v="4"/>
    <n v="14"/>
    <n v="15"/>
    <s v="W 2"/>
    <n v="40"/>
    <n v="91"/>
    <n v="0.44"/>
    <n v="13"/>
    <n v="27"/>
    <n v="0.48099999999999998"/>
    <n v="9"/>
    <n v="15"/>
    <n v="0.6"/>
    <n v="7"/>
    <n v="28"/>
    <n v="21"/>
    <n v="6"/>
    <n v="2"/>
    <n v="6"/>
    <n v="16"/>
  </r>
  <r>
    <n v="50"/>
    <n v="50"/>
    <d v="2020-02-06T00:00:00"/>
    <x v="1"/>
    <x v="25"/>
    <x v="1"/>
    <x v="0"/>
    <n v="111"/>
    <n v="121"/>
    <n v="45"/>
    <n v="91"/>
    <n v="0.495"/>
    <n v="9"/>
    <n v="31"/>
    <n v="0.28999999999999998"/>
    <n v="12"/>
    <n v="16"/>
    <n v="0.75"/>
    <n v="6"/>
    <n v="38"/>
    <n v="33"/>
    <n v="10"/>
    <n v="4"/>
    <n v="15"/>
    <n v="18"/>
    <s v="L 1"/>
    <n v="43"/>
    <n v="85"/>
    <n v="0.50600000000000001"/>
    <n v="19"/>
    <n v="42"/>
    <n v="0.45200000000000001"/>
    <n v="16"/>
    <n v="18"/>
    <n v="0.88900000000000001"/>
    <n v="6"/>
    <n v="37"/>
    <n v="20"/>
    <n v="8"/>
    <n v="4"/>
    <n v="16"/>
    <n v="22"/>
  </r>
  <r>
    <n v="51"/>
    <n v="51"/>
    <d v="2020-02-08T00:00:00"/>
    <x v="0"/>
    <x v="10"/>
    <x v="1"/>
    <x v="1"/>
    <n v="125"/>
    <n v="120"/>
    <n v="43"/>
    <n v="82"/>
    <n v="0.52400000000000002"/>
    <n v="14"/>
    <n v="29"/>
    <n v="0.48299999999999998"/>
    <n v="25"/>
    <n v="34"/>
    <n v="0.73499999999999999"/>
    <n v="12"/>
    <n v="47"/>
    <n v="29"/>
    <n v="11"/>
    <n v="2"/>
    <n v="24"/>
    <n v="22"/>
    <s v="W 1"/>
    <n v="46"/>
    <n v="89"/>
    <n v="0.51700000000000002"/>
    <n v="13"/>
    <n v="32"/>
    <n v="0.40600000000000003"/>
    <n v="15"/>
    <n v="23"/>
    <n v="0.65200000000000002"/>
    <n v="8"/>
    <n v="33"/>
    <n v="31"/>
    <n v="15"/>
    <n v="6"/>
    <n v="18"/>
    <n v="27"/>
  </r>
  <r>
    <n v="52"/>
    <n v="52"/>
    <d v="2020-02-10T00:00:00"/>
    <x v="1"/>
    <x v="9"/>
    <x v="2"/>
    <x v="1"/>
    <n v="125"/>
    <n v="100"/>
    <n v="47"/>
    <n v="91"/>
    <n v="0.51600000000000001"/>
    <n v="14"/>
    <n v="37"/>
    <n v="0.378"/>
    <n v="17"/>
    <n v="25"/>
    <n v="0.68"/>
    <n v="16"/>
    <n v="59"/>
    <n v="28"/>
    <n v="8"/>
    <n v="4"/>
    <n v="16"/>
    <n v="22"/>
    <s v="W 2"/>
    <n v="32"/>
    <n v="76"/>
    <n v="0.42099999999999999"/>
    <n v="11"/>
    <n v="31"/>
    <n v="0.35499999999999998"/>
    <n v="25"/>
    <n v="31"/>
    <n v="0.80600000000000005"/>
    <n v="3"/>
    <n v="29"/>
    <n v="26"/>
    <n v="7"/>
    <n v="2"/>
    <n v="13"/>
    <n v="19"/>
  </r>
  <r>
    <n v="53"/>
    <n v="53"/>
    <d v="2020-02-12T00:00:00"/>
    <x v="0"/>
    <x v="16"/>
    <x v="2"/>
    <x v="1"/>
    <n v="120"/>
    <n v="116"/>
    <n v="47"/>
    <n v="93"/>
    <n v="0.505"/>
    <n v="12"/>
    <n v="33"/>
    <n v="0.36399999999999999"/>
    <n v="14"/>
    <n v="27"/>
    <n v="0.51900000000000002"/>
    <n v="10"/>
    <n v="49"/>
    <n v="29"/>
    <n v="8"/>
    <n v="4"/>
    <n v="12"/>
    <n v="22"/>
    <s v="W 3"/>
    <n v="44"/>
    <n v="88"/>
    <n v="0.5"/>
    <n v="11"/>
    <n v="25"/>
    <n v="0.44"/>
    <n v="17"/>
    <n v="22"/>
    <n v="0.77300000000000002"/>
    <n v="3"/>
    <n v="42"/>
    <n v="32"/>
    <n v="9"/>
    <n v="2"/>
    <n v="10"/>
    <n v="26"/>
  </r>
  <r>
    <n v="54"/>
    <n v="54"/>
    <d v="2020-02-21T00:00:00"/>
    <x v="1"/>
    <x v="3"/>
    <x v="2"/>
    <x v="1"/>
    <n v="117"/>
    <n v="105"/>
    <n v="41"/>
    <n v="86"/>
    <n v="0.47699999999999998"/>
    <n v="9"/>
    <n v="29"/>
    <n v="0.31"/>
    <n v="26"/>
    <n v="40"/>
    <n v="0.65"/>
    <n v="12"/>
    <n v="49"/>
    <n v="25"/>
    <n v="9"/>
    <n v="14"/>
    <n v="14"/>
    <n v="24"/>
    <s v="W 4"/>
    <n v="42"/>
    <n v="92"/>
    <n v="0.45700000000000002"/>
    <n v="5"/>
    <n v="15"/>
    <n v="0.33300000000000002"/>
    <n v="16"/>
    <n v="31"/>
    <n v="0.51600000000000001"/>
    <n v="16"/>
    <n v="50"/>
    <n v="22"/>
    <n v="9"/>
    <n v="1"/>
    <n v="16"/>
    <n v="27"/>
  </r>
  <r>
    <n v="55"/>
    <n v="55"/>
    <d v="2020-02-23T00:00:00"/>
    <x v="1"/>
    <x v="26"/>
    <x v="1"/>
    <x v="1"/>
    <n v="114"/>
    <n v="112"/>
    <n v="39"/>
    <n v="86"/>
    <n v="0.45300000000000001"/>
    <n v="11"/>
    <n v="34"/>
    <n v="0.32400000000000001"/>
    <n v="25"/>
    <n v="37"/>
    <n v="0.67600000000000005"/>
    <n v="11"/>
    <n v="46"/>
    <n v="20"/>
    <n v="9"/>
    <n v="4"/>
    <n v="13"/>
    <n v="22"/>
    <s v="W 5"/>
    <n v="38"/>
    <n v="83"/>
    <n v="0.45800000000000002"/>
    <n v="13"/>
    <n v="34"/>
    <n v="0.38200000000000001"/>
    <n v="23"/>
    <n v="30"/>
    <n v="0.76700000000000002"/>
    <n v="8"/>
    <n v="44"/>
    <n v="20"/>
    <n v="7"/>
    <n v="3"/>
    <n v="17"/>
    <n v="29"/>
  </r>
  <r>
    <n v="56"/>
    <n v="56"/>
    <d v="2020-02-25T00:00:00"/>
    <x v="1"/>
    <x v="14"/>
    <x v="2"/>
    <x v="1"/>
    <n v="118"/>
    <n v="109"/>
    <n v="45"/>
    <n v="102"/>
    <n v="0.441"/>
    <n v="13"/>
    <n v="44"/>
    <n v="0.29499999999999998"/>
    <n v="15"/>
    <n v="21"/>
    <n v="0.71399999999999997"/>
    <n v="14"/>
    <n v="51"/>
    <n v="27"/>
    <n v="10"/>
    <n v="12"/>
    <n v="16"/>
    <n v="20"/>
    <s v="W 6"/>
    <n v="39"/>
    <n v="86"/>
    <n v="0.45300000000000001"/>
    <n v="8"/>
    <n v="27"/>
    <n v="0.29599999999999999"/>
    <n v="23"/>
    <n v="30"/>
    <n v="0.76700000000000002"/>
    <n v="6"/>
    <n v="45"/>
    <n v="31"/>
    <n v="10"/>
    <n v="2"/>
    <n v="20"/>
    <n v="24"/>
  </r>
  <r>
    <n v="57"/>
    <n v="57"/>
    <d v="2020-02-27T00:00:00"/>
    <x v="0"/>
    <x v="10"/>
    <x v="2"/>
    <x v="1"/>
    <n v="116"/>
    <n v="86"/>
    <n v="45"/>
    <n v="88"/>
    <n v="0.51100000000000001"/>
    <n v="8"/>
    <n v="24"/>
    <n v="0.33300000000000002"/>
    <n v="18"/>
    <n v="27"/>
    <n v="0.66700000000000004"/>
    <n v="8"/>
    <n v="44"/>
    <n v="24"/>
    <n v="13"/>
    <n v="5"/>
    <n v="16"/>
    <n v="17"/>
    <s v="W 7"/>
    <n v="34"/>
    <n v="80"/>
    <n v="0.42499999999999999"/>
    <n v="9"/>
    <n v="32"/>
    <n v="0.28100000000000003"/>
    <n v="9"/>
    <n v="10"/>
    <n v="0.9"/>
    <n v="5"/>
    <n v="37"/>
    <n v="27"/>
    <n v="7"/>
    <n v="3"/>
    <n v="26"/>
    <n v="27"/>
  </r>
  <r>
    <n v="58"/>
    <n v="58"/>
    <d v="2020-02-29T00:00:00"/>
    <x v="0"/>
    <x v="3"/>
    <x v="3"/>
    <x v="0"/>
    <n v="88"/>
    <n v="105"/>
    <n v="36"/>
    <n v="87"/>
    <n v="0.41399999999999998"/>
    <n v="9"/>
    <n v="35"/>
    <n v="0.25700000000000001"/>
    <n v="7"/>
    <n v="12"/>
    <n v="0.58299999999999996"/>
    <n v="13"/>
    <n v="45"/>
    <n v="26"/>
    <n v="5"/>
    <n v="3"/>
    <n v="14"/>
    <n v="13"/>
    <s v="L 1"/>
    <n v="43"/>
    <n v="95"/>
    <n v="0.45300000000000001"/>
    <n v="10"/>
    <n v="31"/>
    <n v="0.32300000000000001"/>
    <n v="9"/>
    <n v="11"/>
    <n v="0.81799999999999995"/>
    <n v="15"/>
    <n v="51"/>
    <n v="27"/>
    <n v="10"/>
    <n v="4"/>
    <n v="7"/>
    <n v="14"/>
  </r>
  <r>
    <n v="59"/>
    <n v="59"/>
    <d v="2020-03-01T00:00:00"/>
    <x v="0"/>
    <x v="14"/>
    <x v="3"/>
    <x v="1"/>
    <n v="122"/>
    <n v="114"/>
    <n v="50"/>
    <n v="97"/>
    <n v="0.51500000000000001"/>
    <n v="13"/>
    <n v="35"/>
    <n v="0.371"/>
    <n v="9"/>
    <n v="10"/>
    <n v="0.9"/>
    <n v="6"/>
    <n v="36"/>
    <n v="23"/>
    <n v="9"/>
    <n v="10"/>
    <n v="13"/>
    <n v="26"/>
    <s v="W 1"/>
    <n v="40"/>
    <n v="95"/>
    <n v="0.42099999999999999"/>
    <n v="7"/>
    <n v="32"/>
    <n v="0.219"/>
    <n v="27"/>
    <n v="33"/>
    <n v="0.81799999999999995"/>
    <n v="15"/>
    <n v="52"/>
    <n v="24"/>
    <n v="7"/>
    <n v="3"/>
    <n v="16"/>
    <n v="11"/>
  </r>
  <r>
    <n v="60"/>
    <n v="60"/>
    <d v="2020-03-03T00:00:00"/>
    <x v="1"/>
    <x v="28"/>
    <x v="1"/>
    <x v="1"/>
    <n v="120"/>
    <n v="107"/>
    <n v="46"/>
    <n v="86"/>
    <n v="0.53500000000000003"/>
    <n v="13"/>
    <n v="33"/>
    <n v="0.39400000000000002"/>
    <n v="15"/>
    <n v="18"/>
    <n v="0.83299999999999996"/>
    <n v="10"/>
    <n v="43"/>
    <n v="25"/>
    <n v="9"/>
    <n v="6"/>
    <n v="13"/>
    <n v="18"/>
    <s v="W 2"/>
    <n v="38"/>
    <n v="85"/>
    <n v="0.44700000000000001"/>
    <n v="16"/>
    <n v="40"/>
    <n v="0.4"/>
    <n v="15"/>
    <n v="20"/>
    <n v="0.75"/>
    <n v="12"/>
    <n v="42"/>
    <n v="24"/>
    <n v="10"/>
    <n v="1"/>
    <n v="15"/>
    <n v="17"/>
  </r>
  <r>
    <n v="61"/>
    <n v="61"/>
    <d v="2020-03-06T00:00:00"/>
    <x v="1"/>
    <x v="21"/>
    <x v="1"/>
    <x v="1"/>
    <n v="113"/>
    <n v="103"/>
    <n v="38"/>
    <n v="91"/>
    <n v="0.41799999999999998"/>
    <n v="6"/>
    <n v="32"/>
    <n v="0.188"/>
    <n v="31"/>
    <n v="38"/>
    <n v="0.81599999999999995"/>
    <n v="10"/>
    <n v="52"/>
    <n v="19"/>
    <n v="11"/>
    <n v="4"/>
    <n v="16"/>
    <n v="27"/>
    <s v="W 3"/>
    <n v="37"/>
    <n v="89"/>
    <n v="0.41599999999999998"/>
    <n v="12"/>
    <n v="43"/>
    <n v="0.27900000000000003"/>
    <n v="17"/>
    <n v="23"/>
    <n v="0.73899999999999999"/>
    <n v="5"/>
    <n v="45"/>
    <n v="22"/>
    <n v="8"/>
    <n v="1"/>
    <n v="19"/>
    <n v="32"/>
  </r>
  <r>
    <n v="62"/>
    <n v="62"/>
    <d v="2020-03-08T00:00:00"/>
    <x v="0"/>
    <x v="0"/>
    <x v="2"/>
    <x v="1"/>
    <n v="112"/>
    <n v="103"/>
    <n v="39"/>
    <n v="87"/>
    <n v="0.44800000000000001"/>
    <n v="10"/>
    <n v="35"/>
    <n v="0.28599999999999998"/>
    <n v="24"/>
    <n v="28"/>
    <n v="0.85699999999999998"/>
    <n v="9"/>
    <n v="45"/>
    <n v="22"/>
    <n v="8"/>
    <n v="7"/>
    <n v="12"/>
    <n v="28"/>
    <s v="W 4"/>
    <n v="34"/>
    <n v="86"/>
    <n v="0.39500000000000002"/>
    <n v="7"/>
    <n v="31"/>
    <n v="0.22600000000000001"/>
    <n v="28"/>
    <n v="37"/>
    <n v="0.75700000000000001"/>
    <n v="15"/>
    <n v="49"/>
    <n v="12"/>
    <n v="5"/>
    <n v="5"/>
    <n v="15"/>
    <n v="26"/>
  </r>
  <r>
    <n v="63"/>
    <n v="63"/>
    <d v="2020-03-10T00:00:00"/>
    <x v="1"/>
    <x v="27"/>
    <x v="1"/>
    <x v="0"/>
    <n v="102"/>
    <n v="104"/>
    <n v="40"/>
    <n v="87"/>
    <n v="0.46"/>
    <n v="15"/>
    <n v="40"/>
    <n v="0.375"/>
    <n v="7"/>
    <n v="12"/>
    <n v="0.58299999999999996"/>
    <n v="8"/>
    <n v="46"/>
    <n v="24"/>
    <n v="7"/>
    <n v="4"/>
    <n v="14"/>
    <n v="22"/>
    <s v="L 1"/>
    <n v="37"/>
    <n v="90"/>
    <n v="0.41099999999999998"/>
    <n v="13"/>
    <n v="40"/>
    <n v="0.32500000000000001"/>
    <n v="17"/>
    <n v="23"/>
    <n v="0.73899999999999999"/>
    <n v="14"/>
    <n v="47"/>
    <n v="24"/>
    <n v="7"/>
    <n v="3"/>
    <n v="10"/>
    <n v="18"/>
  </r>
  <r>
    <n v="64"/>
    <n v="64"/>
    <d v="2020-07-30T00:00:00"/>
    <x v="1"/>
    <x v="0"/>
    <x v="3"/>
    <x v="1"/>
    <n v="103"/>
    <n v="101"/>
    <n v="32"/>
    <n v="82"/>
    <n v="0.39"/>
    <n v="11"/>
    <n v="36"/>
    <n v="0.30599999999999999"/>
    <n v="28"/>
    <n v="37"/>
    <n v="0.75700000000000001"/>
    <n v="11"/>
    <n v="45"/>
    <n v="21"/>
    <n v="6"/>
    <n v="3"/>
    <n v="16"/>
    <n v="27"/>
    <s v="W 1"/>
    <n v="32"/>
    <n v="74"/>
    <n v="0.432"/>
    <n v="16"/>
    <n v="36"/>
    <n v="0.44400000000000001"/>
    <n v="21"/>
    <n v="28"/>
    <n v="0.75"/>
    <n v="4"/>
    <n v="36"/>
    <n v="17"/>
    <n v="6"/>
    <n v="5"/>
    <n v="20"/>
    <n v="30"/>
  </r>
  <r>
    <n v="65"/>
    <n v="65"/>
    <d v="2020-08-01T00:00:00"/>
    <x v="0"/>
    <x v="8"/>
    <x v="1"/>
    <x v="0"/>
    <n v="92"/>
    <n v="107"/>
    <n v="29"/>
    <n v="82"/>
    <n v="0.35399999999999998"/>
    <n v="10"/>
    <n v="40"/>
    <n v="0.25"/>
    <n v="24"/>
    <n v="33"/>
    <n v="0.72699999999999998"/>
    <n v="8"/>
    <n v="40"/>
    <n v="17"/>
    <n v="8"/>
    <n v="12"/>
    <n v="17"/>
    <n v="25"/>
    <s v="L 1"/>
    <n v="35"/>
    <n v="84"/>
    <n v="0.41699999999999998"/>
    <n v="14"/>
    <n v="34"/>
    <n v="0.41199999999999998"/>
    <n v="23"/>
    <n v="26"/>
    <n v="0.88500000000000001"/>
    <n v="7"/>
    <n v="51"/>
    <n v="24"/>
    <n v="7"/>
    <n v="5"/>
    <n v="14"/>
    <n v="28"/>
  </r>
  <r>
    <n v="66"/>
    <n v="66"/>
    <d v="2020-08-03T00:00:00"/>
    <x v="0"/>
    <x v="1"/>
    <x v="2"/>
    <x v="1"/>
    <n v="116"/>
    <n v="108"/>
    <n v="41"/>
    <n v="82"/>
    <n v="0.5"/>
    <n v="9"/>
    <n v="26"/>
    <n v="0.34599999999999997"/>
    <n v="25"/>
    <n v="31"/>
    <n v="0.80600000000000005"/>
    <n v="4"/>
    <n v="38"/>
    <n v="23"/>
    <n v="12"/>
    <n v="3"/>
    <n v="14"/>
    <n v="24"/>
    <s v="W 1"/>
    <n v="37"/>
    <n v="83"/>
    <n v="0.44600000000000001"/>
    <n v="12"/>
    <n v="43"/>
    <n v="0.27900000000000003"/>
    <n v="22"/>
    <n v="25"/>
    <n v="0.88"/>
    <n v="7"/>
    <n v="42"/>
    <n v="25"/>
    <n v="8"/>
    <n v="3"/>
    <n v="21"/>
    <n v="29"/>
  </r>
  <r>
    <n v="67"/>
    <n v="67"/>
    <d v="2020-08-05T00:00:00"/>
    <x v="1"/>
    <x v="13"/>
    <x v="3"/>
    <x v="0"/>
    <n v="86"/>
    <n v="105"/>
    <n v="31"/>
    <n v="88"/>
    <n v="0.35199999999999998"/>
    <n v="5"/>
    <n v="37"/>
    <n v="0.13500000000000001"/>
    <n v="19"/>
    <n v="29"/>
    <n v="0.65500000000000003"/>
    <n v="10"/>
    <n v="46"/>
    <n v="17"/>
    <n v="7"/>
    <n v="3"/>
    <n v="11"/>
    <n v="24"/>
    <s v="L 1"/>
    <n v="34"/>
    <n v="79"/>
    <n v="0.43"/>
    <n v="5"/>
    <n v="24"/>
    <n v="0.20799999999999999"/>
    <n v="32"/>
    <n v="36"/>
    <n v="0.88900000000000001"/>
    <n v="4"/>
    <n v="52"/>
    <n v="17"/>
    <n v="9"/>
    <n v="2"/>
    <n v="13"/>
    <n v="23"/>
  </r>
  <r>
    <n v="68"/>
    <n v="68"/>
    <d v="2020-08-06T00:00:00"/>
    <x v="0"/>
    <x v="25"/>
    <x v="2"/>
    <x v="0"/>
    <n v="97"/>
    <n v="113"/>
    <n v="35"/>
    <n v="77"/>
    <n v="0.45500000000000002"/>
    <n v="2"/>
    <n v="19"/>
    <n v="0.105"/>
    <n v="25"/>
    <n v="36"/>
    <n v="0.69399999999999995"/>
    <n v="12"/>
    <n v="48"/>
    <n v="18"/>
    <n v="11"/>
    <n v="6"/>
    <n v="24"/>
    <n v="20"/>
    <s v="L 2"/>
    <n v="36"/>
    <n v="84"/>
    <n v="0.42899999999999999"/>
    <n v="21"/>
    <n v="57"/>
    <n v="0.36799999999999999"/>
    <n v="20"/>
    <n v="23"/>
    <n v="0.87"/>
    <n v="4"/>
    <n v="34"/>
    <n v="26"/>
    <n v="11"/>
    <n v="5"/>
    <n v="19"/>
    <n v="28"/>
  </r>
  <r>
    <n v="69"/>
    <n v="69"/>
    <d v="2020-08-08T00:00:00"/>
    <x v="0"/>
    <x v="20"/>
    <x v="1"/>
    <x v="0"/>
    <n v="111"/>
    <n v="116"/>
    <n v="42"/>
    <n v="100"/>
    <n v="0.42"/>
    <n v="13"/>
    <n v="39"/>
    <n v="0.33300000000000002"/>
    <n v="14"/>
    <n v="19"/>
    <n v="0.73699999999999999"/>
    <n v="15"/>
    <n v="44"/>
    <n v="20"/>
    <n v="13"/>
    <n v="6"/>
    <n v="15"/>
    <n v="16"/>
    <s v="L 3"/>
    <n v="44"/>
    <n v="84"/>
    <n v="0.52400000000000002"/>
    <n v="15"/>
    <n v="33"/>
    <n v="0.45500000000000002"/>
    <n v="13"/>
    <n v="14"/>
    <n v="0.92900000000000005"/>
    <n v="7"/>
    <n v="42"/>
    <n v="25"/>
    <n v="12"/>
    <n v="4"/>
    <n v="20"/>
    <n v="21"/>
  </r>
  <r>
    <n v="70"/>
    <n v="70"/>
    <d v="2020-08-10T00:00:00"/>
    <x v="1"/>
    <x v="16"/>
    <x v="3"/>
    <x v="1"/>
    <n v="124"/>
    <n v="121"/>
    <n v="44"/>
    <n v="81"/>
    <n v="0.54300000000000004"/>
    <n v="14"/>
    <n v="29"/>
    <n v="0.48299999999999998"/>
    <n v="22"/>
    <n v="32"/>
    <n v="0.68799999999999994"/>
    <n v="14"/>
    <n v="32"/>
    <n v="28"/>
    <n v="8"/>
    <n v="4"/>
    <n v="10"/>
    <n v="18"/>
    <s v="W 1"/>
    <n v="45"/>
    <n v="77"/>
    <n v="0.58399999999999996"/>
    <n v="13"/>
    <n v="23"/>
    <n v="0.56499999999999995"/>
    <n v="18"/>
    <n v="23"/>
    <n v="0.78300000000000003"/>
    <n v="10"/>
    <n v="35"/>
    <n v="27"/>
    <n v="6"/>
    <n v="2"/>
    <n v="14"/>
    <n v="20"/>
  </r>
  <r>
    <n v="71"/>
    <n v="71"/>
    <d v="2020-08-13T00:00:00"/>
    <x v="1"/>
    <x v="11"/>
    <x v="2"/>
    <x v="0"/>
    <n v="122"/>
    <n v="136"/>
    <n v="48"/>
    <n v="98"/>
    <n v="0.49"/>
    <n v="15"/>
    <n v="35"/>
    <n v="0.42899999999999999"/>
    <n v="11"/>
    <n v="15"/>
    <n v="0.73299999999999998"/>
    <n v="15"/>
    <n v="47"/>
    <n v="29"/>
    <n v="6"/>
    <n v="1"/>
    <n v="17"/>
    <n v="18"/>
    <s v="L 1"/>
    <n v="54"/>
    <n v="95"/>
    <n v="0.56799999999999995"/>
    <n v="21"/>
    <n v="47"/>
    <n v="0.44700000000000001"/>
    <n v="7"/>
    <n v="12"/>
    <n v="0.58299999999999996"/>
    <n v="9"/>
    <n v="44"/>
    <n v="37"/>
    <n v="12"/>
    <n v="2"/>
    <n v="14"/>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18B715-8D7F-4D4C-9094-66FC194B7BAE}"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N3:P7" firstHeaderRow="0" firstDataRow="1" firstDataCol="1"/>
  <pivotFields count="66">
    <pivotField showAll="0"/>
    <pivotField axis="axisRow" showAll="0">
      <items count="21">
        <item h="1" x="0"/>
        <item h="1" x="1"/>
        <item h="1" x="2"/>
        <item h="1" x="3"/>
        <item h="1" x="4"/>
        <item h="1" x="5"/>
        <item h="1" x="6"/>
        <item h="1" x="7"/>
        <item h="1" x="8"/>
        <item h="1" x="9"/>
        <item h="1" x="10"/>
        <item h="1" x="11"/>
        <item x="12"/>
        <item x="13"/>
        <item x="14"/>
        <item h="1" x="15"/>
        <item h="1" x="16"/>
        <item h="1" x="17"/>
        <item h="1" x="18"/>
        <item h="1" x="19"/>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
    <i>
      <x v="12"/>
    </i>
    <i>
      <x v="13"/>
    </i>
    <i>
      <x v="14"/>
    </i>
    <i t="grand">
      <x/>
    </i>
  </rowItems>
  <colFields count="1">
    <field x="-2"/>
  </colFields>
  <colItems count="2">
    <i>
      <x/>
    </i>
    <i i="1">
      <x v="1"/>
    </i>
  </colItems>
  <dataFields count="2">
    <dataField name="Sum of P.2PM" fld="49" baseField="0" baseItem="0"/>
    <dataField name="Sum of P.2PMISS" fld="5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2B381EF-793C-BA4A-92D5-99FFBDF8C268}" name="PivotTable22" cacheId="1" dataOnRows="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location ref="G25:H28" firstHeaderRow="1" firstDataRow="1" firstDataCol="1"/>
  <pivotFields count="42">
    <pivotField showAll="0"/>
    <pivotField showAll="0"/>
    <pivotField numFmtId="14" showAll="0"/>
    <pivotField showAll="0">
      <items count="3">
        <item x="0"/>
        <item x="1"/>
        <item t="default"/>
      </items>
    </pivotField>
    <pivotField axis="axisRow" showAll="0">
      <items count="30">
        <item h="1" x="12"/>
        <item h="1" x="26"/>
        <item h="1" x="27"/>
        <item h="1" x="6"/>
        <item h="1" x="2"/>
        <item h="1" x="24"/>
        <item h="1" x="4"/>
        <item h="1" x="16"/>
        <item h="1" x="22"/>
        <item h="1" x="10"/>
        <item h="1" x="25"/>
        <item h="1" x="20"/>
        <item h="1" x="0"/>
        <item h="1" x="3"/>
        <item h="1" x="7"/>
        <item h="1" x="21"/>
        <item h="1" x="18"/>
        <item h="1" x="14"/>
        <item h="1" x="23"/>
        <item h="1" x="13"/>
        <item h="1" x="19"/>
        <item h="1" x="28"/>
        <item h="1" x="9"/>
        <item h="1" x="17"/>
        <item h="1" x="11"/>
        <item h="1" x="5"/>
        <item x="8"/>
        <item h="1" x="1"/>
        <item h="1" x="15"/>
        <item t="default"/>
      </items>
    </pivotField>
    <pivotField showAll="0"/>
    <pivotField multipleItemSelectionAllowed="1" showAll="0">
      <items count="3">
        <item x="0"/>
        <item x="1"/>
        <item t="default"/>
      </items>
    </pivotField>
    <pivotField showAll="0"/>
    <pivotField showAll="0"/>
    <pivotField showAll="0"/>
    <pivotField showAll="0"/>
    <pivotField numFmtId="10" showAll="0"/>
    <pivotField showAll="0"/>
    <pivotField showAll="0"/>
    <pivotField numFmtId="10" showAll="0"/>
    <pivotField showAll="0"/>
    <pivotField showAll="0"/>
    <pivotField numFmtId="10" showAll="0"/>
    <pivotField showAll="0"/>
    <pivotField showAll="0"/>
    <pivotField showAll="0"/>
    <pivotField showAll="0"/>
    <pivotField showAll="0"/>
    <pivotField showAll="0"/>
    <pivotField showAll="0"/>
    <pivotField showAll="0"/>
    <pivotField showAll="0"/>
    <pivotField showAll="0"/>
    <pivotField numFmtId="10" showAll="0"/>
    <pivotField showAll="0"/>
    <pivotField showAll="0"/>
    <pivotField numFmtId="10" showAll="0"/>
    <pivotField dataField="1" showAll="0"/>
    <pivotField dataField="1" showAll="0"/>
    <pivotField numFmtId="10" showAll="0"/>
    <pivotField showAll="0"/>
    <pivotField showAll="0"/>
    <pivotField showAll="0"/>
    <pivotField showAll="0"/>
    <pivotField showAll="0"/>
    <pivotField showAll="0"/>
    <pivotField showAll="0"/>
  </pivotFields>
  <rowFields count="2">
    <field x="4"/>
    <field x="-2"/>
  </rowFields>
  <rowItems count="3">
    <i>
      <x v="26"/>
    </i>
    <i r="1">
      <x/>
    </i>
    <i r="1" i="1">
      <x v="1"/>
    </i>
  </rowItems>
  <colItems count="1">
    <i/>
  </colItems>
  <dataFields count="2">
    <dataField name="Opp.FTA." fld="33" subtotal="average" baseField="0" baseItem="0"/>
    <dataField name=" Opp.FTM." fld="32" subtotal="average" baseField="0" baseItem="0"/>
  </dataFields>
  <formats count="2">
    <format dxfId="144">
      <pivotArea collapsedLevelsAreSubtotals="1" fieldPosition="0">
        <references count="2">
          <reference field="4294967294" count="1">
            <x v="0"/>
          </reference>
          <reference field="4" count="0" selected="0"/>
        </references>
      </pivotArea>
    </format>
    <format dxfId="143">
      <pivotArea collapsedLevelsAreSubtotals="1" fieldPosition="0">
        <references count="2">
          <reference field="4294967294" count="1">
            <x v="1"/>
          </reference>
          <reference field="4" count="0" selected="0"/>
        </references>
      </pivotArea>
    </format>
  </formats>
  <chartFormats count="1">
    <chartFormat chart="1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60D8CCC-F5D9-6F4A-ABB0-1E6E62F5BE08}" name="PivotTable24" cacheId="1" dataOnRows="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7">
  <location ref="A35:B42" firstHeaderRow="1" firstDataRow="1" firstDataCol="1"/>
  <pivotFields count="42">
    <pivotField showAll="0"/>
    <pivotField showAll="0"/>
    <pivotField numFmtId="14" showAll="0"/>
    <pivotField showAll="0">
      <items count="3">
        <item x="0"/>
        <item x="1"/>
        <item t="default"/>
      </items>
    </pivotField>
    <pivotField axis="axisRow" showAll="0">
      <items count="30">
        <item h="1" x="12"/>
        <item h="1" x="26"/>
        <item h="1" x="27"/>
        <item h="1" x="6"/>
        <item h="1" x="2"/>
        <item h="1" x="24"/>
        <item h="1" x="4"/>
        <item h="1" x="16"/>
        <item h="1" x="22"/>
        <item h="1" x="10"/>
        <item h="1" x="25"/>
        <item h="1" x="20"/>
        <item h="1" x="0"/>
        <item h="1" x="3"/>
        <item h="1" x="7"/>
        <item h="1" x="21"/>
        <item h="1" x="18"/>
        <item h="1" x="14"/>
        <item h="1" x="23"/>
        <item h="1" x="13"/>
        <item h="1" x="19"/>
        <item h="1" x="28"/>
        <item h="1" x="9"/>
        <item h="1" x="17"/>
        <item h="1" x="11"/>
        <item h="1" x="5"/>
        <item x="8"/>
        <item h="1" x="1"/>
        <item h="1" x="15"/>
        <item t="default"/>
      </items>
    </pivotField>
    <pivotField showAll="0"/>
    <pivotField multipleItemSelectionAllowed="1" showAll="0">
      <items count="3">
        <item x="0"/>
        <item x="1"/>
        <item t="default"/>
      </items>
    </pivotField>
    <pivotField dataField="1" showAll="0"/>
    <pivotField showAll="0"/>
    <pivotField showAll="0"/>
    <pivotField showAll="0"/>
    <pivotField numFmtId="10" showAll="0"/>
    <pivotField showAll="0"/>
    <pivotField showAll="0"/>
    <pivotField numFmtId="10" showAll="0"/>
    <pivotField showAll="0"/>
    <pivotField showAll="0"/>
    <pivotField numFmtId="10" showAll="0"/>
    <pivotField showAll="0"/>
    <pivotField dataField="1" showAll="0"/>
    <pivotField dataField="1" showAll="0"/>
    <pivotField dataField="1" showAll="0"/>
    <pivotField dataField="1" showAll="0"/>
    <pivotField dataField="1" showAll="0"/>
    <pivotField showAll="0"/>
    <pivotField showAll="0"/>
    <pivotField showAll="0"/>
    <pivotField showAll="0"/>
    <pivotField numFmtId="10" showAll="0"/>
    <pivotField showAll="0"/>
    <pivotField showAll="0"/>
    <pivotField numFmtId="10" showAll="0"/>
    <pivotField showAll="0"/>
    <pivotField showAll="0"/>
    <pivotField numFmtId="10" showAll="0"/>
    <pivotField showAll="0"/>
    <pivotField showAll="0"/>
    <pivotField showAll="0"/>
    <pivotField showAll="0"/>
    <pivotField showAll="0"/>
    <pivotField showAll="0"/>
    <pivotField showAll="0"/>
  </pivotFields>
  <rowFields count="2">
    <field x="4"/>
    <field x="-2"/>
  </rowFields>
  <rowItems count="7">
    <i>
      <x v="26"/>
    </i>
    <i r="1">
      <x/>
    </i>
    <i r="1" i="1">
      <x v="1"/>
    </i>
    <i r="1" i="2">
      <x v="2"/>
    </i>
    <i r="1" i="3">
      <x v="3"/>
    </i>
    <i r="1" i="4">
      <x v="4"/>
    </i>
    <i r="1" i="5">
      <x v="5"/>
    </i>
  </rowItems>
  <colItems count="1">
    <i/>
  </colItems>
  <dataFields count="6">
    <dataField name="POINTS" fld="7" subtotal="average" baseField="0" baseItem="0"/>
    <dataField name="REBOUNDS" fld="19" subtotal="average" baseField="0" baseItem="0"/>
    <dataField name="ASSISTS" fld="20" subtotal="average" baseField="0" baseItem="0"/>
    <dataField name="STEAL" fld="21" subtotal="average" baseField="0" baseItem="0"/>
    <dataField name="BLOCKS" fld="22" subtotal="average" baseField="0" baseItem="0"/>
    <dataField name="TOV." fld="23" subtotal="average" baseField="0" baseItem="0"/>
  </dataFields>
  <formats count="1">
    <format dxfId="145">
      <pivotArea collapsedLevelsAreSubtotals="1" fieldPosition="0">
        <references count="2">
          <reference field="4294967294" count="6">
            <x v="0"/>
            <x v="1"/>
            <x v="2"/>
            <x v="3"/>
            <x v="4"/>
            <x v="5"/>
          </reference>
          <reference field="4" count="0" selected="0"/>
        </references>
      </pivotArea>
    </format>
  </formats>
  <chartFormats count="2">
    <chartFormat chart="15" format="7" series="1">
      <pivotArea type="data" outline="0" fieldPosition="0">
        <references count="1">
          <reference field="4294967294" count="1" selected="0">
            <x v="1"/>
          </reference>
        </references>
      </pivotArea>
    </chartFormat>
    <chartFormat chart="1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2A0E487-8BE4-3C46-B8E0-8259259A2AAC}" name="PivotTable20"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L14:M19" firstHeaderRow="1" firstDataRow="1" firstDataCol="1"/>
  <pivotFields count="42">
    <pivotField showAll="0"/>
    <pivotField showAll="0"/>
    <pivotField numFmtId="14" showAll="0"/>
    <pivotField showAll="0">
      <items count="3">
        <item x="0"/>
        <item x="1"/>
        <item t="default"/>
      </items>
    </pivotField>
    <pivotField axis="axisRow" showAll="0">
      <items count="30">
        <item h="1" x="12"/>
        <item h="1" x="26"/>
        <item h="1" x="27"/>
        <item h="1" x="6"/>
        <item h="1" x="2"/>
        <item h="1" x="24"/>
        <item h="1" x="4"/>
        <item h="1" x="16"/>
        <item h="1" x="22"/>
        <item h="1" x="10"/>
        <item h="1" x="25"/>
        <item h="1" x="20"/>
        <item h="1" x="0"/>
        <item h="1" x="3"/>
        <item h="1" x="7"/>
        <item h="1" x="21"/>
        <item h="1" x="18"/>
        <item h="1" x="14"/>
        <item h="1" x="23"/>
        <item h="1" x="13"/>
        <item h="1" x="19"/>
        <item h="1" x="28"/>
        <item h="1" x="9"/>
        <item h="1" x="17"/>
        <item h="1" x="11"/>
        <item h="1" x="5"/>
        <item x="8"/>
        <item h="1" x="1"/>
        <item h="1" x="15"/>
        <item t="default"/>
      </items>
    </pivotField>
    <pivotField showAll="0"/>
    <pivotField multipleItemSelectionAllowed="1" showAll="0">
      <items count="3">
        <item x="0"/>
        <item x="1"/>
        <item t="default"/>
      </items>
    </pivotField>
    <pivotField showAll="0"/>
    <pivotField showAll="0"/>
    <pivotField showAll="0"/>
    <pivotField showAll="0"/>
    <pivotField numFmtId="10" showAll="0"/>
    <pivotField showAll="0"/>
    <pivotField showAll="0"/>
    <pivotField dataField="1" numFmtId="10" showAll="0"/>
    <pivotField showAll="0"/>
    <pivotField showAll="0"/>
    <pivotField numFmtId="10" showAll="0"/>
    <pivotField showAll="0"/>
    <pivotField showAll="0"/>
    <pivotField showAll="0"/>
    <pivotField showAll="0"/>
    <pivotField showAll="0"/>
    <pivotField showAll="0"/>
    <pivotField showAll="0"/>
    <pivotField showAll="0"/>
    <pivotField showAll="0"/>
    <pivotField showAll="0"/>
    <pivotField numFmtId="10" showAll="0"/>
    <pivotField showAll="0"/>
    <pivotField showAll="0"/>
    <pivotField dataField="1" numFmtId="10" showAll="0"/>
    <pivotField showAll="0"/>
    <pivotField showAll="0"/>
    <pivotField numFmtId="10" showAll="0"/>
    <pivotField showAll="0"/>
    <pivotField showAll="0"/>
    <pivotField showAll="0"/>
    <pivotField showAll="0"/>
    <pivotField showAll="0"/>
    <pivotField showAll="0"/>
    <pivotField showAll="0"/>
  </pivotFields>
  <rowFields count="2">
    <field x="4"/>
    <field x="-2"/>
  </rowFields>
  <rowItems count="5">
    <i>
      <x v="26"/>
    </i>
    <i r="1">
      <x/>
    </i>
    <i r="1" i="1">
      <x v="1"/>
    </i>
    <i t="grand">
      <x/>
    </i>
    <i t="grand" i="1">
      <x/>
    </i>
  </rowItems>
  <colItems count="1">
    <i/>
  </colItems>
  <dataFields count="2">
    <dataField name="3P%." fld="14" subtotal="average" baseField="0" baseItem="0"/>
    <dataField name="Opp.3P%." fld="31" subtotal="average" baseField="0" baseItem="0"/>
  </dataFields>
  <formats count="1">
    <format dxfId="146">
      <pivotArea collapsedLevelsAreSubtotals="1" fieldPosition="0">
        <references count="2">
          <reference field="4294967294" count="2">
            <x v="0"/>
            <x v="1"/>
          </reference>
          <reference field="4" count="0" selected="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4110583-E7E8-6B40-BB33-404D77179BB9}" name="PivotTable25" cacheId="1" dataOnRows="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2">
  <location ref="G35:H42" firstHeaderRow="1" firstDataRow="1" firstDataCol="1"/>
  <pivotFields count="42">
    <pivotField showAll="0"/>
    <pivotField showAll="0"/>
    <pivotField numFmtId="14" showAll="0"/>
    <pivotField showAll="0">
      <items count="3">
        <item x="0"/>
        <item x="1"/>
        <item t="default"/>
      </items>
    </pivotField>
    <pivotField axis="axisRow" showAll="0">
      <items count="30">
        <item h="1" x="12"/>
        <item h="1" x="26"/>
        <item h="1" x="27"/>
        <item h="1" x="6"/>
        <item h="1" x="2"/>
        <item h="1" x="24"/>
        <item h="1" x="4"/>
        <item h="1" x="16"/>
        <item h="1" x="22"/>
        <item h="1" x="10"/>
        <item h="1" x="25"/>
        <item h="1" x="20"/>
        <item h="1" x="0"/>
        <item h="1" x="3"/>
        <item h="1" x="7"/>
        <item h="1" x="21"/>
        <item h="1" x="18"/>
        <item h="1" x="14"/>
        <item h="1" x="23"/>
        <item h="1" x="13"/>
        <item h="1" x="19"/>
        <item h="1" x="28"/>
        <item h="1" x="9"/>
        <item h="1" x="17"/>
        <item h="1" x="11"/>
        <item h="1" x="5"/>
        <item x="8"/>
        <item h="1" x="1"/>
        <item h="1" x="15"/>
        <item t="default"/>
      </items>
    </pivotField>
    <pivotField showAll="0"/>
    <pivotField multipleItemSelectionAllowed="1" showAll="0">
      <items count="3">
        <item x="0"/>
        <item x="1"/>
        <item t="default"/>
      </items>
    </pivotField>
    <pivotField showAll="0"/>
    <pivotField dataField="1" showAll="0"/>
    <pivotField showAll="0"/>
    <pivotField showAll="0"/>
    <pivotField numFmtId="10" showAll="0"/>
    <pivotField showAll="0"/>
    <pivotField showAll="0"/>
    <pivotField numFmtId="10" showAll="0"/>
    <pivotField showAll="0"/>
    <pivotField showAll="0"/>
    <pivotField numFmtId="10" showAll="0"/>
    <pivotField showAll="0"/>
    <pivotField showAll="0"/>
    <pivotField showAll="0"/>
    <pivotField showAll="0"/>
    <pivotField showAll="0"/>
    <pivotField showAll="0"/>
    <pivotField showAll="0"/>
    <pivotField showAll="0"/>
    <pivotField showAll="0"/>
    <pivotField showAll="0"/>
    <pivotField numFmtId="10" showAll="0"/>
    <pivotField showAll="0"/>
    <pivotField showAll="0"/>
    <pivotField numFmtId="10" showAll="0"/>
    <pivotField showAll="0"/>
    <pivotField showAll="0"/>
    <pivotField numFmtId="10" showAll="0"/>
    <pivotField showAll="0"/>
    <pivotField dataField="1" showAll="0"/>
    <pivotField dataField="1" showAll="0"/>
    <pivotField dataField="1" showAll="0"/>
    <pivotField dataField="1" showAll="0"/>
    <pivotField dataField="1" showAll="0"/>
    <pivotField showAll="0"/>
  </pivotFields>
  <rowFields count="2">
    <field x="4"/>
    <field x="-2"/>
  </rowFields>
  <rowItems count="7">
    <i>
      <x v="26"/>
    </i>
    <i r="1">
      <x/>
    </i>
    <i r="1" i="1">
      <x v="1"/>
    </i>
    <i r="1" i="2">
      <x v="2"/>
    </i>
    <i r="1" i="3">
      <x v="3"/>
    </i>
    <i r="1" i="4">
      <x v="4"/>
    </i>
    <i r="1" i="5">
      <x v="5"/>
    </i>
  </rowItems>
  <colItems count="1">
    <i/>
  </colItems>
  <dataFields count="6">
    <dataField name="POINTS" fld="8" subtotal="average" baseField="0" baseItem="0"/>
    <dataField name="REBOUNDS" fld="36" subtotal="average" baseField="0" baseItem="0"/>
    <dataField name="ASSISTS" fld="37" subtotal="average" baseField="0" baseItem="0"/>
    <dataField name="STEALS" fld="38" subtotal="average" baseField="0" baseItem="0"/>
    <dataField name="BLOCKS" fld="39" subtotal="average" baseField="0" baseItem="0"/>
    <dataField name="TOV." fld="40" subtotal="average" baseField="0" baseItem="0"/>
  </dataFields>
  <formats count="1">
    <format dxfId="147">
      <pivotArea collapsedLevelsAreSubtotals="1" fieldPosition="0">
        <references count="2">
          <reference field="4294967294" count="6">
            <x v="0"/>
            <x v="1"/>
            <x v="2"/>
            <x v="3"/>
            <x v="4"/>
            <x v="5"/>
          </reference>
          <reference field="4" count="0" selected="0"/>
        </references>
      </pivotArea>
    </format>
  </formats>
  <chartFormats count="1">
    <chartFormat chart="1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BA98C4-97CA-0E4E-BD37-8EB71ABB69B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3:D7" firstHeaderRow="0" firstDataRow="1" firstDataCol="1"/>
  <pivotFields count="66">
    <pivotField showAll="0"/>
    <pivotField axis="axisRow" showAll="0">
      <items count="21">
        <item h="1" x="0"/>
        <item h="1" x="1"/>
        <item h="1" x="2"/>
        <item h="1" x="3"/>
        <item h="1" x="4"/>
        <item h="1" x="5"/>
        <item h="1" x="6"/>
        <item h="1" x="7"/>
        <item h="1" x="8"/>
        <item h="1" x="9"/>
        <item h="1" x="10"/>
        <item h="1" x="11"/>
        <item x="12"/>
        <item x="13"/>
        <item x="14"/>
        <item h="1" x="15"/>
        <item h="1" x="16"/>
        <item h="1" x="17"/>
        <item h="1" x="18"/>
        <item h="1" x="19"/>
        <item t="default"/>
      </items>
    </pivotField>
    <pivotField showAll="0"/>
    <pivotField showAll="0"/>
    <pivotField showAll="0"/>
    <pivotField showAll="0"/>
    <pivotField showAll="0"/>
    <pivotField showAll="0"/>
    <pivotField showAll="0"/>
    <pivotField showAll="0"/>
    <pivotField showAll="0"/>
    <pivotField showAll="0"/>
    <pivotField numFmtId="164" showAll="0"/>
    <pivotField dataField="1" showAll="0"/>
    <pivotField showAll="0"/>
    <pivotField dataField="1"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
    <i>
      <x v="12"/>
    </i>
    <i>
      <x v="13"/>
    </i>
    <i>
      <x v="14"/>
    </i>
    <i t="grand">
      <x/>
    </i>
  </rowItems>
  <colFields count="1">
    <field x="-2"/>
  </colFields>
  <colItems count="2">
    <i>
      <x/>
    </i>
    <i i="1">
      <x v="1"/>
    </i>
  </colItems>
  <dataFields count="2">
    <dataField name="Sum of 2PM" fld="13" baseField="0" baseItem="0"/>
    <dataField name="Sum of 2PMISS"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299A55-1963-CB45-93CA-42F26AD33F23}" name="PivotTable21" cacheId="1" dataOnRows="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location ref="A25:B28" firstHeaderRow="1" firstDataRow="1" firstDataCol="1"/>
  <pivotFields count="42">
    <pivotField showAll="0"/>
    <pivotField showAll="0"/>
    <pivotField numFmtId="14" showAll="0"/>
    <pivotField showAll="0">
      <items count="3">
        <item x="0"/>
        <item x="1"/>
        <item t="default"/>
      </items>
    </pivotField>
    <pivotField axis="axisRow" showAll="0">
      <items count="30">
        <item h="1" x="12"/>
        <item h="1" x="26"/>
        <item h="1" x="27"/>
        <item h="1" x="6"/>
        <item h="1" x="2"/>
        <item h="1" x="24"/>
        <item h="1" x="4"/>
        <item h="1" x="16"/>
        <item h="1" x="22"/>
        <item h="1" x="10"/>
        <item h="1" x="25"/>
        <item h="1" x="20"/>
        <item h="1" x="0"/>
        <item h="1" x="3"/>
        <item h="1" x="7"/>
        <item h="1" x="21"/>
        <item h="1" x="18"/>
        <item h="1" x="14"/>
        <item h="1" x="23"/>
        <item h="1" x="13"/>
        <item h="1" x="19"/>
        <item h="1" x="28"/>
        <item h="1" x="9"/>
        <item h="1" x="17"/>
        <item h="1" x="11"/>
        <item h="1" x="5"/>
        <item x="8"/>
        <item h="1" x="1"/>
        <item h="1" x="15"/>
        <item t="default"/>
      </items>
    </pivotField>
    <pivotField showAll="0"/>
    <pivotField multipleItemSelectionAllowed="1" showAll="0">
      <items count="3">
        <item x="0"/>
        <item x="1"/>
        <item t="default"/>
      </items>
    </pivotField>
    <pivotField showAll="0"/>
    <pivotField showAll="0"/>
    <pivotField showAll="0"/>
    <pivotField showAll="0"/>
    <pivotField numFmtId="10" showAll="0"/>
    <pivotField showAll="0"/>
    <pivotField showAll="0"/>
    <pivotField numFmtId="10" showAll="0"/>
    <pivotField dataField="1" showAll="0"/>
    <pivotField dataField="1" showAll="0"/>
    <pivotField numFmtId="10" showAll="0"/>
    <pivotField showAll="0"/>
    <pivotField showAll="0"/>
    <pivotField showAll="0"/>
    <pivotField showAll="0"/>
    <pivotField showAll="0"/>
    <pivotField showAll="0"/>
    <pivotField showAll="0"/>
    <pivotField showAll="0"/>
    <pivotField showAll="0"/>
    <pivotField showAll="0"/>
    <pivotField numFmtId="10" showAll="0"/>
    <pivotField showAll="0"/>
    <pivotField showAll="0"/>
    <pivotField numFmtId="10" showAll="0"/>
    <pivotField showAll="0"/>
    <pivotField showAll="0"/>
    <pivotField numFmtId="10" showAll="0"/>
    <pivotField showAll="0"/>
    <pivotField showAll="0"/>
    <pivotField showAll="0"/>
    <pivotField showAll="0"/>
    <pivotField showAll="0"/>
    <pivotField showAll="0"/>
    <pivotField showAll="0"/>
  </pivotFields>
  <rowFields count="2">
    <field x="4"/>
    <field x="-2"/>
  </rowFields>
  <rowItems count="3">
    <i>
      <x v="26"/>
    </i>
    <i r="1">
      <x/>
    </i>
    <i r="1" i="1">
      <x v="1"/>
    </i>
  </rowItems>
  <colItems count="1">
    <i/>
  </colItems>
  <dataFields count="2">
    <dataField name="FTA." fld="16" subtotal="average" baseField="0" baseItem="0"/>
    <dataField name=" FTM." fld="15" subtotal="average" baseField="0" baseItem="0"/>
  </dataFields>
  <formats count="2">
    <format dxfId="133">
      <pivotArea collapsedLevelsAreSubtotals="1" fieldPosition="0">
        <references count="2">
          <reference field="4294967294" count="1">
            <x v="0"/>
          </reference>
          <reference field="4" count="0" selected="0"/>
        </references>
      </pivotArea>
    </format>
    <format dxfId="132">
      <pivotArea collapsedLevelsAreSubtotals="1" fieldPosition="0">
        <references count="2">
          <reference field="4294967294" count="1">
            <x v="1"/>
          </reference>
          <reference field="4" count="0" selected="0"/>
        </references>
      </pivotArea>
    </format>
  </formats>
  <chartFormats count="1">
    <chartFormat chart="1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AE8C1C-0874-3242-A323-5148250466A9}" name="PivotTable12"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8" firstHeaderRow="1" firstDataRow="1" firstDataCol="1"/>
  <pivotFields count="42">
    <pivotField showAll="0"/>
    <pivotField showAll="0"/>
    <pivotField numFmtId="14" showAll="0"/>
    <pivotField showAll="0">
      <items count="3">
        <item x="0"/>
        <item x="1"/>
        <item t="default"/>
      </items>
    </pivotField>
    <pivotField axis="axisRow" showAll="0">
      <items count="30">
        <item h="1" x="12"/>
        <item h="1" x="26"/>
        <item h="1" x="27"/>
        <item h="1" x="6"/>
        <item h="1" x="2"/>
        <item h="1" x="24"/>
        <item h="1" x="4"/>
        <item h="1" x="16"/>
        <item h="1" x="22"/>
        <item h="1" x="10"/>
        <item h="1" x="25"/>
        <item h="1" x="20"/>
        <item h="1" x="0"/>
        <item h="1" x="3"/>
        <item h="1" x="7"/>
        <item h="1" x="21"/>
        <item h="1" x="18"/>
        <item h="1" x="14"/>
        <item h="1" x="23"/>
        <item h="1" x="13"/>
        <item h="1" x="19"/>
        <item h="1" x="28"/>
        <item h="1" x="9"/>
        <item h="1" x="17"/>
        <item h="1" x="11"/>
        <item h="1" x="5"/>
        <item x="8"/>
        <item h="1" x="1"/>
        <item h="1" x="15"/>
        <item t="default"/>
      </items>
    </pivotField>
    <pivotField multipleItemSelectionAllowed="1" showAll="0">
      <items count="5">
        <item x="0"/>
        <item x="1"/>
        <item h="1" x="2"/>
        <item h="1" x="3"/>
        <item t="default"/>
      </items>
    </pivotField>
    <pivotField multipleItemSelectionAllowed="1" showAll="0">
      <items count="3">
        <item x="0"/>
        <item x="1"/>
        <item t="default"/>
      </items>
    </pivotField>
    <pivotField showAll="0"/>
    <pivotField showAll="0"/>
    <pivotField dataField="1" showAll="0"/>
    <pivotField dataField="1" showAll="0"/>
    <pivotField numFmtId="10" showAll="0"/>
    <pivotField showAll="0"/>
    <pivotField showAll="0"/>
    <pivotField numFmtId="10" showAll="0"/>
    <pivotField showAll="0"/>
    <pivotField showAll="0"/>
    <pivotField numFmtId="10" showAll="0"/>
    <pivotField showAll="0"/>
    <pivotField showAll="0"/>
    <pivotField showAll="0"/>
    <pivotField showAll="0"/>
    <pivotField showAll="0"/>
    <pivotField showAll="0"/>
    <pivotField showAll="0"/>
    <pivotField showAll="0"/>
    <pivotField showAll="0"/>
    <pivotField showAll="0"/>
    <pivotField numFmtId="10" showAll="0"/>
    <pivotField showAll="0"/>
    <pivotField showAll="0"/>
    <pivotField numFmtId="10" showAll="0"/>
    <pivotField showAll="0"/>
    <pivotField showAll="0"/>
    <pivotField numFmtId="10" showAll="0"/>
    <pivotField showAll="0"/>
    <pivotField showAll="0"/>
    <pivotField showAll="0"/>
    <pivotField showAll="0"/>
    <pivotField showAll="0"/>
    <pivotField showAll="0"/>
    <pivotField showAll="0"/>
  </pivotFields>
  <rowFields count="2">
    <field x="4"/>
    <field x="-2"/>
  </rowFields>
  <rowItems count="5">
    <i>
      <x v="26"/>
    </i>
    <i r="1">
      <x/>
    </i>
    <i r="1" i="1">
      <x v="1"/>
    </i>
    <i t="grand">
      <x/>
    </i>
    <i t="grand" i="1">
      <x/>
    </i>
  </rowItems>
  <colItems count="1">
    <i/>
  </colItems>
  <dataFields count="2">
    <dataField name="FGA." fld="10" subtotal="average" baseField="0" baseItem="0"/>
    <dataField name="FGM." fld="9" subtotal="average" baseField="0" baseItem="0"/>
  </dataFields>
  <formats count="3">
    <format dxfId="136">
      <pivotArea collapsedLevelsAreSubtotals="1" fieldPosition="0">
        <references count="2">
          <reference field="4294967294" count="2">
            <x v="0"/>
            <x v="1"/>
          </reference>
          <reference field="4" count="0" selected="0"/>
        </references>
      </pivotArea>
    </format>
    <format dxfId="135">
      <pivotArea collapsedLevelsAreSubtotals="1" fieldPosition="0">
        <references count="2">
          <reference field="4294967294" count="1">
            <x v="0"/>
          </reference>
          <reference field="4" count="0" selected="0"/>
        </references>
      </pivotArea>
    </format>
    <format dxfId="134">
      <pivotArea collapsedLevelsAreSubtotals="1" fieldPosition="0">
        <references count="2">
          <reference field="4294967294" count="1">
            <x v="1"/>
          </reference>
          <reference field="4" count="0" selected="0"/>
        </references>
      </pivotArea>
    </format>
  </formats>
  <chartFormats count="2">
    <chartFormat chart="3" format="5"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E24D51-702A-004F-AD1A-1ED5BE21DB9E}" name="PivotTable19"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G14:H19" firstHeaderRow="1" firstDataRow="1" firstDataCol="1"/>
  <pivotFields count="42">
    <pivotField showAll="0"/>
    <pivotField showAll="0"/>
    <pivotField numFmtId="14" showAll="0"/>
    <pivotField showAll="0">
      <items count="3">
        <item x="0"/>
        <item x="1"/>
        <item t="default"/>
      </items>
    </pivotField>
    <pivotField axis="axisRow" showAll="0">
      <items count="30">
        <item h="1" x="12"/>
        <item h="1" x="26"/>
        <item h="1" x="27"/>
        <item h="1" x="6"/>
        <item h="1" x="2"/>
        <item h="1" x="24"/>
        <item h="1" x="4"/>
        <item h="1" x="16"/>
        <item h="1" x="22"/>
        <item h="1" x="10"/>
        <item h="1" x="25"/>
        <item h="1" x="20"/>
        <item h="1" x="0"/>
        <item h="1" x="3"/>
        <item h="1" x="7"/>
        <item h="1" x="21"/>
        <item h="1" x="18"/>
        <item h="1" x="14"/>
        <item h="1" x="23"/>
        <item h="1" x="13"/>
        <item h="1" x="19"/>
        <item h="1" x="28"/>
        <item h="1" x="9"/>
        <item h="1" x="17"/>
        <item h="1" x="11"/>
        <item h="1" x="5"/>
        <item x="8"/>
        <item h="1" x="1"/>
        <item h="1" x="15"/>
        <item t="default"/>
      </items>
    </pivotField>
    <pivotField showAll="0"/>
    <pivotField multipleItemSelectionAllowed="1" showAll="0">
      <items count="3">
        <item x="0"/>
        <item x="1"/>
        <item t="default"/>
      </items>
    </pivotField>
    <pivotField showAll="0"/>
    <pivotField showAll="0"/>
    <pivotField showAll="0"/>
    <pivotField showAll="0"/>
    <pivotField numFmtId="10" showAll="0"/>
    <pivotField showAll="0"/>
    <pivotField showAll="0"/>
    <pivotField numFmtId="10" showAll="0"/>
    <pivotField showAll="0"/>
    <pivotField showAll="0"/>
    <pivotField numFmtId="10" showAll="0"/>
    <pivotField showAll="0"/>
    <pivotField showAll="0"/>
    <pivotField showAll="0"/>
    <pivotField showAll="0"/>
    <pivotField showAll="0"/>
    <pivotField showAll="0"/>
    <pivotField showAll="0"/>
    <pivotField showAll="0"/>
    <pivotField showAll="0"/>
    <pivotField showAll="0"/>
    <pivotField numFmtId="10" showAll="0"/>
    <pivotField dataField="1" showAll="0"/>
    <pivotField dataField="1" showAll="0"/>
    <pivotField numFmtId="10" showAll="0"/>
    <pivotField showAll="0"/>
    <pivotField showAll="0"/>
    <pivotField numFmtId="10" showAll="0"/>
    <pivotField showAll="0"/>
    <pivotField showAll="0"/>
    <pivotField showAll="0"/>
    <pivotField showAll="0"/>
    <pivotField showAll="0"/>
    <pivotField showAll="0"/>
    <pivotField showAll="0"/>
  </pivotFields>
  <rowFields count="2">
    <field x="4"/>
    <field x="-2"/>
  </rowFields>
  <rowItems count="5">
    <i>
      <x v="26"/>
    </i>
    <i r="1">
      <x/>
    </i>
    <i r="1" i="1">
      <x v="1"/>
    </i>
    <i t="grand">
      <x/>
    </i>
    <i t="grand" i="1">
      <x/>
    </i>
  </rowItems>
  <colItems count="1">
    <i/>
  </colItems>
  <dataFields count="2">
    <dataField name="Opp.3PA." fld="30" subtotal="average" baseField="0" baseItem="0"/>
    <dataField name="Opp.3PM." fld="29" subtotal="average" baseField="0" baseItem="0"/>
  </dataFields>
  <formats count="1">
    <format dxfId="137">
      <pivotArea collapsedLevelsAreSubtotals="1" fieldPosition="0">
        <references count="2">
          <reference field="4294967294" count="2">
            <x v="0"/>
            <x v="1"/>
          </reference>
          <reference field="4" count="0" selected="0"/>
        </references>
      </pivotArea>
    </format>
  </formats>
  <chartFormats count="1">
    <chartFormat chart="1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BA23678-7154-F94D-BC1A-AD022EEC568F}" name="PivotTable23" cacheId="1" dataOnRows="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L25:M28" firstHeaderRow="1" firstDataRow="1" firstDataCol="1"/>
  <pivotFields count="42">
    <pivotField showAll="0"/>
    <pivotField showAll="0"/>
    <pivotField numFmtId="14" showAll="0"/>
    <pivotField showAll="0">
      <items count="3">
        <item x="0"/>
        <item x="1"/>
        <item t="default"/>
      </items>
    </pivotField>
    <pivotField axis="axisRow" showAll="0">
      <items count="30">
        <item h="1" x="12"/>
        <item h="1" x="26"/>
        <item h="1" x="27"/>
        <item h="1" x="6"/>
        <item h="1" x="2"/>
        <item h="1" x="24"/>
        <item h="1" x="4"/>
        <item h="1" x="16"/>
        <item h="1" x="22"/>
        <item h="1" x="10"/>
        <item h="1" x="25"/>
        <item h="1" x="20"/>
        <item h="1" x="0"/>
        <item h="1" x="3"/>
        <item h="1" x="7"/>
        <item h="1" x="21"/>
        <item h="1" x="18"/>
        <item h="1" x="14"/>
        <item h="1" x="23"/>
        <item h="1" x="13"/>
        <item h="1" x="19"/>
        <item h="1" x="28"/>
        <item h="1" x="9"/>
        <item h="1" x="17"/>
        <item h="1" x="11"/>
        <item h="1" x="5"/>
        <item x="8"/>
        <item h="1" x="1"/>
        <item h="1" x="15"/>
        <item t="default"/>
      </items>
    </pivotField>
    <pivotField showAll="0"/>
    <pivotField multipleItemSelectionAllowed="1" showAll="0">
      <items count="3">
        <item x="0"/>
        <item x="1"/>
        <item t="default"/>
      </items>
    </pivotField>
    <pivotField showAll="0"/>
    <pivotField showAll="0"/>
    <pivotField showAll="0"/>
    <pivotField showAll="0"/>
    <pivotField numFmtId="10" showAll="0"/>
    <pivotField showAll="0"/>
    <pivotField showAll="0"/>
    <pivotField numFmtId="10" showAll="0"/>
    <pivotField showAll="0"/>
    <pivotField showAll="0"/>
    <pivotField dataField="1" numFmtId="10" showAll="0"/>
    <pivotField showAll="0"/>
    <pivotField showAll="0"/>
    <pivotField showAll="0"/>
    <pivotField showAll="0"/>
    <pivotField showAll="0"/>
    <pivotField showAll="0"/>
    <pivotField showAll="0"/>
    <pivotField showAll="0"/>
    <pivotField showAll="0"/>
    <pivotField showAll="0"/>
    <pivotField numFmtId="10" showAll="0"/>
    <pivotField showAll="0"/>
    <pivotField showAll="0"/>
    <pivotField numFmtId="10" showAll="0"/>
    <pivotField showAll="0"/>
    <pivotField showAll="0"/>
    <pivotField dataField="1" numFmtId="10" showAll="0"/>
    <pivotField showAll="0"/>
    <pivotField showAll="0"/>
    <pivotField showAll="0"/>
    <pivotField showAll="0"/>
    <pivotField showAll="0"/>
    <pivotField showAll="0"/>
    <pivotField showAll="0"/>
  </pivotFields>
  <rowFields count="2">
    <field x="4"/>
    <field x="-2"/>
  </rowFields>
  <rowItems count="3">
    <i>
      <x v="26"/>
    </i>
    <i r="1">
      <x/>
    </i>
    <i r="1" i="1">
      <x v="1"/>
    </i>
  </rowItems>
  <colItems count="1">
    <i/>
  </colItems>
  <dataFields count="2">
    <dataField name=" FT%." fld="17" subtotal="average" baseField="0" baseItem="0"/>
    <dataField name="Opp.FT%." fld="34" subtotal="average" baseField="0" baseItem="0"/>
  </dataFields>
  <formats count="1">
    <format dxfId="138">
      <pivotArea collapsedLevelsAreSubtotals="1" fieldPosition="0">
        <references count="2">
          <reference field="4294967294" count="2">
            <x v="0"/>
            <x v="1"/>
          </reference>
          <reference field="4" count="0" selected="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A657ADD-70C8-A047-8341-8ECB08E67683}" name="PivotTable16"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G3:H8" firstHeaderRow="1" firstDataRow="1" firstDataCol="1"/>
  <pivotFields count="42">
    <pivotField showAll="0"/>
    <pivotField showAll="0"/>
    <pivotField numFmtId="14" showAll="0"/>
    <pivotField showAll="0">
      <items count="3">
        <item x="0"/>
        <item x="1"/>
        <item t="default"/>
      </items>
    </pivotField>
    <pivotField axis="axisRow" showAll="0">
      <items count="30">
        <item h="1" x="12"/>
        <item h="1" x="26"/>
        <item h="1" x="27"/>
        <item h="1" x="6"/>
        <item h="1" x="2"/>
        <item h="1" x="24"/>
        <item h="1" x="4"/>
        <item h="1" x="16"/>
        <item h="1" x="22"/>
        <item h="1" x="10"/>
        <item h="1" x="25"/>
        <item h="1" x="20"/>
        <item h="1" x="0"/>
        <item h="1" x="3"/>
        <item h="1" x="7"/>
        <item h="1" x="21"/>
        <item h="1" x="18"/>
        <item h="1" x="14"/>
        <item h="1" x="23"/>
        <item h="1" x="13"/>
        <item h="1" x="19"/>
        <item h="1" x="28"/>
        <item h="1" x="9"/>
        <item h="1" x="17"/>
        <item h="1" x="11"/>
        <item h="1" x="5"/>
        <item x="8"/>
        <item h="1" x="1"/>
        <item h="1" x="15"/>
        <item t="default"/>
      </items>
    </pivotField>
    <pivotField showAll="0"/>
    <pivotField multipleItemSelectionAllowed="1" showAll="0">
      <items count="3">
        <item x="0"/>
        <item x="1"/>
        <item t="default"/>
      </items>
    </pivotField>
    <pivotField showAll="0"/>
    <pivotField showAll="0"/>
    <pivotField showAll="0"/>
    <pivotField showAll="0"/>
    <pivotField numFmtId="10" showAll="0"/>
    <pivotField showAll="0"/>
    <pivotField showAll="0"/>
    <pivotField numFmtId="10" showAll="0"/>
    <pivotField showAll="0"/>
    <pivotField showAll="0"/>
    <pivotField numFmtId="10" showAll="0"/>
    <pivotField showAll="0"/>
    <pivotField showAll="0"/>
    <pivotField showAll="0"/>
    <pivotField showAll="0"/>
    <pivotField showAll="0"/>
    <pivotField showAll="0"/>
    <pivotField showAll="0"/>
    <pivotField showAll="0"/>
    <pivotField dataField="1" showAll="0"/>
    <pivotField dataField="1" showAll="0"/>
    <pivotField numFmtId="10" showAll="0"/>
    <pivotField showAll="0"/>
    <pivotField showAll="0"/>
    <pivotField numFmtId="10" showAll="0"/>
    <pivotField showAll="0"/>
    <pivotField showAll="0"/>
    <pivotField numFmtId="10" showAll="0"/>
    <pivotField showAll="0"/>
    <pivotField showAll="0"/>
    <pivotField showAll="0"/>
    <pivotField showAll="0"/>
    <pivotField showAll="0"/>
    <pivotField showAll="0"/>
    <pivotField showAll="0"/>
  </pivotFields>
  <rowFields count="2">
    <field x="4"/>
    <field x="-2"/>
  </rowFields>
  <rowItems count="5">
    <i>
      <x v="26"/>
    </i>
    <i r="1">
      <x/>
    </i>
    <i r="1" i="1">
      <x v="1"/>
    </i>
    <i t="grand">
      <x/>
    </i>
    <i t="grand" i="1">
      <x/>
    </i>
  </rowItems>
  <colItems count="1">
    <i/>
  </colItems>
  <dataFields count="2">
    <dataField name="Opp.FGA." fld="27" subtotal="average" baseField="0" baseItem="0"/>
    <dataField name="Opp.FGM." fld="26" subtotal="average" baseField="0" baseItem="0"/>
  </dataFields>
  <formats count="2">
    <format dxfId="140">
      <pivotArea collapsedLevelsAreSubtotals="1" fieldPosition="0">
        <references count="2">
          <reference field="4294967294" count="1">
            <x v="0"/>
          </reference>
          <reference field="4" count="0" selected="0"/>
        </references>
      </pivotArea>
    </format>
    <format dxfId="139">
      <pivotArea collapsedLevelsAreSubtotals="1" fieldPosition="0">
        <references count="2">
          <reference field="4294967294" count="1">
            <x v="1"/>
          </reference>
          <reference field="4" count="0" selected="0"/>
        </references>
      </pivotArea>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D8612A8-A81B-2146-94F2-AE2F6D19C4F6}" name="PivotTable18"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4:B19" firstHeaderRow="1" firstDataRow="1" firstDataCol="1"/>
  <pivotFields count="42">
    <pivotField showAll="0"/>
    <pivotField showAll="0"/>
    <pivotField numFmtId="14" showAll="0"/>
    <pivotField showAll="0">
      <items count="3">
        <item x="0"/>
        <item x="1"/>
        <item t="default"/>
      </items>
    </pivotField>
    <pivotField axis="axisRow" showAll="0">
      <items count="30">
        <item h="1" x="12"/>
        <item h="1" x="26"/>
        <item h="1" x="27"/>
        <item h="1" x="6"/>
        <item h="1" x="2"/>
        <item h="1" x="24"/>
        <item h="1" x="4"/>
        <item h="1" x="16"/>
        <item h="1" x="22"/>
        <item h="1" x="10"/>
        <item h="1" x="25"/>
        <item h="1" x="20"/>
        <item h="1" x="0"/>
        <item h="1" x="3"/>
        <item h="1" x="7"/>
        <item h="1" x="21"/>
        <item h="1" x="18"/>
        <item h="1" x="14"/>
        <item h="1" x="23"/>
        <item h="1" x="13"/>
        <item h="1" x="19"/>
        <item h="1" x="28"/>
        <item h="1" x="9"/>
        <item h="1" x="17"/>
        <item h="1" x="11"/>
        <item h="1" x="5"/>
        <item x="8"/>
        <item h="1" x="1"/>
        <item h="1" x="15"/>
        <item t="default"/>
      </items>
    </pivotField>
    <pivotField showAll="0">
      <items count="5">
        <item x="0"/>
        <item h="1" x="1"/>
        <item h="1" x="2"/>
        <item h="1" x="3"/>
        <item t="default"/>
      </items>
    </pivotField>
    <pivotField multipleItemSelectionAllowed="1" showAll="0">
      <items count="3">
        <item x="0"/>
        <item x="1"/>
        <item t="default"/>
      </items>
    </pivotField>
    <pivotField showAll="0"/>
    <pivotField showAll="0"/>
    <pivotField showAll="0"/>
    <pivotField showAll="0"/>
    <pivotField numFmtId="10" showAll="0"/>
    <pivotField dataField="1" showAll="0"/>
    <pivotField dataField="1" showAll="0"/>
    <pivotField numFmtId="10" showAll="0"/>
    <pivotField showAll="0"/>
    <pivotField showAll="0"/>
    <pivotField numFmtId="10" showAll="0"/>
    <pivotField showAll="0"/>
    <pivotField showAll="0"/>
    <pivotField showAll="0"/>
    <pivotField showAll="0"/>
    <pivotField showAll="0"/>
    <pivotField showAll="0"/>
    <pivotField showAll="0"/>
    <pivotField showAll="0"/>
    <pivotField showAll="0"/>
    <pivotField showAll="0"/>
    <pivotField numFmtId="10" showAll="0"/>
    <pivotField showAll="0"/>
    <pivotField showAll="0"/>
    <pivotField numFmtId="10" showAll="0"/>
    <pivotField showAll="0"/>
    <pivotField showAll="0"/>
    <pivotField numFmtId="10" showAll="0"/>
    <pivotField showAll="0"/>
    <pivotField showAll="0"/>
    <pivotField showAll="0"/>
    <pivotField showAll="0"/>
    <pivotField showAll="0"/>
    <pivotField showAll="0"/>
    <pivotField showAll="0"/>
  </pivotFields>
  <rowFields count="2">
    <field x="4"/>
    <field x="-2"/>
  </rowFields>
  <rowItems count="5">
    <i>
      <x v="26"/>
    </i>
    <i r="1">
      <x/>
    </i>
    <i r="1" i="1">
      <x v="1"/>
    </i>
    <i t="grand">
      <x/>
    </i>
    <i t="grand" i="1">
      <x/>
    </i>
  </rowItems>
  <colItems count="1">
    <i/>
  </colItems>
  <dataFields count="2">
    <dataField name=" 3PA." fld="13" subtotal="max" baseField="0" baseItem="0"/>
    <dataField name="3PM." fld="12" subtotal="max" baseField="0" baseItem="0"/>
  </dataFields>
  <formats count="1">
    <format dxfId="141">
      <pivotArea collapsedLevelsAreSubtotals="1" fieldPosition="0">
        <references count="2">
          <reference field="4294967294" count="2">
            <x v="0"/>
            <x v="1"/>
          </reference>
          <reference field="4" count="0" selected="0"/>
        </references>
      </pivotArea>
    </format>
  </formats>
  <chartFormats count="1">
    <chartFormat chart="1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A6D918E-1681-C448-9AAC-FAE59B667D0D}" name="PivotTable17"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L3:M8" firstHeaderRow="1" firstDataRow="1" firstDataCol="1"/>
  <pivotFields count="42">
    <pivotField showAll="0"/>
    <pivotField showAll="0"/>
    <pivotField numFmtId="14" showAll="0"/>
    <pivotField showAll="0">
      <items count="3">
        <item x="0"/>
        <item x="1"/>
        <item t="default"/>
      </items>
    </pivotField>
    <pivotField axis="axisRow" showAll="0">
      <items count="30">
        <item h="1" x="12"/>
        <item h="1" x="26"/>
        <item h="1" x="27"/>
        <item h="1" x="6"/>
        <item h="1" x="2"/>
        <item h="1" x="24"/>
        <item h="1" x="4"/>
        <item h="1" x="16"/>
        <item h="1" x="22"/>
        <item h="1" x="10"/>
        <item h="1" x="25"/>
        <item h="1" x="20"/>
        <item h="1" x="0"/>
        <item h="1" x="3"/>
        <item h="1" x="7"/>
        <item h="1" x="21"/>
        <item h="1" x="18"/>
        <item h="1" x="14"/>
        <item h="1" x="23"/>
        <item h="1" x="13"/>
        <item h="1" x="19"/>
        <item h="1" x="28"/>
        <item h="1" x="9"/>
        <item h="1" x="17"/>
        <item h="1" x="11"/>
        <item h="1" x="5"/>
        <item x="8"/>
        <item h="1" x="1"/>
        <item h="1" x="15"/>
        <item t="default"/>
      </items>
    </pivotField>
    <pivotField showAll="0"/>
    <pivotField multipleItemSelectionAllowed="1" showAll="0">
      <items count="3">
        <item x="0"/>
        <item x="1"/>
        <item t="default"/>
      </items>
    </pivotField>
    <pivotField showAll="0"/>
    <pivotField showAll="0"/>
    <pivotField showAll="0"/>
    <pivotField showAll="0"/>
    <pivotField dataField="1" numFmtId="10" showAll="0"/>
    <pivotField showAll="0"/>
    <pivotField showAll="0"/>
    <pivotField numFmtId="10" showAll="0"/>
    <pivotField showAll="0"/>
    <pivotField showAll="0"/>
    <pivotField numFmtId="10" showAll="0"/>
    <pivotField showAll="0"/>
    <pivotField showAll="0"/>
    <pivotField showAll="0"/>
    <pivotField showAll="0"/>
    <pivotField showAll="0"/>
    <pivotField showAll="0"/>
    <pivotField showAll="0"/>
    <pivotField showAll="0"/>
    <pivotField showAll="0"/>
    <pivotField showAll="0"/>
    <pivotField dataField="1" numFmtId="10" showAll="0"/>
    <pivotField showAll="0"/>
    <pivotField showAll="0"/>
    <pivotField numFmtId="10" showAll="0"/>
    <pivotField showAll="0"/>
    <pivotField showAll="0"/>
    <pivotField numFmtId="10" showAll="0"/>
    <pivotField showAll="0"/>
    <pivotField showAll="0"/>
    <pivotField showAll="0"/>
    <pivotField showAll="0"/>
    <pivotField showAll="0"/>
    <pivotField showAll="0"/>
    <pivotField showAll="0"/>
  </pivotFields>
  <rowFields count="2">
    <field x="4"/>
    <field x="-2"/>
  </rowFields>
  <rowItems count="5">
    <i>
      <x v="26"/>
    </i>
    <i r="1">
      <x/>
    </i>
    <i r="1" i="1">
      <x v="1"/>
    </i>
    <i t="grand">
      <x/>
    </i>
    <i t="grand" i="1">
      <x/>
    </i>
  </rowItems>
  <colItems count="1">
    <i/>
  </colItems>
  <dataFields count="2">
    <dataField name="FG%." fld="11" subtotal="average" baseField="0" baseItem="0"/>
    <dataField name="OppFG%." fld="28" subtotal="average" baseField="0" baseItem="0"/>
  </dataFields>
  <formats count="1">
    <format dxfId="142">
      <pivotArea collapsedLevelsAreSubtotals="1" fieldPosition="0">
        <references count="2">
          <reference field="4294967294" count="2">
            <x v="0"/>
            <x v="1"/>
          </reference>
          <reference field="4" count="0" selected="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yer1" xr10:uid="{1B93ED2B-6093-0944-93FB-3F6A9DC1024B}" sourceName="Player">
  <pivotTables>
    <pivotTable tabId="16" name="PivotTable8"/>
    <pivotTable tabId="16" name="PivotTable9"/>
  </pivotTables>
  <data>
    <tabular pivotCacheId="303886217">
      <items count="20">
        <i x="0"/>
        <i x="1"/>
        <i x="2"/>
        <i x="3"/>
        <i x="4"/>
        <i x="5"/>
        <i x="6"/>
        <i x="7"/>
        <i x="8"/>
        <i x="9"/>
        <i x="10"/>
        <i x="11"/>
        <i x="12" s="1"/>
        <i x="13" s="1"/>
        <i x="14" s="1"/>
        <i x="15"/>
        <i x="16"/>
        <i x="17"/>
        <i x="18"/>
        <i x="19"/>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 xr10:uid="{BDD5A191-81CE-6149-8755-209BEB8ED1FA}" sourceName="Opp">
  <pivotTables>
    <pivotTable tabId="23" name="PivotTable12"/>
    <pivotTable tabId="23" name="PivotTable16"/>
    <pivotTable tabId="23" name="PivotTable17"/>
    <pivotTable tabId="23" name="PivotTable18"/>
    <pivotTable tabId="23" name="PivotTable19"/>
    <pivotTable tabId="23" name="PivotTable20"/>
    <pivotTable tabId="23" name="PivotTable21"/>
    <pivotTable tabId="23" name="PivotTable22"/>
    <pivotTable tabId="23" name="PivotTable23"/>
    <pivotTable tabId="23" name="PivotTable24"/>
    <pivotTable tabId="23" name="PivotTable25"/>
  </pivotTables>
  <data>
    <tabular pivotCacheId="226262588">
      <items count="29">
        <i x="12"/>
        <i x="26"/>
        <i x="27"/>
        <i x="6"/>
        <i x="2"/>
        <i x="24"/>
        <i x="4"/>
        <i x="16"/>
        <i x="22"/>
        <i x="10"/>
        <i x="25"/>
        <i x="20"/>
        <i x="0"/>
        <i x="3"/>
        <i x="7"/>
        <i x="21"/>
        <i x="18"/>
        <i x="14"/>
        <i x="23"/>
        <i x="13"/>
        <i x="19"/>
        <i x="28"/>
        <i x="9"/>
        <i x="17"/>
        <i x="11"/>
        <i x="5"/>
        <i x="8" s="1"/>
        <i x="1"/>
        <i x="1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 1" xr10:uid="{A63F7678-2328-6F4A-95E4-B9C44B05C104}" cache="Slicer_Opp" caption="Opponent" columnCount="2" style="SlicerStyleDark4"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yer 1" xr10:uid="{11546207-C249-B548-9347-834769232668}" cache="Slicer_Player1" caption="Player" startItem="12"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B1BFB5-BF2A-9B46-B5BF-340B9DE4101D}" name="Table3" displayName="Table3" ref="AH32:AM52" totalsRowShown="0" headerRowDxfId="131" dataDxfId="130">
  <autoFilter ref="AH32:AM52" xr:uid="{EEB1BFB5-BF2A-9B46-B5BF-340B9DE4101D}"/>
  <sortState xmlns:xlrd2="http://schemas.microsoft.com/office/spreadsheetml/2017/richdata2" ref="AH33:AM52">
    <sortCondition ref="AI32:AI52"/>
  </sortState>
  <tableColumns count="6">
    <tableColumn id="1" xr3:uid="{9C9F71F8-A6E5-3045-90D6-0F0A143679D8}" name="Jersey No." dataDxfId="129"/>
    <tableColumn id="2" xr3:uid="{78954540-132C-2341-894D-FD70654A0FBE}" name="Player" dataDxfId="128"/>
    <tableColumn id="3" xr3:uid="{E9603F63-BD68-AB4E-9857-CF67A933E4D4}" name="Position" dataDxfId="127"/>
    <tableColumn id="4" xr3:uid="{B65DF07C-F98F-C943-AF44-DF278E18F3D7}" name="Height" dataDxfId="126"/>
    <tableColumn id="5" xr3:uid="{3359F888-732F-F141-A8B7-82BC655D10B2}" name="Weight" dataDxfId="125"/>
    <tableColumn id="9" xr3:uid="{382F3894-58E0-0940-B0DC-7F96BC14681F}" name="College" dataDxfId="12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62BDC58-E420-7448-A7C3-0BA64F33E6AD}" name="Table13" displayName="Table13" ref="A2:BN22" totalsRowShown="0" headerRowDxfId="123" dataDxfId="122" tableBorderDxfId="121">
  <autoFilter ref="A2:BN22" xr:uid="{D62BDC58-E420-7448-A7C3-0BA64F33E6AD}"/>
  <tableColumns count="66">
    <tableColumn id="1" xr3:uid="{22246E97-B594-EB41-BB24-C1C68C9C68E7}" name="Rk"/>
    <tableColumn id="2" xr3:uid="{413C5F58-FE5F-4F4F-A30A-5F05D99E1FC1}" name="Player"/>
    <tableColumn id="3" xr3:uid="{612186FD-179F-4642-BB13-B3881C840E44}" name="AGE"/>
    <tableColumn id="4" xr3:uid="{B22A899E-2856-7940-9258-69AA8FA280A6}" name="G"/>
    <tableColumn id="5" xr3:uid="{AB59ABB1-7D7E-5E42-BFD5-FA3299AEE519}" name="GS"/>
    <tableColumn id="6" xr3:uid="{00F8B292-E826-6245-833E-3392FE8C8C32}" name="MP"/>
    <tableColumn id="7" xr3:uid="{15C04097-7F63-BC45-92DA-840C219105FA}" name="FG"/>
    <tableColumn id="8" xr3:uid="{5B4DEEBA-2B77-B945-BF1D-B2E9211F3C16}" name="FGA"/>
    <tableColumn id="9" xr3:uid="{E376D638-A727-2347-9B81-2DB302178F00}" name="FG%"/>
    <tableColumn id="10" xr3:uid="{18C02D8D-AE8E-A743-BCC7-327BAB48F8D0}" name="3PM"/>
    <tableColumn id="11" xr3:uid="{633E632D-6D2A-844D-8295-EA2179B44B62}" name="3PA"/>
    <tableColumn id="12" xr3:uid="{B23DE185-DD22-5549-A508-8599B9AA25AF}" name="3PMISS" dataDxfId="120">
      <calculatedColumnFormula>Table13[[#This Row],[3PA]]-Table13[[#This Row],[3PM]]</calculatedColumnFormula>
    </tableColumn>
    <tableColumn id="13" xr3:uid="{8E703364-38E7-DE42-8F6A-76B695526729}" name="3P%"/>
    <tableColumn id="14" xr3:uid="{DC7E75AD-619E-FB40-BECD-8729B57A3252}" name="2PM"/>
    <tableColumn id="15" xr3:uid="{1C1C2B54-3E72-174E-A301-522D847B0899}" name="2PA"/>
    <tableColumn id="16" xr3:uid="{6B8C36FC-06FC-A449-B494-71DD277DA9DA}" name="2PMISS" dataDxfId="119">
      <calculatedColumnFormula>Table13[[#This Row],[2PA]]-Table13[[#This Row],[2PM]]</calculatedColumnFormula>
    </tableColumn>
    <tableColumn id="17" xr3:uid="{EFC277CC-A46E-3E44-BEF6-9D60C3C1CBD6}" name="2P%"/>
    <tableColumn id="18" xr3:uid="{BEB0C80A-0A0A-1544-897E-0FBC35D7748A}" name="eFG%"/>
    <tableColumn id="19" xr3:uid="{09A7CB7C-4B50-1F4C-8E5D-404E27700D20}" name="FT"/>
    <tableColumn id="20" xr3:uid="{F6BD8021-5FA3-B04A-A32D-34FD3B21F45B}" name="FTA"/>
    <tableColumn id="21" xr3:uid="{ED1572DA-D502-9E4F-B0A3-308CE53B9C99}" name="FT%"/>
    <tableColumn id="22" xr3:uid="{8087361C-3D1D-5F4C-8227-213580971336}" name="ORB"/>
    <tableColumn id="23" xr3:uid="{1B703714-AD43-614E-BDEB-C2DCE1299D33}" name="DRB"/>
    <tableColumn id="24" xr3:uid="{37F1FE5A-CA31-5047-BFF8-EAB056601491}" name="TRB"/>
    <tableColumn id="25" xr3:uid="{D9BD82FF-6E83-B543-85F3-3D8C56A56C2E}" name="AST"/>
    <tableColumn id="26" xr3:uid="{B5E98186-07AB-4D4B-8D18-E64B3A45C720}" name="STL"/>
    <tableColumn id="27" xr3:uid="{3AB6B3A1-503A-B549-BA91-85394DCF5923}" name="BLK"/>
    <tableColumn id="28" xr3:uid="{948571CF-8578-F843-88BB-1576B8479DCE}" name="TOV"/>
    <tableColumn id="29" xr3:uid="{A7E4063C-FF57-714A-B6B3-6880BFB4AB4C}" name="PF"/>
    <tableColumn id="30" xr3:uid="{0EA6DA69-CDE8-2F42-9E03-FE10FEE1F5B5}" name="PTS/G"/>
    <tableColumn id="31" xr3:uid="{D9791C83-67DC-2A40-8C2D-BFC7578E88D7}" name="Photo"/>
    <tableColumn id="32" xr3:uid="{A24173AE-F9AB-0C43-8EC8-56D02C3A87B5}" name="Jersey No." dataDxfId="118"/>
    <tableColumn id="33" xr3:uid="{75C22987-726B-2A41-AB23-3D67D58E8692}" name="Position" dataDxfId="117"/>
    <tableColumn id="34" xr3:uid="{2A882BA4-ED61-6B4D-B0C6-95B97BC1E72B}" name="Height" dataDxfId="116"/>
    <tableColumn id="35" xr3:uid="{0AE00F4A-B6BA-9949-AB85-3399F239BAEB}" name="Weight" dataDxfId="115"/>
    <tableColumn id="36" xr3:uid="{E43B969C-F032-4D42-92A6-004288301643}" name="Birth Date" dataDxfId="114"/>
    <tableColumn id="37" xr3:uid="{6A4CB1B5-D492-1F4B-8C06-1536763DAC0B}" name="Experience" dataDxfId="113"/>
    <tableColumn id="38" xr3:uid="{5028BFAF-7F47-F040-AC8F-56A8BA2B5081}" name="College" dataDxfId="112"/>
    <tableColumn id="39" xr3:uid="{FB38BFC9-8D9F-7247-BACC-4ACC1FF79144}" name="P.Age" dataDxfId="111"/>
    <tableColumn id="40" xr3:uid="{3AA69F92-9C69-AF48-9D33-E2515EEFB20E}" name="P.G" dataDxfId="110"/>
    <tableColumn id="41" xr3:uid="{B748A329-05CC-FC41-A4E8-908E03BDD54C}" name="P.GS" dataDxfId="109"/>
    <tableColumn id="42" xr3:uid="{29BCF450-321F-0F45-B8B7-E55EC2D16E3F}" name="P.MP" dataDxfId="108"/>
    <tableColumn id="43" xr3:uid="{6A24922A-A10C-6146-9AC8-61304FD22FC6}" name="P.FG" dataDxfId="107"/>
    <tableColumn id="44" xr3:uid="{069572A3-7566-724E-88E1-7FD4ACEC1BBC}" name="P.FGA" dataDxfId="106"/>
    <tableColumn id="45" xr3:uid="{5DE6877E-6F77-FE42-B57F-53207BE70D0E}" name="P.FG%" dataDxfId="105"/>
    <tableColumn id="46" xr3:uid="{A6C56989-AC4B-F941-AFE4-C2F0C5A2377A}" name="P.3PM" dataDxfId="104"/>
    <tableColumn id="47" xr3:uid="{DE97BAE1-6068-E048-973E-01F82160194D}" name="P.3PA" dataDxfId="103"/>
    <tableColumn id="48" xr3:uid="{6EF7C2AD-FE16-4446-984B-FA4A1C2E9E8A}" name="P.3PMISS"/>
    <tableColumn id="49" xr3:uid="{D5E1C40A-CF9F-DE4C-80CD-C2CAF74A8EB5}" name="P.3P%" dataDxfId="102"/>
    <tableColumn id="50" xr3:uid="{DFC2B820-C8F0-F74F-BB0E-99E25DC895C7}" name="P.2PM" dataDxfId="101"/>
    <tableColumn id="51" xr3:uid="{4562C9BC-B4E5-0F40-9B13-F311B20D979A}" name="P.2PA" dataDxfId="100"/>
    <tableColumn id="52" xr3:uid="{B9977BF7-294E-5E4E-9E16-FB2A78C92922}" name="P.2PMISS"/>
    <tableColumn id="53" xr3:uid="{C5FC381F-9F07-314A-9EDC-8A3C07D57A01}" name="P.2P%" dataDxfId="99"/>
    <tableColumn id="54" xr3:uid="{2B7DEC56-AB74-1444-93FF-F3BB3D3343A7}" name="P.eFG%" dataDxfId="98"/>
    <tableColumn id="55" xr3:uid="{19EBCBDD-BE62-BB49-8F2C-8BD522A2C362}" name="P.FT" dataDxfId="97"/>
    <tableColumn id="56" xr3:uid="{16909359-9EF6-E246-92CD-44DB8B60C784}" name="P.FTA" dataDxfId="96"/>
    <tableColumn id="57" xr3:uid="{3B5D4CAF-70FD-2C40-B996-9DD5BEF1851F}" name="P.FT%"/>
    <tableColumn id="58" xr3:uid="{8B8AF504-2C09-5641-B7A0-B89F4A282F99}" name="P.ORB" dataDxfId="95"/>
    <tableColumn id="59" xr3:uid="{93B04719-7741-2B45-B920-2377B6828A7A}" name="P.DRB" dataDxfId="94"/>
    <tableColumn id="60" xr3:uid="{81881255-6619-3D42-BB67-3A269755A231}" name="P.TRB" dataDxfId="93"/>
    <tableColumn id="61" xr3:uid="{27CC460A-2435-A844-B673-FA938A3358FA}" name="P.AST" dataDxfId="92"/>
    <tableColumn id="62" xr3:uid="{A6F3334A-834D-BA45-A5E3-7725FA4DDB0A}" name="P.STL" dataDxfId="91"/>
    <tableColumn id="63" xr3:uid="{C45C8F87-F9F2-C646-9C71-7AF61B1DB9F0}" name="P.BLK" dataDxfId="90"/>
    <tableColumn id="64" xr3:uid="{74984BDF-76B9-AF44-A209-5DE2B8B4F8B9}" name="P.TOV" dataDxfId="89"/>
    <tableColumn id="65" xr3:uid="{3AD51DF0-47F7-EE4D-AABC-44DCC572FA12}" name="P.PF" dataDxfId="88"/>
    <tableColumn id="66" xr3:uid="{7EAF843F-D649-8D47-98F4-D0F4AA9703A5}" name="P.PTS/G" dataDxfId="87"/>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9" displayName="Table9" ref="AY2:CM23" totalsRowShown="0" headerRowDxfId="86" dataDxfId="85">
  <autoFilter ref="AY2:CM23" xr:uid="{00000000-0009-0000-0100-000009000000}"/>
  <tableColumns count="41">
    <tableColumn id="1" xr3:uid="{00000000-0010-0000-0200-000001000000}" name="Rk" dataDxfId="84"/>
    <tableColumn id="2" xr3:uid="{00000000-0010-0000-0200-000002000000}" name="G" dataDxfId="83"/>
    <tableColumn id="3" xr3:uid="{00000000-0010-0000-0200-000003000000}" name="Date" dataDxfId="82"/>
    <tableColumn id="4" xr3:uid="{00000000-0010-0000-0200-000004000000}" name="Column1" dataDxfId="81"/>
    <tableColumn id="5" xr3:uid="{00000000-0010-0000-0200-000005000000}" name="Opp" dataDxfId="80"/>
    <tableColumn id="6" xr3:uid="{00000000-0010-0000-0200-000006000000}" name="W/L" dataDxfId="79"/>
    <tableColumn id="7" xr3:uid="{00000000-0010-0000-0200-000007000000}" name="Tm" dataDxfId="78"/>
    <tableColumn id="8" xr3:uid="{00000000-0010-0000-0200-000008000000}" name="Opp2" dataDxfId="77"/>
    <tableColumn id="9" xr3:uid="{00000000-0010-0000-0200-000009000000}" name="FG" dataDxfId="76"/>
    <tableColumn id="10" xr3:uid="{00000000-0010-0000-0200-00000A000000}" name="FGA" dataDxfId="75"/>
    <tableColumn id="11" xr3:uid="{00000000-0010-0000-0200-00000B000000}" name="FG%" dataDxfId="74"/>
    <tableColumn id="12" xr3:uid="{00000000-0010-0000-0200-00000C000000}" name="3PM" dataDxfId="73"/>
    <tableColumn id="13" xr3:uid="{00000000-0010-0000-0200-00000D000000}" name="3PA" dataDxfId="72"/>
    <tableColumn id="14" xr3:uid="{00000000-0010-0000-0200-00000E000000}" name="3P%" dataDxfId="71"/>
    <tableColumn id="15" xr3:uid="{00000000-0010-0000-0200-00000F000000}" name="FT" dataDxfId="70"/>
    <tableColumn id="16" xr3:uid="{00000000-0010-0000-0200-000010000000}" name="FTA" dataDxfId="69"/>
    <tableColumn id="17" xr3:uid="{00000000-0010-0000-0200-000011000000}" name="FT%" dataDxfId="68"/>
    <tableColumn id="18" xr3:uid="{00000000-0010-0000-0200-000012000000}" name="ORB" dataDxfId="67"/>
    <tableColumn id="19" xr3:uid="{00000000-0010-0000-0200-000013000000}" name="TRB" dataDxfId="66"/>
    <tableColumn id="20" xr3:uid="{00000000-0010-0000-0200-000014000000}" name="AST" dataDxfId="65"/>
    <tableColumn id="21" xr3:uid="{00000000-0010-0000-0200-000015000000}" name="STL" dataDxfId="64"/>
    <tableColumn id="22" xr3:uid="{00000000-0010-0000-0200-000016000000}" name="BLK" dataDxfId="63"/>
    <tableColumn id="23" xr3:uid="{00000000-0010-0000-0200-000017000000}" name="TOV" dataDxfId="62"/>
    <tableColumn id="24" xr3:uid="{00000000-0010-0000-0200-000018000000}" name="PF" dataDxfId="61"/>
    <tableColumn id="25" xr3:uid="{00000000-0010-0000-0200-000019000000}" name="Team W/L Streak (Playoffs)" dataDxfId="60"/>
    <tableColumn id="26" xr3:uid="{00000000-0010-0000-0200-00001A000000}" name="Opp.FG" dataDxfId="59"/>
    <tableColumn id="27" xr3:uid="{00000000-0010-0000-0200-00001B000000}" name="Opp.FGA" dataDxfId="58"/>
    <tableColumn id="28" xr3:uid="{00000000-0010-0000-0200-00001C000000}" name="OppFG%" dataDxfId="57"/>
    <tableColumn id="29" xr3:uid="{00000000-0010-0000-0200-00001D000000}" name="Opp.3PM" dataDxfId="56"/>
    <tableColumn id="30" xr3:uid="{00000000-0010-0000-0200-00001E000000}" name="Opp.3PA" dataDxfId="55"/>
    <tableColumn id="31" xr3:uid="{00000000-0010-0000-0200-00001F000000}" name="Opp.3P%" dataDxfId="54"/>
    <tableColumn id="32" xr3:uid="{00000000-0010-0000-0200-000020000000}" name="Opp.FT" dataDxfId="53"/>
    <tableColumn id="33" xr3:uid="{00000000-0010-0000-0200-000021000000}" name="Opp.FTA" dataDxfId="52"/>
    <tableColumn id="34" xr3:uid="{00000000-0010-0000-0200-000022000000}" name="Opp.FT%" dataDxfId="51"/>
    <tableColumn id="35" xr3:uid="{00000000-0010-0000-0200-000023000000}" name="Opp.ORB" dataDxfId="50"/>
    <tableColumn id="36" xr3:uid="{00000000-0010-0000-0200-000024000000}" name="Opp.TRB" dataDxfId="49"/>
    <tableColumn id="37" xr3:uid="{00000000-0010-0000-0200-000025000000}" name="Opp.AST" dataDxfId="48"/>
    <tableColumn id="38" xr3:uid="{00000000-0010-0000-0200-000026000000}" name="Opp.STL" dataDxfId="47"/>
    <tableColumn id="39" xr3:uid="{00000000-0010-0000-0200-000027000000}" name="Opp.BLK" dataDxfId="46"/>
    <tableColumn id="40" xr3:uid="{00000000-0010-0000-0200-000028000000}" name="Opp.TOV" dataDxfId="45"/>
    <tableColumn id="41" xr3:uid="{00000000-0010-0000-0200-000029000000}" name="Opp.PF" dataDxfId="4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1000000}" name="Table7" displayName="Table7" ref="A2:AP73" totalsRowShown="0" headerRowDxfId="43" dataDxfId="42">
  <autoFilter ref="A2:AP73" xr:uid="{00000000-0009-0000-0100-000007000000}"/>
  <tableColumns count="42">
    <tableColumn id="1" xr3:uid="{00000000-0010-0000-0100-000001000000}" name="Rk" dataDxfId="41"/>
    <tableColumn id="2" xr3:uid="{00000000-0010-0000-0100-000002000000}" name="G.Num" dataDxfId="40"/>
    <tableColumn id="3" xr3:uid="{00000000-0010-0000-0100-000003000000}" name="Date" dataDxfId="39"/>
    <tableColumn id="4" xr3:uid="{00000000-0010-0000-0100-000004000000}" name="Court" dataDxfId="38"/>
    <tableColumn id="5" xr3:uid="{00000000-0010-0000-0100-000005000000}" name="Opp" dataDxfId="37"/>
    <tableColumn id="42" xr3:uid="{B4B1F077-7C5E-FE4A-BCA0-35D2CD08293B}" name="Column1" dataDxfId="36"/>
    <tableColumn id="6" xr3:uid="{00000000-0010-0000-0100-000006000000}" name="W/L" dataDxfId="35"/>
    <tableColumn id="7" xr3:uid="{00000000-0010-0000-0100-000007000000}" name="Tm" dataDxfId="34"/>
    <tableColumn id="8" xr3:uid="{00000000-0010-0000-0100-000008000000}" name="Opp2" dataDxfId="33"/>
    <tableColumn id="9" xr3:uid="{00000000-0010-0000-0100-000009000000}" name="FGM" dataDxfId="32"/>
    <tableColumn id="10" xr3:uid="{00000000-0010-0000-0100-00000A000000}" name="FGA" dataDxfId="31"/>
    <tableColumn id="11" xr3:uid="{00000000-0010-0000-0100-00000B000000}" name="FG%" dataDxfId="30"/>
    <tableColumn id="12" xr3:uid="{00000000-0010-0000-0100-00000C000000}" name="3PM" dataDxfId="29"/>
    <tableColumn id="13" xr3:uid="{00000000-0010-0000-0100-00000D000000}" name="3PA" dataDxfId="28"/>
    <tableColumn id="14" xr3:uid="{00000000-0010-0000-0100-00000E000000}" name="3P%" dataDxfId="27"/>
    <tableColumn id="15" xr3:uid="{00000000-0010-0000-0100-00000F000000}" name="FTM" dataDxfId="26"/>
    <tableColumn id="16" xr3:uid="{00000000-0010-0000-0100-000010000000}" name="FTA" dataDxfId="25"/>
    <tableColumn id="17" xr3:uid="{00000000-0010-0000-0100-000011000000}" name="FT%" dataDxfId="24"/>
    <tableColumn id="18" xr3:uid="{00000000-0010-0000-0100-000012000000}" name="ORB" dataDxfId="23"/>
    <tableColumn id="19" xr3:uid="{00000000-0010-0000-0100-000013000000}" name="TRB" dataDxfId="22"/>
    <tableColumn id="20" xr3:uid="{00000000-0010-0000-0100-000014000000}" name="AST" dataDxfId="21"/>
    <tableColumn id="21" xr3:uid="{00000000-0010-0000-0100-000015000000}" name="STL" dataDxfId="20"/>
    <tableColumn id="22" xr3:uid="{00000000-0010-0000-0100-000016000000}" name="BLK" dataDxfId="19"/>
    <tableColumn id="23" xr3:uid="{00000000-0010-0000-0100-000017000000}" name="TOV" dataDxfId="18"/>
    <tableColumn id="24" xr3:uid="{00000000-0010-0000-0100-000018000000}" name="PF" dataDxfId="17"/>
    <tableColumn id="25" xr3:uid="{00000000-0010-0000-0100-000019000000}" name="Team W/L Streak" dataDxfId="16"/>
    <tableColumn id="26" xr3:uid="{00000000-0010-0000-0100-00001A000000}" name="Opp.FGM" dataDxfId="15"/>
    <tableColumn id="27" xr3:uid="{00000000-0010-0000-0100-00001B000000}" name="Opp.FGA" dataDxfId="14"/>
    <tableColumn id="28" xr3:uid="{00000000-0010-0000-0100-00001C000000}" name="OppFG%" dataDxfId="13"/>
    <tableColumn id="29" xr3:uid="{00000000-0010-0000-0100-00001D000000}" name="Opp.3PM" dataDxfId="12"/>
    <tableColumn id="30" xr3:uid="{00000000-0010-0000-0100-00001E000000}" name="Opp.3PA" dataDxfId="11"/>
    <tableColumn id="31" xr3:uid="{00000000-0010-0000-0100-00001F000000}" name="Opp.3P%" dataDxfId="10"/>
    <tableColumn id="32" xr3:uid="{00000000-0010-0000-0100-000020000000}" name="Opp.FTM" dataDxfId="9"/>
    <tableColumn id="33" xr3:uid="{00000000-0010-0000-0100-000021000000}" name="Opp.FTA" dataDxfId="8"/>
    <tableColumn id="34" xr3:uid="{00000000-0010-0000-0100-000022000000}" name="Opp.FT%" dataDxfId="7"/>
    <tableColumn id="35" xr3:uid="{00000000-0010-0000-0100-000023000000}" name="Opp.ORB" dataDxfId="6"/>
    <tableColumn id="36" xr3:uid="{00000000-0010-0000-0100-000024000000}" name="Opp.TRB" dataDxfId="5"/>
    <tableColumn id="37" xr3:uid="{00000000-0010-0000-0100-000025000000}" name="Opp.AST" dataDxfId="4"/>
    <tableColumn id="38" xr3:uid="{00000000-0010-0000-0100-000026000000}" name="Opp.STL" dataDxfId="3"/>
    <tableColumn id="39" xr3:uid="{00000000-0010-0000-0100-000027000000}" name="Opp.BLK" dataDxfId="2"/>
    <tableColumn id="40" xr3:uid="{00000000-0010-0000-0100-000028000000}" name="Opp.TOV" dataDxfId="1"/>
    <tableColumn id="41" xr3:uid="{00000000-0010-0000-0100-000029000000}" name="Opp.PF"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0.xml"/><Relationship Id="rId3" Type="http://schemas.openxmlformats.org/officeDocument/2006/relationships/pivotTable" Target="../pivotTables/pivotTable5.xml"/><Relationship Id="rId7" Type="http://schemas.openxmlformats.org/officeDocument/2006/relationships/pivotTable" Target="../pivotTables/pivotTable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11" Type="http://schemas.openxmlformats.org/officeDocument/2006/relationships/pivotTable" Target="../pivotTables/pivotTable13.xml"/><Relationship Id="rId5" Type="http://schemas.openxmlformats.org/officeDocument/2006/relationships/pivotTable" Target="../pivotTables/pivotTable7.xml"/><Relationship Id="rId10" Type="http://schemas.openxmlformats.org/officeDocument/2006/relationships/pivotTable" Target="../pivotTables/pivotTable12.xml"/><Relationship Id="rId4" Type="http://schemas.openxmlformats.org/officeDocument/2006/relationships/pivotTable" Target="../pivotTables/pivotTable6.xml"/><Relationship Id="rId9" Type="http://schemas.openxmlformats.org/officeDocument/2006/relationships/pivotTable" Target="../pivotTables/pivotTable1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19F4E-9028-3046-B2A0-792CCC04216A}">
  <sheetPr>
    <tabColor rgb="FFFFC000"/>
  </sheetPr>
  <dimension ref="A3:AC21"/>
  <sheetViews>
    <sheetView tabSelected="1" zoomScale="50" zoomScaleNormal="166" workbookViewId="0">
      <selection activeCell="C4" sqref="C4"/>
    </sheetView>
  </sheetViews>
  <sheetFormatPr baseColWidth="10" defaultRowHeight="16"/>
  <cols>
    <col min="1" max="1" width="5.33203125" customWidth="1"/>
    <col min="2" max="2" width="28.5" customWidth="1"/>
    <col min="3" max="3" width="40.6640625" customWidth="1"/>
    <col min="4" max="4" width="12.83203125" customWidth="1"/>
    <col min="5" max="5" width="17.33203125" customWidth="1"/>
    <col min="6" max="6" width="19.1640625" customWidth="1"/>
    <col min="7" max="7" width="3.5" customWidth="1"/>
  </cols>
  <sheetData>
    <row r="3" spans="1:29">
      <c r="A3" s="78"/>
      <c r="B3" s="78"/>
      <c r="C3" s="78"/>
      <c r="D3" s="78"/>
      <c r="E3" s="78"/>
      <c r="F3" s="78"/>
      <c r="G3" s="78"/>
    </row>
    <row r="4" spans="1:29" ht="34">
      <c r="A4" s="78"/>
      <c r="B4" s="85" t="s">
        <v>204</v>
      </c>
      <c r="C4" s="86" t="s">
        <v>31</v>
      </c>
      <c r="D4" s="93"/>
      <c r="E4" s="93"/>
      <c r="F4" s="93"/>
      <c r="G4" s="78"/>
    </row>
    <row r="5" spans="1:29">
      <c r="A5" s="78"/>
      <c r="B5" s="87"/>
      <c r="C5" s="87"/>
      <c r="D5" s="78"/>
      <c r="E5" s="78"/>
      <c r="F5" s="78"/>
      <c r="G5" s="78"/>
    </row>
    <row r="6" spans="1:29">
      <c r="B6" s="83"/>
      <c r="C6" s="83"/>
    </row>
    <row r="7" spans="1:29" ht="4" customHeight="1">
      <c r="B7" s="83"/>
      <c r="C7" s="83"/>
    </row>
    <row r="8" spans="1:29" hidden="1"/>
    <row r="9" spans="1:29" ht="14" customHeight="1"/>
    <row r="10" spans="1:29" ht="147" customHeight="1">
      <c r="C10" s="60"/>
    </row>
    <row r="11" spans="1:29" ht="30" customHeight="1"/>
    <row r="12" spans="1:29" ht="22" customHeight="1"/>
    <row r="13" spans="1:29">
      <c r="A13" s="84"/>
      <c r="B13" s="84"/>
      <c r="C13" s="84"/>
      <c r="D13" s="84"/>
      <c r="E13" s="84"/>
      <c r="F13" s="84"/>
      <c r="G13" s="84"/>
    </row>
    <row r="14" spans="1:29" ht="24">
      <c r="A14" s="84"/>
      <c r="B14" s="88" t="s">
        <v>210</v>
      </c>
      <c r="C14" s="88">
        <f>VLOOKUP(C4,'PLAYER STATS'!B3:AK22,31,FALSE)</f>
        <v>7</v>
      </c>
      <c r="D14" s="88"/>
      <c r="E14" s="88" t="s">
        <v>212</v>
      </c>
      <c r="F14" s="88" t="str">
        <f>VLOOKUP(C4,RefTable1,33,FALSE)</f>
        <v>7 feet</v>
      </c>
      <c r="G14" s="84"/>
    </row>
    <row r="15" spans="1:29" ht="24">
      <c r="A15" s="84"/>
      <c r="B15" s="88"/>
      <c r="C15" s="88"/>
      <c r="D15" s="88"/>
      <c r="E15" s="88"/>
      <c r="F15" s="88"/>
      <c r="G15" s="84"/>
    </row>
    <row r="16" spans="1:29" ht="24">
      <c r="A16" s="84"/>
      <c r="B16" s="88" t="s">
        <v>211</v>
      </c>
      <c r="C16" s="88" t="str">
        <f>VLOOKUP(Player_Dashboard!C4,'PLAYER STATS'!B3:AK22,32,FALSE)</f>
        <v>C</v>
      </c>
      <c r="D16" s="88"/>
      <c r="E16" s="88" t="s">
        <v>213</v>
      </c>
      <c r="F16" s="88">
        <f>VLOOKUP(C4,RefTable1,34,FALSE)</f>
        <v>270</v>
      </c>
      <c r="G16" s="84"/>
    </row>
    <row r="17" spans="1:7" ht="24">
      <c r="A17" s="84"/>
      <c r="B17" s="88"/>
      <c r="C17" s="88"/>
      <c r="D17" s="88"/>
      <c r="E17" s="88"/>
      <c r="F17" s="88"/>
      <c r="G17" s="84"/>
    </row>
    <row r="18" spans="1:7" ht="24">
      <c r="A18" s="84"/>
      <c r="B18" s="88" t="s">
        <v>224</v>
      </c>
      <c r="C18" s="88" t="str">
        <f>VLOOKUP(C4,RefTable1,35,FALSE)</f>
        <v>January 19, 1988</v>
      </c>
      <c r="D18" s="88"/>
      <c r="E18" s="88" t="s">
        <v>225</v>
      </c>
      <c r="F18" s="88">
        <f>VLOOKUP(C4,RefTable1,36,FALSE)</f>
        <v>11</v>
      </c>
      <c r="G18" s="84"/>
    </row>
    <row r="19" spans="1:7" ht="24">
      <c r="A19" s="84"/>
      <c r="B19" s="88"/>
      <c r="C19" s="88"/>
      <c r="D19" s="88"/>
      <c r="E19" s="88"/>
      <c r="F19" s="88"/>
      <c r="G19" s="84"/>
    </row>
    <row r="20" spans="1:7" ht="24">
      <c r="A20" s="84"/>
      <c r="B20" s="88" t="s">
        <v>226</v>
      </c>
      <c r="C20" s="88" t="str">
        <f>VLOOKUP(C4,RefTable1,37,FALSE)</f>
        <v>Nevada</v>
      </c>
      <c r="D20" s="88"/>
      <c r="E20" s="88"/>
      <c r="F20" s="88"/>
      <c r="G20" s="84"/>
    </row>
    <row r="21" spans="1:7">
      <c r="A21" s="84"/>
      <c r="B21" s="84"/>
      <c r="C21" s="84"/>
      <c r="D21" s="84"/>
      <c r="E21" s="84"/>
      <c r="F21" s="84"/>
      <c r="G21" s="84"/>
    </row>
  </sheetData>
  <dataConsolidate/>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942343C-34B1-5F43-87F7-F60E7C4D2327}">
          <x14:formula1>
            <xm:f>'PLAYER STATS'!$B$3:$B$22</xm:f>
          </x14:formula1>
          <xm:sqref>C5:C7</xm:sqref>
        </x14:dataValidation>
        <x14:dataValidation type="list" errorStyle="information" allowBlank="1" showInputMessage="1" showErrorMessage="1" promptTitle="Pick :" prompt="Player Name" xr:uid="{F91594A8-7825-F043-AC66-C86EF3FD7370}">
          <x14:formula1>
            <xm:f>'PLAYER STATS'!$B$3:$B$22</xm:f>
          </x14:formula1>
          <xm:sqref>C4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869D5-482F-6B4E-AE07-4C932291BC1D}">
  <sheetPr>
    <tabColor rgb="FFFFC000"/>
  </sheetPr>
  <dimension ref="S12:AA49"/>
  <sheetViews>
    <sheetView zoomScale="40" zoomScaleNormal="50" workbookViewId="0">
      <selection activeCell="AI16" sqref="AI16"/>
    </sheetView>
  </sheetViews>
  <sheetFormatPr baseColWidth="10" defaultRowHeight="16"/>
  <sheetData>
    <row r="12" spans="19:27">
      <c r="T12" s="78"/>
    </row>
    <row r="13" spans="19:27">
      <c r="S13" s="78"/>
      <c r="T13" s="78"/>
      <c r="Z13" s="78"/>
      <c r="AA13" s="78"/>
    </row>
    <row r="14" spans="19:27">
      <c r="S14" s="78"/>
      <c r="T14" s="78"/>
      <c r="Z14" s="78"/>
      <c r="AA14" s="78"/>
    </row>
    <row r="15" spans="19:27">
      <c r="S15" s="78"/>
      <c r="T15" s="78"/>
      <c r="Z15" s="78"/>
      <c r="AA15" s="78"/>
    </row>
    <row r="16" spans="19:27">
      <c r="S16" s="78"/>
      <c r="T16" s="78"/>
      <c r="Z16" s="78"/>
      <c r="AA16" s="78"/>
    </row>
    <row r="17" spans="19:27">
      <c r="S17" s="78"/>
      <c r="T17" s="78"/>
      <c r="Z17" s="78"/>
      <c r="AA17" s="78"/>
    </row>
    <row r="18" spans="19:27">
      <c r="S18" s="78"/>
      <c r="T18" s="78"/>
      <c r="Z18" s="78"/>
      <c r="AA18" s="78"/>
    </row>
    <row r="19" spans="19:27">
      <c r="S19" s="78"/>
      <c r="T19" s="78"/>
      <c r="Z19" s="78"/>
      <c r="AA19" s="78"/>
    </row>
    <row r="20" spans="19:27">
      <c r="S20" s="78"/>
      <c r="T20" s="78"/>
      <c r="Z20" s="78"/>
      <c r="AA20" s="78"/>
    </row>
    <row r="21" spans="19:27">
      <c r="S21" s="78"/>
      <c r="T21" s="78"/>
      <c r="Z21" s="78"/>
      <c r="AA21" s="78"/>
    </row>
    <row r="22" spans="19:27">
      <c r="S22" s="78"/>
      <c r="T22" s="78"/>
      <c r="Z22" s="78"/>
      <c r="AA22" s="78"/>
    </row>
    <row r="23" spans="19:27">
      <c r="S23" s="78"/>
      <c r="T23" s="78"/>
      <c r="Z23" s="78"/>
      <c r="AA23" s="78"/>
    </row>
    <row r="24" spans="19:27">
      <c r="S24" s="78"/>
      <c r="T24" s="78"/>
      <c r="Z24" s="78"/>
      <c r="AA24" s="78"/>
    </row>
    <row r="25" spans="19:27">
      <c r="S25" s="78"/>
      <c r="T25" s="78"/>
      <c r="Z25" s="78"/>
      <c r="AA25" s="78"/>
    </row>
    <row r="26" spans="19:27">
      <c r="S26" s="78"/>
      <c r="T26" s="78"/>
      <c r="Z26" s="78"/>
      <c r="AA26" s="78"/>
    </row>
    <row r="27" spans="19:27">
      <c r="S27" s="78"/>
      <c r="T27" s="78"/>
      <c r="Z27" s="78"/>
      <c r="AA27" s="78"/>
    </row>
    <row r="28" spans="19:27">
      <c r="S28" s="78"/>
      <c r="T28" s="78"/>
      <c r="Z28" s="78"/>
      <c r="AA28" s="78"/>
    </row>
    <row r="29" spans="19:27">
      <c r="S29" s="78"/>
      <c r="T29" s="78"/>
      <c r="Z29" s="78"/>
      <c r="AA29" s="78"/>
    </row>
    <row r="30" spans="19:27">
      <c r="S30" s="78"/>
      <c r="T30" s="78"/>
      <c r="Z30" s="78"/>
      <c r="AA30" s="78"/>
    </row>
    <row r="31" spans="19:27">
      <c r="S31" s="78"/>
      <c r="T31" s="78"/>
    </row>
    <row r="32" spans="19:27">
      <c r="S32" s="78"/>
    </row>
    <row r="33" spans="19:19">
      <c r="S33" s="78"/>
    </row>
    <row r="34" spans="19:19">
      <c r="S34" s="78"/>
    </row>
    <row r="35" spans="19:19">
      <c r="S35" s="78"/>
    </row>
    <row r="36" spans="19:19">
      <c r="S36" s="78"/>
    </row>
    <row r="37" spans="19:19">
      <c r="S37" s="78"/>
    </row>
    <row r="38" spans="19:19">
      <c r="S38" s="78"/>
    </row>
    <row r="39" spans="19:19">
      <c r="S39" s="78"/>
    </row>
    <row r="40" spans="19:19">
      <c r="S40" s="78"/>
    </row>
    <row r="41" spans="19:19">
      <c r="S41" s="78"/>
    </row>
    <row r="42" spans="19:19">
      <c r="S42" s="78"/>
    </row>
    <row r="43" spans="19:19">
      <c r="S43" s="78"/>
    </row>
    <row r="44" spans="19:19">
      <c r="S44" s="78"/>
    </row>
    <row r="45" spans="19:19">
      <c r="S45" s="78"/>
    </row>
    <row r="46" spans="19:19">
      <c r="S46" s="78"/>
    </row>
    <row r="47" spans="19:19">
      <c r="S47" s="78"/>
    </row>
    <row r="48" spans="19:19">
      <c r="S48" s="78"/>
    </row>
    <row r="49" spans="19:19">
      <c r="S49" s="7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B32CF-6465-D64C-BBB0-9440BB2E6AD7}">
  <sheetPr>
    <tabColor rgb="FF00B050"/>
  </sheetPr>
  <dimension ref="B3:P37"/>
  <sheetViews>
    <sheetView zoomScale="75" workbookViewId="0">
      <selection activeCell="K39" sqref="K39"/>
    </sheetView>
  </sheetViews>
  <sheetFormatPr baseColWidth="10" defaultRowHeight="16"/>
  <cols>
    <col min="2" max="2" width="14.33203125" bestFit="1" customWidth="1"/>
    <col min="3" max="3" width="11.6640625" bestFit="1" customWidth="1"/>
    <col min="4" max="4" width="14" bestFit="1" customWidth="1"/>
    <col min="5" max="5" width="13.6640625" customWidth="1"/>
    <col min="7" max="7" width="13.83203125" customWidth="1"/>
    <col min="8" max="9" width="13.6640625" customWidth="1"/>
    <col min="14" max="14" width="14.33203125" bestFit="1" customWidth="1"/>
    <col min="15" max="15" width="13.33203125" bestFit="1" customWidth="1"/>
    <col min="16" max="16" width="15.5" bestFit="1" customWidth="1"/>
  </cols>
  <sheetData>
    <row r="3" spans="2:16">
      <c r="B3" s="14" t="s">
        <v>117</v>
      </c>
      <c r="C3" t="s">
        <v>199</v>
      </c>
      <c r="D3" t="s">
        <v>200</v>
      </c>
      <c r="F3" s="61"/>
      <c r="G3" s="61"/>
      <c r="H3" s="61"/>
      <c r="I3" s="79"/>
      <c r="N3" s="14" t="s">
        <v>117</v>
      </c>
      <c r="O3" t="s">
        <v>257</v>
      </c>
      <c r="P3" t="s">
        <v>258</v>
      </c>
    </row>
    <row r="4" spans="2:16">
      <c r="B4" s="15" t="s">
        <v>27</v>
      </c>
      <c r="C4">
        <v>3.4</v>
      </c>
      <c r="D4">
        <v>3.1</v>
      </c>
      <c r="F4" s="15"/>
      <c r="N4" s="15" t="s">
        <v>27</v>
      </c>
      <c r="O4">
        <v>2.4</v>
      </c>
      <c r="P4">
        <v>3.1</v>
      </c>
    </row>
    <row r="5" spans="2:16">
      <c r="B5" s="15" t="s">
        <v>23</v>
      </c>
      <c r="C5">
        <v>7.4</v>
      </c>
      <c r="D5">
        <v>5.6999999999999993</v>
      </c>
      <c r="F5" s="15"/>
      <c r="N5" s="15" t="s">
        <v>23</v>
      </c>
      <c r="O5">
        <v>8.1</v>
      </c>
      <c r="P5">
        <v>5.6999999999999993</v>
      </c>
    </row>
    <row r="6" spans="2:16">
      <c r="B6" s="15" t="s">
        <v>29</v>
      </c>
      <c r="C6">
        <v>1.1000000000000001</v>
      </c>
      <c r="D6">
        <v>1</v>
      </c>
      <c r="F6" s="15"/>
      <c r="N6" s="15" t="s">
        <v>29</v>
      </c>
      <c r="O6">
        <v>0.7</v>
      </c>
      <c r="P6">
        <v>1</v>
      </c>
    </row>
    <row r="7" spans="2:16">
      <c r="B7" s="15" t="s">
        <v>118</v>
      </c>
      <c r="C7">
        <v>11.9</v>
      </c>
      <c r="D7">
        <v>9.7999999999999989</v>
      </c>
      <c r="F7" s="15"/>
      <c r="N7" s="15" t="s">
        <v>118</v>
      </c>
      <c r="O7">
        <v>11.2</v>
      </c>
      <c r="P7">
        <v>9.7999999999999989</v>
      </c>
    </row>
    <row r="8" spans="2:16">
      <c r="F8" s="15"/>
    </row>
    <row r="12" spans="2:16">
      <c r="C12" t="s">
        <v>270</v>
      </c>
    </row>
    <row r="13" spans="2:16" ht="17">
      <c r="C13" s="62" t="s">
        <v>265</v>
      </c>
      <c r="D13" s="62" t="s">
        <v>266</v>
      </c>
      <c r="E13" s="62" t="s">
        <v>269</v>
      </c>
      <c r="F13" s="62" t="s">
        <v>267</v>
      </c>
      <c r="G13" s="62" t="s">
        <v>268</v>
      </c>
      <c r="H13" s="62" t="s">
        <v>259</v>
      </c>
      <c r="I13" s="62" t="s">
        <v>301</v>
      </c>
      <c r="J13" s="63" t="s">
        <v>260</v>
      </c>
      <c r="K13" s="63" t="s">
        <v>261</v>
      </c>
      <c r="L13" s="63" t="s">
        <v>262</v>
      </c>
      <c r="M13" s="63" t="s">
        <v>263</v>
      </c>
      <c r="N13" s="63" t="s">
        <v>264</v>
      </c>
    </row>
    <row r="14" spans="2:16">
      <c r="B14" s="57"/>
      <c r="C14" s="64">
        <f>SUMIF(RS_Players,Player_Dashboard!$C$4,'PLAYER STATS'!$O$3:$O$22)</f>
        <v>4.4000000000000004</v>
      </c>
      <c r="D14" s="64">
        <f>SUMIF(RS_Players,Player_Dashboard!$C$4,'PLAYER STATS'!$N$3:$N$22)</f>
        <v>2.8</v>
      </c>
      <c r="E14" s="64">
        <f>SUMIF(RS_Players,Player_Dashboard!$C$4,'PLAYER STATS'!$K$3:$K$22)</f>
        <v>0.1</v>
      </c>
      <c r="F14" s="64">
        <f>SUMIF(RS_Players,Player_Dashboard!$C$4,'PLAYER STATS'!$J$3:$J$22)</f>
        <v>0</v>
      </c>
      <c r="G14" s="64">
        <f>SUMIF(RS_Players,Player_Dashboard!$C$4,'PLAYER STATS'!$T$3:$T$22)</f>
        <v>1.2</v>
      </c>
      <c r="H14" s="64">
        <f>SUMIF(RS_Players,Player_Dashboard!$C$4,'PLAYER STATS'!$S$3:$S$22)</f>
        <v>0.8</v>
      </c>
      <c r="I14" s="64">
        <f>SUMIF(RS_Players,Player_Dashboard!$C$4,'PLAYER STATS'!$AD$3:$AD$22)</f>
        <v>6.6</v>
      </c>
      <c r="J14" s="64">
        <f>SUMIF(RS_Players,Player_Dashboard!$C$4,'PLAYER STATS'!$X$3:$X$22)</f>
        <v>5.7</v>
      </c>
      <c r="K14" s="64">
        <f>SUMIF(RS_Players,Player_Dashboard!$C$4,'PLAYER STATS'!$Y$3:$Y$22)</f>
        <v>0.5</v>
      </c>
      <c r="L14" s="64">
        <f>SUMIF(RS_Players,Player_Dashboard!$C$4,'PLAYER STATS'!$Z$3:$Z$22)</f>
        <v>0.5</v>
      </c>
      <c r="M14" s="64">
        <f>SUMIF(RS_Players,Player_Dashboard!$C$4,'PLAYER STATS'!$AA$3:$AA$22)</f>
        <v>1.4</v>
      </c>
      <c r="N14" s="64">
        <f>SUMIF(RS_Players,Player_Dashboard!$C$4,'PLAYER STATS'!$AB$3:$AB$22)</f>
        <v>0.8</v>
      </c>
    </row>
    <row r="15" spans="2:16">
      <c r="B15" s="57"/>
      <c r="C15" s="81">
        <f>'PLAYER STATS'!O24</f>
        <v>4.1849999999999996</v>
      </c>
      <c r="D15" s="80">
        <f>'PLAYER STATS'!N24</f>
        <v>2.2850000000000001</v>
      </c>
      <c r="E15" s="80">
        <f>'PLAYER STATS'!K24</f>
        <v>2.37</v>
      </c>
      <c r="F15" s="80">
        <f>'PLAYER STATS'!J24</f>
        <v>0.77999999999999992</v>
      </c>
      <c r="G15" s="81">
        <f>'PLAYER STATS'!T24</f>
        <v>1.5449999999999997</v>
      </c>
      <c r="H15" s="80">
        <f>'PLAYER STATS'!S24</f>
        <v>1.1400000000000001</v>
      </c>
      <c r="I15" s="80">
        <f>'PLAYER STATS'!AD24</f>
        <v>8.0350000000000001</v>
      </c>
      <c r="J15" s="80">
        <f>'PLAYER STATS'!X24</f>
        <v>3.1950000000000007</v>
      </c>
      <c r="K15" s="80">
        <f>'PLAYER STATS'!Y24</f>
        <v>1.7449999999999999</v>
      </c>
      <c r="L15" s="80">
        <f>'PLAYER STATS'!Z24</f>
        <v>0.61499999999999999</v>
      </c>
      <c r="M15" s="80">
        <f>'PLAYER STATS'!AA24</f>
        <v>0.41000000000000003</v>
      </c>
      <c r="N15" s="80">
        <f>'PLAYER STATS'!AB24</f>
        <v>1.0399999999999996</v>
      </c>
    </row>
    <row r="16" spans="2:16">
      <c r="B16" s="57"/>
      <c r="C16" s="64" t="s">
        <v>273</v>
      </c>
      <c r="D16" s="64" t="s">
        <v>272</v>
      </c>
      <c r="E16" s="64" t="s">
        <v>274</v>
      </c>
      <c r="F16" s="64" t="s">
        <v>275</v>
      </c>
      <c r="G16" s="64" t="s">
        <v>276</v>
      </c>
      <c r="H16" s="64" t="s">
        <v>277</v>
      </c>
      <c r="I16" s="64" t="s">
        <v>302</v>
      </c>
      <c r="J16" s="64" t="s">
        <v>278</v>
      </c>
      <c r="K16" s="64" t="s">
        <v>279</v>
      </c>
      <c r="L16" s="64" t="s">
        <v>280</v>
      </c>
      <c r="M16" s="64" t="s">
        <v>281</v>
      </c>
      <c r="N16" s="64" t="s">
        <v>282</v>
      </c>
    </row>
    <row r="17" spans="2:14">
      <c r="B17" s="58"/>
      <c r="C17" s="6"/>
      <c r="D17" s="6"/>
      <c r="E17" s="6"/>
      <c r="F17" s="6"/>
      <c r="G17" s="6"/>
      <c r="H17" s="6"/>
      <c r="I17" s="6"/>
      <c r="J17" s="6"/>
      <c r="K17" s="6"/>
      <c r="L17" s="6"/>
      <c r="M17" s="6"/>
      <c r="N17" s="6"/>
    </row>
    <row r="18" spans="2:14">
      <c r="B18" s="57"/>
      <c r="C18" s="65" t="s">
        <v>10</v>
      </c>
      <c r="D18" s="65"/>
      <c r="E18" s="65" t="s">
        <v>8</v>
      </c>
      <c r="F18" s="65"/>
      <c r="G18" s="65" t="s">
        <v>13</v>
      </c>
      <c r="H18" s="64"/>
      <c r="I18" s="65" t="s">
        <v>63</v>
      </c>
      <c r="J18" s="64"/>
      <c r="K18" s="64"/>
      <c r="L18" s="64"/>
      <c r="M18" s="64"/>
      <c r="N18" s="64"/>
    </row>
    <row r="19" spans="2:14">
      <c r="B19" s="59"/>
      <c r="C19" s="66">
        <f>SUMIF(RS_Players,Player_Dashboard!$C$4,'PLAYER STATS'!$Q$3:$Q$22)</f>
        <v>0.64</v>
      </c>
      <c r="D19" s="66">
        <f>100%-C19</f>
        <v>0.36</v>
      </c>
      <c r="E19" s="66">
        <f>SUMIF(RS_Players,Player_Dashboard!$C$4,'PLAYER STATS'!$M$3:$M$22)</f>
        <v>0.5</v>
      </c>
      <c r="F19" s="66">
        <f>100%-E19</f>
        <v>0.5</v>
      </c>
      <c r="G19" s="66">
        <f>SUMIF(RS_Players,Player_Dashboard!$C$4,'PLAYER STATS'!$U$3:$U$22)</f>
        <v>0.64600000000000002</v>
      </c>
      <c r="H19" s="66">
        <f>100%-G19</f>
        <v>0.35399999999999998</v>
      </c>
      <c r="I19" s="82">
        <f>SUMIF(RS_Players,Player_Dashboard!$C$4,'PLAYER STATS'!$R$3:$R$22)</f>
        <v>0.64200000000000002</v>
      </c>
      <c r="J19" s="66">
        <f>1-I19</f>
        <v>0.35799999999999998</v>
      </c>
      <c r="K19" s="64"/>
      <c r="L19" s="64"/>
      <c r="M19" s="64"/>
      <c r="N19" s="64"/>
    </row>
    <row r="20" spans="2:14">
      <c r="B20" s="59"/>
      <c r="H20" s="22"/>
      <c r="I20" s="22"/>
    </row>
    <row r="21" spans="2:14">
      <c r="B21" s="59"/>
    </row>
    <row r="22" spans="2:14">
      <c r="B22" s="59"/>
      <c r="C22" t="s">
        <v>271</v>
      </c>
    </row>
    <row r="23" spans="2:14" ht="17">
      <c r="B23" s="58"/>
      <c r="C23" s="62" t="s">
        <v>265</v>
      </c>
      <c r="D23" s="62" t="s">
        <v>266</v>
      </c>
      <c r="E23" s="62" t="s">
        <v>269</v>
      </c>
      <c r="F23" s="62" t="s">
        <v>267</v>
      </c>
      <c r="G23" s="62" t="s">
        <v>268</v>
      </c>
      <c r="H23" s="62" t="s">
        <v>259</v>
      </c>
      <c r="I23" s="62" t="s">
        <v>301</v>
      </c>
      <c r="J23" s="63" t="s">
        <v>260</v>
      </c>
      <c r="K23" s="63" t="s">
        <v>261</v>
      </c>
      <c r="L23" s="63" t="s">
        <v>262</v>
      </c>
      <c r="M23" s="63" t="s">
        <v>263</v>
      </c>
      <c r="N23" s="63" t="s">
        <v>264</v>
      </c>
    </row>
    <row r="24" spans="2:14">
      <c r="B24" s="57"/>
      <c r="C24" s="64">
        <f>SUMIF(RS_Players,Player_Dashboard!$C$4,'PLAYER STATS'!$AY$3:$AY$22)</f>
        <v>2.1</v>
      </c>
      <c r="D24" s="64">
        <f>SUMIF(RS_Players,Player_Dashboard!$C$4,'PLAYER STATS'!$AX$3:$AX$22)</f>
        <v>1.4</v>
      </c>
      <c r="E24" s="64">
        <f>SUMIF(RS_Players,Player_Dashboard!$C$4,'PLAYER STATS'!$AU$3:$AU$22)</f>
        <v>0.1</v>
      </c>
      <c r="F24" s="64">
        <f>SUMIF(RS_Players,Player_Dashboard!$C$4,'PLAYER STATS'!$AT$3:$AT$22)</f>
        <v>0</v>
      </c>
      <c r="G24" s="64">
        <f>SUMIF(RS_Players,Player_Dashboard!$C$4,'PLAYER STATS'!$BD$3:$BD$22)</f>
        <v>0.1</v>
      </c>
      <c r="H24" s="64">
        <f>SUMIF(RS_Players,Player_Dashboard!$C$4,'PLAYER STATS'!$BC$3:$BC$22)</f>
        <v>0.1</v>
      </c>
      <c r="I24" s="64">
        <f>SUMIF(RS_Players,Player_Dashboard!$C$4,'PLAYER STATS'!$BN$3:$BN$22)</f>
        <v>2.9</v>
      </c>
      <c r="J24" s="64">
        <f>SUMIF(RS_Players,Player_Dashboard!$C$4,'PLAYER STATS'!$BH$3:$BH$22)</f>
        <v>3.1</v>
      </c>
      <c r="K24" s="64">
        <f>SUMIF(RS_Players,Player_Dashboard!$C$4,'PLAYER STATS'!$BI$3:$BI$22)</f>
        <v>0.5</v>
      </c>
      <c r="L24" s="64">
        <f>SUMIF(RS_Players,Player_Dashboard!$C$4,'PLAYER STATS'!$BJ$3:$BJ$22)</f>
        <v>0.1</v>
      </c>
      <c r="M24" s="64">
        <f>SUMIF(RS_Players,Player_Dashboard!$C$4,'PLAYER STATS'!$BK$3:$BK$22)</f>
        <v>0.7</v>
      </c>
      <c r="N24" s="64">
        <f>SUMIF(RS_Players,Player_Dashboard!$C$4,'PLAYER STATS'!$BL$3:$BL$22)</f>
        <v>0.6</v>
      </c>
    </row>
    <row r="25" spans="2:14">
      <c r="B25" s="57"/>
      <c r="C25" s="64">
        <f>'PLAYER STATS'!AY24</f>
        <v>3.8200000000000003</v>
      </c>
      <c r="D25" s="80">
        <f>'PLAYER STATS'!AX24</f>
        <v>2.2066666666666661</v>
      </c>
      <c r="E25" s="80">
        <f>'PLAYER STATS'!AU24</f>
        <v>2.6533333333333338</v>
      </c>
      <c r="F25" s="80">
        <f>'PLAYER STATS'!AT24</f>
        <v>0.92666666666666686</v>
      </c>
      <c r="G25" s="80">
        <f>'PLAYER STATS'!BD24</f>
        <v>1.7066666666666663</v>
      </c>
      <c r="H25" s="80">
        <f>'PLAYER STATS'!BC24</f>
        <v>1.2933333333333334</v>
      </c>
      <c r="I25" s="80">
        <f>'PLAYER STATS'!BN24</f>
        <v>8.48</v>
      </c>
      <c r="J25" s="80">
        <f>'PLAYER STATS'!BH24</f>
        <v>3.3133333333333335</v>
      </c>
      <c r="K25" s="80">
        <f>'PLAYER STATS'!BI24</f>
        <v>1.9</v>
      </c>
      <c r="L25" s="80">
        <f>'PLAYER STATS'!BJ24</f>
        <v>0.65333333333333321</v>
      </c>
      <c r="M25" s="80">
        <f>'PLAYER STATS'!BK24</f>
        <v>0.38666666666666666</v>
      </c>
      <c r="N25" s="80">
        <f>'PLAYER STATS'!BL24</f>
        <v>1.0666666666666667</v>
      </c>
    </row>
    <row r="26" spans="2:14">
      <c r="B26" s="57"/>
      <c r="C26" s="64" t="s">
        <v>273</v>
      </c>
      <c r="D26" s="64" t="s">
        <v>272</v>
      </c>
      <c r="E26" s="64" t="s">
        <v>274</v>
      </c>
      <c r="F26" s="64" t="s">
        <v>275</v>
      </c>
      <c r="G26" s="64" t="s">
        <v>276</v>
      </c>
      <c r="H26" s="64" t="s">
        <v>277</v>
      </c>
      <c r="I26" s="64" t="s">
        <v>302</v>
      </c>
      <c r="J26" s="64" t="s">
        <v>278</v>
      </c>
      <c r="K26" s="64" t="s">
        <v>279</v>
      </c>
      <c r="L26" s="64" t="s">
        <v>280</v>
      </c>
      <c r="M26" s="64" t="s">
        <v>281</v>
      </c>
      <c r="N26" s="64" t="s">
        <v>282</v>
      </c>
    </row>
    <row r="27" spans="2:14">
      <c r="B27" s="59"/>
      <c r="C27" s="6"/>
      <c r="D27" s="6"/>
      <c r="E27" s="6"/>
      <c r="F27" s="6"/>
      <c r="G27" s="6"/>
      <c r="H27" s="6"/>
      <c r="I27" s="6"/>
      <c r="J27" s="6"/>
      <c r="K27" s="6"/>
      <c r="L27" s="6"/>
      <c r="M27" s="6"/>
      <c r="N27" s="6"/>
    </row>
    <row r="28" spans="2:14">
      <c r="B28" s="59"/>
      <c r="C28" s="65" t="s">
        <v>10</v>
      </c>
      <c r="D28" s="65"/>
      <c r="E28" s="65" t="s">
        <v>8</v>
      </c>
      <c r="F28" s="65"/>
      <c r="G28" s="65" t="s">
        <v>13</v>
      </c>
      <c r="H28" s="64"/>
      <c r="I28" s="65" t="s">
        <v>63</v>
      </c>
      <c r="J28" s="64"/>
      <c r="K28" s="64"/>
      <c r="L28" s="64"/>
      <c r="M28" s="64"/>
      <c r="N28" s="64"/>
    </row>
    <row r="29" spans="2:14">
      <c r="B29" s="59"/>
      <c r="C29" s="66">
        <f>SUMIF(RS_Players,Player_Dashboard!$C$4,'PLAYER STATS'!$BA$3:$BA$22)</f>
        <v>0.66700000000000004</v>
      </c>
      <c r="D29" s="66">
        <f>100%-C29</f>
        <v>0.33299999999999996</v>
      </c>
      <c r="E29" s="66">
        <f>SUMIF(RS_Players,Player_Dashboard!$C$4,'PLAYER STATS'!$AW$3:$AW$22)</f>
        <v>0</v>
      </c>
      <c r="F29" s="66">
        <f>100%-E29</f>
        <v>1</v>
      </c>
      <c r="G29" s="66">
        <f>SUMIF(RS_Players,Player_Dashboard!$C$4,'PLAYER STATS'!$BE$3:$BE$22)</f>
        <v>0.5</v>
      </c>
      <c r="H29" s="66">
        <f>100%-G29</f>
        <v>0.5</v>
      </c>
      <c r="I29" s="82">
        <f>SUMIF(RS_Players,Player_Dashboard!$C$4,'PLAYER STATS'!$BB$3:$BB$22)</f>
        <v>0.625</v>
      </c>
      <c r="J29" s="66">
        <f>1-I29</f>
        <v>0.375</v>
      </c>
      <c r="K29" s="64"/>
      <c r="L29" s="64"/>
      <c r="M29" s="64"/>
      <c r="N29" s="64"/>
    </row>
    <row r="30" spans="2:14">
      <c r="B30" s="57"/>
    </row>
    <row r="31" spans="2:14">
      <c r="B31" s="59"/>
    </row>
    <row r="32" spans="2:14">
      <c r="B32" s="57"/>
    </row>
    <row r="33" spans="2:2">
      <c r="B33" s="59"/>
    </row>
    <row r="34" spans="2:2">
      <c r="B34" s="57"/>
    </row>
    <row r="35" spans="2:2">
      <c r="B35" s="59"/>
    </row>
    <row r="36" spans="2:2">
      <c r="B36" s="57"/>
    </row>
    <row r="37" spans="2:2">
      <c r="B37" s="5"/>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3F94C-97DB-B842-8EEB-9790B0F4A9F1}">
  <sheetPr>
    <tabColor rgb="FF00B050"/>
  </sheetPr>
  <dimension ref="A3:R42"/>
  <sheetViews>
    <sheetView topLeftCell="A20" zoomScale="92" workbookViewId="0">
      <selection activeCell="B5" sqref="B5"/>
    </sheetView>
  </sheetViews>
  <sheetFormatPr baseColWidth="10" defaultRowHeight="16"/>
  <cols>
    <col min="1" max="1" width="15" bestFit="1" customWidth="1"/>
    <col min="2" max="2" width="3.5" bestFit="1" customWidth="1"/>
    <col min="3" max="3" width="14.6640625" bestFit="1" customWidth="1"/>
    <col min="4" max="4" width="8.83203125" bestFit="1" customWidth="1"/>
    <col min="5" max="6" width="10.83203125" bestFit="1" customWidth="1"/>
    <col min="7" max="7" width="15" bestFit="1" customWidth="1"/>
    <col min="8" max="8" width="4.5" bestFit="1" customWidth="1"/>
    <col min="9" max="9" width="5.6640625" bestFit="1" customWidth="1"/>
    <col min="10" max="11" width="6.6640625" bestFit="1" customWidth="1"/>
    <col min="12" max="12" width="13.33203125" bestFit="1" customWidth="1"/>
    <col min="13" max="13" width="4.83203125" bestFit="1" customWidth="1"/>
    <col min="14" max="16" width="6.6640625" bestFit="1" customWidth="1"/>
    <col min="17" max="17" width="7.33203125" bestFit="1" customWidth="1"/>
    <col min="18" max="18" width="6.83203125" bestFit="1" customWidth="1"/>
    <col min="19" max="19" width="6.6640625" bestFit="1" customWidth="1"/>
    <col min="20" max="20" width="23.1640625" bestFit="1" customWidth="1"/>
    <col min="21" max="21" width="3.1640625" bestFit="1" customWidth="1"/>
    <col min="22" max="25" width="6.6640625" bestFit="1" customWidth="1"/>
    <col min="26" max="26" width="5.6640625" bestFit="1" customWidth="1"/>
    <col min="27" max="72" width="6.6640625" bestFit="1" customWidth="1"/>
    <col min="73" max="73" width="12.1640625" bestFit="1" customWidth="1"/>
  </cols>
  <sheetData>
    <row r="3" spans="1:18">
      <c r="A3" s="14" t="s">
        <v>117</v>
      </c>
      <c r="G3" s="14" t="s">
        <v>117</v>
      </c>
      <c r="L3" s="14" t="s">
        <v>117</v>
      </c>
      <c r="Q3" t="s">
        <v>292</v>
      </c>
    </row>
    <row r="4" spans="1:18">
      <c r="A4" s="15" t="s">
        <v>75</v>
      </c>
      <c r="G4" s="15" t="s">
        <v>75</v>
      </c>
      <c r="L4" s="15" t="s">
        <v>75</v>
      </c>
      <c r="Q4" s="72">
        <f>M5</f>
        <v>0.39500000000000002</v>
      </c>
      <c r="R4" s="70">
        <f>1-Q4</f>
        <v>0.60499999999999998</v>
      </c>
    </row>
    <row r="5" spans="1:18">
      <c r="A5" s="73" t="s">
        <v>305</v>
      </c>
      <c r="B5" s="77">
        <v>88</v>
      </c>
      <c r="G5" s="73" t="s">
        <v>307</v>
      </c>
      <c r="H5" s="77">
        <v>86.5</v>
      </c>
      <c r="L5" s="73" t="s">
        <v>311</v>
      </c>
      <c r="M5" s="72">
        <v>0.39500000000000002</v>
      </c>
      <c r="Q5" t="s">
        <v>293</v>
      </c>
    </row>
    <row r="6" spans="1:18">
      <c r="A6" s="73" t="s">
        <v>303</v>
      </c>
      <c r="B6" s="77">
        <v>35</v>
      </c>
      <c r="G6" s="73" t="s">
        <v>309</v>
      </c>
      <c r="H6" s="77">
        <v>39</v>
      </c>
      <c r="L6" s="73" t="s">
        <v>313</v>
      </c>
      <c r="M6" s="72">
        <v>0.44999999999999996</v>
      </c>
      <c r="Q6" s="70">
        <f>M6</f>
        <v>0.44999999999999996</v>
      </c>
      <c r="R6" s="70">
        <f>1-Q6</f>
        <v>0.55000000000000004</v>
      </c>
    </row>
    <row r="7" spans="1:18">
      <c r="A7" s="15" t="s">
        <v>306</v>
      </c>
      <c r="B7">
        <v>88</v>
      </c>
      <c r="G7" s="15" t="s">
        <v>308</v>
      </c>
      <c r="H7">
        <v>86.5</v>
      </c>
      <c r="L7" s="15" t="s">
        <v>312</v>
      </c>
      <c r="M7">
        <v>0.39500000000000002</v>
      </c>
    </row>
    <row r="8" spans="1:18">
      <c r="A8" s="15" t="s">
        <v>304</v>
      </c>
      <c r="B8">
        <v>35</v>
      </c>
      <c r="G8" s="15" t="s">
        <v>310</v>
      </c>
      <c r="H8">
        <v>39</v>
      </c>
      <c r="L8" s="15" t="s">
        <v>314</v>
      </c>
      <c r="M8">
        <v>0.44999999999999996</v>
      </c>
    </row>
    <row r="14" spans="1:18">
      <c r="A14" s="14" t="s">
        <v>117</v>
      </c>
      <c r="G14" s="14" t="s">
        <v>117</v>
      </c>
      <c r="L14" s="14" t="s">
        <v>117</v>
      </c>
      <c r="Q14" t="s">
        <v>294</v>
      </c>
    </row>
    <row r="15" spans="1:18">
      <c r="A15" s="15" t="s">
        <v>75</v>
      </c>
      <c r="G15" s="15" t="s">
        <v>75</v>
      </c>
      <c r="L15" s="15" t="s">
        <v>75</v>
      </c>
      <c r="Q15" s="72">
        <f>M16</f>
        <v>0.29149999999999998</v>
      </c>
      <c r="R15" s="72">
        <f>1-Q15</f>
        <v>0.70850000000000002</v>
      </c>
    </row>
    <row r="16" spans="1:18">
      <c r="A16" s="73" t="s">
        <v>329</v>
      </c>
      <c r="B16" s="77">
        <v>40</v>
      </c>
      <c r="G16" s="73" t="s">
        <v>319</v>
      </c>
      <c r="H16" s="77">
        <v>35</v>
      </c>
      <c r="L16" s="73" t="s">
        <v>315</v>
      </c>
      <c r="M16" s="72">
        <v>0.29149999999999998</v>
      </c>
      <c r="Q16" t="s">
        <v>293</v>
      </c>
    </row>
    <row r="17" spans="1:18">
      <c r="A17" s="73" t="s">
        <v>331</v>
      </c>
      <c r="B17" s="77">
        <v>10</v>
      </c>
      <c r="G17" s="73" t="s">
        <v>321</v>
      </c>
      <c r="H17" s="77">
        <v>13</v>
      </c>
      <c r="L17" s="73" t="s">
        <v>317</v>
      </c>
      <c r="M17" s="72">
        <v>0.3725</v>
      </c>
      <c r="Q17" s="72">
        <f>M17</f>
        <v>0.3725</v>
      </c>
      <c r="R17" s="72">
        <f>1-Q17</f>
        <v>0.62749999999999995</v>
      </c>
    </row>
    <row r="18" spans="1:18">
      <c r="A18" s="15" t="s">
        <v>330</v>
      </c>
      <c r="B18">
        <v>40</v>
      </c>
      <c r="G18" s="15" t="s">
        <v>320</v>
      </c>
      <c r="H18">
        <v>35</v>
      </c>
      <c r="L18" s="15" t="s">
        <v>316</v>
      </c>
      <c r="M18">
        <v>0.29149999999999998</v>
      </c>
    </row>
    <row r="19" spans="1:18">
      <c r="A19" s="15" t="s">
        <v>332</v>
      </c>
      <c r="B19">
        <v>10</v>
      </c>
      <c r="G19" s="15" t="s">
        <v>322</v>
      </c>
      <c r="H19">
        <v>13</v>
      </c>
      <c r="L19" s="15" t="s">
        <v>318</v>
      </c>
      <c r="M19">
        <v>0.3725</v>
      </c>
    </row>
    <row r="25" spans="1:18">
      <c r="A25" s="14" t="s">
        <v>117</v>
      </c>
      <c r="G25" s="14" t="s">
        <v>117</v>
      </c>
      <c r="L25" s="14" t="s">
        <v>117</v>
      </c>
      <c r="Q25" t="s">
        <v>295</v>
      </c>
    </row>
    <row r="26" spans="1:18">
      <c r="A26" s="15" t="s">
        <v>75</v>
      </c>
      <c r="G26" s="15" t="s">
        <v>75</v>
      </c>
      <c r="L26" s="15" t="s">
        <v>75</v>
      </c>
      <c r="Q26" s="72">
        <f>M27</f>
        <v>0.67949999999999999</v>
      </c>
      <c r="R26" s="72">
        <f>1-Q26</f>
        <v>0.32050000000000001</v>
      </c>
    </row>
    <row r="27" spans="1:18">
      <c r="A27" s="73" t="s">
        <v>323</v>
      </c>
      <c r="B27" s="92">
        <v>26</v>
      </c>
      <c r="G27" s="73" t="s">
        <v>325</v>
      </c>
      <c r="H27" s="92">
        <v>24</v>
      </c>
      <c r="L27" s="73" t="s">
        <v>327</v>
      </c>
      <c r="M27" s="72">
        <v>0.67949999999999999</v>
      </c>
      <c r="Q27" t="s">
        <v>296</v>
      </c>
    </row>
    <row r="28" spans="1:18">
      <c r="A28" s="73" t="s">
        <v>324</v>
      </c>
      <c r="B28" s="92">
        <v>18</v>
      </c>
      <c r="G28" s="73" t="s">
        <v>326</v>
      </c>
      <c r="H28" s="92">
        <v>19</v>
      </c>
      <c r="L28" s="73" t="s">
        <v>328</v>
      </c>
      <c r="M28" s="72">
        <v>0.78350000000000009</v>
      </c>
      <c r="Q28" s="72">
        <f>M28</f>
        <v>0.78350000000000009</v>
      </c>
      <c r="R28" s="72">
        <f>1-Q28</f>
        <v>0.21649999999999991</v>
      </c>
    </row>
    <row r="35" spans="1:17">
      <c r="A35" s="14" t="s">
        <v>117</v>
      </c>
      <c r="G35" s="14" t="s">
        <v>117</v>
      </c>
    </row>
    <row r="36" spans="1:17">
      <c r="A36" s="15" t="s">
        <v>75</v>
      </c>
      <c r="G36" s="15" t="s">
        <v>75</v>
      </c>
    </row>
    <row r="37" spans="1:17">
      <c r="A37" s="73" t="s">
        <v>301</v>
      </c>
      <c r="B37" s="77">
        <v>98</v>
      </c>
      <c r="G37" s="73" t="s">
        <v>301</v>
      </c>
      <c r="H37" s="77">
        <v>110</v>
      </c>
      <c r="P37" s="77"/>
      <c r="Q37" s="77"/>
    </row>
    <row r="38" spans="1:17">
      <c r="A38" s="73" t="s">
        <v>260</v>
      </c>
      <c r="B38" s="77">
        <v>45.5</v>
      </c>
      <c r="G38" s="73" t="s">
        <v>260</v>
      </c>
      <c r="H38" s="77">
        <v>47</v>
      </c>
      <c r="P38" s="77"/>
      <c r="Q38" s="77"/>
    </row>
    <row r="39" spans="1:17">
      <c r="A39" s="73" t="s">
        <v>261</v>
      </c>
      <c r="B39" s="77">
        <v>24</v>
      </c>
      <c r="G39" s="73" t="s">
        <v>261</v>
      </c>
      <c r="H39" s="77">
        <v>25</v>
      </c>
      <c r="P39" s="77"/>
      <c r="Q39" s="77"/>
    </row>
    <row r="40" spans="1:17">
      <c r="A40" s="73" t="s">
        <v>262</v>
      </c>
      <c r="B40" s="77">
        <v>7</v>
      </c>
      <c r="G40" s="73" t="s">
        <v>335</v>
      </c>
      <c r="H40" s="77">
        <v>6.5</v>
      </c>
      <c r="P40" s="77"/>
      <c r="Q40" s="77"/>
    </row>
    <row r="41" spans="1:17">
      <c r="A41" s="73" t="s">
        <v>333</v>
      </c>
      <c r="B41" s="77">
        <v>9.5</v>
      </c>
      <c r="G41" s="73" t="s">
        <v>333</v>
      </c>
      <c r="H41" s="77">
        <v>6.5</v>
      </c>
      <c r="P41" s="77"/>
      <c r="Q41" s="77"/>
    </row>
    <row r="42" spans="1:17">
      <c r="A42" s="73" t="s">
        <v>334</v>
      </c>
      <c r="B42" s="77">
        <v>14.5</v>
      </c>
      <c r="G42" s="73" t="s">
        <v>334</v>
      </c>
      <c r="H42" s="77">
        <v>13.5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A1:BN52"/>
  <sheetViews>
    <sheetView zoomScale="22" zoomScaleNormal="133" workbookViewId="0">
      <selection activeCell="L19" sqref="L19"/>
    </sheetView>
  </sheetViews>
  <sheetFormatPr baseColWidth="10" defaultRowHeight="16"/>
  <cols>
    <col min="1" max="1" width="18.1640625" customWidth="1"/>
    <col min="2" max="2" width="19.5" customWidth="1"/>
    <col min="30" max="30" width="10.1640625" customWidth="1"/>
    <col min="31" max="31" width="29.33203125" customWidth="1"/>
    <col min="32" max="38" width="28.6640625" customWidth="1"/>
    <col min="39" max="39" width="29.1640625" customWidth="1"/>
    <col min="40" max="40" width="18" customWidth="1"/>
    <col min="42" max="42" width="16.83203125" customWidth="1"/>
    <col min="43" max="43" width="16.1640625" customWidth="1"/>
    <col min="44" max="44" width="17.6640625" customWidth="1"/>
    <col min="45" max="45" width="15.1640625" customWidth="1"/>
    <col min="46" max="46" width="18.1640625" customWidth="1"/>
    <col min="47" max="47" width="16.6640625" customWidth="1"/>
    <col min="48" max="48" width="16.83203125" customWidth="1"/>
    <col min="49" max="49" width="17.83203125" customWidth="1"/>
    <col min="50" max="50" width="14.83203125" customWidth="1"/>
    <col min="51" max="51" width="19.5" customWidth="1"/>
    <col min="52" max="52" width="17.6640625" customWidth="1"/>
    <col min="53" max="53" width="19.6640625" customWidth="1"/>
    <col min="54" max="54" width="17.33203125" customWidth="1"/>
    <col min="55" max="55" width="16.1640625" customWidth="1"/>
    <col min="56" max="56" width="16.83203125" customWidth="1"/>
    <col min="57" max="57" width="17.6640625" customWidth="1"/>
    <col min="58" max="58" width="18" customWidth="1"/>
    <col min="59" max="59" width="15.5" customWidth="1"/>
    <col min="60" max="60" width="18.1640625" customWidth="1"/>
    <col min="61" max="61" width="17.33203125" customWidth="1"/>
    <col min="62" max="62" width="16" customWidth="1"/>
    <col min="63" max="63" width="18.33203125" customWidth="1"/>
    <col min="64" max="64" width="21.6640625" customWidth="1"/>
    <col min="65" max="65" width="15.5" customWidth="1"/>
    <col min="66" max="66" width="17.33203125" customWidth="1"/>
  </cols>
  <sheetData>
    <row r="1" spans="1:66" ht="33" customHeight="1">
      <c r="A1" s="8" t="s">
        <v>62</v>
      </c>
      <c r="B1" s="1"/>
      <c r="C1" s="1"/>
      <c r="D1" s="1"/>
      <c r="E1" s="1"/>
      <c r="F1" s="1"/>
      <c r="G1" s="1"/>
      <c r="H1" s="1"/>
      <c r="I1" s="1"/>
      <c r="J1" s="1"/>
      <c r="K1" s="1"/>
      <c r="L1" s="1"/>
      <c r="M1" s="1"/>
      <c r="N1" s="1"/>
      <c r="O1" s="1"/>
      <c r="P1" s="1"/>
      <c r="Q1" s="1"/>
      <c r="R1" s="1"/>
      <c r="S1" s="1"/>
      <c r="T1" s="1"/>
      <c r="U1" s="1"/>
      <c r="V1" s="1"/>
      <c r="W1" s="1"/>
      <c r="X1" s="1"/>
      <c r="Y1" s="1"/>
      <c r="Z1" s="1"/>
      <c r="AA1" s="1"/>
      <c r="AB1" s="1"/>
      <c r="AC1" s="1"/>
      <c r="AD1" s="1"/>
    </row>
    <row r="2" spans="1:66" ht="47" customHeight="1">
      <c r="A2" s="25" t="s">
        <v>0</v>
      </c>
      <c r="B2" s="25" t="s">
        <v>119</v>
      </c>
      <c r="C2" s="25" t="s">
        <v>228</v>
      </c>
      <c r="D2" s="25" t="s">
        <v>1</v>
      </c>
      <c r="E2" s="25" t="s">
        <v>2</v>
      </c>
      <c r="F2" s="25" t="s">
        <v>3</v>
      </c>
      <c r="G2" s="25" t="s">
        <v>4</v>
      </c>
      <c r="H2" s="25" t="s">
        <v>5</v>
      </c>
      <c r="I2" s="25" t="s">
        <v>6</v>
      </c>
      <c r="J2" s="25" t="s">
        <v>194</v>
      </c>
      <c r="K2" s="25" t="s">
        <v>7</v>
      </c>
      <c r="L2" s="25" t="s">
        <v>195</v>
      </c>
      <c r="M2" s="25" t="s">
        <v>8</v>
      </c>
      <c r="N2" s="25" t="s">
        <v>197</v>
      </c>
      <c r="O2" s="25" t="s">
        <v>9</v>
      </c>
      <c r="P2" s="25" t="s">
        <v>196</v>
      </c>
      <c r="Q2" s="25" t="s">
        <v>10</v>
      </c>
      <c r="R2" s="25" t="s">
        <v>63</v>
      </c>
      <c r="S2" s="25" t="s">
        <v>11</v>
      </c>
      <c r="T2" s="25" t="s">
        <v>12</v>
      </c>
      <c r="U2" s="25" t="s">
        <v>13</v>
      </c>
      <c r="V2" s="25" t="s">
        <v>14</v>
      </c>
      <c r="W2" s="25" t="s">
        <v>15</v>
      </c>
      <c r="X2" s="25" t="s">
        <v>16</v>
      </c>
      <c r="Y2" s="25" t="s">
        <v>17</v>
      </c>
      <c r="Z2" s="25" t="s">
        <v>18</v>
      </c>
      <c r="AA2" s="25" t="s">
        <v>19</v>
      </c>
      <c r="AB2" s="25" t="s">
        <v>20</v>
      </c>
      <c r="AC2" s="25" t="s">
        <v>21</v>
      </c>
      <c r="AD2" s="25" t="s">
        <v>64</v>
      </c>
      <c r="AE2" s="25" t="s">
        <v>203</v>
      </c>
      <c r="AF2" s="31" t="s">
        <v>205</v>
      </c>
      <c r="AG2" s="32" t="s">
        <v>206</v>
      </c>
      <c r="AH2" s="32" t="s">
        <v>207</v>
      </c>
      <c r="AI2" s="32" t="s">
        <v>208</v>
      </c>
      <c r="AJ2" s="32" t="s">
        <v>120</v>
      </c>
      <c r="AK2" s="32" t="s">
        <v>209</v>
      </c>
      <c r="AL2" s="33" t="s">
        <v>121</v>
      </c>
      <c r="AM2" s="32" t="s">
        <v>229</v>
      </c>
      <c r="AN2" s="32" t="s">
        <v>230</v>
      </c>
      <c r="AO2" s="32" t="s">
        <v>231</v>
      </c>
      <c r="AP2" s="32" t="s">
        <v>232</v>
      </c>
      <c r="AQ2" s="32" t="s">
        <v>233</v>
      </c>
      <c r="AR2" s="32" t="s">
        <v>234</v>
      </c>
      <c r="AS2" s="32" t="s">
        <v>235</v>
      </c>
      <c r="AT2" s="32" t="s">
        <v>236</v>
      </c>
      <c r="AU2" s="32" t="s">
        <v>237</v>
      </c>
      <c r="AV2" s="32" t="s">
        <v>238</v>
      </c>
      <c r="AW2" s="32" t="s">
        <v>239</v>
      </c>
      <c r="AX2" s="32" t="s">
        <v>240</v>
      </c>
      <c r="AY2" s="32" t="s">
        <v>241</v>
      </c>
      <c r="AZ2" s="32" t="s">
        <v>242</v>
      </c>
      <c r="BA2" s="32" t="s">
        <v>243</v>
      </c>
      <c r="BB2" s="32" t="s">
        <v>244</v>
      </c>
      <c r="BC2" s="32" t="s">
        <v>245</v>
      </c>
      <c r="BD2" s="32" t="s">
        <v>246</v>
      </c>
      <c r="BE2" s="32" t="s">
        <v>247</v>
      </c>
      <c r="BF2" s="32" t="s">
        <v>248</v>
      </c>
      <c r="BG2" s="32" t="s">
        <v>249</v>
      </c>
      <c r="BH2" s="32" t="s">
        <v>250</v>
      </c>
      <c r="BI2" s="32" t="s">
        <v>251</v>
      </c>
      <c r="BJ2" s="32" t="s">
        <v>252</v>
      </c>
      <c r="BK2" s="32" t="s">
        <v>253</v>
      </c>
      <c r="BL2" s="32" t="s">
        <v>254</v>
      </c>
      <c r="BM2" s="32" t="s">
        <v>255</v>
      </c>
      <c r="BN2" s="32" t="s">
        <v>256</v>
      </c>
    </row>
    <row r="3" spans="1:66" ht="110" customHeight="1">
      <c r="A3" s="50">
        <v>10</v>
      </c>
      <c r="B3" s="48" t="s">
        <v>26</v>
      </c>
      <c r="C3" s="48">
        <v>25</v>
      </c>
      <c r="D3" s="48">
        <v>64</v>
      </c>
      <c r="E3" s="48">
        <v>2</v>
      </c>
      <c r="F3" s="48">
        <v>18.399999999999999</v>
      </c>
      <c r="G3" s="48">
        <v>1.9</v>
      </c>
      <c r="H3" s="48">
        <v>4.5</v>
      </c>
      <c r="I3" s="48">
        <v>0.41199999999999998</v>
      </c>
      <c r="J3" s="48">
        <v>0.6</v>
      </c>
      <c r="K3" s="48">
        <v>1.9</v>
      </c>
      <c r="L3" s="48">
        <f>Table13[[#This Row],[3PA]]-Table13[[#This Row],[3PM]]</f>
        <v>1.2999999999999998</v>
      </c>
      <c r="M3" s="49">
        <v>0.33300000000000002</v>
      </c>
      <c r="N3" s="48">
        <v>1.3</v>
      </c>
      <c r="O3" s="48">
        <v>2.7</v>
      </c>
      <c r="P3" s="48">
        <f>Table13[[#This Row],[2PA]]-Table13[[#This Row],[2PM]]</f>
        <v>1.4000000000000001</v>
      </c>
      <c r="Q3" s="49">
        <v>0.46800000000000003</v>
      </c>
      <c r="R3" s="48">
        <v>0.48099999999999998</v>
      </c>
      <c r="S3" s="48">
        <v>1.1000000000000001</v>
      </c>
      <c r="T3" s="48">
        <v>1.5</v>
      </c>
      <c r="U3" s="49">
        <v>0.73399999999999999</v>
      </c>
      <c r="V3" s="48">
        <v>0.3</v>
      </c>
      <c r="W3" s="48">
        <v>1.7</v>
      </c>
      <c r="X3" s="48">
        <v>1.9</v>
      </c>
      <c r="Y3" s="48">
        <v>1.9</v>
      </c>
      <c r="Z3" s="48">
        <v>1.1000000000000001</v>
      </c>
      <c r="AA3" s="48">
        <v>0.3</v>
      </c>
      <c r="AB3" s="48">
        <v>0.8</v>
      </c>
      <c r="AC3" s="48">
        <v>1.5</v>
      </c>
      <c r="AD3" s="48">
        <v>5.5</v>
      </c>
      <c r="AE3" s="89"/>
      <c r="AF3" s="34">
        <v>4</v>
      </c>
      <c r="AG3" s="35" t="s">
        <v>133</v>
      </c>
      <c r="AH3" s="36" t="s">
        <v>220</v>
      </c>
      <c r="AI3" s="35">
        <v>186</v>
      </c>
      <c r="AJ3" s="35" t="s">
        <v>134</v>
      </c>
      <c r="AK3" s="35">
        <v>2</v>
      </c>
      <c r="AL3" s="37" t="s">
        <v>135</v>
      </c>
      <c r="AM3" s="35">
        <v>25</v>
      </c>
      <c r="AN3" s="35">
        <v>21</v>
      </c>
      <c r="AO3" s="35">
        <v>1</v>
      </c>
      <c r="AP3" s="35">
        <v>24.3</v>
      </c>
      <c r="AQ3" s="35">
        <v>2.2999999999999998</v>
      </c>
      <c r="AR3" s="35">
        <v>5.4</v>
      </c>
      <c r="AS3" s="35">
        <v>0.42499999999999999</v>
      </c>
      <c r="AT3" s="35">
        <v>0.8</v>
      </c>
      <c r="AU3" s="35">
        <v>2.9</v>
      </c>
      <c r="AV3" s="35">
        <f>'PLAYER STATS'!$K3-'PLAYER STATS'!$J3</f>
        <v>1.2999999999999998</v>
      </c>
      <c r="AW3" s="35">
        <v>0.27900000000000003</v>
      </c>
      <c r="AX3" s="35">
        <v>1.5</v>
      </c>
      <c r="AY3" s="35">
        <v>2.5</v>
      </c>
      <c r="AZ3" s="35">
        <f>'PLAYER STATS'!$O3-'PLAYER STATS'!$N3</f>
        <v>1.4000000000000001</v>
      </c>
      <c r="BA3" s="35">
        <v>0.59599999999999997</v>
      </c>
      <c r="BB3" s="35">
        <v>0.5</v>
      </c>
      <c r="BC3" s="35">
        <v>1.1000000000000001</v>
      </c>
      <c r="BD3" s="35">
        <v>1.4</v>
      </c>
      <c r="BE3" s="35">
        <v>0.8</v>
      </c>
      <c r="BF3" s="35">
        <v>0.7</v>
      </c>
      <c r="BG3" s="35">
        <v>1.6</v>
      </c>
      <c r="BH3" s="35">
        <v>2.2999999999999998</v>
      </c>
      <c r="BI3" s="35">
        <v>2.8</v>
      </c>
      <c r="BJ3" s="35">
        <v>1.1000000000000001</v>
      </c>
      <c r="BK3" s="35">
        <v>0.6</v>
      </c>
      <c r="BL3" s="35">
        <v>1.5</v>
      </c>
      <c r="BM3" s="35">
        <v>2.6</v>
      </c>
      <c r="BN3" s="35">
        <v>6.5</v>
      </c>
    </row>
    <row r="4" spans="1:66" ht="111" customHeight="1">
      <c r="A4" s="16">
        <v>2</v>
      </c>
      <c r="B4" s="17" t="s">
        <v>22</v>
      </c>
      <c r="C4" s="17">
        <v>26</v>
      </c>
      <c r="D4" s="17">
        <v>62</v>
      </c>
      <c r="E4" s="17">
        <v>62</v>
      </c>
      <c r="F4" s="17">
        <v>34.4</v>
      </c>
      <c r="G4" s="17">
        <v>8.9</v>
      </c>
      <c r="H4" s="17">
        <v>17.7</v>
      </c>
      <c r="I4" s="17">
        <v>0.503</v>
      </c>
      <c r="J4" s="17">
        <v>1.2</v>
      </c>
      <c r="K4" s="17">
        <v>3.5</v>
      </c>
      <c r="L4" s="17">
        <f>Table13[[#This Row],[3PA]]-Table13[[#This Row],[3PM]]</f>
        <v>2.2999999999999998</v>
      </c>
      <c r="M4" s="21">
        <v>0.33</v>
      </c>
      <c r="N4" s="17">
        <v>7.7</v>
      </c>
      <c r="O4" s="17">
        <v>14.2</v>
      </c>
      <c r="P4" s="17">
        <f>Table13[[#This Row],[2PA]]-Table13[[#This Row],[2PM]]</f>
        <v>6.4999999999999991</v>
      </c>
      <c r="Q4" s="21">
        <v>0.54600000000000004</v>
      </c>
      <c r="R4" s="17">
        <v>0.53600000000000003</v>
      </c>
      <c r="S4" s="17">
        <v>7.2</v>
      </c>
      <c r="T4" s="17">
        <v>8.5</v>
      </c>
      <c r="U4" s="21">
        <v>0.84599999999999997</v>
      </c>
      <c r="V4" s="17">
        <v>2.2999999999999998</v>
      </c>
      <c r="W4" s="17">
        <v>7</v>
      </c>
      <c r="X4" s="17">
        <v>9.3000000000000007</v>
      </c>
      <c r="Y4" s="17">
        <v>3.2</v>
      </c>
      <c r="Z4" s="17">
        <v>1.5</v>
      </c>
      <c r="AA4" s="17">
        <v>2.2999999999999998</v>
      </c>
      <c r="AB4" s="17">
        <v>2.5</v>
      </c>
      <c r="AC4" s="17">
        <v>2.5</v>
      </c>
      <c r="AD4" s="17">
        <v>26.1</v>
      </c>
      <c r="AE4" s="90"/>
      <c r="AF4" s="38">
        <v>3</v>
      </c>
      <c r="AG4" s="39" t="s">
        <v>21</v>
      </c>
      <c r="AH4" s="40" t="s">
        <v>215</v>
      </c>
      <c r="AI4" s="39">
        <v>253</v>
      </c>
      <c r="AJ4" s="39" t="s">
        <v>141</v>
      </c>
      <c r="AK4" s="39">
        <v>7</v>
      </c>
      <c r="AL4" s="41" t="s">
        <v>142</v>
      </c>
      <c r="AM4" s="39">
        <v>26</v>
      </c>
      <c r="AN4" s="39">
        <v>21</v>
      </c>
      <c r="AO4" s="39">
        <v>21</v>
      </c>
      <c r="AP4" s="39">
        <v>36.6</v>
      </c>
      <c r="AQ4" s="39">
        <v>9.8000000000000007</v>
      </c>
      <c r="AR4" s="39">
        <v>17.100000000000001</v>
      </c>
      <c r="AS4" s="39">
        <v>0.57099999999999995</v>
      </c>
      <c r="AT4" s="39">
        <v>1.1000000000000001</v>
      </c>
      <c r="AU4" s="39">
        <v>2.9</v>
      </c>
      <c r="AV4" s="39">
        <f>'PLAYER STATS'!$K4-'PLAYER STATS'!$J4</f>
        <v>2.2999999999999998</v>
      </c>
      <c r="AW4" s="39">
        <v>0.38300000000000001</v>
      </c>
      <c r="AX4" s="39">
        <v>8.6999999999999993</v>
      </c>
      <c r="AY4" s="39">
        <v>14.2</v>
      </c>
      <c r="AZ4" s="39">
        <f>'PLAYER STATS'!$O4-'PLAYER STATS'!$N4</f>
        <v>6.4999999999999991</v>
      </c>
      <c r="BA4" s="39">
        <v>0.60899999999999999</v>
      </c>
      <c r="BB4" s="39">
        <v>0.60299999999999998</v>
      </c>
      <c r="BC4" s="39">
        <v>7.1</v>
      </c>
      <c r="BD4" s="39">
        <v>8.5</v>
      </c>
      <c r="BE4" s="39">
        <v>0.83199999999999996</v>
      </c>
      <c r="BF4" s="39">
        <v>2.6</v>
      </c>
      <c r="BG4" s="39">
        <v>7.1</v>
      </c>
      <c r="BH4" s="39">
        <v>9.6999999999999993</v>
      </c>
      <c r="BI4" s="39">
        <v>3.5</v>
      </c>
      <c r="BJ4" s="39">
        <v>1.2</v>
      </c>
      <c r="BK4" s="39">
        <v>1.4</v>
      </c>
      <c r="BL4" s="39">
        <v>2.5</v>
      </c>
      <c r="BM4" s="39">
        <v>2.7</v>
      </c>
      <c r="BN4" s="39">
        <v>27.7</v>
      </c>
    </row>
    <row r="5" spans="1:66" ht="109" customHeight="1">
      <c r="A5" s="50">
        <v>6</v>
      </c>
      <c r="B5" s="48" t="s">
        <v>57</v>
      </c>
      <c r="C5" s="48">
        <v>29</v>
      </c>
      <c r="D5" s="48">
        <v>49</v>
      </c>
      <c r="E5" s="48">
        <v>44</v>
      </c>
      <c r="F5" s="48">
        <v>24.2</v>
      </c>
      <c r="G5" s="48">
        <v>3.5</v>
      </c>
      <c r="H5" s="48">
        <v>7.8</v>
      </c>
      <c r="I5" s="48">
        <v>0.44400000000000001</v>
      </c>
      <c r="J5" s="48">
        <v>1.3</v>
      </c>
      <c r="K5" s="48">
        <v>3.5</v>
      </c>
      <c r="L5" s="48">
        <f>Table13[[#This Row],[3PA]]-Table13[[#This Row],[3PM]]</f>
        <v>2.2000000000000002</v>
      </c>
      <c r="M5" s="49">
        <v>0.36399999999999999</v>
      </c>
      <c r="N5" s="48">
        <v>2.2000000000000002</v>
      </c>
      <c r="O5" s="48">
        <v>4.3</v>
      </c>
      <c r="P5" s="48">
        <f>Table13[[#This Row],[2PA]]-Table13[[#This Row],[2PM]]</f>
        <v>2.0999999999999996</v>
      </c>
      <c r="Q5" s="49">
        <v>0.51</v>
      </c>
      <c r="R5" s="48">
        <v>0.52600000000000002</v>
      </c>
      <c r="S5" s="48">
        <v>0.4</v>
      </c>
      <c r="T5" s="48">
        <v>0.5</v>
      </c>
      <c r="U5" s="49">
        <v>0.83299999999999996</v>
      </c>
      <c r="V5" s="48">
        <v>0.4</v>
      </c>
      <c r="W5" s="48">
        <v>2</v>
      </c>
      <c r="X5" s="48">
        <v>2.2999999999999998</v>
      </c>
      <c r="Y5" s="48">
        <v>1.3</v>
      </c>
      <c r="Z5" s="48">
        <v>0.9</v>
      </c>
      <c r="AA5" s="48">
        <v>0.1</v>
      </c>
      <c r="AB5" s="48">
        <v>1</v>
      </c>
      <c r="AC5" s="48">
        <v>2.2000000000000002</v>
      </c>
      <c r="AD5" s="48">
        <v>8.6</v>
      </c>
      <c r="AE5" s="89"/>
      <c r="AF5" s="34">
        <v>11</v>
      </c>
      <c r="AG5" s="35" t="s">
        <v>124</v>
      </c>
      <c r="AH5" s="36" t="s">
        <v>219</v>
      </c>
      <c r="AI5" s="35">
        <v>180</v>
      </c>
      <c r="AJ5" s="35" t="s">
        <v>125</v>
      </c>
      <c r="AK5" s="35">
        <v>9</v>
      </c>
      <c r="AL5" s="37" t="s">
        <v>126</v>
      </c>
      <c r="AM5" s="35" t="s">
        <v>201</v>
      </c>
      <c r="AN5" s="35" t="s">
        <v>201</v>
      </c>
      <c r="AO5" s="35" t="s">
        <v>201</v>
      </c>
      <c r="AP5" s="35" t="s">
        <v>201</v>
      </c>
      <c r="AQ5" s="35" t="s">
        <v>201</v>
      </c>
      <c r="AR5" s="35" t="s">
        <v>201</v>
      </c>
      <c r="AS5" s="35" t="s">
        <v>201</v>
      </c>
      <c r="AT5" s="35" t="s">
        <v>201</v>
      </c>
      <c r="AU5" s="35" t="s">
        <v>201</v>
      </c>
      <c r="AV5" s="35" t="s">
        <v>201</v>
      </c>
      <c r="AW5" s="35" t="s">
        <v>201</v>
      </c>
      <c r="AX5" s="35" t="s">
        <v>201</v>
      </c>
      <c r="AY5" s="35" t="s">
        <v>201</v>
      </c>
      <c r="AZ5" s="35" t="s">
        <v>201</v>
      </c>
      <c r="BA5" s="35" t="s">
        <v>201</v>
      </c>
      <c r="BB5" s="35" t="s">
        <v>201</v>
      </c>
      <c r="BC5" s="35" t="s">
        <v>201</v>
      </c>
      <c r="BD5" s="35" t="s">
        <v>201</v>
      </c>
      <c r="BE5" s="51" t="s">
        <v>201</v>
      </c>
      <c r="BF5" s="35" t="s">
        <v>201</v>
      </c>
      <c r="BG5" s="35" t="s">
        <v>201</v>
      </c>
      <c r="BH5" s="35" t="s">
        <v>201</v>
      </c>
      <c r="BI5" s="35" t="s">
        <v>201</v>
      </c>
      <c r="BJ5" s="35" t="s">
        <v>201</v>
      </c>
      <c r="BK5" s="35" t="s">
        <v>201</v>
      </c>
      <c r="BL5" s="35" t="s">
        <v>201</v>
      </c>
      <c r="BM5" s="35" t="s">
        <v>201</v>
      </c>
      <c r="BN5" s="35" t="s">
        <v>202</v>
      </c>
    </row>
    <row r="6" spans="1:66" ht="115" customHeight="1">
      <c r="A6" s="30">
        <v>5</v>
      </c>
      <c r="B6" s="26" t="s">
        <v>25</v>
      </c>
      <c r="C6" s="26">
        <v>32</v>
      </c>
      <c r="D6" s="26">
        <v>68</v>
      </c>
      <c r="E6" s="26">
        <v>68</v>
      </c>
      <c r="F6" s="26">
        <v>24.8</v>
      </c>
      <c r="G6" s="26">
        <v>2.9</v>
      </c>
      <c r="H6" s="26">
        <v>7</v>
      </c>
      <c r="I6" s="26">
        <v>0.41599999999999998</v>
      </c>
      <c r="J6" s="26">
        <v>1.8</v>
      </c>
      <c r="K6" s="26">
        <v>4.8</v>
      </c>
      <c r="L6" s="26">
        <f>Table13[[#This Row],[3PA]]-Table13[[#This Row],[3PM]]</f>
        <v>3</v>
      </c>
      <c r="M6" s="27">
        <v>0.36699999999999999</v>
      </c>
      <c r="N6" s="26">
        <v>1.1000000000000001</v>
      </c>
      <c r="O6" s="26">
        <v>2.2000000000000002</v>
      </c>
      <c r="P6" s="26">
        <f>Table13[[#This Row],[2PA]]-Table13[[#This Row],[2PM]]</f>
        <v>1.1000000000000001</v>
      </c>
      <c r="Q6" s="27">
        <v>0.52400000000000002</v>
      </c>
      <c r="R6" s="26">
        <v>0.54200000000000004</v>
      </c>
      <c r="S6" s="26">
        <v>0.5</v>
      </c>
      <c r="T6" s="26">
        <v>0.7</v>
      </c>
      <c r="U6" s="27">
        <v>0.68799999999999994</v>
      </c>
      <c r="V6" s="26">
        <v>0.8</v>
      </c>
      <c r="W6" s="26">
        <v>2.6</v>
      </c>
      <c r="X6" s="26">
        <v>3.3</v>
      </c>
      <c r="Y6" s="26">
        <v>1.3</v>
      </c>
      <c r="Z6" s="26">
        <v>1.3</v>
      </c>
      <c r="AA6" s="26">
        <v>0.5</v>
      </c>
      <c r="AB6" s="26">
        <v>0.9</v>
      </c>
      <c r="AC6" s="26">
        <v>2</v>
      </c>
      <c r="AD6" s="26">
        <v>8</v>
      </c>
      <c r="AE6" s="89"/>
      <c r="AF6" s="34">
        <v>14</v>
      </c>
      <c r="AG6" s="35" t="s">
        <v>124</v>
      </c>
      <c r="AH6" s="36" t="s">
        <v>218</v>
      </c>
      <c r="AI6" s="35">
        <v>215</v>
      </c>
      <c r="AJ6" s="35" t="s">
        <v>145</v>
      </c>
      <c r="AK6" s="35">
        <v>10</v>
      </c>
      <c r="AL6" s="37" t="s">
        <v>146</v>
      </c>
      <c r="AM6" s="39">
        <v>32</v>
      </c>
      <c r="AN6" s="39">
        <v>21</v>
      </c>
      <c r="AO6" s="39">
        <v>21</v>
      </c>
      <c r="AP6" s="39">
        <v>25</v>
      </c>
      <c r="AQ6" s="39">
        <v>2.8</v>
      </c>
      <c r="AR6" s="39">
        <v>8.1</v>
      </c>
      <c r="AS6" s="39">
        <v>0.34699999999999998</v>
      </c>
      <c r="AT6" s="39">
        <v>1.9</v>
      </c>
      <c r="AU6" s="39">
        <v>5.5</v>
      </c>
      <c r="AV6" s="39">
        <f>'PLAYER STATS'!$K6-'PLAYER STATS'!$J6</f>
        <v>3</v>
      </c>
      <c r="AW6" s="39">
        <v>0.33900000000000002</v>
      </c>
      <c r="AX6" s="39">
        <v>1</v>
      </c>
      <c r="AY6" s="39">
        <v>2.6</v>
      </c>
      <c r="AZ6" s="39">
        <f>'PLAYER STATS'!$O6-'PLAYER STATS'!$N6</f>
        <v>1.1000000000000001</v>
      </c>
      <c r="BA6" s="39">
        <v>0.36399999999999999</v>
      </c>
      <c r="BB6" s="39">
        <v>0.46200000000000002</v>
      </c>
      <c r="BC6" s="39">
        <v>0.5</v>
      </c>
      <c r="BD6" s="39">
        <v>0.7</v>
      </c>
      <c r="BE6" s="39">
        <v>0.66700000000000004</v>
      </c>
      <c r="BF6" s="39">
        <v>1.2</v>
      </c>
      <c r="BG6" s="39">
        <v>2</v>
      </c>
      <c r="BH6" s="39">
        <v>3.1</v>
      </c>
      <c r="BI6" s="39">
        <v>1.2</v>
      </c>
      <c r="BJ6" s="39">
        <v>1</v>
      </c>
      <c r="BK6" s="39">
        <v>0.8</v>
      </c>
      <c r="BL6" s="39">
        <v>0.6</v>
      </c>
      <c r="BM6" s="39">
        <v>2.2999999999999998</v>
      </c>
      <c r="BN6" s="39">
        <v>8</v>
      </c>
    </row>
    <row r="7" spans="1:66" ht="113" customHeight="1">
      <c r="A7" s="30">
        <v>17</v>
      </c>
      <c r="B7" s="26" t="s">
        <v>60</v>
      </c>
      <c r="C7" s="26">
        <v>23</v>
      </c>
      <c r="D7" s="26">
        <v>1</v>
      </c>
      <c r="E7" s="26">
        <v>0</v>
      </c>
      <c r="F7" s="26">
        <v>9</v>
      </c>
      <c r="G7" s="26">
        <v>3</v>
      </c>
      <c r="H7" s="26">
        <v>6</v>
      </c>
      <c r="I7" s="26">
        <v>0.5</v>
      </c>
      <c r="J7" s="26">
        <v>0</v>
      </c>
      <c r="K7" s="26">
        <v>0</v>
      </c>
      <c r="L7" s="26">
        <f>Table13[[#This Row],[3PA]]-Table13[[#This Row],[3PM]]</f>
        <v>0</v>
      </c>
      <c r="M7" s="28">
        <v>0</v>
      </c>
      <c r="N7" s="26">
        <v>3</v>
      </c>
      <c r="O7" s="26">
        <v>6</v>
      </c>
      <c r="P7" s="26">
        <f>Table13[[#This Row],[2PA]]-Table13[[#This Row],[2PM]]</f>
        <v>3</v>
      </c>
      <c r="Q7" s="27">
        <v>0.5</v>
      </c>
      <c r="R7" s="26">
        <v>0.5</v>
      </c>
      <c r="S7" s="26">
        <v>0</v>
      </c>
      <c r="T7" s="26">
        <v>0</v>
      </c>
      <c r="U7" s="29"/>
      <c r="V7" s="26">
        <v>2</v>
      </c>
      <c r="W7" s="26">
        <v>3</v>
      </c>
      <c r="X7" s="26">
        <v>5</v>
      </c>
      <c r="Y7" s="26">
        <v>1</v>
      </c>
      <c r="Z7" s="26">
        <v>0</v>
      </c>
      <c r="AA7" s="26">
        <v>0</v>
      </c>
      <c r="AB7" s="26">
        <v>0</v>
      </c>
      <c r="AC7" s="26">
        <v>0</v>
      </c>
      <c r="AD7" s="26">
        <v>6</v>
      </c>
      <c r="AE7" s="89"/>
      <c r="AF7" s="34">
        <v>12</v>
      </c>
      <c r="AG7" s="35" t="s">
        <v>127</v>
      </c>
      <c r="AH7" s="36" t="s">
        <v>223</v>
      </c>
      <c r="AI7" s="35">
        <v>240</v>
      </c>
      <c r="AJ7" s="35" t="s">
        <v>128</v>
      </c>
      <c r="AK7" s="35" t="s">
        <v>129</v>
      </c>
      <c r="AL7" s="37" t="s">
        <v>130</v>
      </c>
      <c r="AM7" s="35" t="s">
        <v>201</v>
      </c>
      <c r="AN7" s="35" t="s">
        <v>201</v>
      </c>
      <c r="AO7" s="35" t="s">
        <v>201</v>
      </c>
      <c r="AP7" s="35" t="s">
        <v>201</v>
      </c>
      <c r="AQ7" s="35" t="s">
        <v>201</v>
      </c>
      <c r="AR7" s="35" t="s">
        <v>201</v>
      </c>
      <c r="AS7" s="35" t="s">
        <v>201</v>
      </c>
      <c r="AT7" s="35" t="s">
        <v>201</v>
      </c>
      <c r="AU7" s="35" t="s">
        <v>201</v>
      </c>
      <c r="AV7" s="35" t="s">
        <v>201</v>
      </c>
      <c r="AW7" s="35" t="s">
        <v>201</v>
      </c>
      <c r="AX7" s="35" t="s">
        <v>201</v>
      </c>
      <c r="AY7" s="35" t="s">
        <v>201</v>
      </c>
      <c r="AZ7" s="35" t="s">
        <v>201</v>
      </c>
      <c r="BA7" s="35" t="s">
        <v>201</v>
      </c>
      <c r="BB7" s="35" t="s">
        <v>201</v>
      </c>
      <c r="BC7" s="35" t="s">
        <v>201</v>
      </c>
      <c r="BD7" s="35" t="s">
        <v>201</v>
      </c>
      <c r="BE7" s="51" t="s">
        <v>201</v>
      </c>
      <c r="BF7" s="35" t="s">
        <v>201</v>
      </c>
      <c r="BG7" s="35" t="s">
        <v>201</v>
      </c>
      <c r="BH7" s="35" t="s">
        <v>201</v>
      </c>
      <c r="BI7" s="35" t="s">
        <v>201</v>
      </c>
      <c r="BJ7" s="35" t="s">
        <v>201</v>
      </c>
      <c r="BK7" s="35" t="s">
        <v>201</v>
      </c>
      <c r="BL7" s="35" t="s">
        <v>201</v>
      </c>
      <c r="BM7" s="35" t="s">
        <v>201</v>
      </c>
      <c r="BN7" s="35" t="s">
        <v>202</v>
      </c>
    </row>
    <row r="8" spans="1:66" ht="112" customHeight="1">
      <c r="A8" s="30">
        <v>7</v>
      </c>
      <c r="B8" s="26" t="s">
        <v>33</v>
      </c>
      <c r="C8" s="26">
        <v>28</v>
      </c>
      <c r="D8" s="26">
        <v>7</v>
      </c>
      <c r="E8" s="26">
        <v>0</v>
      </c>
      <c r="F8" s="26">
        <v>23.6</v>
      </c>
      <c r="G8" s="26">
        <v>4.4000000000000004</v>
      </c>
      <c r="H8" s="26">
        <v>10.4</v>
      </c>
      <c r="I8" s="26">
        <v>0.42499999999999999</v>
      </c>
      <c r="J8" s="26">
        <v>1</v>
      </c>
      <c r="K8" s="26">
        <v>4.3</v>
      </c>
      <c r="L8" s="26">
        <f>Table13[[#This Row],[3PA]]-Table13[[#This Row],[3PM]]</f>
        <v>3.3</v>
      </c>
      <c r="M8" s="27">
        <v>0.23300000000000001</v>
      </c>
      <c r="N8" s="26">
        <v>3.4</v>
      </c>
      <c r="O8" s="26">
        <v>6.1</v>
      </c>
      <c r="P8" s="26">
        <f>Table13[[#This Row],[2PA]]-Table13[[#This Row],[2PM]]</f>
        <v>2.6999999999999997</v>
      </c>
      <c r="Q8" s="27">
        <v>0.55800000000000005</v>
      </c>
      <c r="R8" s="26">
        <v>0.47299999999999998</v>
      </c>
      <c r="S8" s="26">
        <v>2</v>
      </c>
      <c r="T8" s="26">
        <v>2.2999999999999998</v>
      </c>
      <c r="U8" s="27">
        <v>0.875</v>
      </c>
      <c r="V8" s="26">
        <v>0.3</v>
      </c>
      <c r="W8" s="26">
        <v>1.6</v>
      </c>
      <c r="X8" s="26">
        <v>1.9</v>
      </c>
      <c r="Y8" s="26">
        <v>2.4</v>
      </c>
      <c r="Z8" s="26">
        <v>0.6</v>
      </c>
      <c r="AA8" s="26">
        <v>0.6</v>
      </c>
      <c r="AB8" s="26">
        <v>1.9</v>
      </c>
      <c r="AC8" s="26">
        <v>2.2999999999999998</v>
      </c>
      <c r="AD8" s="26">
        <v>11.9</v>
      </c>
      <c r="AE8" s="89"/>
      <c r="AF8" s="34">
        <v>18</v>
      </c>
      <c r="AG8" s="35" t="s">
        <v>124</v>
      </c>
      <c r="AH8" s="36" t="s">
        <v>220</v>
      </c>
      <c r="AI8" s="35">
        <v>215</v>
      </c>
      <c r="AJ8" s="35" t="s">
        <v>162</v>
      </c>
      <c r="AK8" s="35">
        <v>7</v>
      </c>
      <c r="AL8" s="37" t="s">
        <v>163</v>
      </c>
      <c r="AM8" s="39">
        <v>28</v>
      </c>
      <c r="AN8" s="39">
        <v>5</v>
      </c>
      <c r="AO8" s="39">
        <v>0</v>
      </c>
      <c r="AP8" s="39">
        <v>7.6</v>
      </c>
      <c r="AQ8" s="39">
        <v>0.8</v>
      </c>
      <c r="AR8" s="39">
        <v>2.4</v>
      </c>
      <c r="AS8" s="39">
        <v>0.33300000000000002</v>
      </c>
      <c r="AT8" s="39">
        <v>0</v>
      </c>
      <c r="AU8" s="39">
        <v>0.8</v>
      </c>
      <c r="AV8" s="39">
        <f>'PLAYER STATS'!$K8-'PLAYER STATS'!$J8</f>
        <v>3.3</v>
      </c>
      <c r="AW8" s="39">
        <v>0</v>
      </c>
      <c r="AX8" s="39">
        <v>0.8</v>
      </c>
      <c r="AY8" s="39">
        <v>1.6</v>
      </c>
      <c r="AZ8" s="39">
        <f>'PLAYER STATS'!$O8-'PLAYER STATS'!$N8</f>
        <v>2.6999999999999997</v>
      </c>
      <c r="BA8" s="39">
        <v>0.5</v>
      </c>
      <c r="BB8" s="39">
        <v>0.33300000000000002</v>
      </c>
      <c r="BC8" s="39">
        <v>0.4</v>
      </c>
      <c r="BD8" s="39">
        <v>0.4</v>
      </c>
      <c r="BE8" s="39">
        <v>1</v>
      </c>
      <c r="BF8" s="39">
        <v>0</v>
      </c>
      <c r="BG8" s="39">
        <v>0.4</v>
      </c>
      <c r="BH8" s="39">
        <v>0.4</v>
      </c>
      <c r="BI8" s="39">
        <v>0.4</v>
      </c>
      <c r="BJ8" s="39">
        <v>0.2</v>
      </c>
      <c r="BK8" s="39">
        <v>0.2</v>
      </c>
      <c r="BL8" s="39">
        <v>0.2</v>
      </c>
      <c r="BM8" s="39">
        <v>0.4</v>
      </c>
      <c r="BN8" s="39">
        <v>2</v>
      </c>
    </row>
    <row r="9" spans="1:66" ht="118" customHeight="1">
      <c r="A9" s="30">
        <v>9</v>
      </c>
      <c r="B9" s="26" t="s">
        <v>30</v>
      </c>
      <c r="C9" s="26">
        <v>34</v>
      </c>
      <c r="D9" s="26">
        <v>69</v>
      </c>
      <c r="E9" s="26">
        <v>2</v>
      </c>
      <c r="F9" s="26">
        <v>18.899999999999999</v>
      </c>
      <c r="G9" s="26">
        <v>2.9</v>
      </c>
      <c r="H9" s="26">
        <v>4</v>
      </c>
      <c r="I9" s="26">
        <v>0.72899999999999998</v>
      </c>
      <c r="J9" s="26">
        <v>0</v>
      </c>
      <c r="K9" s="26">
        <v>0.1</v>
      </c>
      <c r="L9" s="26">
        <f>Table13[[#This Row],[3PA]]-Table13[[#This Row],[3PM]]</f>
        <v>0.1</v>
      </c>
      <c r="M9" s="27">
        <v>0.6</v>
      </c>
      <c r="N9" s="26">
        <v>2.9</v>
      </c>
      <c r="O9" s="26">
        <v>3.9</v>
      </c>
      <c r="P9" s="26">
        <f>Table13[[#This Row],[2PA]]-Table13[[#This Row],[2PM]]</f>
        <v>1</v>
      </c>
      <c r="Q9" s="27">
        <v>0.73199999999999998</v>
      </c>
      <c r="R9" s="26">
        <v>0.73499999999999999</v>
      </c>
      <c r="S9" s="26">
        <v>1.6</v>
      </c>
      <c r="T9" s="26">
        <v>3.1</v>
      </c>
      <c r="U9" s="27">
        <v>0.51400000000000001</v>
      </c>
      <c r="V9" s="26">
        <v>2.5</v>
      </c>
      <c r="W9" s="26">
        <v>4.9000000000000004</v>
      </c>
      <c r="X9" s="26">
        <v>7.3</v>
      </c>
      <c r="Y9" s="26">
        <v>0.7</v>
      </c>
      <c r="Z9" s="26">
        <v>0.4</v>
      </c>
      <c r="AA9" s="26">
        <v>1.1000000000000001</v>
      </c>
      <c r="AB9" s="26">
        <v>1.2</v>
      </c>
      <c r="AC9" s="26">
        <v>3.2</v>
      </c>
      <c r="AD9" s="26">
        <v>7.5</v>
      </c>
      <c r="AE9" s="89"/>
      <c r="AF9" s="34">
        <v>39</v>
      </c>
      <c r="AG9" s="35" t="s">
        <v>127</v>
      </c>
      <c r="AH9" s="36" t="s">
        <v>215</v>
      </c>
      <c r="AI9" s="35">
        <v>265</v>
      </c>
      <c r="AJ9" s="35" t="s">
        <v>149</v>
      </c>
      <c r="AK9" s="35">
        <v>15</v>
      </c>
      <c r="AL9" s="42"/>
      <c r="AM9" s="35">
        <v>34</v>
      </c>
      <c r="AN9" s="35">
        <v>18</v>
      </c>
      <c r="AO9" s="35">
        <v>7</v>
      </c>
      <c r="AP9" s="35">
        <v>15.7</v>
      </c>
      <c r="AQ9" s="35">
        <v>2.2000000000000002</v>
      </c>
      <c r="AR9" s="35">
        <v>3.2</v>
      </c>
      <c r="AS9" s="35">
        <v>0.68400000000000005</v>
      </c>
      <c r="AT9" s="35">
        <v>0.1</v>
      </c>
      <c r="AU9" s="35">
        <v>0.1</v>
      </c>
      <c r="AV9" s="35">
        <f>'PLAYER STATS'!$K9-'PLAYER STATS'!$J9</f>
        <v>0.1</v>
      </c>
      <c r="AW9" s="35">
        <v>0.5</v>
      </c>
      <c r="AX9" s="35">
        <v>2.1</v>
      </c>
      <c r="AY9" s="35">
        <v>3.1</v>
      </c>
      <c r="AZ9" s="35">
        <f>'PLAYER STATS'!$O9-'PLAYER STATS'!$N9</f>
        <v>1</v>
      </c>
      <c r="BA9" s="35">
        <v>0.69099999999999995</v>
      </c>
      <c r="BB9" s="35">
        <v>0.69299999999999995</v>
      </c>
      <c r="BC9" s="35">
        <v>1.4</v>
      </c>
      <c r="BD9" s="35">
        <v>2.5</v>
      </c>
      <c r="BE9" s="35">
        <v>0.55600000000000005</v>
      </c>
      <c r="BF9" s="35">
        <v>1.8</v>
      </c>
      <c r="BG9" s="35">
        <v>2.8</v>
      </c>
      <c r="BH9" s="35">
        <v>4.5999999999999996</v>
      </c>
      <c r="BI9" s="35">
        <v>0.5</v>
      </c>
      <c r="BJ9" s="35">
        <v>0.4</v>
      </c>
      <c r="BK9" s="35">
        <v>0.4</v>
      </c>
      <c r="BL9" s="35">
        <v>0.9</v>
      </c>
      <c r="BM9" s="35">
        <v>3.1</v>
      </c>
      <c r="BN9" s="35">
        <v>5.8</v>
      </c>
    </row>
    <row r="10" spans="1:66" ht="119" customHeight="1">
      <c r="A10" s="16">
        <v>14</v>
      </c>
      <c r="B10" s="17" t="s">
        <v>32</v>
      </c>
      <c r="C10" s="17">
        <v>34</v>
      </c>
      <c r="D10" s="17">
        <v>6</v>
      </c>
      <c r="E10" s="17">
        <v>0</v>
      </c>
      <c r="F10" s="17">
        <v>13.2</v>
      </c>
      <c r="G10" s="17">
        <v>1.2</v>
      </c>
      <c r="H10" s="17">
        <v>3.7</v>
      </c>
      <c r="I10" s="17">
        <v>0.318</v>
      </c>
      <c r="J10" s="17">
        <v>0.2</v>
      </c>
      <c r="K10" s="17">
        <v>1.8</v>
      </c>
      <c r="L10" s="17">
        <f>Table13[[#This Row],[3PA]]-Table13[[#This Row],[3PM]]</f>
        <v>1.6</v>
      </c>
      <c r="M10" s="21">
        <v>9.0999999999999998E-2</v>
      </c>
      <c r="N10" s="17">
        <v>1</v>
      </c>
      <c r="O10" s="17">
        <v>1.8</v>
      </c>
      <c r="P10" s="17">
        <f>Table13[[#This Row],[2PA]]-Table13[[#This Row],[2PM]]</f>
        <v>0.8</v>
      </c>
      <c r="Q10" s="21">
        <v>0.54500000000000004</v>
      </c>
      <c r="R10" s="17">
        <v>0.34100000000000003</v>
      </c>
      <c r="S10" s="17">
        <v>0.3</v>
      </c>
      <c r="T10" s="17">
        <v>0.3</v>
      </c>
      <c r="U10" s="21">
        <v>1</v>
      </c>
      <c r="V10" s="17">
        <v>0</v>
      </c>
      <c r="W10" s="17">
        <v>0.8</v>
      </c>
      <c r="X10" s="17">
        <v>0.8</v>
      </c>
      <c r="Y10" s="17">
        <v>0.5</v>
      </c>
      <c r="Z10" s="17">
        <v>0.2</v>
      </c>
      <c r="AA10" s="17">
        <v>0</v>
      </c>
      <c r="AB10" s="17">
        <v>0.7</v>
      </c>
      <c r="AC10" s="17">
        <v>0.8</v>
      </c>
      <c r="AD10" s="17">
        <v>2.8</v>
      </c>
      <c r="AE10" s="90"/>
      <c r="AF10" s="38">
        <v>21</v>
      </c>
      <c r="AG10" s="39" t="s">
        <v>124</v>
      </c>
      <c r="AH10" s="40" t="s">
        <v>218</v>
      </c>
      <c r="AI10" s="39">
        <v>225</v>
      </c>
      <c r="AJ10" s="39" t="s">
        <v>161</v>
      </c>
      <c r="AK10" s="39">
        <v>15</v>
      </c>
      <c r="AL10" s="43" t="s">
        <v>227</v>
      </c>
      <c r="AM10" s="39">
        <v>34</v>
      </c>
      <c r="AN10" s="39">
        <v>10</v>
      </c>
      <c r="AO10" s="39">
        <v>0</v>
      </c>
      <c r="AP10" s="39">
        <v>7.5</v>
      </c>
      <c r="AQ10" s="39">
        <v>0.7</v>
      </c>
      <c r="AR10" s="39">
        <v>2.6</v>
      </c>
      <c r="AS10" s="39">
        <v>0.26900000000000002</v>
      </c>
      <c r="AT10" s="39">
        <v>0.6</v>
      </c>
      <c r="AU10" s="39">
        <v>2.2000000000000002</v>
      </c>
      <c r="AV10" s="39">
        <f>'PLAYER STATS'!$K10-'PLAYER STATS'!$J10</f>
        <v>1.6</v>
      </c>
      <c r="AW10" s="39">
        <v>0.27300000000000002</v>
      </c>
      <c r="AX10" s="39">
        <v>0.1</v>
      </c>
      <c r="AY10" s="39">
        <v>0.4</v>
      </c>
      <c r="AZ10" s="39">
        <f>'PLAYER STATS'!$O10-'PLAYER STATS'!$N10</f>
        <v>0.8</v>
      </c>
      <c r="BA10" s="39">
        <v>0.25</v>
      </c>
      <c r="BB10" s="39">
        <v>0.38500000000000001</v>
      </c>
      <c r="BC10" s="39">
        <v>0</v>
      </c>
      <c r="BD10" s="39">
        <v>0</v>
      </c>
      <c r="BE10" s="52">
        <v>0</v>
      </c>
      <c r="BF10" s="39">
        <v>0</v>
      </c>
      <c r="BG10" s="39">
        <v>0.3</v>
      </c>
      <c r="BH10" s="39">
        <v>0.3</v>
      </c>
      <c r="BI10" s="39">
        <v>0.3</v>
      </c>
      <c r="BJ10" s="39">
        <v>0.2</v>
      </c>
      <c r="BK10" s="39">
        <v>0</v>
      </c>
      <c r="BL10" s="39">
        <v>0.7</v>
      </c>
      <c r="BM10" s="39">
        <v>1.1000000000000001</v>
      </c>
      <c r="BN10" s="39">
        <v>2</v>
      </c>
    </row>
    <row r="11" spans="1:66" ht="114" customHeight="1">
      <c r="A11" s="50">
        <v>18</v>
      </c>
      <c r="B11" s="48" t="s">
        <v>34</v>
      </c>
      <c r="C11" s="48">
        <v>34</v>
      </c>
      <c r="D11" s="48">
        <v>45</v>
      </c>
      <c r="E11" s="48">
        <v>1</v>
      </c>
      <c r="F11" s="48">
        <v>8.1</v>
      </c>
      <c r="G11" s="48">
        <v>0.5</v>
      </c>
      <c r="H11" s="48">
        <v>1.3</v>
      </c>
      <c r="I11" s="48">
        <v>0.4</v>
      </c>
      <c r="J11" s="48">
        <v>0.4</v>
      </c>
      <c r="K11" s="48">
        <v>0.9</v>
      </c>
      <c r="L11" s="48">
        <f>Table13[[#This Row],[3PA]]-Table13[[#This Row],[3PM]]</f>
        <v>0.5</v>
      </c>
      <c r="M11" s="49">
        <v>0.42899999999999999</v>
      </c>
      <c r="N11" s="48">
        <v>0.1</v>
      </c>
      <c r="O11" s="48">
        <v>0.4</v>
      </c>
      <c r="P11" s="48">
        <f>Table13[[#This Row],[2PA]]-Table13[[#This Row],[2PM]]</f>
        <v>0.30000000000000004</v>
      </c>
      <c r="Q11" s="49">
        <v>0.33300000000000002</v>
      </c>
      <c r="R11" s="48">
        <v>0.55000000000000004</v>
      </c>
      <c r="S11" s="48">
        <v>0</v>
      </c>
      <c r="T11" s="48">
        <v>0</v>
      </c>
      <c r="U11" s="48">
        <v>1</v>
      </c>
      <c r="V11" s="48">
        <v>0.1</v>
      </c>
      <c r="W11" s="48">
        <v>1</v>
      </c>
      <c r="X11" s="48">
        <v>1.2</v>
      </c>
      <c r="Y11" s="48">
        <v>0.6</v>
      </c>
      <c r="Z11" s="48">
        <v>0.3</v>
      </c>
      <c r="AA11" s="48">
        <v>0.1</v>
      </c>
      <c r="AB11" s="48">
        <v>0.2</v>
      </c>
      <c r="AC11" s="48">
        <v>0.9</v>
      </c>
      <c r="AD11" s="48">
        <v>1.5</v>
      </c>
      <c r="AE11" s="89"/>
      <c r="AF11" s="34">
        <v>10</v>
      </c>
      <c r="AG11" s="35" t="s">
        <v>21</v>
      </c>
      <c r="AH11" s="36" t="s">
        <v>218</v>
      </c>
      <c r="AI11" s="35">
        <v>237</v>
      </c>
      <c r="AJ11" s="35" t="s">
        <v>143</v>
      </c>
      <c r="AK11" s="35">
        <v>12</v>
      </c>
      <c r="AL11" s="37" t="s">
        <v>144</v>
      </c>
      <c r="AM11" s="35">
        <v>34</v>
      </c>
      <c r="AN11" s="35">
        <v>9</v>
      </c>
      <c r="AO11" s="35">
        <v>0</v>
      </c>
      <c r="AP11" s="35">
        <v>3.4</v>
      </c>
      <c r="AQ11" s="35">
        <v>0</v>
      </c>
      <c r="AR11" s="35">
        <v>0.4</v>
      </c>
      <c r="AS11" s="35">
        <v>0</v>
      </c>
      <c r="AT11" s="35">
        <v>0</v>
      </c>
      <c r="AU11" s="35">
        <v>0.3</v>
      </c>
      <c r="AV11" s="35">
        <f>'PLAYER STATS'!$K11-'PLAYER STATS'!$J11</f>
        <v>0.5</v>
      </c>
      <c r="AW11" s="35">
        <v>0</v>
      </c>
      <c r="AX11" s="35">
        <v>0</v>
      </c>
      <c r="AY11" s="35">
        <v>0.1</v>
      </c>
      <c r="AZ11" s="35">
        <f>'PLAYER STATS'!$O11-'PLAYER STATS'!$N11</f>
        <v>0.30000000000000004</v>
      </c>
      <c r="BA11" s="35">
        <v>0</v>
      </c>
      <c r="BB11" s="35">
        <v>0</v>
      </c>
      <c r="BC11" s="35">
        <v>0</v>
      </c>
      <c r="BD11" s="35">
        <v>0</v>
      </c>
      <c r="BE11" s="51">
        <v>0</v>
      </c>
      <c r="BF11" s="35">
        <v>0</v>
      </c>
      <c r="BG11" s="35">
        <v>0.2</v>
      </c>
      <c r="BH11" s="35">
        <v>0.2</v>
      </c>
      <c r="BI11" s="35">
        <v>0</v>
      </c>
      <c r="BJ11" s="35">
        <v>0.4</v>
      </c>
      <c r="BK11" s="35">
        <v>0.1</v>
      </c>
      <c r="BL11" s="35">
        <v>0.2</v>
      </c>
      <c r="BM11" s="35">
        <v>0.2</v>
      </c>
      <c r="BN11" s="35">
        <v>0</v>
      </c>
    </row>
    <row r="12" spans="1:66" ht="102" customHeight="1">
      <c r="A12" s="30">
        <v>11</v>
      </c>
      <c r="B12" s="26" t="s">
        <v>31</v>
      </c>
      <c r="C12" s="26">
        <v>32</v>
      </c>
      <c r="D12" s="26">
        <v>68</v>
      </c>
      <c r="E12" s="26">
        <v>68</v>
      </c>
      <c r="F12" s="26">
        <v>16.600000000000001</v>
      </c>
      <c r="G12" s="26">
        <v>2.9</v>
      </c>
      <c r="H12" s="26">
        <v>4.5</v>
      </c>
      <c r="I12" s="26">
        <v>0.63700000000000001</v>
      </c>
      <c r="J12" s="26">
        <v>0</v>
      </c>
      <c r="K12" s="26">
        <v>0.1</v>
      </c>
      <c r="L12" s="26">
        <f>Table13[[#This Row],[3PA]]-Table13[[#This Row],[3PM]]</f>
        <v>0.1</v>
      </c>
      <c r="M12" s="27">
        <v>0.5</v>
      </c>
      <c r="N12" s="26">
        <v>2.8</v>
      </c>
      <c r="O12" s="26">
        <v>4.4000000000000004</v>
      </c>
      <c r="P12" s="26">
        <f>Table13[[#This Row],[2PA]]-Table13[[#This Row],[2PM]]</f>
        <v>1.6000000000000005</v>
      </c>
      <c r="Q12" s="27">
        <v>0.64</v>
      </c>
      <c r="R12" s="26">
        <v>0.64200000000000002</v>
      </c>
      <c r="S12" s="26">
        <v>0.8</v>
      </c>
      <c r="T12" s="26">
        <v>1.2</v>
      </c>
      <c r="U12" s="27">
        <v>0.64600000000000002</v>
      </c>
      <c r="V12" s="26">
        <v>1.8</v>
      </c>
      <c r="W12" s="26">
        <v>3.9</v>
      </c>
      <c r="X12" s="26">
        <v>5.7</v>
      </c>
      <c r="Y12" s="26">
        <v>0.5</v>
      </c>
      <c r="Z12" s="26">
        <v>0.5</v>
      </c>
      <c r="AA12" s="26">
        <v>1.4</v>
      </c>
      <c r="AB12" s="26">
        <v>0.8</v>
      </c>
      <c r="AC12" s="26">
        <v>2.2999999999999998</v>
      </c>
      <c r="AD12" s="26">
        <v>6.6</v>
      </c>
      <c r="AE12" s="89"/>
      <c r="AF12" s="34">
        <v>7</v>
      </c>
      <c r="AG12" s="35" t="s">
        <v>127</v>
      </c>
      <c r="AH12" s="35" t="s">
        <v>222</v>
      </c>
      <c r="AI12" s="35">
        <v>270</v>
      </c>
      <c r="AJ12" s="35" t="s">
        <v>154</v>
      </c>
      <c r="AK12" s="35">
        <v>11</v>
      </c>
      <c r="AL12" s="37" t="s">
        <v>155</v>
      </c>
      <c r="AM12" s="39">
        <v>32</v>
      </c>
      <c r="AN12" s="39">
        <v>14</v>
      </c>
      <c r="AO12" s="39">
        <v>11</v>
      </c>
      <c r="AP12" s="39">
        <v>9.6</v>
      </c>
      <c r="AQ12" s="39">
        <v>1.4</v>
      </c>
      <c r="AR12" s="39">
        <v>2.2999999999999998</v>
      </c>
      <c r="AS12" s="39">
        <v>0.625</v>
      </c>
      <c r="AT12" s="39">
        <v>0</v>
      </c>
      <c r="AU12" s="39">
        <v>0.1</v>
      </c>
      <c r="AV12" s="39">
        <f>'PLAYER STATS'!$K12-'PLAYER STATS'!$J12</f>
        <v>0.1</v>
      </c>
      <c r="AW12" s="39">
        <v>0</v>
      </c>
      <c r="AX12" s="39">
        <v>1.4</v>
      </c>
      <c r="AY12" s="39">
        <v>2.1</v>
      </c>
      <c r="AZ12" s="39">
        <f>'PLAYER STATS'!$O12-'PLAYER STATS'!$N12</f>
        <v>1.6000000000000005</v>
      </c>
      <c r="BA12" s="39">
        <v>0.66700000000000004</v>
      </c>
      <c r="BB12" s="39">
        <v>0.625</v>
      </c>
      <c r="BC12" s="39">
        <v>0.1</v>
      </c>
      <c r="BD12" s="39">
        <v>0.1</v>
      </c>
      <c r="BE12" s="39">
        <v>0.5</v>
      </c>
      <c r="BF12" s="39">
        <v>1.1000000000000001</v>
      </c>
      <c r="BG12" s="39">
        <v>2</v>
      </c>
      <c r="BH12" s="39">
        <v>3.1</v>
      </c>
      <c r="BI12" s="39">
        <v>0.5</v>
      </c>
      <c r="BJ12" s="39">
        <v>0.1</v>
      </c>
      <c r="BK12" s="39">
        <v>0.7</v>
      </c>
      <c r="BL12" s="39">
        <v>0.6</v>
      </c>
      <c r="BM12" s="39">
        <v>1.6</v>
      </c>
      <c r="BN12" s="39">
        <v>2.9</v>
      </c>
    </row>
    <row r="13" spans="1:66" ht="115" customHeight="1">
      <c r="A13" s="30">
        <v>3</v>
      </c>
      <c r="B13" s="26" t="s">
        <v>24</v>
      </c>
      <c r="C13" s="26">
        <v>26</v>
      </c>
      <c r="D13" s="26">
        <v>69</v>
      </c>
      <c r="E13" s="26">
        <v>26</v>
      </c>
      <c r="F13" s="26">
        <v>25.5</v>
      </c>
      <c r="G13" s="26">
        <v>3.4</v>
      </c>
      <c r="H13" s="26">
        <v>7.3</v>
      </c>
      <c r="I13" s="26">
        <v>0.46700000000000003</v>
      </c>
      <c r="J13" s="26">
        <v>1.3</v>
      </c>
      <c r="K13" s="26">
        <v>3.5</v>
      </c>
      <c r="L13" s="26">
        <f>Table13[[#This Row],[3PA]]-Table13[[#This Row],[3PM]]</f>
        <v>2.2000000000000002</v>
      </c>
      <c r="M13" s="27">
        <v>0.38500000000000001</v>
      </c>
      <c r="N13" s="26">
        <v>2.1</v>
      </c>
      <c r="O13" s="26">
        <v>3.9</v>
      </c>
      <c r="P13" s="26">
        <f>Table13[[#This Row],[2PA]]-Table13[[#This Row],[2PM]]</f>
        <v>1.7999999999999998</v>
      </c>
      <c r="Q13" s="27">
        <v>0.54100000000000004</v>
      </c>
      <c r="R13" s="26">
        <v>0.55800000000000005</v>
      </c>
      <c r="S13" s="26">
        <v>1.1000000000000001</v>
      </c>
      <c r="T13" s="26">
        <v>1.5</v>
      </c>
      <c r="U13" s="27">
        <v>0.77500000000000002</v>
      </c>
      <c r="V13" s="26">
        <v>0.6</v>
      </c>
      <c r="W13" s="26">
        <v>1.5</v>
      </c>
      <c r="X13" s="26">
        <v>2.1</v>
      </c>
      <c r="Y13" s="26">
        <v>1.6</v>
      </c>
      <c r="Z13" s="26">
        <v>0.8</v>
      </c>
      <c r="AA13" s="26">
        <v>0.2</v>
      </c>
      <c r="AB13" s="26">
        <v>0.9</v>
      </c>
      <c r="AC13" s="26">
        <v>1.9</v>
      </c>
      <c r="AD13" s="26">
        <v>9.3000000000000007</v>
      </c>
      <c r="AE13" s="89"/>
      <c r="AF13" s="34">
        <v>1</v>
      </c>
      <c r="AG13" s="35" t="s">
        <v>124</v>
      </c>
      <c r="AH13" s="36" t="s">
        <v>216</v>
      </c>
      <c r="AI13" s="35">
        <v>204</v>
      </c>
      <c r="AJ13" s="35" t="s">
        <v>131</v>
      </c>
      <c r="AK13" s="35">
        <v>6</v>
      </c>
      <c r="AL13" s="37" t="s">
        <v>132</v>
      </c>
      <c r="AM13" s="35">
        <v>26</v>
      </c>
      <c r="AN13" s="35">
        <v>21</v>
      </c>
      <c r="AO13" s="35">
        <v>21</v>
      </c>
      <c r="AP13" s="35">
        <v>29</v>
      </c>
      <c r="AQ13" s="35">
        <v>3.8</v>
      </c>
      <c r="AR13" s="35">
        <v>9</v>
      </c>
      <c r="AS13" s="35">
        <v>0.41799999999999998</v>
      </c>
      <c r="AT13" s="35">
        <v>2.1</v>
      </c>
      <c r="AU13" s="35">
        <v>5.7</v>
      </c>
      <c r="AV13" s="35">
        <f>'PLAYER STATS'!$K13-'PLAYER STATS'!$J13</f>
        <v>2.2000000000000002</v>
      </c>
      <c r="AW13" s="35">
        <v>0.378</v>
      </c>
      <c r="AX13" s="35">
        <v>1.6</v>
      </c>
      <c r="AY13" s="35">
        <v>3.3</v>
      </c>
      <c r="AZ13" s="35">
        <f>'PLAYER STATS'!$O13-'PLAYER STATS'!$N13</f>
        <v>1.7999999999999998</v>
      </c>
      <c r="BA13" s="35">
        <v>0.48599999999999999</v>
      </c>
      <c r="BB13" s="35">
        <v>0.53700000000000003</v>
      </c>
      <c r="BC13" s="35">
        <v>1</v>
      </c>
      <c r="BD13" s="35">
        <v>1.3</v>
      </c>
      <c r="BE13" s="35">
        <v>0.81499999999999995</v>
      </c>
      <c r="BF13" s="35">
        <v>0.4</v>
      </c>
      <c r="BG13" s="35">
        <v>1.7</v>
      </c>
      <c r="BH13" s="35">
        <v>2.1</v>
      </c>
      <c r="BI13" s="35">
        <v>1.3</v>
      </c>
      <c r="BJ13" s="35">
        <v>1</v>
      </c>
      <c r="BK13" s="35">
        <v>0.2</v>
      </c>
      <c r="BL13" s="35">
        <v>0.7</v>
      </c>
      <c r="BM13" s="35">
        <v>1.9</v>
      </c>
      <c r="BN13" s="35">
        <v>10.7</v>
      </c>
    </row>
    <row r="14" spans="1:66" ht="109" customHeight="1">
      <c r="A14" s="30">
        <v>19</v>
      </c>
      <c r="B14" s="26" t="s">
        <v>59</v>
      </c>
      <c r="C14" s="26">
        <v>22</v>
      </c>
      <c r="D14" s="26">
        <v>5</v>
      </c>
      <c r="E14" s="26">
        <v>0</v>
      </c>
      <c r="F14" s="26">
        <v>4</v>
      </c>
      <c r="G14" s="26">
        <v>0.6</v>
      </c>
      <c r="H14" s="26">
        <v>0.6</v>
      </c>
      <c r="I14" s="26">
        <v>1</v>
      </c>
      <c r="J14" s="26">
        <v>0</v>
      </c>
      <c r="K14" s="26">
        <v>0</v>
      </c>
      <c r="L14" s="26">
        <f>Table13[[#This Row],[3PA]]-Table13[[#This Row],[3PM]]</f>
        <v>0</v>
      </c>
      <c r="M14" s="28">
        <v>0</v>
      </c>
      <c r="N14" s="26">
        <v>0.6</v>
      </c>
      <c r="O14" s="26">
        <v>0.6</v>
      </c>
      <c r="P14" s="26">
        <f>Table13[[#This Row],[2PA]]-Table13[[#This Row],[2PM]]</f>
        <v>0</v>
      </c>
      <c r="Q14" s="27">
        <v>1</v>
      </c>
      <c r="R14" s="26">
        <v>1</v>
      </c>
      <c r="S14" s="26">
        <v>0.2</v>
      </c>
      <c r="T14" s="26">
        <v>0.4</v>
      </c>
      <c r="U14" s="26">
        <v>0.5</v>
      </c>
      <c r="V14" s="26">
        <v>0.4</v>
      </c>
      <c r="W14" s="26">
        <v>0.2</v>
      </c>
      <c r="X14" s="26">
        <v>0.6</v>
      </c>
      <c r="Y14" s="26">
        <v>0.4</v>
      </c>
      <c r="Z14" s="26">
        <v>0</v>
      </c>
      <c r="AA14" s="26">
        <v>0</v>
      </c>
      <c r="AB14" s="26">
        <v>0.2</v>
      </c>
      <c r="AC14" s="26">
        <v>0.4</v>
      </c>
      <c r="AD14" s="26">
        <v>1.4</v>
      </c>
      <c r="AE14" s="89"/>
      <c r="AF14" s="34">
        <v>37</v>
      </c>
      <c r="AG14" s="35" t="s">
        <v>21</v>
      </c>
      <c r="AH14" s="36" t="s">
        <v>215</v>
      </c>
      <c r="AI14" s="35">
        <v>200</v>
      </c>
      <c r="AJ14" s="35" t="s">
        <v>122</v>
      </c>
      <c r="AK14" s="35">
        <v>1</v>
      </c>
      <c r="AL14" s="37" t="s">
        <v>123</v>
      </c>
      <c r="AM14" s="39" t="s">
        <v>201</v>
      </c>
      <c r="AN14" s="39" t="s">
        <v>201</v>
      </c>
      <c r="AO14" s="39" t="s">
        <v>201</v>
      </c>
      <c r="AP14" s="39" t="s">
        <v>201</v>
      </c>
      <c r="AQ14" s="39" t="s">
        <v>201</v>
      </c>
      <c r="AR14" s="39" t="s">
        <v>201</v>
      </c>
      <c r="AS14" s="39" t="s">
        <v>201</v>
      </c>
      <c r="AT14" s="39" t="s">
        <v>201</v>
      </c>
      <c r="AU14" s="39" t="s">
        <v>201</v>
      </c>
      <c r="AV14" s="39" t="s">
        <v>201</v>
      </c>
      <c r="AW14" s="39" t="s">
        <v>201</v>
      </c>
      <c r="AX14" s="39" t="s">
        <v>201</v>
      </c>
      <c r="AY14" s="39" t="s">
        <v>201</v>
      </c>
      <c r="AZ14" s="39" t="s">
        <v>201</v>
      </c>
      <c r="BA14" s="39" t="s">
        <v>201</v>
      </c>
      <c r="BB14" s="39" t="s">
        <v>201</v>
      </c>
      <c r="BC14" s="39" t="s">
        <v>201</v>
      </c>
      <c r="BD14" s="39" t="s">
        <v>201</v>
      </c>
      <c r="BE14" s="52" t="s">
        <v>201</v>
      </c>
      <c r="BF14" s="39" t="s">
        <v>201</v>
      </c>
      <c r="BG14" s="39" t="s">
        <v>201</v>
      </c>
      <c r="BH14" s="39" t="s">
        <v>201</v>
      </c>
      <c r="BI14" s="39" t="s">
        <v>201</v>
      </c>
      <c r="BJ14" s="39" t="s">
        <v>201</v>
      </c>
      <c r="BK14" s="39" t="s">
        <v>201</v>
      </c>
      <c r="BL14" s="39" t="s">
        <v>201</v>
      </c>
      <c r="BM14" s="39" t="s">
        <v>201</v>
      </c>
      <c r="BN14" s="39" t="s">
        <v>202</v>
      </c>
    </row>
    <row r="15" spans="1:66" ht="120" customHeight="1">
      <c r="A15" s="50">
        <v>4</v>
      </c>
      <c r="B15" s="48" t="s">
        <v>27</v>
      </c>
      <c r="C15" s="48">
        <v>24</v>
      </c>
      <c r="D15" s="48">
        <v>61</v>
      </c>
      <c r="E15" s="48">
        <v>9</v>
      </c>
      <c r="F15" s="48">
        <v>25</v>
      </c>
      <c r="G15" s="48">
        <v>4.8</v>
      </c>
      <c r="H15" s="48">
        <v>11</v>
      </c>
      <c r="I15" s="48">
        <v>0.436</v>
      </c>
      <c r="J15" s="48">
        <v>1.4</v>
      </c>
      <c r="K15" s="48">
        <v>4.5</v>
      </c>
      <c r="L15" s="48">
        <f>Table13[[#This Row],[3PA]]-Table13[[#This Row],[3PM]]</f>
        <v>3.1</v>
      </c>
      <c r="M15" s="49">
        <v>0.316</v>
      </c>
      <c r="N15" s="48">
        <v>3.4</v>
      </c>
      <c r="O15" s="48">
        <v>6.5</v>
      </c>
      <c r="P15" s="48">
        <f>Table13[[#This Row],[2PA]]-Table13[[#This Row],[2PM]]</f>
        <v>3.1</v>
      </c>
      <c r="Q15" s="49">
        <v>0.51800000000000002</v>
      </c>
      <c r="R15" s="48">
        <v>0.5</v>
      </c>
      <c r="S15" s="48">
        <v>1.9</v>
      </c>
      <c r="T15" s="48">
        <v>2.5</v>
      </c>
      <c r="U15" s="49">
        <v>0.73499999999999999</v>
      </c>
      <c r="V15" s="48">
        <v>0.9</v>
      </c>
      <c r="W15" s="48">
        <v>3.6</v>
      </c>
      <c r="X15" s="48">
        <v>4.5</v>
      </c>
      <c r="Y15" s="48">
        <v>1.3</v>
      </c>
      <c r="Z15" s="48">
        <v>0.5</v>
      </c>
      <c r="AA15" s="48">
        <v>0.4</v>
      </c>
      <c r="AB15" s="48">
        <v>1.5</v>
      </c>
      <c r="AC15" s="48">
        <v>2.1</v>
      </c>
      <c r="AD15" s="48">
        <v>12.8</v>
      </c>
      <c r="AE15" s="90"/>
      <c r="AF15" s="34">
        <v>0</v>
      </c>
      <c r="AG15" s="35" t="s">
        <v>21</v>
      </c>
      <c r="AH15" s="36" t="s">
        <v>217</v>
      </c>
      <c r="AI15" s="35">
        <v>221</v>
      </c>
      <c r="AJ15" s="35" t="s">
        <v>151</v>
      </c>
      <c r="AK15" s="35">
        <v>2</v>
      </c>
      <c r="AL15" s="37" t="s">
        <v>152</v>
      </c>
      <c r="AM15" s="35">
        <v>24</v>
      </c>
      <c r="AN15" s="35">
        <v>21</v>
      </c>
      <c r="AO15" s="35">
        <v>0</v>
      </c>
      <c r="AP15" s="35">
        <v>23</v>
      </c>
      <c r="AQ15" s="35">
        <v>3.7</v>
      </c>
      <c r="AR15" s="35">
        <v>8.5</v>
      </c>
      <c r="AS15" s="35">
        <v>0.43</v>
      </c>
      <c r="AT15" s="35">
        <v>1.2</v>
      </c>
      <c r="AU15" s="35">
        <v>4</v>
      </c>
      <c r="AV15" s="35">
        <f>'PLAYER STATS'!$K15-'PLAYER STATS'!$J15</f>
        <v>3.1</v>
      </c>
      <c r="AW15" s="35">
        <v>0.313</v>
      </c>
      <c r="AX15" s="35">
        <v>2.4</v>
      </c>
      <c r="AY15" s="35">
        <v>4.5999999999999996</v>
      </c>
      <c r="AZ15" s="35">
        <f>'PLAYER STATS'!$O15-'PLAYER STATS'!$N15</f>
        <v>3.1</v>
      </c>
      <c r="BA15" s="35">
        <v>0.53100000000000003</v>
      </c>
      <c r="BB15" s="35">
        <v>0.503</v>
      </c>
      <c r="BC15" s="35">
        <v>1.4</v>
      </c>
      <c r="BD15" s="35">
        <v>1.8</v>
      </c>
      <c r="BE15" s="35">
        <v>0.78400000000000003</v>
      </c>
      <c r="BF15" s="35">
        <v>0.9</v>
      </c>
      <c r="BG15" s="35">
        <v>2.2000000000000002</v>
      </c>
      <c r="BH15" s="35">
        <v>3.1</v>
      </c>
      <c r="BI15" s="35">
        <v>0.8</v>
      </c>
      <c r="BJ15" s="35">
        <v>0.3</v>
      </c>
      <c r="BK15" s="35">
        <v>0.3</v>
      </c>
      <c r="BL15" s="35">
        <v>1</v>
      </c>
      <c r="BM15" s="35">
        <v>2.4</v>
      </c>
      <c r="BN15" s="35">
        <v>10</v>
      </c>
    </row>
    <row r="16" spans="1:66" ht="125" customHeight="1">
      <c r="A16" s="30">
        <v>1</v>
      </c>
      <c r="B16" s="26" t="s">
        <v>23</v>
      </c>
      <c r="C16" s="26">
        <v>35</v>
      </c>
      <c r="D16" s="26">
        <v>67</v>
      </c>
      <c r="E16" s="26">
        <v>67</v>
      </c>
      <c r="F16" s="26">
        <v>34.6</v>
      </c>
      <c r="G16" s="26">
        <v>9.6</v>
      </c>
      <c r="H16" s="26">
        <v>19.399999999999999</v>
      </c>
      <c r="I16" s="26">
        <v>0.49299999999999999</v>
      </c>
      <c r="J16" s="26">
        <v>2.2000000000000002</v>
      </c>
      <c r="K16" s="26">
        <v>6.3</v>
      </c>
      <c r="L16" s="26">
        <f>Table13[[#This Row],[3PA]]-Table13[[#This Row],[3PM]]</f>
        <v>4.0999999999999996</v>
      </c>
      <c r="M16" s="27">
        <v>0.34799999999999998</v>
      </c>
      <c r="N16" s="26">
        <v>7.4</v>
      </c>
      <c r="O16" s="26">
        <v>13.1</v>
      </c>
      <c r="P16" s="26">
        <f>Table13[[#This Row],[2PA]]-Table13[[#This Row],[2PM]]</f>
        <v>5.6999999999999993</v>
      </c>
      <c r="Q16" s="27">
        <v>0.56399999999999995</v>
      </c>
      <c r="R16" s="26">
        <v>0.55000000000000004</v>
      </c>
      <c r="S16" s="26">
        <v>3.9</v>
      </c>
      <c r="T16" s="26">
        <v>5.7</v>
      </c>
      <c r="U16" s="27">
        <v>0.69299999999999995</v>
      </c>
      <c r="V16" s="26">
        <v>1</v>
      </c>
      <c r="W16" s="26">
        <v>6.9</v>
      </c>
      <c r="X16" s="26">
        <v>7.8</v>
      </c>
      <c r="Y16" s="26">
        <v>10.199999999999999</v>
      </c>
      <c r="Z16" s="26">
        <v>1.2</v>
      </c>
      <c r="AA16" s="26">
        <v>0.5</v>
      </c>
      <c r="AB16" s="26">
        <v>3.9</v>
      </c>
      <c r="AC16" s="26">
        <v>1.8</v>
      </c>
      <c r="AD16" s="26">
        <v>25.3</v>
      </c>
      <c r="AE16" s="89"/>
      <c r="AF16" s="34">
        <v>23</v>
      </c>
      <c r="AG16" s="35" t="s">
        <v>133</v>
      </c>
      <c r="AH16" s="36" t="s">
        <v>214</v>
      </c>
      <c r="AI16" s="35">
        <v>250</v>
      </c>
      <c r="AJ16" s="35" t="s">
        <v>150</v>
      </c>
      <c r="AK16" s="35">
        <v>16</v>
      </c>
      <c r="AL16" s="42" t="s">
        <v>227</v>
      </c>
      <c r="AM16" s="39">
        <v>35</v>
      </c>
      <c r="AN16" s="39">
        <v>21</v>
      </c>
      <c r="AO16" s="39">
        <v>21</v>
      </c>
      <c r="AP16" s="39">
        <v>36.299999999999997</v>
      </c>
      <c r="AQ16" s="39">
        <v>10.199999999999999</v>
      </c>
      <c r="AR16" s="39">
        <v>18.2</v>
      </c>
      <c r="AS16" s="39">
        <v>0.56000000000000005</v>
      </c>
      <c r="AT16" s="39">
        <v>2.1</v>
      </c>
      <c r="AU16" s="39">
        <v>5.7</v>
      </c>
      <c r="AV16" s="39">
        <f>'PLAYER STATS'!$K16-'PLAYER STATS'!$J16</f>
        <v>4.0999999999999996</v>
      </c>
      <c r="AW16" s="39">
        <v>0.37</v>
      </c>
      <c r="AX16" s="39">
        <v>8.1</v>
      </c>
      <c r="AY16" s="39">
        <v>12.5</v>
      </c>
      <c r="AZ16" s="39">
        <f>'PLAYER STATS'!$O16-'PLAYER STATS'!$N16</f>
        <v>5.6999999999999993</v>
      </c>
      <c r="BA16" s="39">
        <v>0.64600000000000002</v>
      </c>
      <c r="BB16" s="39">
        <v>0.61799999999999999</v>
      </c>
      <c r="BC16" s="39">
        <v>5.0999999999999996</v>
      </c>
      <c r="BD16" s="39">
        <v>7.1</v>
      </c>
      <c r="BE16" s="39">
        <v>0.72</v>
      </c>
      <c r="BF16" s="39">
        <v>1.3</v>
      </c>
      <c r="BG16" s="39">
        <v>9.4</v>
      </c>
      <c r="BH16" s="39">
        <v>10.8</v>
      </c>
      <c r="BI16" s="39">
        <v>8.8000000000000007</v>
      </c>
      <c r="BJ16" s="39">
        <v>1.2</v>
      </c>
      <c r="BK16" s="39">
        <v>0.9</v>
      </c>
      <c r="BL16" s="39">
        <v>4</v>
      </c>
      <c r="BM16" s="39">
        <v>1.9</v>
      </c>
      <c r="BN16" s="39">
        <v>27.6</v>
      </c>
    </row>
    <row r="17" spans="1:66" ht="126" customHeight="1">
      <c r="A17" s="50">
        <v>12</v>
      </c>
      <c r="B17" s="48" t="s">
        <v>29</v>
      </c>
      <c r="C17" s="48">
        <v>30</v>
      </c>
      <c r="D17" s="48">
        <v>14</v>
      </c>
      <c r="E17" s="48">
        <v>1</v>
      </c>
      <c r="F17" s="48">
        <v>14.2</v>
      </c>
      <c r="G17" s="48">
        <v>2</v>
      </c>
      <c r="H17" s="48">
        <v>4.9000000000000004</v>
      </c>
      <c r="I17" s="48">
        <v>0.40600000000000003</v>
      </c>
      <c r="J17" s="48">
        <v>0.9</v>
      </c>
      <c r="K17" s="48">
        <v>2.8</v>
      </c>
      <c r="L17" s="48">
        <f>Table13[[#This Row],[3PA]]-Table13[[#This Row],[3PM]]</f>
        <v>1.9</v>
      </c>
      <c r="M17" s="49">
        <v>0.33300000000000002</v>
      </c>
      <c r="N17" s="48">
        <v>1.1000000000000001</v>
      </c>
      <c r="O17" s="48">
        <v>2.1</v>
      </c>
      <c r="P17" s="48">
        <f>Table13[[#This Row],[2PA]]-Table13[[#This Row],[2PM]]</f>
        <v>1</v>
      </c>
      <c r="Q17" s="49">
        <v>0.5</v>
      </c>
      <c r="R17" s="48">
        <v>0.5</v>
      </c>
      <c r="S17" s="48">
        <v>0.4</v>
      </c>
      <c r="T17" s="48">
        <v>0.4</v>
      </c>
      <c r="U17" s="49">
        <v>0.83299999999999996</v>
      </c>
      <c r="V17" s="48">
        <v>1.1000000000000001</v>
      </c>
      <c r="W17" s="48">
        <v>2.1</v>
      </c>
      <c r="X17" s="48">
        <v>3.2</v>
      </c>
      <c r="Y17" s="48">
        <v>0.6</v>
      </c>
      <c r="Z17" s="48">
        <v>0.4</v>
      </c>
      <c r="AA17" s="48">
        <v>0.4</v>
      </c>
      <c r="AB17" s="48">
        <v>0.4</v>
      </c>
      <c r="AC17" s="48">
        <v>2.1</v>
      </c>
      <c r="AD17" s="48">
        <v>5.3</v>
      </c>
      <c r="AE17" s="89"/>
      <c r="AF17" s="34">
        <v>88</v>
      </c>
      <c r="AG17" s="35" t="s">
        <v>21</v>
      </c>
      <c r="AH17" s="36" t="s">
        <v>217</v>
      </c>
      <c r="AI17" s="35">
        <v>245</v>
      </c>
      <c r="AJ17" s="35" t="s">
        <v>156</v>
      </c>
      <c r="AK17" s="35">
        <v>8</v>
      </c>
      <c r="AL17" s="37" t="s">
        <v>157</v>
      </c>
      <c r="AM17" s="35">
        <v>30</v>
      </c>
      <c r="AN17" s="35">
        <v>21</v>
      </c>
      <c r="AO17" s="35">
        <v>2</v>
      </c>
      <c r="AP17" s="35">
        <v>18.3</v>
      </c>
      <c r="AQ17" s="35">
        <v>2.1</v>
      </c>
      <c r="AR17" s="35">
        <v>4.7</v>
      </c>
      <c r="AS17" s="35">
        <v>0.44900000000000001</v>
      </c>
      <c r="AT17" s="35">
        <v>1.4</v>
      </c>
      <c r="AU17" s="35">
        <v>3.3</v>
      </c>
      <c r="AV17" s="35">
        <f>'PLAYER STATS'!$K17-'PLAYER STATS'!$J17</f>
        <v>1.9</v>
      </c>
      <c r="AW17" s="35">
        <v>0.42</v>
      </c>
      <c r="AX17" s="35">
        <v>0.7</v>
      </c>
      <c r="AY17" s="35">
        <v>1.4</v>
      </c>
      <c r="AZ17" s="35">
        <f>'PLAYER STATS'!$O17-'PLAYER STATS'!$N17</f>
        <v>1</v>
      </c>
      <c r="BA17" s="35">
        <v>0.51700000000000002</v>
      </c>
      <c r="BB17" s="35">
        <v>0.59699999999999998</v>
      </c>
      <c r="BC17" s="35">
        <v>0.3</v>
      </c>
      <c r="BD17" s="35">
        <v>0.4</v>
      </c>
      <c r="BE17" s="35">
        <v>0.77800000000000002</v>
      </c>
      <c r="BF17" s="35">
        <v>0.6</v>
      </c>
      <c r="BG17" s="35">
        <v>2.5</v>
      </c>
      <c r="BH17" s="35">
        <v>3</v>
      </c>
      <c r="BI17" s="35">
        <v>1</v>
      </c>
      <c r="BJ17" s="35">
        <v>0.3</v>
      </c>
      <c r="BK17" s="35">
        <v>0.1</v>
      </c>
      <c r="BL17" s="35">
        <v>0.8</v>
      </c>
      <c r="BM17" s="35">
        <v>2.6</v>
      </c>
      <c r="BN17" s="35">
        <v>5.9</v>
      </c>
    </row>
    <row r="18" spans="1:66" ht="118" customHeight="1">
      <c r="A18" s="30">
        <v>15</v>
      </c>
      <c r="B18" s="26" t="s">
        <v>35</v>
      </c>
      <c r="C18" s="26">
        <v>26</v>
      </c>
      <c r="D18" s="26">
        <v>44</v>
      </c>
      <c r="E18" s="26">
        <v>1</v>
      </c>
      <c r="F18" s="26">
        <v>11.5</v>
      </c>
      <c r="G18" s="26">
        <v>2.1</v>
      </c>
      <c r="H18" s="26">
        <v>4.9000000000000004</v>
      </c>
      <c r="I18" s="26">
        <v>0.42499999999999999</v>
      </c>
      <c r="J18" s="26">
        <v>0.7</v>
      </c>
      <c r="K18" s="26">
        <v>1.9</v>
      </c>
      <c r="L18" s="26">
        <f>Table13[[#This Row],[3PA]]-Table13[[#This Row],[3PM]]</f>
        <v>1.2</v>
      </c>
      <c r="M18" s="27">
        <v>0.36499999999999999</v>
      </c>
      <c r="N18" s="26">
        <v>1.4</v>
      </c>
      <c r="O18" s="26">
        <v>2.9</v>
      </c>
      <c r="P18" s="26">
        <f>Table13[[#This Row],[2PA]]-Table13[[#This Row],[2PM]]</f>
        <v>1.5</v>
      </c>
      <c r="Q18" s="27">
        <v>0.46500000000000002</v>
      </c>
      <c r="R18" s="26">
        <v>0.498</v>
      </c>
      <c r="S18" s="26">
        <v>0.3</v>
      </c>
      <c r="T18" s="26">
        <v>0.3</v>
      </c>
      <c r="U18" s="27">
        <v>0.78600000000000003</v>
      </c>
      <c r="V18" s="26">
        <v>0.3</v>
      </c>
      <c r="W18" s="26">
        <v>0.9</v>
      </c>
      <c r="X18" s="26">
        <v>1.2</v>
      </c>
      <c r="Y18" s="26">
        <v>1.1000000000000001</v>
      </c>
      <c r="Z18" s="26">
        <v>0.3</v>
      </c>
      <c r="AA18" s="26">
        <v>0</v>
      </c>
      <c r="AB18" s="26">
        <v>0.8</v>
      </c>
      <c r="AC18" s="26">
        <v>0.6</v>
      </c>
      <c r="AD18" s="26">
        <v>5.0999999999999996</v>
      </c>
      <c r="AE18" s="89"/>
      <c r="AF18" s="34" t="s">
        <v>136</v>
      </c>
      <c r="AG18" s="35" t="s">
        <v>133</v>
      </c>
      <c r="AH18" s="36" t="s">
        <v>221</v>
      </c>
      <c r="AI18" s="35">
        <v>180</v>
      </c>
      <c r="AJ18" s="35" t="s">
        <v>137</v>
      </c>
      <c r="AK18" s="35">
        <v>3</v>
      </c>
      <c r="AL18" s="37" t="s">
        <v>138</v>
      </c>
      <c r="AM18" s="39">
        <v>26</v>
      </c>
      <c r="AN18" s="39">
        <v>6</v>
      </c>
      <c r="AO18" s="39">
        <v>0</v>
      </c>
      <c r="AP18" s="39">
        <v>4</v>
      </c>
      <c r="AQ18" s="39">
        <v>0.8</v>
      </c>
      <c r="AR18" s="39">
        <v>1.7</v>
      </c>
      <c r="AS18" s="39">
        <v>0.5</v>
      </c>
      <c r="AT18" s="39">
        <v>0.3</v>
      </c>
      <c r="AU18" s="39">
        <v>0.7</v>
      </c>
      <c r="AV18" s="39">
        <f>'PLAYER STATS'!$K18-'PLAYER STATS'!$J18</f>
        <v>1.2</v>
      </c>
      <c r="AW18" s="39">
        <v>0.5</v>
      </c>
      <c r="AX18" s="39">
        <v>0.5</v>
      </c>
      <c r="AY18" s="39">
        <v>1</v>
      </c>
      <c r="AZ18" s="39">
        <f>'PLAYER STATS'!$O18-'PLAYER STATS'!$N18</f>
        <v>1.5</v>
      </c>
      <c r="BA18" s="39">
        <v>0.5</v>
      </c>
      <c r="BB18" s="39">
        <v>0.6</v>
      </c>
      <c r="BC18" s="39">
        <v>0.2</v>
      </c>
      <c r="BD18" s="39">
        <v>0.2</v>
      </c>
      <c r="BE18" s="39">
        <v>1</v>
      </c>
      <c r="BF18" s="39">
        <v>0</v>
      </c>
      <c r="BG18" s="39">
        <v>0.2</v>
      </c>
      <c r="BH18" s="39">
        <v>0.2</v>
      </c>
      <c r="BI18" s="39">
        <v>0.8</v>
      </c>
      <c r="BJ18" s="39">
        <v>0</v>
      </c>
      <c r="BK18" s="39">
        <v>0</v>
      </c>
      <c r="BL18" s="39">
        <v>0.2</v>
      </c>
      <c r="BM18" s="39">
        <v>0.2</v>
      </c>
      <c r="BN18" s="39">
        <v>2.2000000000000002</v>
      </c>
    </row>
    <row r="19" spans="1:66" ht="123" customHeight="1">
      <c r="A19" s="50">
        <v>8</v>
      </c>
      <c r="B19" s="48" t="s">
        <v>28</v>
      </c>
      <c r="C19" s="48">
        <v>33</v>
      </c>
      <c r="D19" s="48">
        <v>48</v>
      </c>
      <c r="E19" s="48">
        <v>3</v>
      </c>
      <c r="F19" s="48">
        <v>20.5</v>
      </c>
      <c r="G19" s="48">
        <v>2.9</v>
      </c>
      <c r="H19" s="48">
        <v>6.8</v>
      </c>
      <c r="I19" s="48">
        <v>0.41799999999999998</v>
      </c>
      <c r="J19" s="48">
        <v>0.9</v>
      </c>
      <c r="K19" s="48">
        <v>2.6</v>
      </c>
      <c r="L19" s="48">
        <f>Table13[[#This Row],[3PA]]-Table13[[#This Row],[3PM]]</f>
        <v>1.7000000000000002</v>
      </c>
      <c r="M19" s="49">
        <v>0.32800000000000001</v>
      </c>
      <c r="N19" s="48">
        <v>2</v>
      </c>
      <c r="O19" s="48">
        <v>4.2</v>
      </c>
      <c r="P19" s="48">
        <f>Table13[[#This Row],[2PA]]-Table13[[#This Row],[2PM]]</f>
        <v>2.2000000000000002</v>
      </c>
      <c r="Q19" s="49">
        <v>0.47299999999999998</v>
      </c>
      <c r="R19" s="48">
        <v>0.48</v>
      </c>
      <c r="S19" s="48">
        <v>0.6</v>
      </c>
      <c r="T19" s="48">
        <v>0.9</v>
      </c>
      <c r="U19" s="49">
        <v>0.65900000000000003</v>
      </c>
      <c r="V19" s="48">
        <v>0.5</v>
      </c>
      <c r="W19" s="48">
        <v>2.5</v>
      </c>
      <c r="X19" s="48">
        <v>3</v>
      </c>
      <c r="Y19" s="48">
        <v>5</v>
      </c>
      <c r="Z19" s="48">
        <v>0.8</v>
      </c>
      <c r="AA19" s="48">
        <v>0</v>
      </c>
      <c r="AB19" s="48">
        <v>1.9</v>
      </c>
      <c r="AC19" s="48">
        <v>1.2</v>
      </c>
      <c r="AD19" s="48">
        <v>7.1</v>
      </c>
      <c r="AE19" s="89"/>
      <c r="AF19" s="34">
        <v>9</v>
      </c>
      <c r="AG19" s="35" t="s">
        <v>133</v>
      </c>
      <c r="AH19" s="36" t="s">
        <v>221</v>
      </c>
      <c r="AI19" s="35">
        <v>180</v>
      </c>
      <c r="AJ19" s="35" t="s">
        <v>160</v>
      </c>
      <c r="AK19" s="35">
        <v>13</v>
      </c>
      <c r="AL19" s="37" t="s">
        <v>142</v>
      </c>
      <c r="AM19" s="35">
        <v>33</v>
      </c>
      <c r="AN19" s="35">
        <v>16</v>
      </c>
      <c r="AO19" s="35">
        <v>0</v>
      </c>
      <c r="AP19" s="35">
        <v>24.7</v>
      </c>
      <c r="AQ19" s="35">
        <v>3.4</v>
      </c>
      <c r="AR19" s="35">
        <v>7.6</v>
      </c>
      <c r="AS19" s="35">
        <v>0.45500000000000002</v>
      </c>
      <c r="AT19" s="35">
        <v>1.3</v>
      </c>
      <c r="AU19" s="35">
        <v>3.1</v>
      </c>
      <c r="AV19" s="35">
        <f>'PLAYER STATS'!$K19-'PLAYER STATS'!$J19</f>
        <v>1.7000000000000002</v>
      </c>
      <c r="AW19" s="35">
        <v>0.4</v>
      </c>
      <c r="AX19" s="35">
        <v>2.2000000000000002</v>
      </c>
      <c r="AY19" s="35">
        <v>4.4000000000000004</v>
      </c>
      <c r="AZ19" s="35">
        <f>'PLAYER STATS'!$O19-'PLAYER STATS'!$N19</f>
        <v>2.2000000000000002</v>
      </c>
      <c r="BA19" s="35">
        <v>0.49299999999999999</v>
      </c>
      <c r="BB19" s="35">
        <v>0.53700000000000003</v>
      </c>
      <c r="BC19" s="35">
        <v>0.8</v>
      </c>
      <c r="BD19" s="35">
        <v>1.2</v>
      </c>
      <c r="BE19" s="35">
        <v>0.68400000000000005</v>
      </c>
      <c r="BF19" s="35">
        <v>0.8</v>
      </c>
      <c r="BG19" s="35">
        <v>3.5</v>
      </c>
      <c r="BH19" s="35">
        <v>4.3</v>
      </c>
      <c r="BI19" s="35">
        <v>6.6</v>
      </c>
      <c r="BJ19" s="35">
        <v>1.4</v>
      </c>
      <c r="BK19" s="35">
        <v>0.1</v>
      </c>
      <c r="BL19" s="35">
        <v>2.1</v>
      </c>
      <c r="BM19" s="35">
        <v>2.2999999999999998</v>
      </c>
      <c r="BN19" s="35">
        <v>8.9</v>
      </c>
    </row>
    <row r="20" spans="1:66" ht="118" customHeight="1">
      <c r="A20" s="30">
        <v>13</v>
      </c>
      <c r="B20" s="26" t="s">
        <v>36</v>
      </c>
      <c r="C20" s="26">
        <v>19</v>
      </c>
      <c r="D20" s="26">
        <v>6</v>
      </c>
      <c r="E20" s="26">
        <v>1</v>
      </c>
      <c r="F20" s="26">
        <v>13.5</v>
      </c>
      <c r="G20" s="26">
        <v>2.2999999999999998</v>
      </c>
      <c r="H20" s="26">
        <v>5</v>
      </c>
      <c r="I20" s="26">
        <v>0.46700000000000003</v>
      </c>
      <c r="J20" s="26">
        <v>0.7</v>
      </c>
      <c r="K20" s="26">
        <v>2.2000000000000002</v>
      </c>
      <c r="L20" s="26">
        <f>Table13[[#This Row],[3PA]]-Table13[[#This Row],[3PM]]</f>
        <v>1.5000000000000002</v>
      </c>
      <c r="M20" s="27">
        <v>0.308</v>
      </c>
      <c r="N20" s="26">
        <v>1.7</v>
      </c>
      <c r="O20" s="26">
        <v>2.8</v>
      </c>
      <c r="P20" s="26">
        <f>Table13[[#This Row],[2PA]]-Table13[[#This Row],[2PM]]</f>
        <v>1.0999999999999999</v>
      </c>
      <c r="Q20" s="27">
        <v>0.58799999999999997</v>
      </c>
      <c r="R20" s="26">
        <v>0.53300000000000003</v>
      </c>
      <c r="S20" s="26">
        <v>0.3</v>
      </c>
      <c r="T20" s="26">
        <v>0.7</v>
      </c>
      <c r="U20" s="27">
        <v>0.5</v>
      </c>
      <c r="V20" s="26">
        <v>0.3</v>
      </c>
      <c r="W20" s="26">
        <v>0.8</v>
      </c>
      <c r="X20" s="26">
        <v>1.2</v>
      </c>
      <c r="Y20" s="26">
        <v>1</v>
      </c>
      <c r="Z20" s="26">
        <v>1.3</v>
      </c>
      <c r="AA20" s="26">
        <v>0.2</v>
      </c>
      <c r="AB20" s="26">
        <v>1</v>
      </c>
      <c r="AC20" s="26">
        <v>1.7</v>
      </c>
      <c r="AD20" s="26">
        <v>5.7</v>
      </c>
      <c r="AE20" s="89"/>
      <c r="AF20" s="34">
        <v>5</v>
      </c>
      <c r="AG20" s="35" t="s">
        <v>124</v>
      </c>
      <c r="AH20" s="36" t="s">
        <v>220</v>
      </c>
      <c r="AI20" s="35">
        <v>234</v>
      </c>
      <c r="AJ20" s="35" t="s">
        <v>147</v>
      </c>
      <c r="AK20" s="35" t="s">
        <v>129</v>
      </c>
      <c r="AL20" s="37" t="s">
        <v>148</v>
      </c>
      <c r="AM20" s="39">
        <v>19</v>
      </c>
      <c r="AN20" s="39">
        <v>2</v>
      </c>
      <c r="AO20" s="39">
        <v>0</v>
      </c>
      <c r="AP20" s="39">
        <v>8.5</v>
      </c>
      <c r="AQ20" s="39">
        <v>3</v>
      </c>
      <c r="AR20" s="39">
        <v>6</v>
      </c>
      <c r="AS20" s="39">
        <v>0.5</v>
      </c>
      <c r="AT20" s="39">
        <v>1</v>
      </c>
      <c r="AU20" s="39">
        <v>2.5</v>
      </c>
      <c r="AV20" s="39">
        <f>'PLAYER STATS'!$K20-'PLAYER STATS'!$J20</f>
        <v>1.5000000000000002</v>
      </c>
      <c r="AW20" s="39">
        <v>0.4</v>
      </c>
      <c r="AX20" s="39">
        <v>2</v>
      </c>
      <c r="AY20" s="39">
        <v>3.5</v>
      </c>
      <c r="AZ20" s="39">
        <f>'PLAYER STATS'!$O20-'PLAYER STATS'!$N20</f>
        <v>1.0999999999999999</v>
      </c>
      <c r="BA20" s="39">
        <v>0.57099999999999995</v>
      </c>
      <c r="BB20" s="39">
        <v>0.58299999999999996</v>
      </c>
      <c r="BC20" s="39">
        <v>0</v>
      </c>
      <c r="BD20" s="39">
        <v>0</v>
      </c>
      <c r="BE20" s="52">
        <v>0</v>
      </c>
      <c r="BF20" s="39">
        <v>0</v>
      </c>
      <c r="BG20" s="39">
        <v>2.5</v>
      </c>
      <c r="BH20" s="39">
        <v>2.5</v>
      </c>
      <c r="BI20" s="39">
        <v>0</v>
      </c>
      <c r="BJ20" s="39">
        <v>1</v>
      </c>
      <c r="BK20" s="39">
        <v>0</v>
      </c>
      <c r="BL20" s="39">
        <v>0</v>
      </c>
      <c r="BM20" s="39">
        <v>2</v>
      </c>
      <c r="BN20" s="39">
        <v>7</v>
      </c>
    </row>
    <row r="21" spans="1:66" ht="124" customHeight="1">
      <c r="A21" s="50">
        <v>16</v>
      </c>
      <c r="B21" s="48" t="s">
        <v>58</v>
      </c>
      <c r="C21" s="48">
        <v>28</v>
      </c>
      <c r="D21" s="48">
        <v>41</v>
      </c>
      <c r="E21" s="48">
        <v>0</v>
      </c>
      <c r="F21" s="48">
        <v>11.1</v>
      </c>
      <c r="G21" s="48">
        <v>1.5</v>
      </c>
      <c r="H21" s="48">
        <v>3.9</v>
      </c>
      <c r="I21" s="48">
        <v>0.39200000000000002</v>
      </c>
      <c r="J21" s="48">
        <v>1</v>
      </c>
      <c r="K21" s="48">
        <v>2.7</v>
      </c>
      <c r="L21" s="48">
        <f>Table13[[#This Row],[3PA]]-Table13[[#This Row],[3PM]]</f>
        <v>1.7000000000000002</v>
      </c>
      <c r="M21" s="49">
        <v>0.35699999999999998</v>
      </c>
      <c r="N21" s="48">
        <v>0.5</v>
      </c>
      <c r="O21" s="48">
        <v>1.1000000000000001</v>
      </c>
      <c r="P21" s="48">
        <f>Table13[[#This Row],[2PA]]-Table13[[#This Row],[2PM]]</f>
        <v>0.60000000000000009</v>
      </c>
      <c r="Q21" s="49">
        <v>0.47799999999999998</v>
      </c>
      <c r="R21" s="48">
        <v>0.51900000000000002</v>
      </c>
      <c r="S21" s="48">
        <v>0.2</v>
      </c>
      <c r="T21" s="48">
        <v>0.4</v>
      </c>
      <c r="U21" s="49">
        <v>0.625</v>
      </c>
      <c r="V21" s="48">
        <v>0.3</v>
      </c>
      <c r="W21" s="48">
        <v>0.8</v>
      </c>
      <c r="X21" s="48">
        <v>1.1000000000000001</v>
      </c>
      <c r="Y21" s="48">
        <v>0.3</v>
      </c>
      <c r="Z21" s="48">
        <v>0.2</v>
      </c>
      <c r="AA21" s="48">
        <v>0.1</v>
      </c>
      <c r="AB21" s="48">
        <v>0.2</v>
      </c>
      <c r="AC21" s="48">
        <v>0.7</v>
      </c>
      <c r="AD21" s="48">
        <v>4.2</v>
      </c>
      <c r="AE21" s="89"/>
      <c r="AF21" s="34">
        <v>30</v>
      </c>
      <c r="AG21" s="35" t="s">
        <v>124</v>
      </c>
      <c r="AH21" s="36" t="s">
        <v>220</v>
      </c>
      <c r="AI21" s="35">
        <v>200</v>
      </c>
      <c r="AJ21" s="35" t="s">
        <v>139</v>
      </c>
      <c r="AK21" s="35">
        <v>6</v>
      </c>
      <c r="AL21" s="37" t="s">
        <v>140</v>
      </c>
      <c r="AM21" s="35" t="s">
        <v>201</v>
      </c>
      <c r="AN21" s="35" t="s">
        <v>201</v>
      </c>
      <c r="AO21" s="35" t="s">
        <v>201</v>
      </c>
      <c r="AP21" s="35" t="s">
        <v>201</v>
      </c>
      <c r="AQ21" s="35" t="s">
        <v>201</v>
      </c>
      <c r="AR21" s="35" t="s">
        <v>201</v>
      </c>
      <c r="AS21" s="35" t="s">
        <v>201</v>
      </c>
      <c r="AT21" s="35" t="s">
        <v>201</v>
      </c>
      <c r="AU21" s="35" t="s">
        <v>201</v>
      </c>
      <c r="AV21" s="35" t="s">
        <v>201</v>
      </c>
      <c r="AW21" s="35" t="s">
        <v>201</v>
      </c>
      <c r="AX21" s="35" t="s">
        <v>201</v>
      </c>
      <c r="AY21" s="35" t="s">
        <v>201</v>
      </c>
      <c r="AZ21" s="35" t="s">
        <v>201</v>
      </c>
      <c r="BA21" s="35" t="s">
        <v>201</v>
      </c>
      <c r="BB21" s="35" t="s">
        <v>201</v>
      </c>
      <c r="BC21" s="35" t="s">
        <v>201</v>
      </c>
      <c r="BD21" s="35" t="s">
        <v>201</v>
      </c>
      <c r="BE21" s="51" t="s">
        <v>201</v>
      </c>
      <c r="BF21" s="35" t="s">
        <v>201</v>
      </c>
      <c r="BG21" s="35" t="s">
        <v>201</v>
      </c>
      <c r="BH21" s="35" t="s">
        <v>201</v>
      </c>
      <c r="BI21" s="35" t="s">
        <v>201</v>
      </c>
      <c r="BJ21" s="35" t="s">
        <v>201</v>
      </c>
      <c r="BK21" s="35" t="s">
        <v>201</v>
      </c>
      <c r="BL21" s="35" t="s">
        <v>201</v>
      </c>
      <c r="BM21" s="35" t="s">
        <v>201</v>
      </c>
      <c r="BN21" s="35" t="s">
        <v>202</v>
      </c>
    </row>
    <row r="22" spans="1:66" ht="126" customHeight="1">
      <c r="A22" s="12">
        <v>20</v>
      </c>
      <c r="B22" s="5" t="s">
        <v>61</v>
      </c>
      <c r="C22" s="5">
        <v>22</v>
      </c>
      <c r="D22" s="5">
        <v>2</v>
      </c>
      <c r="E22" s="5">
        <v>0</v>
      </c>
      <c r="F22" s="5">
        <v>2.5</v>
      </c>
      <c r="G22" s="5">
        <v>0</v>
      </c>
      <c r="H22" s="5">
        <v>0.5</v>
      </c>
      <c r="I22" s="5">
        <v>0</v>
      </c>
      <c r="J22" s="5">
        <v>0</v>
      </c>
      <c r="K22" s="5">
        <v>0</v>
      </c>
      <c r="L22" s="5">
        <f>Table13[[#This Row],[3PA]]-Table13[[#This Row],[3PM]]</f>
        <v>0</v>
      </c>
      <c r="M22" s="23">
        <v>0</v>
      </c>
      <c r="N22" s="5">
        <v>0</v>
      </c>
      <c r="O22" s="5">
        <v>0.5</v>
      </c>
      <c r="P22" s="5">
        <f>Table13[[#This Row],[2PA]]-Table13[[#This Row],[2PM]]</f>
        <v>0.5</v>
      </c>
      <c r="Q22" s="20">
        <v>0</v>
      </c>
      <c r="R22" s="5">
        <v>0</v>
      </c>
      <c r="S22" s="5">
        <v>0</v>
      </c>
      <c r="T22" s="5">
        <v>0</v>
      </c>
      <c r="U22" s="19">
        <v>0</v>
      </c>
      <c r="V22" s="5">
        <v>0</v>
      </c>
      <c r="W22" s="5">
        <v>0.5</v>
      </c>
      <c r="X22" s="5">
        <v>0.5</v>
      </c>
      <c r="Y22" s="5">
        <v>0</v>
      </c>
      <c r="Z22" s="5">
        <v>0</v>
      </c>
      <c r="AA22" s="5">
        <v>0</v>
      </c>
      <c r="AB22" s="5">
        <v>0</v>
      </c>
      <c r="AC22" s="5">
        <v>0</v>
      </c>
      <c r="AD22" s="5">
        <v>0</v>
      </c>
      <c r="AE22" s="91"/>
      <c r="AF22" s="44">
        <v>21</v>
      </c>
      <c r="AG22" s="45" t="s">
        <v>124</v>
      </c>
      <c r="AH22" s="46" t="s">
        <v>216</v>
      </c>
      <c r="AI22" s="45">
        <v>206</v>
      </c>
      <c r="AJ22" s="45" t="s">
        <v>158</v>
      </c>
      <c r="AK22" s="45" t="s">
        <v>129</v>
      </c>
      <c r="AL22" s="47" t="s">
        <v>159</v>
      </c>
      <c r="AM22" s="45" t="s">
        <v>201</v>
      </c>
      <c r="AN22" s="45" t="s">
        <v>201</v>
      </c>
      <c r="AO22" s="45" t="s">
        <v>201</v>
      </c>
      <c r="AP22" s="45" t="s">
        <v>201</v>
      </c>
      <c r="AQ22" s="45" t="s">
        <v>201</v>
      </c>
      <c r="AR22" s="45" t="s">
        <v>201</v>
      </c>
      <c r="AS22" s="45" t="s">
        <v>201</v>
      </c>
      <c r="AT22" s="45" t="s">
        <v>201</v>
      </c>
      <c r="AU22" s="45" t="s">
        <v>201</v>
      </c>
      <c r="AV22" s="45" t="s">
        <v>201</v>
      </c>
      <c r="AW22" s="45" t="s">
        <v>201</v>
      </c>
      <c r="AX22" s="45" t="s">
        <v>201</v>
      </c>
      <c r="AY22" s="45" t="s">
        <v>201</v>
      </c>
      <c r="AZ22" s="45" t="s">
        <v>201</v>
      </c>
      <c r="BA22" s="45" t="s">
        <v>201</v>
      </c>
      <c r="BB22" s="45" t="s">
        <v>201</v>
      </c>
      <c r="BC22" s="45" t="s">
        <v>201</v>
      </c>
      <c r="BD22" s="45" t="s">
        <v>201</v>
      </c>
      <c r="BE22" s="56" t="s">
        <v>201</v>
      </c>
      <c r="BF22" s="45" t="s">
        <v>201</v>
      </c>
      <c r="BG22" s="45" t="s">
        <v>201</v>
      </c>
      <c r="BH22" s="45" t="s">
        <v>201</v>
      </c>
      <c r="BI22" s="45" t="s">
        <v>201</v>
      </c>
      <c r="BJ22" s="45" t="s">
        <v>201</v>
      </c>
      <c r="BK22" s="45" t="s">
        <v>201</v>
      </c>
      <c r="BL22" s="45" t="s">
        <v>201</v>
      </c>
      <c r="BM22" s="45" t="s">
        <v>201</v>
      </c>
      <c r="BN22" s="45" t="s">
        <v>202</v>
      </c>
    </row>
    <row r="23" spans="1:66" ht="18">
      <c r="AO23" s="9"/>
    </row>
    <row r="24" spans="1:66" s="60" customFormat="1" ht="26" customHeight="1">
      <c r="A24" s="64"/>
      <c r="B24" s="64" t="s">
        <v>198</v>
      </c>
      <c r="C24" s="64"/>
      <c r="D24" s="64">
        <f>AVERAGE(Table13[G])</f>
        <v>39.799999999999997</v>
      </c>
      <c r="E24" s="64">
        <f>AVERAGE(Table13[GS])</f>
        <v>17.75</v>
      </c>
      <c r="F24" s="64">
        <f>AVERAGE(Table13[MP])</f>
        <v>17.68</v>
      </c>
      <c r="G24" s="64">
        <f>AVERAGE(Table13[FG])</f>
        <v>3.0649999999999999</v>
      </c>
      <c r="H24" s="64">
        <f>AVERAGE(Table13[FGA])</f>
        <v>6.56</v>
      </c>
      <c r="I24" s="64">
        <f>AVERAGE(Table13[FG%])</f>
        <v>0.46440000000000003</v>
      </c>
      <c r="J24" s="64">
        <f>AVERAGE(Table13[3PM])</f>
        <v>0.77999999999999992</v>
      </c>
      <c r="K24" s="64">
        <f>AVERAGE(Table13[3PA])</f>
        <v>2.37</v>
      </c>
      <c r="L24" s="64">
        <f>AVERAGE(Table13[3PMISS])</f>
        <v>1.59</v>
      </c>
      <c r="M24" s="64">
        <f>AVERAGE(Table13[3P%])</f>
        <v>0.29935000000000006</v>
      </c>
      <c r="N24" s="64">
        <f>AVERAGE(Table13[2PM])</f>
        <v>2.2850000000000001</v>
      </c>
      <c r="O24" s="64">
        <f>AVERAGE(Table13[2PA])</f>
        <v>4.1849999999999996</v>
      </c>
      <c r="P24" s="64">
        <f>AVERAGE(Table13[2PMISS])</f>
        <v>1.9000000000000008</v>
      </c>
      <c r="Q24" s="64">
        <f>AVERAGE(Table13[2P%])</f>
        <v>0.52414999999999989</v>
      </c>
      <c r="R24" s="64">
        <f>AVERAGE(Table13[eFG%])</f>
        <v>0.52319999999999989</v>
      </c>
      <c r="S24" s="64">
        <f>AVERAGE(Table13[FT])</f>
        <v>1.1400000000000001</v>
      </c>
      <c r="T24" s="64">
        <f>AVERAGE(Table13[FTA])</f>
        <v>1.5449999999999997</v>
      </c>
      <c r="U24" s="66">
        <f>AVERAGE(Table13[FT%])</f>
        <v>0.69694736842105265</v>
      </c>
      <c r="V24" s="64">
        <f>AVERAGE(Table13[ORB])</f>
        <v>0.79500000000000015</v>
      </c>
      <c r="W24" s="64">
        <f>AVERAGE(Table13[DRB])</f>
        <v>2.4149999999999996</v>
      </c>
      <c r="X24" s="64">
        <f>AVERAGE(Table13[TRB])</f>
        <v>3.1950000000000007</v>
      </c>
      <c r="Y24" s="64">
        <f>AVERAGE(Table13[AST])</f>
        <v>1.7449999999999999</v>
      </c>
      <c r="Z24" s="64">
        <f>AVERAGE(Table13[STL])</f>
        <v>0.61499999999999999</v>
      </c>
      <c r="AA24" s="64">
        <f>AVERAGE(Table13[BLK])</f>
        <v>0.41000000000000003</v>
      </c>
      <c r="AB24" s="64">
        <f>AVERAGE(Table13[TOV])</f>
        <v>1.0399999999999996</v>
      </c>
      <c r="AC24" s="64">
        <f>AVERAGE(Table13[PF])</f>
        <v>1.51</v>
      </c>
      <c r="AD24" s="64">
        <f>AVERAGE(Table13[PTS/G])</f>
        <v>8.0350000000000001</v>
      </c>
      <c r="AE24" s="64" t="e">
        <f>AVERAGE(Table13[Photo])</f>
        <v>#DIV/0!</v>
      </c>
      <c r="AF24" s="64">
        <f>AVERAGE(Table13[Jersey No.])</f>
        <v>18.578947368421051</v>
      </c>
      <c r="AG24" s="64" t="e">
        <f>AVERAGE(Table13[Position])</f>
        <v>#DIV/0!</v>
      </c>
      <c r="AH24" s="64" t="e">
        <f>AVERAGE(Table13[Photo])</f>
        <v>#DIV/0!</v>
      </c>
      <c r="AI24" s="64">
        <f>AVERAGE(Table13[Jersey No.])</f>
        <v>18.578947368421051</v>
      </c>
      <c r="AJ24" s="64" t="e">
        <f>AVERAGE(Table13[Position])</f>
        <v>#DIV/0!</v>
      </c>
      <c r="AK24" s="64" t="e">
        <f>AVERAGE(Table13[Height])</f>
        <v>#DIV/0!</v>
      </c>
      <c r="AL24" s="67">
        <f>INDEX($B$3:$AE$22,MATCH(Player_Dashboard!$C$4,RS_Players,0),30)</f>
        <v>0</v>
      </c>
      <c r="AM24" s="64">
        <f>AVERAGE(Table13[P.Age])</f>
        <v>29.2</v>
      </c>
      <c r="AN24" s="64">
        <f>AVERAGE(Table13[P.G])</f>
        <v>15.133333333333333</v>
      </c>
      <c r="AO24" s="64">
        <f>AVERAGE(Table13[P.GS])</f>
        <v>7</v>
      </c>
      <c r="AP24" s="64">
        <f>AVERAGE(Table13[P.MP])</f>
        <v>18.233333333333334</v>
      </c>
      <c r="AQ24" s="64">
        <f>AVERAGE(Table13[P.FG])</f>
        <v>3.1333333333333333</v>
      </c>
      <c r="AR24" s="64">
        <f>AVERAGE(Table13[P.FGA])</f>
        <v>6.48</v>
      </c>
      <c r="AS24" s="64">
        <f>AVERAGE(Table13[P.FG%])</f>
        <v>0.43773333333333336</v>
      </c>
      <c r="AT24" s="64">
        <f>AVERAGE(Table13[P.3PM])</f>
        <v>0.92666666666666686</v>
      </c>
      <c r="AU24" s="64">
        <f>AVERAGE(Table13[P.3PA])</f>
        <v>2.6533333333333338</v>
      </c>
      <c r="AV24" s="64">
        <f>AVERAGE(Table13[P.3PMISS])</f>
        <v>1.8599999999999999</v>
      </c>
      <c r="AW24" s="64">
        <f>AVERAGE(Table13[P.3P%])</f>
        <v>0.3036666666666667</v>
      </c>
      <c r="AX24" s="64">
        <f>AVERAGE(Table13[P.2PM])</f>
        <v>2.2066666666666661</v>
      </c>
      <c r="AY24" s="64">
        <f>AVERAGE(Table13[P.2PA])</f>
        <v>3.8200000000000003</v>
      </c>
      <c r="AZ24" s="64">
        <f>AVERAGE(Table13[P.2PMISS])</f>
        <v>2.12</v>
      </c>
      <c r="BA24" s="64">
        <f>AVERAGE(Table13[P.2P%])</f>
        <v>0.4947333333333333</v>
      </c>
      <c r="BB24" s="64">
        <f>AVERAGE(Table13[P.eFG%])</f>
        <v>0.50506666666666666</v>
      </c>
      <c r="BC24" s="64">
        <f>AVERAGE(Table13[P.FT])</f>
        <v>1.2933333333333334</v>
      </c>
      <c r="BD24" s="64">
        <f>AVERAGE(Table13[P.FTA])</f>
        <v>1.7066666666666663</v>
      </c>
      <c r="BE24" s="64">
        <f>AVERAGE(Table13[P.FT%])</f>
        <v>0.60906666666666665</v>
      </c>
      <c r="BF24" s="64">
        <f>AVERAGE(Table13[P.ORB])</f>
        <v>0.76000000000000012</v>
      </c>
      <c r="BG24" s="64">
        <f>AVERAGE(Table13[P.DRB])</f>
        <v>2.56</v>
      </c>
      <c r="BH24" s="64">
        <f>AVERAGE(Table13[P.TRB])</f>
        <v>3.3133333333333335</v>
      </c>
      <c r="BI24" s="64">
        <f>AVERAGE(Table13[P.AST])</f>
        <v>1.9</v>
      </c>
      <c r="BJ24" s="64">
        <f>AVERAGE(Table13[P.STL])</f>
        <v>0.65333333333333321</v>
      </c>
      <c r="BK24" s="64">
        <f>AVERAGE(Table13[P.BLK])</f>
        <v>0.38666666666666666</v>
      </c>
      <c r="BL24" s="64">
        <f>AVERAGE(Table13[P.TOV])</f>
        <v>1.0666666666666667</v>
      </c>
      <c r="BM24" s="64">
        <f>AVERAGE(Table13[P.PF])</f>
        <v>1.8199999999999998</v>
      </c>
      <c r="BN24" s="64">
        <f>AVERAGE(Table13[P.PTS/G])</f>
        <v>8.48</v>
      </c>
    </row>
    <row r="25" spans="1:66" ht="18">
      <c r="AM25" s="9"/>
    </row>
    <row r="26" spans="1:66" ht="18">
      <c r="AM26" s="9"/>
    </row>
    <row r="27" spans="1:66" ht="18">
      <c r="AM27" s="9"/>
    </row>
    <row r="28" spans="1:66" ht="18">
      <c r="AM28" s="9"/>
    </row>
    <row r="29" spans="1:66" ht="18">
      <c r="AM29" s="9"/>
    </row>
    <row r="30" spans="1:66" ht="18">
      <c r="AM30" s="9"/>
    </row>
    <row r="31" spans="1:66">
      <c r="A31" s="7" t="s">
        <v>65</v>
      </c>
      <c r="B31" s="6"/>
    </row>
    <row r="32" spans="1:66">
      <c r="A32" s="31" t="s">
        <v>0</v>
      </c>
      <c r="B32" s="32" t="s">
        <v>119</v>
      </c>
      <c r="C32" s="32" t="s">
        <v>229</v>
      </c>
      <c r="D32" s="32" t="s">
        <v>230</v>
      </c>
      <c r="E32" s="32" t="s">
        <v>231</v>
      </c>
      <c r="F32" s="32" t="s">
        <v>232</v>
      </c>
      <c r="G32" s="32" t="s">
        <v>233</v>
      </c>
      <c r="H32" s="32" t="s">
        <v>234</v>
      </c>
      <c r="I32" s="32" t="s">
        <v>235</v>
      </c>
      <c r="J32" s="32" t="s">
        <v>236</v>
      </c>
      <c r="K32" s="32" t="s">
        <v>237</v>
      </c>
      <c r="L32" s="32" t="s">
        <v>238</v>
      </c>
      <c r="M32" s="32" t="s">
        <v>239</v>
      </c>
      <c r="N32" s="32" t="s">
        <v>240</v>
      </c>
      <c r="O32" s="32" t="s">
        <v>241</v>
      </c>
      <c r="P32" s="32" t="s">
        <v>242</v>
      </c>
      <c r="Q32" s="32" t="s">
        <v>243</v>
      </c>
      <c r="R32" s="32" t="s">
        <v>244</v>
      </c>
      <c r="S32" s="32" t="s">
        <v>245</v>
      </c>
      <c r="T32" s="32" t="s">
        <v>246</v>
      </c>
      <c r="U32" s="32" t="s">
        <v>247</v>
      </c>
      <c r="V32" s="32" t="s">
        <v>248</v>
      </c>
      <c r="W32" s="32" t="s">
        <v>249</v>
      </c>
      <c r="X32" s="32" t="s">
        <v>250</v>
      </c>
      <c r="Y32" s="32" t="s">
        <v>251</v>
      </c>
      <c r="Z32" s="32" t="s">
        <v>252</v>
      </c>
      <c r="AA32" s="32" t="s">
        <v>253</v>
      </c>
      <c r="AB32" s="32" t="s">
        <v>254</v>
      </c>
      <c r="AC32" s="32" t="s">
        <v>255</v>
      </c>
      <c r="AD32" s="33" t="s">
        <v>256</v>
      </c>
      <c r="AH32" s="1" t="s">
        <v>205</v>
      </c>
      <c r="AI32" s="1" t="s">
        <v>119</v>
      </c>
      <c r="AJ32" s="1" t="s">
        <v>206</v>
      </c>
      <c r="AK32" s="1" t="s">
        <v>207</v>
      </c>
      <c r="AL32" s="1" t="s">
        <v>208</v>
      </c>
      <c r="AM32" s="1" t="s">
        <v>121</v>
      </c>
    </row>
    <row r="33" spans="1:39">
      <c r="A33" s="34">
        <v>6</v>
      </c>
      <c r="B33" s="35" t="s">
        <v>26</v>
      </c>
      <c r="C33" s="35">
        <v>25</v>
      </c>
      <c r="D33" s="35">
        <v>21</v>
      </c>
      <c r="E33" s="35">
        <v>1</v>
      </c>
      <c r="F33" s="35">
        <v>24.3</v>
      </c>
      <c r="G33" s="35">
        <v>2.2999999999999998</v>
      </c>
      <c r="H33" s="35">
        <v>5.4</v>
      </c>
      <c r="I33" s="35">
        <v>0.42499999999999999</v>
      </c>
      <c r="J33" s="35">
        <v>0.8</v>
      </c>
      <c r="K33" s="35">
        <v>2.9</v>
      </c>
      <c r="L33" s="35">
        <f>'PLAYER STATS'!$K33-'PLAYER STATS'!$J33</f>
        <v>2.0999999999999996</v>
      </c>
      <c r="M33" s="35">
        <v>0.27900000000000003</v>
      </c>
      <c r="N33" s="35">
        <v>1.5</v>
      </c>
      <c r="O33" s="35">
        <v>2.5</v>
      </c>
      <c r="P33" s="35">
        <f>'PLAYER STATS'!$O33-'PLAYER STATS'!$N33</f>
        <v>1</v>
      </c>
      <c r="Q33" s="35">
        <v>0.59599999999999997</v>
      </c>
      <c r="R33" s="35">
        <v>0.5</v>
      </c>
      <c r="S33" s="35">
        <v>1.1000000000000001</v>
      </c>
      <c r="T33" s="35">
        <v>1.4</v>
      </c>
      <c r="U33" s="35">
        <v>0.8</v>
      </c>
      <c r="V33" s="35">
        <v>0.7</v>
      </c>
      <c r="W33" s="35">
        <v>1.6</v>
      </c>
      <c r="X33" s="35">
        <v>2.2999999999999998</v>
      </c>
      <c r="Y33" s="35">
        <v>2.8</v>
      </c>
      <c r="Z33" s="35">
        <v>1.1000000000000001</v>
      </c>
      <c r="AA33" s="35">
        <v>0.6</v>
      </c>
      <c r="AB33" s="35">
        <v>1.5</v>
      </c>
      <c r="AC33" s="35">
        <v>2.6</v>
      </c>
      <c r="AD33" s="37">
        <v>6.5</v>
      </c>
      <c r="AH33" s="1">
        <v>4</v>
      </c>
      <c r="AI33" s="3" t="s">
        <v>26</v>
      </c>
      <c r="AJ33" s="3" t="s">
        <v>133</v>
      </c>
      <c r="AK33" s="18">
        <v>45022</v>
      </c>
      <c r="AL33" s="3">
        <v>186</v>
      </c>
      <c r="AM33" s="3" t="s">
        <v>135</v>
      </c>
    </row>
    <row r="34" spans="1:39">
      <c r="A34" s="38">
        <v>1</v>
      </c>
      <c r="B34" s="39" t="s">
        <v>22</v>
      </c>
      <c r="C34" s="39">
        <v>26</v>
      </c>
      <c r="D34" s="39">
        <v>21</v>
      </c>
      <c r="E34" s="39">
        <v>21</v>
      </c>
      <c r="F34" s="39">
        <v>36.6</v>
      </c>
      <c r="G34" s="39">
        <v>9.8000000000000007</v>
      </c>
      <c r="H34" s="39">
        <v>17.100000000000001</v>
      </c>
      <c r="I34" s="39">
        <v>0.57099999999999995</v>
      </c>
      <c r="J34" s="39">
        <v>1.1000000000000001</v>
      </c>
      <c r="K34" s="39">
        <v>2.9</v>
      </c>
      <c r="L34" s="39">
        <f>'PLAYER STATS'!$K34-'PLAYER STATS'!$J34</f>
        <v>1.7999999999999998</v>
      </c>
      <c r="M34" s="39">
        <v>0.38300000000000001</v>
      </c>
      <c r="N34" s="39">
        <v>8.6999999999999993</v>
      </c>
      <c r="O34" s="39">
        <v>14.2</v>
      </c>
      <c r="P34" s="39">
        <f>'PLAYER STATS'!$O34-'PLAYER STATS'!$N34</f>
        <v>5.5</v>
      </c>
      <c r="Q34" s="39">
        <v>0.60899999999999999</v>
      </c>
      <c r="R34" s="39">
        <v>0.60299999999999998</v>
      </c>
      <c r="S34" s="39">
        <v>7.1</v>
      </c>
      <c r="T34" s="39">
        <v>8.5</v>
      </c>
      <c r="U34" s="39">
        <v>0.83199999999999996</v>
      </c>
      <c r="V34" s="39">
        <v>2.6</v>
      </c>
      <c r="W34" s="39">
        <v>7.1</v>
      </c>
      <c r="X34" s="39">
        <v>9.6999999999999993</v>
      </c>
      <c r="Y34" s="39">
        <v>3.5</v>
      </c>
      <c r="Z34" s="39">
        <v>1.2</v>
      </c>
      <c r="AA34" s="39">
        <v>1.4</v>
      </c>
      <c r="AB34" s="39">
        <v>2.5</v>
      </c>
      <c r="AC34" s="39">
        <v>2.7</v>
      </c>
      <c r="AD34" s="41">
        <v>27.7</v>
      </c>
      <c r="AH34" s="1">
        <v>3</v>
      </c>
      <c r="AI34" s="3" t="s">
        <v>22</v>
      </c>
      <c r="AJ34" s="3" t="s">
        <v>21</v>
      </c>
      <c r="AK34" s="18">
        <v>45205</v>
      </c>
      <c r="AL34" s="3">
        <v>253</v>
      </c>
      <c r="AM34" s="3" t="s">
        <v>142</v>
      </c>
    </row>
    <row r="35" spans="1:39" ht="17">
      <c r="A35" s="34"/>
      <c r="B35" s="35" t="s">
        <v>57</v>
      </c>
      <c r="C35" s="35" t="s">
        <v>201</v>
      </c>
      <c r="D35" s="35" t="s">
        <v>201</v>
      </c>
      <c r="E35" s="35" t="s">
        <v>201</v>
      </c>
      <c r="F35" s="35" t="s">
        <v>201</v>
      </c>
      <c r="G35" s="35" t="s">
        <v>201</v>
      </c>
      <c r="H35" s="35" t="s">
        <v>201</v>
      </c>
      <c r="I35" s="35" t="s">
        <v>201</v>
      </c>
      <c r="J35" s="35" t="s">
        <v>201</v>
      </c>
      <c r="K35" s="35" t="s">
        <v>201</v>
      </c>
      <c r="L35" s="35" t="s">
        <v>201</v>
      </c>
      <c r="M35" s="35" t="s">
        <v>201</v>
      </c>
      <c r="N35" s="35" t="s">
        <v>201</v>
      </c>
      <c r="O35" s="35" t="s">
        <v>201</v>
      </c>
      <c r="P35" s="35" t="s">
        <v>201</v>
      </c>
      <c r="Q35" s="35" t="s">
        <v>201</v>
      </c>
      <c r="R35" s="35" t="s">
        <v>201</v>
      </c>
      <c r="S35" s="35" t="s">
        <v>201</v>
      </c>
      <c r="T35" s="35" t="s">
        <v>201</v>
      </c>
      <c r="U35" s="51" t="s">
        <v>201</v>
      </c>
      <c r="V35" s="35" t="s">
        <v>201</v>
      </c>
      <c r="W35" s="35" t="s">
        <v>201</v>
      </c>
      <c r="X35" s="35" t="s">
        <v>201</v>
      </c>
      <c r="Y35" s="35" t="s">
        <v>201</v>
      </c>
      <c r="Z35" s="35" t="s">
        <v>201</v>
      </c>
      <c r="AA35" s="35" t="s">
        <v>201</v>
      </c>
      <c r="AB35" s="35" t="s">
        <v>201</v>
      </c>
      <c r="AC35" s="35" t="s">
        <v>201</v>
      </c>
      <c r="AD35" s="37" t="s">
        <v>202</v>
      </c>
      <c r="AH35" s="1">
        <v>11</v>
      </c>
      <c r="AI35" s="3" t="s">
        <v>57</v>
      </c>
      <c r="AJ35" s="3" t="s">
        <v>124</v>
      </c>
      <c r="AK35" s="18">
        <v>44991</v>
      </c>
      <c r="AL35" s="3">
        <v>180</v>
      </c>
      <c r="AM35" s="3" t="s">
        <v>126</v>
      </c>
    </row>
    <row r="36" spans="1:39">
      <c r="A36" s="38">
        <v>4</v>
      </c>
      <c r="B36" s="39" t="s">
        <v>25</v>
      </c>
      <c r="C36" s="39">
        <v>32</v>
      </c>
      <c r="D36" s="39">
        <v>21</v>
      </c>
      <c r="E36" s="39">
        <v>21</v>
      </c>
      <c r="F36" s="39">
        <v>25</v>
      </c>
      <c r="G36" s="39">
        <v>2.8</v>
      </c>
      <c r="H36" s="39">
        <v>8.1</v>
      </c>
      <c r="I36" s="39">
        <v>0.34699999999999998</v>
      </c>
      <c r="J36" s="39">
        <v>1.9</v>
      </c>
      <c r="K36" s="39">
        <v>5.5</v>
      </c>
      <c r="L36" s="39">
        <f>'PLAYER STATS'!$K36-'PLAYER STATS'!$J36</f>
        <v>3.6</v>
      </c>
      <c r="M36" s="39">
        <v>0.33900000000000002</v>
      </c>
      <c r="N36" s="39">
        <v>1</v>
      </c>
      <c r="O36" s="39">
        <v>2.6</v>
      </c>
      <c r="P36" s="39">
        <f>'PLAYER STATS'!$O36-'PLAYER STATS'!$N36</f>
        <v>1.6</v>
      </c>
      <c r="Q36" s="39">
        <v>0.36399999999999999</v>
      </c>
      <c r="R36" s="39">
        <v>0.46200000000000002</v>
      </c>
      <c r="S36" s="39">
        <v>0.5</v>
      </c>
      <c r="T36" s="39">
        <v>0.7</v>
      </c>
      <c r="U36" s="39">
        <v>0.66700000000000004</v>
      </c>
      <c r="V36" s="39">
        <v>1.2</v>
      </c>
      <c r="W36" s="39">
        <v>2</v>
      </c>
      <c r="X36" s="39">
        <v>3.1</v>
      </c>
      <c r="Y36" s="39">
        <v>1.2</v>
      </c>
      <c r="Z36" s="39">
        <v>1</v>
      </c>
      <c r="AA36" s="39">
        <v>0.8</v>
      </c>
      <c r="AB36" s="39">
        <v>0.6</v>
      </c>
      <c r="AC36" s="39">
        <v>2.2999999999999998</v>
      </c>
      <c r="AD36" s="41">
        <v>8</v>
      </c>
      <c r="AH36" s="1">
        <v>14</v>
      </c>
      <c r="AI36" s="3" t="s">
        <v>25</v>
      </c>
      <c r="AJ36" s="3" t="s">
        <v>124</v>
      </c>
      <c r="AK36" s="18">
        <v>45083</v>
      </c>
      <c r="AL36" s="3">
        <v>215</v>
      </c>
      <c r="AM36" s="3" t="s">
        <v>146</v>
      </c>
    </row>
    <row r="37" spans="1:39" ht="17">
      <c r="A37" s="34"/>
      <c r="B37" s="53" t="s">
        <v>60</v>
      </c>
      <c r="C37" s="35" t="s">
        <v>201</v>
      </c>
      <c r="D37" s="35" t="s">
        <v>201</v>
      </c>
      <c r="E37" s="35" t="s">
        <v>201</v>
      </c>
      <c r="F37" s="35" t="s">
        <v>201</v>
      </c>
      <c r="G37" s="35" t="s">
        <v>201</v>
      </c>
      <c r="H37" s="35" t="s">
        <v>201</v>
      </c>
      <c r="I37" s="35" t="s">
        <v>201</v>
      </c>
      <c r="J37" s="35" t="s">
        <v>201</v>
      </c>
      <c r="K37" s="35" t="s">
        <v>201</v>
      </c>
      <c r="L37" s="35" t="s">
        <v>201</v>
      </c>
      <c r="M37" s="35" t="s">
        <v>201</v>
      </c>
      <c r="N37" s="35" t="s">
        <v>201</v>
      </c>
      <c r="O37" s="35" t="s">
        <v>201</v>
      </c>
      <c r="P37" s="35" t="s">
        <v>201</v>
      </c>
      <c r="Q37" s="35" t="s">
        <v>201</v>
      </c>
      <c r="R37" s="35" t="s">
        <v>201</v>
      </c>
      <c r="S37" s="35" t="s">
        <v>201</v>
      </c>
      <c r="T37" s="35" t="s">
        <v>201</v>
      </c>
      <c r="U37" s="51" t="s">
        <v>201</v>
      </c>
      <c r="V37" s="35" t="s">
        <v>201</v>
      </c>
      <c r="W37" s="35" t="s">
        <v>201</v>
      </c>
      <c r="X37" s="35" t="s">
        <v>201</v>
      </c>
      <c r="Y37" s="35" t="s">
        <v>201</v>
      </c>
      <c r="Z37" s="35" t="s">
        <v>201</v>
      </c>
      <c r="AA37" s="35" t="s">
        <v>201</v>
      </c>
      <c r="AB37" s="35" t="s">
        <v>201</v>
      </c>
      <c r="AC37" s="35" t="s">
        <v>201</v>
      </c>
      <c r="AD37" s="37" t="s">
        <v>202</v>
      </c>
      <c r="AH37" s="1">
        <v>12</v>
      </c>
      <c r="AI37" s="3" t="s">
        <v>60</v>
      </c>
      <c r="AJ37" s="3" t="s">
        <v>127</v>
      </c>
      <c r="AK37" s="18">
        <v>45113</v>
      </c>
      <c r="AL37" s="3">
        <v>240</v>
      </c>
      <c r="AM37" s="3" t="s">
        <v>130</v>
      </c>
    </row>
    <row r="38" spans="1:39">
      <c r="A38" s="38">
        <v>12</v>
      </c>
      <c r="B38" s="39" t="s">
        <v>33</v>
      </c>
      <c r="C38" s="39">
        <v>28</v>
      </c>
      <c r="D38" s="39">
        <v>5</v>
      </c>
      <c r="E38" s="39">
        <v>0</v>
      </c>
      <c r="F38" s="39">
        <v>7.6</v>
      </c>
      <c r="G38" s="39">
        <v>0.8</v>
      </c>
      <c r="H38" s="39">
        <v>2.4</v>
      </c>
      <c r="I38" s="39">
        <v>0.33300000000000002</v>
      </c>
      <c r="J38" s="39">
        <v>0</v>
      </c>
      <c r="K38" s="39">
        <v>0.8</v>
      </c>
      <c r="L38" s="39">
        <f>'PLAYER STATS'!$K38-'PLAYER STATS'!$J38</f>
        <v>0.8</v>
      </c>
      <c r="M38" s="39">
        <v>0</v>
      </c>
      <c r="N38" s="39">
        <v>0.8</v>
      </c>
      <c r="O38" s="39">
        <v>1.6</v>
      </c>
      <c r="P38" s="39">
        <f>'PLAYER STATS'!$O38-'PLAYER STATS'!$N38</f>
        <v>0.8</v>
      </c>
      <c r="Q38" s="39">
        <v>0.5</v>
      </c>
      <c r="R38" s="39">
        <v>0.33300000000000002</v>
      </c>
      <c r="S38" s="39">
        <v>0.4</v>
      </c>
      <c r="T38" s="39">
        <v>0.4</v>
      </c>
      <c r="U38" s="39">
        <v>1</v>
      </c>
      <c r="V38" s="39">
        <v>0</v>
      </c>
      <c r="W38" s="39">
        <v>0.4</v>
      </c>
      <c r="X38" s="39">
        <v>0.4</v>
      </c>
      <c r="Y38" s="39">
        <v>0.4</v>
      </c>
      <c r="Z38" s="39">
        <v>0.2</v>
      </c>
      <c r="AA38" s="39">
        <v>0.2</v>
      </c>
      <c r="AB38" s="39">
        <v>0.2</v>
      </c>
      <c r="AC38" s="39">
        <v>0.4</v>
      </c>
      <c r="AD38" s="41">
        <v>2</v>
      </c>
      <c r="AH38" s="1">
        <v>18</v>
      </c>
      <c r="AI38" s="3" t="s">
        <v>33</v>
      </c>
      <c r="AJ38" s="3" t="s">
        <v>124</v>
      </c>
      <c r="AK38" s="18">
        <v>44991</v>
      </c>
      <c r="AL38" s="3">
        <v>215</v>
      </c>
      <c r="AM38" s="3" t="s">
        <v>163</v>
      </c>
    </row>
    <row r="39" spans="1:39">
      <c r="A39" s="34">
        <v>9</v>
      </c>
      <c r="B39" s="35" t="s">
        <v>30</v>
      </c>
      <c r="C39" s="35">
        <v>34</v>
      </c>
      <c r="D39" s="35">
        <v>18</v>
      </c>
      <c r="E39" s="35">
        <v>7</v>
      </c>
      <c r="F39" s="35">
        <v>15.7</v>
      </c>
      <c r="G39" s="35">
        <v>2.2000000000000002</v>
      </c>
      <c r="H39" s="35">
        <v>3.2</v>
      </c>
      <c r="I39" s="35">
        <v>0.68400000000000005</v>
      </c>
      <c r="J39" s="35">
        <v>0.1</v>
      </c>
      <c r="K39" s="35">
        <v>0.1</v>
      </c>
      <c r="L39" s="35">
        <f>'PLAYER STATS'!$K39-'PLAYER STATS'!$J39</f>
        <v>0</v>
      </c>
      <c r="M39" s="35">
        <v>0.5</v>
      </c>
      <c r="N39" s="35">
        <v>2.1</v>
      </c>
      <c r="O39" s="35">
        <v>3.1</v>
      </c>
      <c r="P39" s="35">
        <f>'PLAYER STATS'!$O39-'PLAYER STATS'!$N39</f>
        <v>1</v>
      </c>
      <c r="Q39" s="35">
        <v>0.69099999999999995</v>
      </c>
      <c r="R39" s="35">
        <v>0.69299999999999995</v>
      </c>
      <c r="S39" s="35">
        <v>1.4</v>
      </c>
      <c r="T39" s="35">
        <v>2.5</v>
      </c>
      <c r="U39" s="35">
        <v>0.55600000000000005</v>
      </c>
      <c r="V39" s="35">
        <v>1.8</v>
      </c>
      <c r="W39" s="35">
        <v>2.8</v>
      </c>
      <c r="X39" s="35">
        <v>4.5999999999999996</v>
      </c>
      <c r="Y39" s="35">
        <v>0.5</v>
      </c>
      <c r="Z39" s="35">
        <v>0.4</v>
      </c>
      <c r="AA39" s="35">
        <v>0.4</v>
      </c>
      <c r="AB39" s="35">
        <v>0.9</v>
      </c>
      <c r="AC39" s="35">
        <v>3.1</v>
      </c>
      <c r="AD39" s="37">
        <v>5.8</v>
      </c>
      <c r="AH39" s="1">
        <v>39</v>
      </c>
      <c r="AI39" s="3" t="s">
        <v>30</v>
      </c>
      <c r="AJ39" s="3" t="s">
        <v>127</v>
      </c>
      <c r="AK39" s="18">
        <v>45205</v>
      </c>
      <c r="AL39" s="3">
        <v>265</v>
      </c>
      <c r="AM39" s="2"/>
    </row>
    <row r="40" spans="1:39">
      <c r="A40" s="38">
        <v>13</v>
      </c>
      <c r="B40" s="39" t="s">
        <v>32</v>
      </c>
      <c r="C40" s="39">
        <v>34</v>
      </c>
      <c r="D40" s="39">
        <v>10</v>
      </c>
      <c r="E40" s="39">
        <v>0</v>
      </c>
      <c r="F40" s="39">
        <v>7.5</v>
      </c>
      <c r="G40" s="39">
        <v>0.7</v>
      </c>
      <c r="H40" s="39">
        <v>2.6</v>
      </c>
      <c r="I40" s="39">
        <v>0.26900000000000002</v>
      </c>
      <c r="J40" s="39">
        <v>0.6</v>
      </c>
      <c r="K40" s="39">
        <v>2.2000000000000002</v>
      </c>
      <c r="L40" s="39">
        <f>'PLAYER STATS'!$K40-'PLAYER STATS'!$J40</f>
        <v>1.6</v>
      </c>
      <c r="M40" s="39">
        <v>0.27300000000000002</v>
      </c>
      <c r="N40" s="39">
        <v>0.1</v>
      </c>
      <c r="O40" s="39">
        <v>0.4</v>
      </c>
      <c r="P40" s="39">
        <f>'PLAYER STATS'!$O40-'PLAYER STATS'!$N40</f>
        <v>0.30000000000000004</v>
      </c>
      <c r="Q40" s="39">
        <v>0.25</v>
      </c>
      <c r="R40" s="39">
        <v>0.38500000000000001</v>
      </c>
      <c r="S40" s="39">
        <v>0</v>
      </c>
      <c r="T40" s="39">
        <v>0</v>
      </c>
      <c r="U40" s="52">
        <v>0</v>
      </c>
      <c r="V40" s="39">
        <v>0</v>
      </c>
      <c r="W40" s="39">
        <v>0.3</v>
      </c>
      <c r="X40" s="39">
        <v>0.3</v>
      </c>
      <c r="Y40" s="39">
        <v>0.3</v>
      </c>
      <c r="Z40" s="39">
        <v>0.2</v>
      </c>
      <c r="AA40" s="39">
        <v>0</v>
      </c>
      <c r="AB40" s="39">
        <v>0.7</v>
      </c>
      <c r="AC40" s="39">
        <v>1.1000000000000001</v>
      </c>
      <c r="AD40" s="41">
        <v>2</v>
      </c>
      <c r="AH40" s="1">
        <v>21</v>
      </c>
      <c r="AI40" s="3" t="s">
        <v>32</v>
      </c>
      <c r="AJ40" s="3" t="s">
        <v>124</v>
      </c>
      <c r="AK40" s="18">
        <v>45083</v>
      </c>
      <c r="AL40" s="3">
        <v>225</v>
      </c>
      <c r="AM40" s="2"/>
    </row>
    <row r="41" spans="1:39">
      <c r="A41" s="34">
        <v>15</v>
      </c>
      <c r="B41" s="35" t="s">
        <v>34</v>
      </c>
      <c r="C41" s="35">
        <v>34</v>
      </c>
      <c r="D41" s="35">
        <v>9</v>
      </c>
      <c r="E41" s="35">
        <v>0</v>
      </c>
      <c r="F41" s="35">
        <v>3.4</v>
      </c>
      <c r="G41" s="35">
        <v>0</v>
      </c>
      <c r="H41" s="35">
        <v>0.4</v>
      </c>
      <c r="I41" s="35">
        <v>0</v>
      </c>
      <c r="J41" s="35">
        <v>0</v>
      </c>
      <c r="K41" s="35">
        <v>0.3</v>
      </c>
      <c r="L41" s="35">
        <f>'PLAYER STATS'!$K41-'PLAYER STATS'!$J41</f>
        <v>0.3</v>
      </c>
      <c r="M41" s="35">
        <v>0</v>
      </c>
      <c r="N41" s="35">
        <v>0</v>
      </c>
      <c r="O41" s="35">
        <v>0.1</v>
      </c>
      <c r="P41" s="35">
        <f>'PLAYER STATS'!$O41-'PLAYER STATS'!$N41</f>
        <v>0.1</v>
      </c>
      <c r="Q41" s="35">
        <v>0</v>
      </c>
      <c r="R41" s="35">
        <v>0</v>
      </c>
      <c r="S41" s="35">
        <v>0</v>
      </c>
      <c r="T41" s="35">
        <v>0</v>
      </c>
      <c r="U41" s="51">
        <v>0</v>
      </c>
      <c r="V41" s="35">
        <v>0</v>
      </c>
      <c r="W41" s="35">
        <v>0.2</v>
      </c>
      <c r="X41" s="35">
        <v>0.2</v>
      </c>
      <c r="Y41" s="35">
        <v>0</v>
      </c>
      <c r="Z41" s="35">
        <v>0.4</v>
      </c>
      <c r="AA41" s="35">
        <v>0.1</v>
      </c>
      <c r="AB41" s="35">
        <v>0.2</v>
      </c>
      <c r="AC41" s="35">
        <v>0.2</v>
      </c>
      <c r="AD41" s="37">
        <v>0</v>
      </c>
      <c r="AH41" s="1">
        <v>10</v>
      </c>
      <c r="AI41" s="3" t="s">
        <v>34</v>
      </c>
      <c r="AJ41" s="3" t="s">
        <v>21</v>
      </c>
      <c r="AK41" s="18">
        <v>45083</v>
      </c>
      <c r="AL41" s="3">
        <v>237</v>
      </c>
      <c r="AM41" s="3" t="s">
        <v>144</v>
      </c>
    </row>
    <row r="42" spans="1:39">
      <c r="A42" s="38">
        <v>10</v>
      </c>
      <c r="B42" s="39" t="s">
        <v>31</v>
      </c>
      <c r="C42" s="39">
        <v>32</v>
      </c>
      <c r="D42" s="39">
        <v>14</v>
      </c>
      <c r="E42" s="39">
        <v>11</v>
      </c>
      <c r="F42" s="39">
        <v>9.6</v>
      </c>
      <c r="G42" s="39">
        <v>1.4</v>
      </c>
      <c r="H42" s="39">
        <v>2.2999999999999998</v>
      </c>
      <c r="I42" s="39">
        <v>0.625</v>
      </c>
      <c r="J42" s="39">
        <v>0</v>
      </c>
      <c r="K42" s="39">
        <v>0.1</v>
      </c>
      <c r="L42" s="39">
        <f>'PLAYER STATS'!$K42-'PLAYER STATS'!$J42</f>
        <v>0.1</v>
      </c>
      <c r="M42" s="39">
        <v>0</v>
      </c>
      <c r="N42" s="39">
        <v>1.4</v>
      </c>
      <c r="O42" s="39">
        <v>2.1</v>
      </c>
      <c r="P42" s="39">
        <f>'PLAYER STATS'!$O42-'PLAYER STATS'!$N42</f>
        <v>0.70000000000000018</v>
      </c>
      <c r="Q42" s="39">
        <v>0.66700000000000004</v>
      </c>
      <c r="R42" s="39">
        <v>0.625</v>
      </c>
      <c r="S42" s="39">
        <v>0.1</v>
      </c>
      <c r="T42" s="39">
        <v>0.1</v>
      </c>
      <c r="U42" s="39">
        <v>0.5</v>
      </c>
      <c r="V42" s="39">
        <v>1.1000000000000001</v>
      </c>
      <c r="W42" s="39">
        <v>2</v>
      </c>
      <c r="X42" s="39">
        <v>3.1</v>
      </c>
      <c r="Y42" s="39">
        <v>0.5</v>
      </c>
      <c r="Z42" s="39">
        <v>0.1</v>
      </c>
      <c r="AA42" s="39">
        <v>0.7</v>
      </c>
      <c r="AB42" s="39">
        <v>0.6</v>
      </c>
      <c r="AC42" s="39">
        <v>1.6</v>
      </c>
      <c r="AD42" s="41">
        <v>2.9</v>
      </c>
      <c r="AH42" s="1">
        <v>7</v>
      </c>
      <c r="AI42" s="3" t="s">
        <v>31</v>
      </c>
      <c r="AJ42" s="3" t="s">
        <v>127</v>
      </c>
      <c r="AK42" s="3" t="s">
        <v>153</v>
      </c>
      <c r="AL42" s="3">
        <v>270</v>
      </c>
      <c r="AM42" s="3" t="s">
        <v>155</v>
      </c>
    </row>
    <row r="43" spans="1:39">
      <c r="A43" s="34">
        <v>3</v>
      </c>
      <c r="B43" s="35" t="s">
        <v>24</v>
      </c>
      <c r="C43" s="35">
        <v>26</v>
      </c>
      <c r="D43" s="35">
        <v>21</v>
      </c>
      <c r="E43" s="35">
        <v>21</v>
      </c>
      <c r="F43" s="35">
        <v>29</v>
      </c>
      <c r="G43" s="35">
        <v>3.8</v>
      </c>
      <c r="H43" s="35">
        <v>9</v>
      </c>
      <c r="I43" s="35">
        <v>0.41799999999999998</v>
      </c>
      <c r="J43" s="35">
        <v>2.1</v>
      </c>
      <c r="K43" s="35">
        <v>5.7</v>
      </c>
      <c r="L43" s="35">
        <f>'PLAYER STATS'!$K43-'PLAYER STATS'!$J43</f>
        <v>3.6</v>
      </c>
      <c r="M43" s="35">
        <v>0.378</v>
      </c>
      <c r="N43" s="35">
        <v>1.6</v>
      </c>
      <c r="O43" s="35">
        <v>3.3</v>
      </c>
      <c r="P43" s="35">
        <f>'PLAYER STATS'!$O43-'PLAYER STATS'!$N43</f>
        <v>1.6999999999999997</v>
      </c>
      <c r="Q43" s="35">
        <v>0.48599999999999999</v>
      </c>
      <c r="R43" s="35">
        <v>0.53700000000000003</v>
      </c>
      <c r="S43" s="35">
        <v>1</v>
      </c>
      <c r="T43" s="35">
        <v>1.3</v>
      </c>
      <c r="U43" s="35">
        <v>0.81499999999999995</v>
      </c>
      <c r="V43" s="35">
        <v>0.4</v>
      </c>
      <c r="W43" s="35">
        <v>1.7</v>
      </c>
      <c r="X43" s="35">
        <v>2.1</v>
      </c>
      <c r="Y43" s="35">
        <v>1.3</v>
      </c>
      <c r="Z43" s="35">
        <v>1</v>
      </c>
      <c r="AA43" s="35">
        <v>0.2</v>
      </c>
      <c r="AB43" s="35">
        <v>0.7</v>
      </c>
      <c r="AC43" s="35">
        <v>1.9</v>
      </c>
      <c r="AD43" s="37">
        <v>10.7</v>
      </c>
      <c r="AH43" s="1">
        <v>1</v>
      </c>
      <c r="AI43" s="3" t="s">
        <v>24</v>
      </c>
      <c r="AJ43" s="3" t="s">
        <v>124</v>
      </c>
      <c r="AK43" s="18">
        <v>45052</v>
      </c>
      <c r="AL43" s="3">
        <v>204</v>
      </c>
      <c r="AM43" s="3" t="s">
        <v>132</v>
      </c>
    </row>
    <row r="44" spans="1:39" ht="17">
      <c r="A44" s="38"/>
      <c r="B44" s="53" t="s">
        <v>59</v>
      </c>
      <c r="C44" s="39" t="s">
        <v>201</v>
      </c>
      <c r="D44" s="39" t="s">
        <v>201</v>
      </c>
      <c r="E44" s="39" t="s">
        <v>201</v>
      </c>
      <c r="F44" s="39" t="s">
        <v>201</v>
      </c>
      <c r="G44" s="39" t="s">
        <v>201</v>
      </c>
      <c r="H44" s="39" t="s">
        <v>201</v>
      </c>
      <c r="I44" s="39" t="s">
        <v>201</v>
      </c>
      <c r="J44" s="39" t="s">
        <v>201</v>
      </c>
      <c r="K44" s="39" t="s">
        <v>201</v>
      </c>
      <c r="L44" s="39" t="s">
        <v>201</v>
      </c>
      <c r="M44" s="39" t="s">
        <v>201</v>
      </c>
      <c r="N44" s="39" t="s">
        <v>201</v>
      </c>
      <c r="O44" s="39" t="s">
        <v>201</v>
      </c>
      <c r="P44" s="39" t="s">
        <v>201</v>
      </c>
      <c r="Q44" s="39" t="s">
        <v>201</v>
      </c>
      <c r="R44" s="39" t="s">
        <v>201</v>
      </c>
      <c r="S44" s="39" t="s">
        <v>201</v>
      </c>
      <c r="T44" s="39" t="s">
        <v>201</v>
      </c>
      <c r="U44" s="52" t="s">
        <v>201</v>
      </c>
      <c r="V44" s="39" t="s">
        <v>201</v>
      </c>
      <c r="W44" s="39" t="s">
        <v>201</v>
      </c>
      <c r="X44" s="39" t="s">
        <v>201</v>
      </c>
      <c r="Y44" s="39" t="s">
        <v>201</v>
      </c>
      <c r="Z44" s="39" t="s">
        <v>201</v>
      </c>
      <c r="AA44" s="39" t="s">
        <v>201</v>
      </c>
      <c r="AB44" s="39" t="s">
        <v>201</v>
      </c>
      <c r="AC44" s="39" t="s">
        <v>201</v>
      </c>
      <c r="AD44" s="41" t="s">
        <v>202</v>
      </c>
      <c r="AH44" s="1">
        <v>37</v>
      </c>
      <c r="AI44" s="3" t="s">
        <v>59</v>
      </c>
      <c r="AJ44" s="3" t="s">
        <v>21</v>
      </c>
      <c r="AK44" s="18">
        <v>45205</v>
      </c>
      <c r="AL44" s="3">
        <v>200</v>
      </c>
      <c r="AM44" s="3" t="s">
        <v>123</v>
      </c>
    </row>
    <row r="45" spans="1:39">
      <c r="A45" s="34">
        <v>7</v>
      </c>
      <c r="B45" s="35" t="s">
        <v>27</v>
      </c>
      <c r="C45" s="35">
        <v>24</v>
      </c>
      <c r="D45" s="35">
        <v>21</v>
      </c>
      <c r="E45" s="35">
        <v>0</v>
      </c>
      <c r="F45" s="35">
        <v>23</v>
      </c>
      <c r="G45" s="35">
        <v>3.7</v>
      </c>
      <c r="H45" s="35">
        <v>8.5</v>
      </c>
      <c r="I45" s="35">
        <v>0.43</v>
      </c>
      <c r="J45" s="35">
        <v>1.2</v>
      </c>
      <c r="K45" s="35">
        <v>4</v>
      </c>
      <c r="L45" s="35">
        <f>'PLAYER STATS'!$K45-'PLAYER STATS'!$J45</f>
        <v>2.8</v>
      </c>
      <c r="M45" s="35">
        <v>0.313</v>
      </c>
      <c r="N45" s="35">
        <v>2.4</v>
      </c>
      <c r="O45" s="35">
        <v>4.5999999999999996</v>
      </c>
      <c r="P45" s="35">
        <f>'PLAYER STATS'!$O45-'PLAYER STATS'!$N45</f>
        <v>2.1999999999999997</v>
      </c>
      <c r="Q45" s="35">
        <v>0.53100000000000003</v>
      </c>
      <c r="R45" s="35">
        <v>0.503</v>
      </c>
      <c r="S45" s="35">
        <v>1.4</v>
      </c>
      <c r="T45" s="35">
        <v>1.8</v>
      </c>
      <c r="U45" s="35">
        <v>0.78400000000000003</v>
      </c>
      <c r="V45" s="35">
        <v>0.9</v>
      </c>
      <c r="W45" s="35">
        <v>2.2000000000000002</v>
      </c>
      <c r="X45" s="35">
        <v>3.1</v>
      </c>
      <c r="Y45" s="35">
        <v>0.8</v>
      </c>
      <c r="Z45" s="35">
        <v>0.3</v>
      </c>
      <c r="AA45" s="35">
        <v>0.3</v>
      </c>
      <c r="AB45" s="35">
        <v>1</v>
      </c>
      <c r="AC45" s="35">
        <v>2.4</v>
      </c>
      <c r="AD45" s="37">
        <v>10</v>
      </c>
      <c r="AH45" s="1">
        <v>0</v>
      </c>
      <c r="AI45" s="3" t="s">
        <v>27</v>
      </c>
      <c r="AJ45" s="3" t="s">
        <v>21</v>
      </c>
      <c r="AK45" s="18">
        <v>45175</v>
      </c>
      <c r="AL45" s="3">
        <v>221</v>
      </c>
      <c r="AM45" s="3" t="s">
        <v>152</v>
      </c>
    </row>
    <row r="46" spans="1:39">
      <c r="A46" s="38">
        <v>2</v>
      </c>
      <c r="B46" s="39" t="s">
        <v>23</v>
      </c>
      <c r="C46" s="39">
        <v>35</v>
      </c>
      <c r="D46" s="39">
        <v>21</v>
      </c>
      <c r="E46" s="39">
        <v>21</v>
      </c>
      <c r="F46" s="39">
        <v>36.299999999999997</v>
      </c>
      <c r="G46" s="39">
        <v>10.199999999999999</v>
      </c>
      <c r="H46" s="39">
        <v>18.2</v>
      </c>
      <c r="I46" s="39">
        <v>0.56000000000000005</v>
      </c>
      <c r="J46" s="39">
        <v>2.1</v>
      </c>
      <c r="K46" s="39">
        <v>5.7</v>
      </c>
      <c r="L46" s="39">
        <f>'PLAYER STATS'!$K46-'PLAYER STATS'!$J46</f>
        <v>3.6</v>
      </c>
      <c r="M46" s="39">
        <v>0.37</v>
      </c>
      <c r="N46" s="39">
        <v>8.1</v>
      </c>
      <c r="O46" s="39">
        <v>12.5</v>
      </c>
      <c r="P46" s="39">
        <f>'PLAYER STATS'!$O46-'PLAYER STATS'!$N46</f>
        <v>4.4000000000000004</v>
      </c>
      <c r="Q46" s="39">
        <v>0.64600000000000002</v>
      </c>
      <c r="R46" s="39">
        <v>0.61799999999999999</v>
      </c>
      <c r="S46" s="39">
        <v>5.0999999999999996</v>
      </c>
      <c r="T46" s="39">
        <v>7.1</v>
      </c>
      <c r="U46" s="39">
        <v>0.72</v>
      </c>
      <c r="V46" s="39">
        <v>1.3</v>
      </c>
      <c r="W46" s="39">
        <v>9.4</v>
      </c>
      <c r="X46" s="39">
        <v>10.8</v>
      </c>
      <c r="Y46" s="39">
        <v>8.8000000000000007</v>
      </c>
      <c r="Z46" s="39">
        <v>1.2</v>
      </c>
      <c r="AA46" s="39">
        <v>0.9</v>
      </c>
      <c r="AB46" s="39">
        <v>4</v>
      </c>
      <c r="AC46" s="39">
        <v>1.9</v>
      </c>
      <c r="AD46" s="41">
        <v>27.6</v>
      </c>
      <c r="AH46" s="1">
        <v>23</v>
      </c>
      <c r="AI46" s="3" t="s">
        <v>23</v>
      </c>
      <c r="AJ46" s="3" t="s">
        <v>133</v>
      </c>
      <c r="AK46" s="18">
        <v>45175</v>
      </c>
      <c r="AL46" s="3">
        <v>250</v>
      </c>
      <c r="AM46" s="2"/>
    </row>
    <row r="47" spans="1:39">
      <c r="A47" s="34">
        <v>8</v>
      </c>
      <c r="B47" s="35" t="s">
        <v>29</v>
      </c>
      <c r="C47" s="35">
        <v>30</v>
      </c>
      <c r="D47" s="35">
        <v>21</v>
      </c>
      <c r="E47" s="35">
        <v>2</v>
      </c>
      <c r="F47" s="35">
        <v>18.3</v>
      </c>
      <c r="G47" s="35">
        <v>2.1</v>
      </c>
      <c r="H47" s="35">
        <v>4.7</v>
      </c>
      <c r="I47" s="35">
        <v>0.44900000000000001</v>
      </c>
      <c r="J47" s="35">
        <v>1.4</v>
      </c>
      <c r="K47" s="35">
        <v>3.3</v>
      </c>
      <c r="L47" s="35">
        <f>'PLAYER STATS'!$K47-'PLAYER STATS'!$J47</f>
        <v>1.9</v>
      </c>
      <c r="M47" s="35">
        <v>0.42</v>
      </c>
      <c r="N47" s="35">
        <v>0.7</v>
      </c>
      <c r="O47" s="35">
        <v>1.4</v>
      </c>
      <c r="P47" s="35">
        <f>'PLAYER STATS'!$O47-'PLAYER STATS'!$N47</f>
        <v>0.7</v>
      </c>
      <c r="Q47" s="35">
        <v>0.51700000000000002</v>
      </c>
      <c r="R47" s="35">
        <v>0.59699999999999998</v>
      </c>
      <c r="S47" s="35">
        <v>0.3</v>
      </c>
      <c r="T47" s="35">
        <v>0.4</v>
      </c>
      <c r="U47" s="35">
        <v>0.77800000000000002</v>
      </c>
      <c r="V47" s="35">
        <v>0.6</v>
      </c>
      <c r="W47" s="35">
        <v>2.5</v>
      </c>
      <c r="X47" s="35">
        <v>3</v>
      </c>
      <c r="Y47" s="35">
        <v>1</v>
      </c>
      <c r="Z47" s="35">
        <v>0.3</v>
      </c>
      <c r="AA47" s="35">
        <v>0.1</v>
      </c>
      <c r="AB47" s="35">
        <v>0.8</v>
      </c>
      <c r="AC47" s="35">
        <v>2.6</v>
      </c>
      <c r="AD47" s="37">
        <v>5.9</v>
      </c>
      <c r="AH47" s="1">
        <v>88</v>
      </c>
      <c r="AI47" s="3" t="s">
        <v>29</v>
      </c>
      <c r="AJ47" s="3" t="s">
        <v>21</v>
      </c>
      <c r="AK47" s="18">
        <v>45175</v>
      </c>
      <c r="AL47" s="3">
        <v>245</v>
      </c>
      <c r="AM47" s="3" t="s">
        <v>157</v>
      </c>
    </row>
    <row r="48" spans="1:39">
      <c r="A48" s="38">
        <v>14</v>
      </c>
      <c r="B48" s="24" t="s">
        <v>35</v>
      </c>
      <c r="C48" s="39">
        <v>26</v>
      </c>
      <c r="D48" s="39">
        <v>6</v>
      </c>
      <c r="E48" s="39">
        <v>0</v>
      </c>
      <c r="F48" s="39">
        <v>4</v>
      </c>
      <c r="G48" s="39">
        <v>0.8</v>
      </c>
      <c r="H48" s="39">
        <v>1.7</v>
      </c>
      <c r="I48" s="39">
        <v>0.5</v>
      </c>
      <c r="J48" s="39">
        <v>0.3</v>
      </c>
      <c r="K48" s="39">
        <v>0.7</v>
      </c>
      <c r="L48" s="39">
        <f>'PLAYER STATS'!$K48-'PLAYER STATS'!$J48</f>
        <v>0.39999999999999997</v>
      </c>
      <c r="M48" s="39">
        <v>0.5</v>
      </c>
      <c r="N48" s="39">
        <v>0.5</v>
      </c>
      <c r="O48" s="39">
        <v>1</v>
      </c>
      <c r="P48" s="39">
        <f>'PLAYER STATS'!$O48-'PLAYER STATS'!$N48</f>
        <v>0.5</v>
      </c>
      <c r="Q48" s="39">
        <v>0.5</v>
      </c>
      <c r="R48" s="39">
        <v>0.6</v>
      </c>
      <c r="S48" s="39">
        <v>0.2</v>
      </c>
      <c r="T48" s="39">
        <v>0.2</v>
      </c>
      <c r="U48" s="39">
        <v>1</v>
      </c>
      <c r="V48" s="39">
        <v>0</v>
      </c>
      <c r="W48" s="39">
        <v>0.2</v>
      </c>
      <c r="X48" s="39">
        <v>0.2</v>
      </c>
      <c r="Y48" s="39">
        <v>0.8</v>
      </c>
      <c r="Z48" s="39">
        <v>0</v>
      </c>
      <c r="AA48" s="39">
        <v>0</v>
      </c>
      <c r="AB48" s="39">
        <v>0.2</v>
      </c>
      <c r="AC48" s="39">
        <v>0.2</v>
      </c>
      <c r="AD48" s="41">
        <v>2.2000000000000002</v>
      </c>
      <c r="AH48" s="1" t="s">
        <v>136</v>
      </c>
      <c r="AI48" s="3" t="s">
        <v>35</v>
      </c>
      <c r="AJ48" s="3" t="s">
        <v>133</v>
      </c>
      <c r="AK48" s="18">
        <v>44932</v>
      </c>
      <c r="AL48" s="3">
        <v>180</v>
      </c>
      <c r="AM48" s="3" t="s">
        <v>138</v>
      </c>
    </row>
    <row r="49" spans="1:39">
      <c r="A49" s="34">
        <v>5</v>
      </c>
      <c r="B49" s="54" t="s">
        <v>28</v>
      </c>
      <c r="C49" s="35">
        <v>33</v>
      </c>
      <c r="D49" s="35">
        <v>16</v>
      </c>
      <c r="E49" s="35">
        <v>0</v>
      </c>
      <c r="F49" s="35">
        <v>24.7</v>
      </c>
      <c r="G49" s="35">
        <v>3.4</v>
      </c>
      <c r="H49" s="35">
        <v>7.6</v>
      </c>
      <c r="I49" s="35">
        <v>0.45500000000000002</v>
      </c>
      <c r="J49" s="35">
        <v>1.3</v>
      </c>
      <c r="K49" s="35">
        <v>3.1</v>
      </c>
      <c r="L49" s="35">
        <f>'PLAYER STATS'!$K49-'PLAYER STATS'!$J49</f>
        <v>1.8</v>
      </c>
      <c r="M49" s="35">
        <v>0.4</v>
      </c>
      <c r="N49" s="35">
        <v>2.2000000000000002</v>
      </c>
      <c r="O49" s="35">
        <v>4.4000000000000004</v>
      </c>
      <c r="P49" s="35">
        <f>'PLAYER STATS'!$O49-'PLAYER STATS'!$N49</f>
        <v>2.2000000000000002</v>
      </c>
      <c r="Q49" s="35">
        <v>0.49299999999999999</v>
      </c>
      <c r="R49" s="35">
        <v>0.53700000000000003</v>
      </c>
      <c r="S49" s="35">
        <v>0.8</v>
      </c>
      <c r="T49" s="35">
        <v>1.2</v>
      </c>
      <c r="U49" s="35">
        <v>0.68400000000000005</v>
      </c>
      <c r="V49" s="35">
        <v>0.8</v>
      </c>
      <c r="W49" s="35">
        <v>3.5</v>
      </c>
      <c r="X49" s="35">
        <v>4.3</v>
      </c>
      <c r="Y49" s="35">
        <v>6.6</v>
      </c>
      <c r="Z49" s="35">
        <v>1.4</v>
      </c>
      <c r="AA49" s="35">
        <v>0.1</v>
      </c>
      <c r="AB49" s="35">
        <v>2.1</v>
      </c>
      <c r="AC49" s="35">
        <v>2.2999999999999998</v>
      </c>
      <c r="AD49" s="37">
        <v>8.9</v>
      </c>
      <c r="AH49" s="1">
        <v>9</v>
      </c>
      <c r="AI49" s="3" t="s">
        <v>28</v>
      </c>
      <c r="AJ49" s="3" t="s">
        <v>133</v>
      </c>
      <c r="AK49" s="18">
        <v>44932</v>
      </c>
      <c r="AL49" s="3">
        <v>180</v>
      </c>
      <c r="AM49" s="3" t="s">
        <v>142</v>
      </c>
    </row>
    <row r="50" spans="1:39">
      <c r="A50" s="38">
        <v>11</v>
      </c>
      <c r="B50" s="24" t="s">
        <v>36</v>
      </c>
      <c r="C50" s="39">
        <v>19</v>
      </c>
      <c r="D50" s="39">
        <v>2</v>
      </c>
      <c r="E50" s="39">
        <v>0</v>
      </c>
      <c r="F50" s="39">
        <v>8.5</v>
      </c>
      <c r="G50" s="39">
        <v>3</v>
      </c>
      <c r="H50" s="39">
        <v>6</v>
      </c>
      <c r="I50" s="39">
        <v>0.5</v>
      </c>
      <c r="J50" s="39">
        <v>1</v>
      </c>
      <c r="K50" s="39">
        <v>2.5</v>
      </c>
      <c r="L50" s="39">
        <f>'PLAYER STATS'!$K50-'PLAYER STATS'!$J50</f>
        <v>1.5</v>
      </c>
      <c r="M50" s="39">
        <v>0.4</v>
      </c>
      <c r="N50" s="39">
        <v>2</v>
      </c>
      <c r="O50" s="39">
        <v>3.5</v>
      </c>
      <c r="P50" s="39">
        <f>'PLAYER STATS'!$O50-'PLAYER STATS'!$N50</f>
        <v>1.5</v>
      </c>
      <c r="Q50" s="39">
        <v>0.57099999999999995</v>
      </c>
      <c r="R50" s="39">
        <v>0.58299999999999996</v>
      </c>
      <c r="S50" s="39">
        <v>0</v>
      </c>
      <c r="T50" s="39">
        <v>0</v>
      </c>
      <c r="U50" s="52">
        <v>0</v>
      </c>
      <c r="V50" s="39">
        <v>0</v>
      </c>
      <c r="W50" s="39">
        <v>2.5</v>
      </c>
      <c r="X50" s="39">
        <v>2.5</v>
      </c>
      <c r="Y50" s="39">
        <v>0</v>
      </c>
      <c r="Z50" s="39">
        <v>1</v>
      </c>
      <c r="AA50" s="39">
        <v>0</v>
      </c>
      <c r="AB50" s="39">
        <v>0</v>
      </c>
      <c r="AC50" s="39">
        <v>2</v>
      </c>
      <c r="AD50" s="41">
        <v>7</v>
      </c>
      <c r="AH50" s="1">
        <v>5</v>
      </c>
      <c r="AI50" s="3" t="s">
        <v>36</v>
      </c>
      <c r="AJ50" s="3" t="s">
        <v>124</v>
      </c>
      <c r="AK50" s="18">
        <v>45022</v>
      </c>
      <c r="AL50" s="3">
        <v>234</v>
      </c>
      <c r="AM50" s="3" t="s">
        <v>148</v>
      </c>
    </row>
    <row r="51" spans="1:39" ht="17">
      <c r="A51" s="34"/>
      <c r="B51" s="54" t="s">
        <v>58</v>
      </c>
      <c r="C51" s="35" t="s">
        <v>201</v>
      </c>
      <c r="D51" s="35" t="s">
        <v>201</v>
      </c>
      <c r="E51" s="35" t="s">
        <v>201</v>
      </c>
      <c r="F51" s="35" t="s">
        <v>201</v>
      </c>
      <c r="G51" s="35" t="s">
        <v>201</v>
      </c>
      <c r="H51" s="35" t="s">
        <v>201</v>
      </c>
      <c r="I51" s="35" t="s">
        <v>201</v>
      </c>
      <c r="J51" s="35" t="s">
        <v>201</v>
      </c>
      <c r="K51" s="35" t="s">
        <v>201</v>
      </c>
      <c r="L51" s="35" t="s">
        <v>201</v>
      </c>
      <c r="M51" s="35" t="s">
        <v>201</v>
      </c>
      <c r="N51" s="35" t="s">
        <v>201</v>
      </c>
      <c r="O51" s="35" t="s">
        <v>201</v>
      </c>
      <c r="P51" s="35" t="s">
        <v>201</v>
      </c>
      <c r="Q51" s="35" t="s">
        <v>201</v>
      </c>
      <c r="R51" s="35" t="s">
        <v>201</v>
      </c>
      <c r="S51" s="35" t="s">
        <v>201</v>
      </c>
      <c r="T51" s="35" t="s">
        <v>201</v>
      </c>
      <c r="U51" s="51" t="s">
        <v>201</v>
      </c>
      <c r="V51" s="35" t="s">
        <v>201</v>
      </c>
      <c r="W51" s="35" t="s">
        <v>201</v>
      </c>
      <c r="X51" s="35" t="s">
        <v>201</v>
      </c>
      <c r="Y51" s="35" t="s">
        <v>201</v>
      </c>
      <c r="Z51" s="35" t="s">
        <v>201</v>
      </c>
      <c r="AA51" s="35" t="s">
        <v>201</v>
      </c>
      <c r="AB51" s="35" t="s">
        <v>201</v>
      </c>
      <c r="AC51" s="35" t="s">
        <v>201</v>
      </c>
      <c r="AD51" s="37" t="s">
        <v>202</v>
      </c>
      <c r="AH51" s="1">
        <v>30</v>
      </c>
      <c r="AI51" s="3" t="s">
        <v>58</v>
      </c>
      <c r="AJ51" s="3" t="s">
        <v>124</v>
      </c>
      <c r="AK51" s="18">
        <v>45022</v>
      </c>
      <c r="AL51" s="3">
        <v>200</v>
      </c>
      <c r="AM51" s="3" t="s">
        <v>140</v>
      </c>
    </row>
    <row r="52" spans="1:39" ht="17">
      <c r="A52" s="44"/>
      <c r="B52" s="55" t="s">
        <v>61</v>
      </c>
      <c r="C52" s="45" t="s">
        <v>201</v>
      </c>
      <c r="D52" s="45" t="s">
        <v>201</v>
      </c>
      <c r="E52" s="45" t="s">
        <v>201</v>
      </c>
      <c r="F52" s="45" t="s">
        <v>201</v>
      </c>
      <c r="G52" s="45" t="s">
        <v>201</v>
      </c>
      <c r="H52" s="45" t="s">
        <v>201</v>
      </c>
      <c r="I52" s="45" t="s">
        <v>201</v>
      </c>
      <c r="J52" s="45" t="s">
        <v>201</v>
      </c>
      <c r="K52" s="45" t="s">
        <v>201</v>
      </c>
      <c r="L52" s="45" t="s">
        <v>201</v>
      </c>
      <c r="M52" s="45" t="s">
        <v>201</v>
      </c>
      <c r="N52" s="45" t="s">
        <v>201</v>
      </c>
      <c r="O52" s="45" t="s">
        <v>201</v>
      </c>
      <c r="P52" s="45" t="s">
        <v>201</v>
      </c>
      <c r="Q52" s="45" t="s">
        <v>201</v>
      </c>
      <c r="R52" s="45" t="s">
        <v>201</v>
      </c>
      <c r="S52" s="45" t="s">
        <v>201</v>
      </c>
      <c r="T52" s="45" t="s">
        <v>201</v>
      </c>
      <c r="U52" s="56" t="s">
        <v>201</v>
      </c>
      <c r="V52" s="45" t="s">
        <v>201</v>
      </c>
      <c r="W52" s="45" t="s">
        <v>201</v>
      </c>
      <c r="X52" s="45" t="s">
        <v>201</v>
      </c>
      <c r="Y52" s="45" t="s">
        <v>201</v>
      </c>
      <c r="Z52" s="45" t="s">
        <v>201</v>
      </c>
      <c r="AA52" s="45" t="s">
        <v>201</v>
      </c>
      <c r="AB52" s="45" t="s">
        <v>201</v>
      </c>
      <c r="AC52" s="45" t="s">
        <v>201</v>
      </c>
      <c r="AD52" s="47" t="s">
        <v>202</v>
      </c>
      <c r="AH52" s="1">
        <v>21</v>
      </c>
      <c r="AI52" s="3" t="s">
        <v>61</v>
      </c>
      <c r="AJ52" s="3" t="s">
        <v>124</v>
      </c>
      <c r="AK52" s="18">
        <v>45052</v>
      </c>
      <c r="AL52" s="3">
        <v>206</v>
      </c>
      <c r="AM52" s="3" t="s">
        <v>159</v>
      </c>
    </row>
  </sheetData>
  <pageMargins left="0.7" right="0.7" top="0.75" bottom="0.75" header="0.3" footer="0.3"/>
  <drawing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CM106"/>
  <sheetViews>
    <sheetView workbookViewId="0">
      <selection activeCell="J73" sqref="J73"/>
    </sheetView>
  </sheetViews>
  <sheetFormatPr baseColWidth="10" defaultRowHeight="16"/>
  <cols>
    <col min="12" max="12" width="10.83203125" style="22"/>
    <col min="15" max="15" width="10.83203125" style="22"/>
  </cols>
  <sheetData>
    <row r="1" spans="1:91">
      <c r="A1" s="11" t="s">
        <v>96</v>
      </c>
      <c r="B1" s="6"/>
      <c r="AY1" s="11" t="s">
        <v>97</v>
      </c>
    </row>
    <row r="2" spans="1:91" ht="45">
      <c r="A2" s="1" t="s">
        <v>0</v>
      </c>
      <c r="B2" s="1" t="s">
        <v>286</v>
      </c>
      <c r="C2" s="1" t="s">
        <v>37</v>
      </c>
      <c r="D2" s="1" t="s">
        <v>285</v>
      </c>
      <c r="E2" s="1" t="s">
        <v>39</v>
      </c>
      <c r="F2" s="1" t="s">
        <v>56</v>
      </c>
      <c r="G2" s="1" t="s">
        <v>66</v>
      </c>
      <c r="H2" s="1" t="s">
        <v>38</v>
      </c>
      <c r="I2" s="1" t="s">
        <v>114</v>
      </c>
      <c r="J2" s="1" t="s">
        <v>287</v>
      </c>
      <c r="K2" s="1" t="s">
        <v>5</v>
      </c>
      <c r="L2" s="68" t="s">
        <v>6</v>
      </c>
      <c r="M2" s="1" t="s">
        <v>194</v>
      </c>
      <c r="N2" s="1" t="s">
        <v>7</v>
      </c>
      <c r="O2" s="68" t="s">
        <v>8</v>
      </c>
      <c r="P2" s="1" t="s">
        <v>288</v>
      </c>
      <c r="Q2" s="1" t="s">
        <v>12</v>
      </c>
      <c r="R2" s="1" t="s">
        <v>13</v>
      </c>
      <c r="S2" s="1" t="s">
        <v>14</v>
      </c>
      <c r="T2" s="1" t="s">
        <v>16</v>
      </c>
      <c r="U2" s="1" t="s">
        <v>17</v>
      </c>
      <c r="V2" s="1" t="s">
        <v>18</v>
      </c>
      <c r="W2" s="1" t="s">
        <v>19</v>
      </c>
      <c r="X2" s="1" t="s">
        <v>20</v>
      </c>
      <c r="Y2" s="1" t="s">
        <v>21</v>
      </c>
      <c r="Z2" s="1" t="s">
        <v>115</v>
      </c>
      <c r="AA2" s="12" t="s">
        <v>289</v>
      </c>
      <c r="AB2" s="12" t="s">
        <v>99</v>
      </c>
      <c r="AC2" s="76" t="s">
        <v>100</v>
      </c>
      <c r="AD2" s="12" t="s">
        <v>102</v>
      </c>
      <c r="AE2" s="12" t="s">
        <v>101</v>
      </c>
      <c r="AF2" s="12" t="s">
        <v>103</v>
      </c>
      <c r="AG2" s="12" t="s">
        <v>290</v>
      </c>
      <c r="AH2" s="12" t="s">
        <v>105</v>
      </c>
      <c r="AI2" s="12" t="s">
        <v>106</v>
      </c>
      <c r="AJ2" s="12" t="s">
        <v>107</v>
      </c>
      <c r="AK2" s="12" t="s">
        <v>108</v>
      </c>
      <c r="AL2" s="12" t="s">
        <v>109</v>
      </c>
      <c r="AM2" s="12" t="s">
        <v>110</v>
      </c>
      <c r="AN2" s="12" t="s">
        <v>111</v>
      </c>
      <c r="AO2" s="12" t="s">
        <v>112</v>
      </c>
      <c r="AP2" s="13" t="s">
        <v>113</v>
      </c>
      <c r="AR2" s="9"/>
      <c r="AY2" s="1" t="s">
        <v>0</v>
      </c>
      <c r="AZ2" s="1" t="s">
        <v>1</v>
      </c>
      <c r="BA2" s="1" t="s">
        <v>37</v>
      </c>
      <c r="BB2" s="1" t="s">
        <v>56</v>
      </c>
      <c r="BC2" s="1" t="s">
        <v>39</v>
      </c>
      <c r="BD2" s="1" t="s">
        <v>66</v>
      </c>
      <c r="BE2" s="1" t="s">
        <v>38</v>
      </c>
      <c r="BF2" s="1" t="s">
        <v>114</v>
      </c>
      <c r="BG2" s="1" t="s">
        <v>4</v>
      </c>
      <c r="BH2" s="1" t="s">
        <v>5</v>
      </c>
      <c r="BI2" s="1" t="s">
        <v>6</v>
      </c>
      <c r="BJ2" s="1" t="s">
        <v>194</v>
      </c>
      <c r="BK2" s="1" t="s">
        <v>7</v>
      </c>
      <c r="BL2" s="1" t="s">
        <v>8</v>
      </c>
      <c r="BM2" s="1" t="s">
        <v>11</v>
      </c>
      <c r="BN2" s="1" t="s">
        <v>12</v>
      </c>
      <c r="BO2" s="1" t="s">
        <v>13</v>
      </c>
      <c r="BP2" s="1" t="s">
        <v>14</v>
      </c>
      <c r="BQ2" s="1" t="s">
        <v>16</v>
      </c>
      <c r="BR2" s="1" t="s">
        <v>17</v>
      </c>
      <c r="BS2" s="1" t="s">
        <v>18</v>
      </c>
      <c r="BT2" s="1" t="s">
        <v>19</v>
      </c>
      <c r="BU2" s="1" t="s">
        <v>20</v>
      </c>
      <c r="BV2" s="1" t="s">
        <v>21</v>
      </c>
      <c r="BW2" s="1" t="s">
        <v>116</v>
      </c>
      <c r="BX2" s="1" t="s">
        <v>98</v>
      </c>
      <c r="BY2" s="1" t="s">
        <v>99</v>
      </c>
      <c r="BZ2" s="1" t="s">
        <v>100</v>
      </c>
      <c r="CA2" s="1" t="s">
        <v>102</v>
      </c>
      <c r="CB2" s="1" t="s">
        <v>101</v>
      </c>
      <c r="CC2" s="1" t="s">
        <v>103</v>
      </c>
      <c r="CD2" s="1" t="s">
        <v>104</v>
      </c>
      <c r="CE2" s="1" t="s">
        <v>105</v>
      </c>
      <c r="CF2" s="1" t="s">
        <v>106</v>
      </c>
      <c r="CG2" s="1" t="s">
        <v>107</v>
      </c>
      <c r="CH2" s="1" t="s">
        <v>108</v>
      </c>
      <c r="CI2" s="1" t="s">
        <v>109</v>
      </c>
      <c r="CJ2" s="1" t="s">
        <v>110</v>
      </c>
      <c r="CK2" s="1" t="s">
        <v>111</v>
      </c>
      <c r="CL2" s="1" t="s">
        <v>112</v>
      </c>
      <c r="CM2" s="1" t="s">
        <v>113</v>
      </c>
    </row>
    <row r="3" spans="1:91" ht="18">
      <c r="A3" s="1">
        <v>1</v>
      </c>
      <c r="B3" s="3">
        <v>1</v>
      </c>
      <c r="C3" s="10">
        <v>43760</v>
      </c>
      <c r="D3" s="3" t="s">
        <v>283</v>
      </c>
      <c r="E3" s="3" t="s">
        <v>67</v>
      </c>
      <c r="F3" s="3" t="s">
        <v>297</v>
      </c>
      <c r="G3" s="3" t="s">
        <v>41</v>
      </c>
      <c r="H3" s="3">
        <v>102</v>
      </c>
      <c r="I3" s="3">
        <v>112</v>
      </c>
      <c r="J3" s="3">
        <v>37</v>
      </c>
      <c r="K3" s="3">
        <v>85</v>
      </c>
      <c r="L3" s="69">
        <v>0.435</v>
      </c>
      <c r="M3" s="3">
        <v>13</v>
      </c>
      <c r="N3" s="3">
        <v>33</v>
      </c>
      <c r="O3" s="69">
        <v>0.39400000000000002</v>
      </c>
      <c r="P3" s="3">
        <v>15</v>
      </c>
      <c r="Q3" s="3">
        <v>21</v>
      </c>
      <c r="R3" s="69">
        <v>0.71399999999999997</v>
      </c>
      <c r="S3" s="3">
        <v>9</v>
      </c>
      <c r="T3" s="3">
        <v>41</v>
      </c>
      <c r="U3" s="3">
        <v>20</v>
      </c>
      <c r="V3" s="3">
        <v>4</v>
      </c>
      <c r="W3" s="3">
        <v>7</v>
      </c>
      <c r="X3" s="3">
        <v>14</v>
      </c>
      <c r="Y3" s="3">
        <v>24</v>
      </c>
      <c r="Z3" s="5" t="s">
        <v>42</v>
      </c>
      <c r="AA3" s="3">
        <v>42</v>
      </c>
      <c r="AB3" s="3">
        <v>81</v>
      </c>
      <c r="AC3" s="69">
        <v>0.51900000000000002</v>
      </c>
      <c r="AD3" s="3">
        <v>11</v>
      </c>
      <c r="AE3" s="3">
        <v>31</v>
      </c>
      <c r="AF3" s="69">
        <v>0.35499999999999998</v>
      </c>
      <c r="AG3" s="3">
        <v>17</v>
      </c>
      <c r="AH3" s="3">
        <v>24</v>
      </c>
      <c r="AI3" s="69">
        <v>0.70799999999999996</v>
      </c>
      <c r="AJ3" s="3">
        <v>11</v>
      </c>
      <c r="AK3" s="3">
        <v>45</v>
      </c>
      <c r="AL3" s="3">
        <v>24</v>
      </c>
      <c r="AM3" s="3">
        <v>8</v>
      </c>
      <c r="AN3" s="3">
        <v>5</v>
      </c>
      <c r="AO3" s="3">
        <v>14</v>
      </c>
      <c r="AP3" s="3">
        <v>25</v>
      </c>
      <c r="AR3" s="9"/>
      <c r="AY3" s="1">
        <v>1</v>
      </c>
      <c r="AZ3" s="3">
        <v>1</v>
      </c>
      <c r="BA3" s="10">
        <v>44061</v>
      </c>
      <c r="BB3" s="2" t="s">
        <v>284</v>
      </c>
      <c r="BC3" s="3" t="s">
        <v>84</v>
      </c>
      <c r="BD3" s="3" t="s">
        <v>41</v>
      </c>
      <c r="BE3" s="3">
        <v>93</v>
      </c>
      <c r="BF3" s="3">
        <v>100</v>
      </c>
      <c r="BG3" s="3">
        <v>34</v>
      </c>
      <c r="BH3" s="3">
        <v>97</v>
      </c>
      <c r="BI3" s="3">
        <v>0.35099999999999998</v>
      </c>
      <c r="BJ3" s="3">
        <v>5</v>
      </c>
      <c r="BK3" s="3">
        <v>32</v>
      </c>
      <c r="BL3" s="3">
        <v>0.156</v>
      </c>
      <c r="BM3" s="3">
        <v>20</v>
      </c>
      <c r="BN3" s="3">
        <v>31</v>
      </c>
      <c r="BO3" s="3">
        <v>0.64500000000000002</v>
      </c>
      <c r="BP3" s="3">
        <v>17</v>
      </c>
      <c r="BQ3" s="3">
        <v>55</v>
      </c>
      <c r="BR3" s="3">
        <v>22</v>
      </c>
      <c r="BS3" s="3">
        <v>11</v>
      </c>
      <c r="BT3" s="3">
        <v>4</v>
      </c>
      <c r="BU3" s="3">
        <v>9</v>
      </c>
      <c r="BV3" s="3">
        <v>23</v>
      </c>
      <c r="BW3" s="3" t="s">
        <v>42</v>
      </c>
      <c r="BX3" s="3">
        <v>31</v>
      </c>
      <c r="BY3" s="3">
        <v>79</v>
      </c>
      <c r="BZ3" s="3">
        <v>0.39200000000000002</v>
      </c>
      <c r="CA3" s="3">
        <v>13</v>
      </c>
      <c r="CB3" s="3">
        <v>34</v>
      </c>
      <c r="CC3" s="3">
        <v>0.38200000000000001</v>
      </c>
      <c r="CD3" s="3">
        <v>25</v>
      </c>
      <c r="CE3" s="3">
        <v>33</v>
      </c>
      <c r="CF3" s="3">
        <v>0.75800000000000001</v>
      </c>
      <c r="CG3" s="3">
        <v>5</v>
      </c>
      <c r="CH3" s="3">
        <v>50</v>
      </c>
      <c r="CI3" s="3">
        <v>18</v>
      </c>
      <c r="CJ3" s="3">
        <v>3</v>
      </c>
      <c r="CK3" s="3">
        <v>8</v>
      </c>
      <c r="CL3" s="3">
        <v>16</v>
      </c>
      <c r="CM3" s="3">
        <v>28</v>
      </c>
    </row>
    <row r="4" spans="1:91" ht="18">
      <c r="A4" s="1">
        <v>2</v>
      </c>
      <c r="B4" s="3">
        <v>2</v>
      </c>
      <c r="C4" s="10">
        <v>43763</v>
      </c>
      <c r="D4" s="2" t="s">
        <v>284</v>
      </c>
      <c r="E4" s="3" t="s">
        <v>68</v>
      </c>
      <c r="F4" s="3" t="s">
        <v>297</v>
      </c>
      <c r="G4" s="3" t="s">
        <v>40</v>
      </c>
      <c r="H4" s="3">
        <v>95</v>
      </c>
      <c r="I4" s="3">
        <v>86</v>
      </c>
      <c r="J4" s="3">
        <v>34</v>
      </c>
      <c r="K4" s="3">
        <v>86</v>
      </c>
      <c r="L4" s="69">
        <v>0.39500000000000002</v>
      </c>
      <c r="M4" s="3">
        <v>8</v>
      </c>
      <c r="N4" s="3">
        <v>26</v>
      </c>
      <c r="O4" s="69">
        <v>0.308</v>
      </c>
      <c r="P4" s="3">
        <v>19</v>
      </c>
      <c r="Q4" s="3">
        <v>24</v>
      </c>
      <c r="R4" s="69">
        <v>0.79200000000000004</v>
      </c>
      <c r="S4" s="3">
        <v>11</v>
      </c>
      <c r="T4" s="3">
        <v>42</v>
      </c>
      <c r="U4" s="3">
        <v>19</v>
      </c>
      <c r="V4" s="3">
        <v>14</v>
      </c>
      <c r="W4" s="3">
        <v>9</v>
      </c>
      <c r="X4" s="3">
        <v>14</v>
      </c>
      <c r="Y4" s="3">
        <v>21</v>
      </c>
      <c r="Z4" s="4" t="s">
        <v>43</v>
      </c>
      <c r="AA4" s="3">
        <v>29</v>
      </c>
      <c r="AB4" s="3">
        <v>70</v>
      </c>
      <c r="AC4" s="69">
        <v>0.41399999999999998</v>
      </c>
      <c r="AD4" s="3">
        <v>8</v>
      </c>
      <c r="AE4" s="3">
        <v>25</v>
      </c>
      <c r="AF4" s="69">
        <v>0.32</v>
      </c>
      <c r="AG4" s="3">
        <v>20</v>
      </c>
      <c r="AH4" s="3">
        <v>21</v>
      </c>
      <c r="AI4" s="69">
        <v>0.95199999999999996</v>
      </c>
      <c r="AJ4" s="3">
        <v>3</v>
      </c>
      <c r="AK4" s="3">
        <v>40</v>
      </c>
      <c r="AL4" s="3">
        <v>19</v>
      </c>
      <c r="AM4" s="3">
        <v>8</v>
      </c>
      <c r="AN4" s="3">
        <v>2</v>
      </c>
      <c r="AO4" s="3">
        <v>22</v>
      </c>
      <c r="AP4" s="3">
        <v>25</v>
      </c>
      <c r="AR4" s="9"/>
      <c r="AY4" s="1">
        <v>2</v>
      </c>
      <c r="AZ4" s="3">
        <v>2</v>
      </c>
      <c r="BA4" s="10">
        <v>44063</v>
      </c>
      <c r="BB4" s="2" t="s">
        <v>284</v>
      </c>
      <c r="BC4" s="3" t="s">
        <v>84</v>
      </c>
      <c r="BD4" s="3" t="s">
        <v>40</v>
      </c>
      <c r="BE4" s="3">
        <v>111</v>
      </c>
      <c r="BF4" s="3">
        <v>88</v>
      </c>
      <c r="BG4" s="3">
        <v>44</v>
      </c>
      <c r="BH4" s="3">
        <v>92</v>
      </c>
      <c r="BI4" s="3">
        <v>0.47799999999999998</v>
      </c>
      <c r="BJ4" s="3">
        <v>14</v>
      </c>
      <c r="BK4" s="3">
        <v>38</v>
      </c>
      <c r="BL4" s="3">
        <v>0.36799999999999999</v>
      </c>
      <c r="BM4" s="3">
        <v>9</v>
      </c>
      <c r="BN4" s="3">
        <v>10</v>
      </c>
      <c r="BO4" s="3">
        <v>0.9</v>
      </c>
      <c r="BP4" s="3">
        <v>14</v>
      </c>
      <c r="BQ4" s="3">
        <v>50</v>
      </c>
      <c r="BR4" s="3">
        <v>26</v>
      </c>
      <c r="BS4" s="3">
        <v>9</v>
      </c>
      <c r="BT4" s="3">
        <v>3</v>
      </c>
      <c r="BU4" s="3">
        <v>14</v>
      </c>
      <c r="BV4" s="3">
        <v>22</v>
      </c>
      <c r="BW4" s="3" t="s">
        <v>43</v>
      </c>
      <c r="BX4" s="3">
        <v>34</v>
      </c>
      <c r="BY4" s="3">
        <v>85</v>
      </c>
      <c r="BZ4" s="3">
        <v>0.4</v>
      </c>
      <c r="CA4" s="3">
        <v>8</v>
      </c>
      <c r="CB4" s="3">
        <v>29</v>
      </c>
      <c r="CC4" s="3">
        <v>0.27600000000000002</v>
      </c>
      <c r="CD4" s="3">
        <v>12</v>
      </c>
      <c r="CE4" s="3">
        <v>16</v>
      </c>
      <c r="CF4" s="3">
        <v>0.75</v>
      </c>
      <c r="CG4" s="3">
        <v>10</v>
      </c>
      <c r="CH4" s="3">
        <v>41</v>
      </c>
      <c r="CI4" s="3">
        <v>14</v>
      </c>
      <c r="CJ4" s="3">
        <v>6</v>
      </c>
      <c r="CK4" s="3">
        <v>3</v>
      </c>
      <c r="CL4" s="3">
        <v>17</v>
      </c>
      <c r="CM4" s="3">
        <v>17</v>
      </c>
    </row>
    <row r="5" spans="1:91" ht="18">
      <c r="A5" s="1">
        <v>3</v>
      </c>
      <c r="B5" s="3">
        <v>3</v>
      </c>
      <c r="C5" s="10">
        <v>43765</v>
      </c>
      <c r="D5" s="2" t="s">
        <v>284</v>
      </c>
      <c r="E5" s="3" t="s">
        <v>69</v>
      </c>
      <c r="F5" s="3" t="s">
        <v>297</v>
      </c>
      <c r="G5" s="3" t="s">
        <v>40</v>
      </c>
      <c r="H5" s="3">
        <v>120</v>
      </c>
      <c r="I5" s="3">
        <v>101</v>
      </c>
      <c r="J5" s="3">
        <v>49</v>
      </c>
      <c r="K5" s="3">
        <v>93</v>
      </c>
      <c r="L5" s="69">
        <v>0.52700000000000002</v>
      </c>
      <c r="M5" s="3">
        <v>11</v>
      </c>
      <c r="N5" s="3">
        <v>31</v>
      </c>
      <c r="O5" s="69">
        <v>0.35499999999999998</v>
      </c>
      <c r="P5" s="3">
        <v>11</v>
      </c>
      <c r="Q5" s="3">
        <v>14</v>
      </c>
      <c r="R5" s="69">
        <v>0.78600000000000003</v>
      </c>
      <c r="S5" s="3">
        <v>10</v>
      </c>
      <c r="T5" s="3">
        <v>47</v>
      </c>
      <c r="U5" s="3">
        <v>30</v>
      </c>
      <c r="V5" s="3">
        <v>7</v>
      </c>
      <c r="W5" s="3">
        <v>8</v>
      </c>
      <c r="X5" s="3">
        <v>13</v>
      </c>
      <c r="Y5" s="3">
        <v>22</v>
      </c>
      <c r="Z5" s="5" t="s">
        <v>44</v>
      </c>
      <c r="AA5" s="3">
        <v>35</v>
      </c>
      <c r="AB5" s="3">
        <v>91</v>
      </c>
      <c r="AC5" s="69">
        <v>0.38500000000000001</v>
      </c>
      <c r="AD5" s="3">
        <v>10</v>
      </c>
      <c r="AE5" s="3">
        <v>35</v>
      </c>
      <c r="AF5" s="69">
        <v>0.28599999999999998</v>
      </c>
      <c r="AG5" s="3">
        <v>21</v>
      </c>
      <c r="AH5" s="3">
        <v>23</v>
      </c>
      <c r="AI5" s="69">
        <v>0.91300000000000003</v>
      </c>
      <c r="AJ5" s="3">
        <v>13</v>
      </c>
      <c r="AK5" s="3">
        <v>45</v>
      </c>
      <c r="AL5" s="3">
        <v>19</v>
      </c>
      <c r="AM5" s="3">
        <v>7</v>
      </c>
      <c r="AN5" s="3">
        <v>4</v>
      </c>
      <c r="AO5" s="3">
        <v>14</v>
      </c>
      <c r="AP5" s="3">
        <v>20</v>
      </c>
      <c r="AR5" s="9"/>
      <c r="AY5" s="1">
        <v>3</v>
      </c>
      <c r="AZ5" s="3">
        <v>3</v>
      </c>
      <c r="BA5" s="10">
        <v>44065</v>
      </c>
      <c r="BB5" s="3" t="s">
        <v>283</v>
      </c>
      <c r="BC5" s="3" t="s">
        <v>84</v>
      </c>
      <c r="BD5" s="3" t="s">
        <v>40</v>
      </c>
      <c r="BE5" s="3">
        <v>116</v>
      </c>
      <c r="BF5" s="3">
        <v>108</v>
      </c>
      <c r="BG5" s="3">
        <v>39</v>
      </c>
      <c r="BH5" s="3">
        <v>78</v>
      </c>
      <c r="BI5" s="3">
        <v>0.5</v>
      </c>
      <c r="BJ5" s="3">
        <v>10</v>
      </c>
      <c r="BK5" s="3">
        <v>30</v>
      </c>
      <c r="BL5" s="3">
        <v>0.33300000000000002</v>
      </c>
      <c r="BM5" s="3">
        <v>28</v>
      </c>
      <c r="BN5" s="3">
        <v>43</v>
      </c>
      <c r="BO5" s="3">
        <v>0.65100000000000002</v>
      </c>
      <c r="BP5" s="3">
        <v>12</v>
      </c>
      <c r="BQ5" s="3">
        <v>55</v>
      </c>
      <c r="BR5" s="3">
        <v>26</v>
      </c>
      <c r="BS5" s="3">
        <v>6</v>
      </c>
      <c r="BT5" s="3">
        <v>8</v>
      </c>
      <c r="BU5" s="3">
        <v>17</v>
      </c>
      <c r="BV5" s="3">
        <v>21</v>
      </c>
      <c r="BW5" s="3" t="s">
        <v>44</v>
      </c>
      <c r="BX5" s="3">
        <v>39</v>
      </c>
      <c r="BY5" s="3">
        <v>95</v>
      </c>
      <c r="BZ5" s="3">
        <v>0.41099999999999998</v>
      </c>
      <c r="CA5" s="3">
        <v>12</v>
      </c>
      <c r="CB5" s="3">
        <v>35</v>
      </c>
      <c r="CC5" s="3">
        <v>0.34300000000000003</v>
      </c>
      <c r="CD5" s="3">
        <v>18</v>
      </c>
      <c r="CE5" s="3">
        <v>19</v>
      </c>
      <c r="CF5" s="3">
        <v>0.94699999999999995</v>
      </c>
      <c r="CG5" s="3">
        <v>7</v>
      </c>
      <c r="CH5" s="3">
        <v>38</v>
      </c>
      <c r="CI5" s="3">
        <v>17</v>
      </c>
      <c r="CJ5" s="3">
        <v>7</v>
      </c>
      <c r="CK5" s="3">
        <v>4</v>
      </c>
      <c r="CL5" s="3">
        <v>11</v>
      </c>
      <c r="CM5" s="3">
        <v>25</v>
      </c>
    </row>
    <row r="6" spans="1:91" ht="18">
      <c r="A6" s="1">
        <v>4</v>
      </c>
      <c r="B6" s="3">
        <v>4</v>
      </c>
      <c r="C6" s="10">
        <v>43767</v>
      </c>
      <c r="D6" s="2" t="s">
        <v>284</v>
      </c>
      <c r="E6" s="3" t="s">
        <v>70</v>
      </c>
      <c r="F6" s="3" t="s">
        <v>297</v>
      </c>
      <c r="G6" s="3" t="s">
        <v>40</v>
      </c>
      <c r="H6" s="3">
        <v>120</v>
      </c>
      <c r="I6" s="3">
        <v>91</v>
      </c>
      <c r="J6" s="3">
        <v>40</v>
      </c>
      <c r="K6" s="3">
        <v>86</v>
      </c>
      <c r="L6" s="69">
        <v>0.46500000000000002</v>
      </c>
      <c r="M6" s="3">
        <v>7</v>
      </c>
      <c r="N6" s="3">
        <v>26</v>
      </c>
      <c r="O6" s="69">
        <v>0.26900000000000002</v>
      </c>
      <c r="P6" s="3">
        <v>33</v>
      </c>
      <c r="Q6" s="3">
        <v>39</v>
      </c>
      <c r="R6" s="69">
        <v>0.84599999999999997</v>
      </c>
      <c r="S6" s="3">
        <v>10</v>
      </c>
      <c r="T6" s="3">
        <v>54</v>
      </c>
      <c r="U6" s="3">
        <v>25</v>
      </c>
      <c r="V6" s="3">
        <v>9</v>
      </c>
      <c r="W6" s="3">
        <v>8</v>
      </c>
      <c r="X6" s="3">
        <v>18</v>
      </c>
      <c r="Y6" s="3">
        <v>19</v>
      </c>
      <c r="Z6" s="4" t="s">
        <v>45</v>
      </c>
      <c r="AA6" s="3">
        <v>31</v>
      </c>
      <c r="AB6" s="3">
        <v>95</v>
      </c>
      <c r="AC6" s="69">
        <v>0.32600000000000001</v>
      </c>
      <c r="AD6" s="3">
        <v>7</v>
      </c>
      <c r="AE6" s="3">
        <v>34</v>
      </c>
      <c r="AF6" s="69">
        <v>0.20599999999999999</v>
      </c>
      <c r="AG6" s="3">
        <v>22</v>
      </c>
      <c r="AH6" s="3">
        <v>23</v>
      </c>
      <c r="AI6" s="69">
        <v>0.95699999999999996</v>
      </c>
      <c r="AJ6" s="3">
        <v>13</v>
      </c>
      <c r="AK6" s="3">
        <v>46</v>
      </c>
      <c r="AL6" s="3">
        <v>20</v>
      </c>
      <c r="AM6" s="3">
        <v>10</v>
      </c>
      <c r="AN6" s="3">
        <v>3</v>
      </c>
      <c r="AO6" s="3">
        <v>21</v>
      </c>
      <c r="AP6" s="3">
        <v>27</v>
      </c>
      <c r="AR6" s="9"/>
      <c r="AY6" s="1">
        <v>4</v>
      </c>
      <c r="AZ6" s="3">
        <v>4</v>
      </c>
      <c r="BA6" s="10">
        <v>44067</v>
      </c>
      <c r="BB6" s="3" t="s">
        <v>283</v>
      </c>
      <c r="BC6" s="3" t="s">
        <v>84</v>
      </c>
      <c r="BD6" s="3" t="s">
        <v>40</v>
      </c>
      <c r="BE6" s="3">
        <v>135</v>
      </c>
      <c r="BF6" s="3">
        <v>115</v>
      </c>
      <c r="BG6" s="3">
        <v>49</v>
      </c>
      <c r="BH6" s="3">
        <v>87</v>
      </c>
      <c r="BI6" s="3">
        <v>0.56299999999999994</v>
      </c>
      <c r="BJ6" s="3">
        <v>17</v>
      </c>
      <c r="BK6" s="3">
        <v>39</v>
      </c>
      <c r="BL6" s="3">
        <v>0.436</v>
      </c>
      <c r="BM6" s="3">
        <v>20</v>
      </c>
      <c r="BN6" s="3">
        <v>30</v>
      </c>
      <c r="BO6" s="3">
        <v>0.66700000000000004</v>
      </c>
      <c r="BP6" s="3">
        <v>12</v>
      </c>
      <c r="BQ6" s="3">
        <v>41</v>
      </c>
      <c r="BR6" s="3">
        <v>29</v>
      </c>
      <c r="BS6" s="3">
        <v>7</v>
      </c>
      <c r="BT6" s="3">
        <v>9</v>
      </c>
      <c r="BU6" s="3">
        <v>14</v>
      </c>
      <c r="BV6" s="3">
        <v>28</v>
      </c>
      <c r="BW6" s="3" t="s">
        <v>45</v>
      </c>
      <c r="BX6" s="3">
        <v>40</v>
      </c>
      <c r="BY6" s="3">
        <v>89</v>
      </c>
      <c r="BZ6" s="3">
        <v>0.44900000000000001</v>
      </c>
      <c r="CA6" s="3">
        <v>12</v>
      </c>
      <c r="CB6" s="3">
        <v>28</v>
      </c>
      <c r="CC6" s="3">
        <v>0.42899999999999999</v>
      </c>
      <c r="CD6" s="3">
        <v>23</v>
      </c>
      <c r="CE6" s="3">
        <v>31</v>
      </c>
      <c r="CF6" s="3">
        <v>0.74199999999999999</v>
      </c>
      <c r="CG6" s="3">
        <v>17</v>
      </c>
      <c r="CH6" s="3">
        <v>42</v>
      </c>
      <c r="CI6" s="3">
        <v>20</v>
      </c>
      <c r="CJ6" s="3">
        <v>9</v>
      </c>
      <c r="CK6" s="3">
        <v>2</v>
      </c>
      <c r="CL6" s="3">
        <v>17</v>
      </c>
      <c r="CM6" s="3">
        <v>27</v>
      </c>
    </row>
    <row r="7" spans="1:91" ht="18">
      <c r="A7" s="1">
        <v>5</v>
      </c>
      <c r="B7" s="3">
        <v>5</v>
      </c>
      <c r="C7" s="10">
        <v>43770</v>
      </c>
      <c r="D7" s="3" t="s">
        <v>283</v>
      </c>
      <c r="E7" s="3" t="s">
        <v>71</v>
      </c>
      <c r="F7" s="3" t="s">
        <v>297</v>
      </c>
      <c r="G7" s="3" t="s">
        <v>40</v>
      </c>
      <c r="H7" s="3">
        <v>119</v>
      </c>
      <c r="I7" s="3">
        <v>110</v>
      </c>
      <c r="J7" s="3">
        <v>47</v>
      </c>
      <c r="K7" s="3">
        <v>96</v>
      </c>
      <c r="L7" s="69">
        <v>0.49</v>
      </c>
      <c r="M7" s="3">
        <v>9</v>
      </c>
      <c r="N7" s="3">
        <v>32</v>
      </c>
      <c r="O7" s="69">
        <v>0.28100000000000003</v>
      </c>
      <c r="P7" s="3">
        <v>16</v>
      </c>
      <c r="Q7" s="3">
        <v>21</v>
      </c>
      <c r="R7" s="69">
        <v>0.76200000000000001</v>
      </c>
      <c r="S7" s="3">
        <v>6</v>
      </c>
      <c r="T7" s="3">
        <v>41</v>
      </c>
      <c r="U7" s="3">
        <v>24</v>
      </c>
      <c r="V7" s="3">
        <v>11</v>
      </c>
      <c r="W7" s="3">
        <v>7</v>
      </c>
      <c r="X7" s="3">
        <v>11</v>
      </c>
      <c r="Y7" s="3">
        <v>21</v>
      </c>
      <c r="Z7" s="5" t="s">
        <v>46</v>
      </c>
      <c r="AA7" s="3">
        <v>40</v>
      </c>
      <c r="AB7" s="3">
        <v>102</v>
      </c>
      <c r="AC7" s="69">
        <v>0.39200000000000002</v>
      </c>
      <c r="AD7" s="3">
        <v>14</v>
      </c>
      <c r="AE7" s="3">
        <v>36</v>
      </c>
      <c r="AF7" s="69">
        <v>0.38900000000000001</v>
      </c>
      <c r="AG7" s="3">
        <v>16</v>
      </c>
      <c r="AH7" s="3">
        <v>23</v>
      </c>
      <c r="AI7" s="69">
        <v>0.69599999999999995</v>
      </c>
      <c r="AJ7" s="3">
        <v>18</v>
      </c>
      <c r="AK7" s="3">
        <v>61</v>
      </c>
      <c r="AL7" s="3">
        <v>23</v>
      </c>
      <c r="AM7" s="3">
        <v>5</v>
      </c>
      <c r="AN7" s="3">
        <v>1</v>
      </c>
      <c r="AO7" s="3">
        <v>22</v>
      </c>
      <c r="AP7" s="3">
        <v>21</v>
      </c>
      <c r="AR7" s="9"/>
      <c r="AY7" s="1">
        <v>5</v>
      </c>
      <c r="AZ7" s="3">
        <v>5</v>
      </c>
      <c r="BA7" s="10">
        <v>44072</v>
      </c>
      <c r="BB7" s="2" t="s">
        <v>284</v>
      </c>
      <c r="BC7" s="3" t="s">
        <v>84</v>
      </c>
      <c r="BD7" s="3" t="s">
        <v>40</v>
      </c>
      <c r="BE7" s="3">
        <v>131</v>
      </c>
      <c r="BF7" s="3">
        <v>122</v>
      </c>
      <c r="BG7" s="3">
        <v>48</v>
      </c>
      <c r="BH7" s="3">
        <v>88</v>
      </c>
      <c r="BI7" s="3">
        <v>0.54500000000000004</v>
      </c>
      <c r="BJ7" s="3">
        <v>14</v>
      </c>
      <c r="BK7" s="3">
        <v>36</v>
      </c>
      <c r="BL7" s="3">
        <v>0.38900000000000001</v>
      </c>
      <c r="BM7" s="3">
        <v>21</v>
      </c>
      <c r="BN7" s="3">
        <v>26</v>
      </c>
      <c r="BO7" s="3">
        <v>0.80800000000000005</v>
      </c>
      <c r="BP7" s="3">
        <v>7</v>
      </c>
      <c r="BQ7" s="3">
        <v>41</v>
      </c>
      <c r="BR7" s="3">
        <v>27</v>
      </c>
      <c r="BS7" s="3">
        <v>11</v>
      </c>
      <c r="BT7" s="3">
        <v>5</v>
      </c>
      <c r="BU7" s="3">
        <v>17</v>
      </c>
      <c r="BV7" s="3">
        <v>20</v>
      </c>
      <c r="BW7" s="3" t="s">
        <v>46</v>
      </c>
      <c r="BX7" s="3">
        <v>44</v>
      </c>
      <c r="BY7" s="3">
        <v>93</v>
      </c>
      <c r="BZ7" s="3">
        <v>0.47299999999999998</v>
      </c>
      <c r="CA7" s="3">
        <v>13</v>
      </c>
      <c r="CB7" s="3">
        <v>27</v>
      </c>
      <c r="CC7" s="3">
        <v>0.48099999999999998</v>
      </c>
      <c r="CD7" s="3">
        <v>21</v>
      </c>
      <c r="CE7" s="3">
        <v>26</v>
      </c>
      <c r="CF7" s="3">
        <v>0.80800000000000005</v>
      </c>
      <c r="CG7" s="3">
        <v>10</v>
      </c>
      <c r="CH7" s="3">
        <v>43</v>
      </c>
      <c r="CI7" s="3">
        <v>20</v>
      </c>
      <c r="CJ7" s="3">
        <v>12</v>
      </c>
      <c r="CK7" s="3">
        <v>1</v>
      </c>
      <c r="CL7" s="3">
        <v>19</v>
      </c>
      <c r="CM7" s="3">
        <v>28</v>
      </c>
    </row>
    <row r="8" spans="1:91" ht="18">
      <c r="A8" s="1">
        <v>6</v>
      </c>
      <c r="B8" s="3">
        <v>6</v>
      </c>
      <c r="C8" s="10">
        <v>43772</v>
      </c>
      <c r="D8" s="3" t="s">
        <v>283</v>
      </c>
      <c r="E8" s="3" t="s">
        <v>72</v>
      </c>
      <c r="F8" s="3" t="s">
        <v>297</v>
      </c>
      <c r="G8" s="3" t="s">
        <v>40</v>
      </c>
      <c r="H8" s="3">
        <v>103</v>
      </c>
      <c r="I8" s="3">
        <v>96</v>
      </c>
      <c r="J8" s="3">
        <v>42</v>
      </c>
      <c r="K8" s="3">
        <v>87</v>
      </c>
      <c r="L8" s="69">
        <v>0.48299999999999998</v>
      </c>
      <c r="M8" s="3">
        <v>6</v>
      </c>
      <c r="N8" s="3">
        <v>24</v>
      </c>
      <c r="O8" s="69">
        <v>0.25</v>
      </c>
      <c r="P8" s="3">
        <v>13</v>
      </c>
      <c r="Q8" s="3">
        <v>19</v>
      </c>
      <c r="R8" s="69">
        <v>0.68400000000000005</v>
      </c>
      <c r="S8" s="3">
        <v>7</v>
      </c>
      <c r="T8" s="3">
        <v>46</v>
      </c>
      <c r="U8" s="3">
        <v>21</v>
      </c>
      <c r="V8" s="3">
        <v>8</v>
      </c>
      <c r="W8" s="3">
        <v>10</v>
      </c>
      <c r="X8" s="3">
        <v>18</v>
      </c>
      <c r="Y8" s="3">
        <v>22</v>
      </c>
      <c r="Z8" s="4" t="s">
        <v>47</v>
      </c>
      <c r="AA8" s="3">
        <v>33</v>
      </c>
      <c r="AB8" s="3">
        <v>83</v>
      </c>
      <c r="AC8" s="69">
        <v>0.39800000000000002</v>
      </c>
      <c r="AD8" s="3">
        <v>6</v>
      </c>
      <c r="AE8" s="3">
        <v>25</v>
      </c>
      <c r="AF8" s="69">
        <v>0.24</v>
      </c>
      <c r="AG8" s="3">
        <v>24</v>
      </c>
      <c r="AH8" s="3">
        <v>29</v>
      </c>
      <c r="AI8" s="69">
        <v>0.82799999999999996</v>
      </c>
      <c r="AJ8" s="3">
        <v>8</v>
      </c>
      <c r="AK8" s="3">
        <v>47</v>
      </c>
      <c r="AL8" s="3">
        <v>23</v>
      </c>
      <c r="AM8" s="3">
        <v>11</v>
      </c>
      <c r="AN8" s="3">
        <v>4</v>
      </c>
      <c r="AO8" s="3">
        <v>17</v>
      </c>
      <c r="AP8" s="3">
        <v>18</v>
      </c>
      <c r="AR8" s="9"/>
      <c r="AY8" s="1">
        <v>6</v>
      </c>
      <c r="AZ8" s="3">
        <v>6</v>
      </c>
      <c r="BA8" s="10">
        <v>44078</v>
      </c>
      <c r="BB8" s="2" t="s">
        <v>284</v>
      </c>
      <c r="BC8" s="3" t="s">
        <v>92</v>
      </c>
      <c r="BD8" s="3" t="s">
        <v>41</v>
      </c>
      <c r="BE8" s="3">
        <v>97</v>
      </c>
      <c r="BF8" s="3">
        <v>112</v>
      </c>
      <c r="BG8" s="3">
        <v>35</v>
      </c>
      <c r="BH8" s="3">
        <v>83</v>
      </c>
      <c r="BI8" s="3">
        <v>0.42199999999999999</v>
      </c>
      <c r="BJ8" s="3">
        <v>11</v>
      </c>
      <c r="BK8" s="3">
        <v>38</v>
      </c>
      <c r="BL8" s="3">
        <v>0.28899999999999998</v>
      </c>
      <c r="BM8" s="3">
        <v>16</v>
      </c>
      <c r="BN8" s="3">
        <v>19</v>
      </c>
      <c r="BO8" s="3">
        <v>0.84199999999999997</v>
      </c>
      <c r="BP8" s="3">
        <v>10</v>
      </c>
      <c r="BQ8" s="3">
        <v>41</v>
      </c>
      <c r="BR8" s="3">
        <v>18</v>
      </c>
      <c r="BS8" s="3">
        <v>8</v>
      </c>
      <c r="BT8" s="3">
        <v>9</v>
      </c>
      <c r="BU8" s="3">
        <v>15</v>
      </c>
      <c r="BV8" s="3">
        <v>20</v>
      </c>
      <c r="BW8" s="3" t="s">
        <v>42</v>
      </c>
      <c r="BX8" s="3">
        <v>39</v>
      </c>
      <c r="BY8" s="3">
        <v>81</v>
      </c>
      <c r="BZ8" s="3">
        <v>0.48099999999999998</v>
      </c>
      <c r="CA8" s="3">
        <v>14</v>
      </c>
      <c r="CB8" s="3">
        <v>39</v>
      </c>
      <c r="CC8" s="3">
        <v>0.35899999999999999</v>
      </c>
      <c r="CD8" s="3">
        <v>20</v>
      </c>
      <c r="CE8" s="3">
        <v>27</v>
      </c>
      <c r="CF8" s="3">
        <v>0.74099999999999999</v>
      </c>
      <c r="CG8" s="3">
        <v>4</v>
      </c>
      <c r="CH8" s="3">
        <v>41</v>
      </c>
      <c r="CI8" s="3">
        <v>19</v>
      </c>
      <c r="CJ8" s="3">
        <v>13</v>
      </c>
      <c r="CK8" s="3">
        <v>3</v>
      </c>
      <c r="CL8" s="3">
        <v>14</v>
      </c>
      <c r="CM8" s="3">
        <v>19</v>
      </c>
    </row>
    <row r="9" spans="1:91" ht="18">
      <c r="A9" s="1">
        <v>7</v>
      </c>
      <c r="B9" s="3">
        <v>7</v>
      </c>
      <c r="C9" s="10">
        <v>43774</v>
      </c>
      <c r="D9" s="3" t="s">
        <v>283</v>
      </c>
      <c r="E9" s="3" t="s">
        <v>73</v>
      </c>
      <c r="F9" s="3" t="s">
        <v>297</v>
      </c>
      <c r="G9" s="3" t="s">
        <v>40</v>
      </c>
      <c r="H9" s="3">
        <v>118</v>
      </c>
      <c r="I9" s="3">
        <v>112</v>
      </c>
      <c r="J9" s="3">
        <v>45</v>
      </c>
      <c r="K9" s="3">
        <v>92</v>
      </c>
      <c r="L9" s="69">
        <v>0.48899999999999999</v>
      </c>
      <c r="M9" s="3">
        <v>11</v>
      </c>
      <c r="N9" s="3">
        <v>33</v>
      </c>
      <c r="O9" s="69">
        <v>0.33300000000000002</v>
      </c>
      <c r="P9" s="3">
        <v>17</v>
      </c>
      <c r="Q9" s="3">
        <v>24</v>
      </c>
      <c r="R9" s="69">
        <v>0.70799999999999996</v>
      </c>
      <c r="S9" s="3">
        <v>12</v>
      </c>
      <c r="T9" s="3">
        <v>49</v>
      </c>
      <c r="U9" s="3">
        <v>26</v>
      </c>
      <c r="V9" s="3">
        <v>10</v>
      </c>
      <c r="W9" s="3">
        <v>10</v>
      </c>
      <c r="X9" s="3">
        <v>15</v>
      </c>
      <c r="Y9" s="3">
        <v>18</v>
      </c>
      <c r="Z9" s="5" t="s">
        <v>48</v>
      </c>
      <c r="AA9" s="3">
        <v>43</v>
      </c>
      <c r="AB9" s="3">
        <v>85</v>
      </c>
      <c r="AC9" s="69">
        <v>0.50600000000000001</v>
      </c>
      <c r="AD9" s="3">
        <v>14</v>
      </c>
      <c r="AE9" s="3">
        <v>32</v>
      </c>
      <c r="AF9" s="69">
        <v>0.438</v>
      </c>
      <c r="AG9" s="3">
        <v>12</v>
      </c>
      <c r="AH9" s="3">
        <v>23</v>
      </c>
      <c r="AI9" s="69">
        <v>0.52200000000000002</v>
      </c>
      <c r="AJ9" s="3">
        <v>7</v>
      </c>
      <c r="AK9" s="3">
        <v>42</v>
      </c>
      <c r="AL9" s="3">
        <v>22</v>
      </c>
      <c r="AM9" s="3">
        <v>11</v>
      </c>
      <c r="AN9" s="3">
        <v>4</v>
      </c>
      <c r="AO9" s="3">
        <v>16</v>
      </c>
      <c r="AP9" s="3">
        <v>21</v>
      </c>
      <c r="AR9" s="9"/>
      <c r="AY9" s="1">
        <v>7</v>
      </c>
      <c r="AZ9" s="3">
        <v>7</v>
      </c>
      <c r="BA9" s="10">
        <v>44080</v>
      </c>
      <c r="BB9" s="2" t="s">
        <v>284</v>
      </c>
      <c r="BC9" s="3" t="s">
        <v>92</v>
      </c>
      <c r="BD9" s="3" t="s">
        <v>40</v>
      </c>
      <c r="BE9" s="3">
        <v>117</v>
      </c>
      <c r="BF9" s="3">
        <v>109</v>
      </c>
      <c r="BG9" s="3">
        <v>47</v>
      </c>
      <c r="BH9" s="3">
        <v>83</v>
      </c>
      <c r="BI9" s="3">
        <v>0.56599999999999995</v>
      </c>
      <c r="BJ9" s="3">
        <v>12</v>
      </c>
      <c r="BK9" s="3">
        <v>27</v>
      </c>
      <c r="BL9" s="3">
        <v>0.44400000000000001</v>
      </c>
      <c r="BM9" s="3">
        <v>11</v>
      </c>
      <c r="BN9" s="3">
        <v>18</v>
      </c>
      <c r="BO9" s="3">
        <v>0.61099999999999999</v>
      </c>
      <c r="BP9" s="3">
        <v>9</v>
      </c>
      <c r="BQ9" s="3">
        <v>41</v>
      </c>
      <c r="BR9" s="3">
        <v>30</v>
      </c>
      <c r="BS9" s="3">
        <v>11</v>
      </c>
      <c r="BT9" s="3">
        <v>5</v>
      </c>
      <c r="BU9" s="3">
        <v>15</v>
      </c>
      <c r="BV9" s="3">
        <v>17</v>
      </c>
      <c r="BW9" s="3" t="s">
        <v>43</v>
      </c>
      <c r="BX9" s="3">
        <v>35</v>
      </c>
      <c r="BY9" s="3">
        <v>78</v>
      </c>
      <c r="BZ9" s="3">
        <v>0.44900000000000001</v>
      </c>
      <c r="CA9" s="3">
        <v>22</v>
      </c>
      <c r="CB9" s="3">
        <v>53</v>
      </c>
      <c r="CC9" s="3">
        <v>0.41499999999999998</v>
      </c>
      <c r="CD9" s="3">
        <v>17</v>
      </c>
      <c r="CE9" s="3">
        <v>23</v>
      </c>
      <c r="CF9" s="3">
        <v>0.73899999999999999</v>
      </c>
      <c r="CG9" s="3">
        <v>8</v>
      </c>
      <c r="CH9" s="3">
        <v>35</v>
      </c>
      <c r="CI9" s="3">
        <v>22</v>
      </c>
      <c r="CJ9" s="3">
        <v>7</v>
      </c>
      <c r="CK9" s="3">
        <v>2</v>
      </c>
      <c r="CL9" s="3">
        <v>17</v>
      </c>
      <c r="CM9" s="3">
        <v>21</v>
      </c>
    </row>
    <row r="10" spans="1:91" ht="18">
      <c r="A10" s="1">
        <v>8</v>
      </c>
      <c r="B10" s="3">
        <v>8</v>
      </c>
      <c r="C10" s="10">
        <v>43777</v>
      </c>
      <c r="D10" s="2" t="s">
        <v>284</v>
      </c>
      <c r="E10" s="3" t="s">
        <v>74</v>
      </c>
      <c r="F10" s="3" t="s">
        <v>297</v>
      </c>
      <c r="G10" s="3" t="s">
        <v>40</v>
      </c>
      <c r="H10" s="3">
        <v>95</v>
      </c>
      <c r="I10" s="3">
        <v>80</v>
      </c>
      <c r="J10" s="3">
        <v>40</v>
      </c>
      <c r="K10" s="3">
        <v>89</v>
      </c>
      <c r="L10" s="69">
        <v>0.44900000000000001</v>
      </c>
      <c r="M10" s="3">
        <v>8</v>
      </c>
      <c r="N10" s="3">
        <v>32</v>
      </c>
      <c r="O10" s="69">
        <v>0.25</v>
      </c>
      <c r="P10" s="3">
        <v>7</v>
      </c>
      <c r="Q10" s="3">
        <v>8</v>
      </c>
      <c r="R10" s="69">
        <v>0.875</v>
      </c>
      <c r="S10" s="3">
        <v>10</v>
      </c>
      <c r="T10" s="3">
        <v>48</v>
      </c>
      <c r="U10" s="3">
        <v>30</v>
      </c>
      <c r="V10" s="3">
        <v>6</v>
      </c>
      <c r="W10" s="3">
        <v>5</v>
      </c>
      <c r="X10" s="3">
        <v>18</v>
      </c>
      <c r="Y10" s="3">
        <v>24</v>
      </c>
      <c r="Z10" s="4" t="s">
        <v>49</v>
      </c>
      <c r="AA10" s="3">
        <v>28</v>
      </c>
      <c r="AB10" s="3">
        <v>80</v>
      </c>
      <c r="AC10" s="69">
        <v>0.35</v>
      </c>
      <c r="AD10" s="3">
        <v>6</v>
      </c>
      <c r="AE10" s="3">
        <v>35</v>
      </c>
      <c r="AF10" s="69">
        <v>0.17100000000000001</v>
      </c>
      <c r="AG10" s="3">
        <v>18</v>
      </c>
      <c r="AH10" s="3">
        <v>24</v>
      </c>
      <c r="AI10" s="69">
        <v>0.75</v>
      </c>
      <c r="AJ10" s="3">
        <v>8</v>
      </c>
      <c r="AK10" s="3">
        <v>37</v>
      </c>
      <c r="AL10" s="3">
        <v>18</v>
      </c>
      <c r="AM10" s="3">
        <v>9</v>
      </c>
      <c r="AN10" s="3">
        <v>2</v>
      </c>
      <c r="AO10" s="3">
        <v>12</v>
      </c>
      <c r="AP10" s="3">
        <v>12</v>
      </c>
      <c r="AR10" s="9"/>
      <c r="AY10" s="1">
        <v>8</v>
      </c>
      <c r="AZ10" s="3">
        <v>8</v>
      </c>
      <c r="BA10" s="10">
        <v>44082</v>
      </c>
      <c r="BB10" s="3" t="s">
        <v>283</v>
      </c>
      <c r="BC10" s="3" t="s">
        <v>92</v>
      </c>
      <c r="BD10" s="3" t="s">
        <v>40</v>
      </c>
      <c r="BE10" s="3">
        <v>112</v>
      </c>
      <c r="BF10" s="3">
        <v>102</v>
      </c>
      <c r="BG10" s="3">
        <v>43</v>
      </c>
      <c r="BH10" s="3">
        <v>78</v>
      </c>
      <c r="BI10" s="3">
        <v>0.55100000000000005</v>
      </c>
      <c r="BJ10" s="3">
        <v>10</v>
      </c>
      <c r="BK10" s="3">
        <v>30</v>
      </c>
      <c r="BL10" s="3">
        <v>0.33300000000000002</v>
      </c>
      <c r="BM10" s="3">
        <v>16</v>
      </c>
      <c r="BN10" s="3">
        <v>23</v>
      </c>
      <c r="BO10" s="3">
        <v>0.69599999999999995</v>
      </c>
      <c r="BP10" s="3">
        <v>9</v>
      </c>
      <c r="BQ10" s="3">
        <v>43</v>
      </c>
      <c r="BR10" s="3">
        <v>25</v>
      </c>
      <c r="BS10" s="3">
        <v>6</v>
      </c>
      <c r="BT10" s="3">
        <v>6</v>
      </c>
      <c r="BU10" s="3">
        <v>13</v>
      </c>
      <c r="BV10" s="3">
        <v>15</v>
      </c>
      <c r="BW10" s="3" t="s">
        <v>44</v>
      </c>
      <c r="BX10" s="3">
        <v>38</v>
      </c>
      <c r="BY10" s="3">
        <v>81</v>
      </c>
      <c r="BZ10" s="3">
        <v>0.46899999999999997</v>
      </c>
      <c r="CA10" s="3">
        <v>12</v>
      </c>
      <c r="CB10" s="3">
        <v>30</v>
      </c>
      <c r="CC10" s="3">
        <v>0.4</v>
      </c>
      <c r="CD10" s="3">
        <v>14</v>
      </c>
      <c r="CE10" s="3">
        <v>14</v>
      </c>
      <c r="CF10" s="3">
        <v>1</v>
      </c>
      <c r="CG10" s="3">
        <v>6</v>
      </c>
      <c r="CH10" s="3">
        <v>30</v>
      </c>
      <c r="CI10" s="3">
        <v>23</v>
      </c>
      <c r="CJ10" s="3">
        <v>8</v>
      </c>
      <c r="CK10" s="3">
        <v>1</v>
      </c>
      <c r="CL10" s="3">
        <v>9</v>
      </c>
      <c r="CM10" s="3">
        <v>18</v>
      </c>
    </row>
    <row r="11" spans="1:91" ht="18">
      <c r="A11" s="1">
        <v>9</v>
      </c>
      <c r="B11" s="3">
        <v>9</v>
      </c>
      <c r="C11" s="10">
        <v>43779</v>
      </c>
      <c r="D11" s="2" t="s">
        <v>284</v>
      </c>
      <c r="E11" s="3" t="s">
        <v>75</v>
      </c>
      <c r="F11" s="3" t="s">
        <v>297</v>
      </c>
      <c r="G11" s="3" t="s">
        <v>41</v>
      </c>
      <c r="H11" s="3">
        <v>104</v>
      </c>
      <c r="I11" s="3">
        <v>113</v>
      </c>
      <c r="J11" s="3">
        <v>41</v>
      </c>
      <c r="K11" s="3">
        <v>94</v>
      </c>
      <c r="L11" s="69">
        <v>0.436</v>
      </c>
      <c r="M11" s="3">
        <v>10</v>
      </c>
      <c r="N11" s="3">
        <v>30</v>
      </c>
      <c r="O11" s="69">
        <v>0.33300000000000002</v>
      </c>
      <c r="P11" s="3">
        <v>12</v>
      </c>
      <c r="Q11" s="3">
        <v>19</v>
      </c>
      <c r="R11" s="69">
        <v>0.63200000000000001</v>
      </c>
      <c r="S11" s="3">
        <v>13</v>
      </c>
      <c r="T11" s="3">
        <v>51</v>
      </c>
      <c r="U11" s="3">
        <v>31</v>
      </c>
      <c r="V11" s="3">
        <v>6</v>
      </c>
      <c r="W11" s="3">
        <v>7</v>
      </c>
      <c r="X11" s="3">
        <v>12</v>
      </c>
      <c r="Y11" s="3">
        <v>20</v>
      </c>
      <c r="Z11" s="5" t="s">
        <v>42</v>
      </c>
      <c r="AA11" s="3">
        <v>43</v>
      </c>
      <c r="AB11" s="3">
        <v>89</v>
      </c>
      <c r="AC11" s="69">
        <v>0.48299999999999998</v>
      </c>
      <c r="AD11" s="3">
        <v>12</v>
      </c>
      <c r="AE11" s="3">
        <v>36</v>
      </c>
      <c r="AF11" s="69">
        <v>0.33300000000000002</v>
      </c>
      <c r="AG11" s="3">
        <v>15</v>
      </c>
      <c r="AH11" s="3">
        <v>22</v>
      </c>
      <c r="AI11" s="69">
        <v>0.68200000000000005</v>
      </c>
      <c r="AJ11" s="3">
        <v>7</v>
      </c>
      <c r="AK11" s="3">
        <v>43</v>
      </c>
      <c r="AL11" s="3">
        <v>26</v>
      </c>
      <c r="AM11" s="3">
        <v>6</v>
      </c>
      <c r="AN11" s="3">
        <v>8</v>
      </c>
      <c r="AO11" s="3">
        <v>13</v>
      </c>
      <c r="AP11" s="3">
        <v>17</v>
      </c>
      <c r="AR11" s="9"/>
      <c r="AY11" s="1">
        <v>9</v>
      </c>
      <c r="AZ11" s="3">
        <v>9</v>
      </c>
      <c r="BA11" s="10">
        <v>44084</v>
      </c>
      <c r="BB11" s="3" t="s">
        <v>283</v>
      </c>
      <c r="BC11" s="3" t="s">
        <v>92</v>
      </c>
      <c r="BD11" s="3" t="s">
        <v>40</v>
      </c>
      <c r="BE11" s="3">
        <v>110</v>
      </c>
      <c r="BF11" s="3">
        <v>100</v>
      </c>
      <c r="BG11" s="3">
        <v>43</v>
      </c>
      <c r="BH11" s="3">
        <v>88</v>
      </c>
      <c r="BI11" s="3">
        <v>0.48899999999999999</v>
      </c>
      <c r="BJ11" s="3">
        <v>9</v>
      </c>
      <c r="BK11" s="3">
        <v>30</v>
      </c>
      <c r="BL11" s="3">
        <v>0.3</v>
      </c>
      <c r="BM11" s="3">
        <v>15</v>
      </c>
      <c r="BN11" s="3">
        <v>16</v>
      </c>
      <c r="BO11" s="3">
        <v>0.93799999999999994</v>
      </c>
      <c r="BP11" s="3">
        <v>12</v>
      </c>
      <c r="BQ11" s="3">
        <v>52</v>
      </c>
      <c r="BR11" s="3">
        <v>30</v>
      </c>
      <c r="BS11" s="3">
        <v>9</v>
      </c>
      <c r="BT11" s="3">
        <v>4</v>
      </c>
      <c r="BU11" s="3">
        <v>16</v>
      </c>
      <c r="BV11" s="3">
        <v>27</v>
      </c>
      <c r="BW11" s="3" t="s">
        <v>45</v>
      </c>
      <c r="BX11" s="3">
        <v>28</v>
      </c>
      <c r="BY11" s="3">
        <v>65</v>
      </c>
      <c r="BZ11" s="3">
        <v>0.43099999999999999</v>
      </c>
      <c r="CA11" s="3">
        <v>14</v>
      </c>
      <c r="CB11" s="3">
        <v>33</v>
      </c>
      <c r="CC11" s="3">
        <v>0.42399999999999999</v>
      </c>
      <c r="CD11" s="3">
        <v>30</v>
      </c>
      <c r="CE11" s="3">
        <v>39</v>
      </c>
      <c r="CF11" s="3">
        <v>0.76900000000000002</v>
      </c>
      <c r="CG11" s="3">
        <v>1</v>
      </c>
      <c r="CH11" s="3">
        <v>26</v>
      </c>
      <c r="CI11" s="3">
        <v>24</v>
      </c>
      <c r="CJ11" s="3">
        <v>10</v>
      </c>
      <c r="CK11" s="3">
        <v>6</v>
      </c>
      <c r="CL11" s="3">
        <v>16</v>
      </c>
      <c r="CM11" s="3">
        <v>21</v>
      </c>
    </row>
    <row r="12" spans="1:91" ht="18">
      <c r="A12" s="1">
        <v>10</v>
      </c>
      <c r="B12" s="3">
        <v>10</v>
      </c>
      <c r="C12" s="10">
        <v>43781</v>
      </c>
      <c r="D12" s="3" t="s">
        <v>283</v>
      </c>
      <c r="E12" s="3" t="s">
        <v>76</v>
      </c>
      <c r="F12" s="3" t="s">
        <v>297</v>
      </c>
      <c r="G12" s="3" t="s">
        <v>40</v>
      </c>
      <c r="H12" s="3">
        <v>123</v>
      </c>
      <c r="I12" s="3">
        <v>115</v>
      </c>
      <c r="J12" s="3">
        <v>51</v>
      </c>
      <c r="K12" s="3">
        <v>95</v>
      </c>
      <c r="L12" s="69">
        <v>0.53700000000000003</v>
      </c>
      <c r="M12" s="3">
        <v>10</v>
      </c>
      <c r="N12" s="3">
        <v>25</v>
      </c>
      <c r="O12" s="69">
        <v>0.4</v>
      </c>
      <c r="P12" s="3">
        <v>11</v>
      </c>
      <c r="Q12" s="3">
        <v>21</v>
      </c>
      <c r="R12" s="69">
        <v>0.52400000000000002</v>
      </c>
      <c r="S12" s="3">
        <v>8</v>
      </c>
      <c r="T12" s="3">
        <v>44</v>
      </c>
      <c r="U12" s="3">
        <v>39</v>
      </c>
      <c r="V12" s="3">
        <v>4</v>
      </c>
      <c r="W12" s="3">
        <v>4</v>
      </c>
      <c r="X12" s="3">
        <v>9</v>
      </c>
      <c r="Y12" s="3">
        <v>21</v>
      </c>
      <c r="Z12" s="4" t="s">
        <v>43</v>
      </c>
      <c r="AA12" s="3">
        <v>43</v>
      </c>
      <c r="AB12" s="3">
        <v>91</v>
      </c>
      <c r="AC12" s="69">
        <v>0.47299999999999998</v>
      </c>
      <c r="AD12" s="3">
        <v>16</v>
      </c>
      <c r="AE12" s="3">
        <v>38</v>
      </c>
      <c r="AF12" s="69">
        <v>0.42099999999999999</v>
      </c>
      <c r="AG12" s="3">
        <v>13</v>
      </c>
      <c r="AH12" s="3">
        <v>17</v>
      </c>
      <c r="AI12" s="69">
        <v>0.76500000000000001</v>
      </c>
      <c r="AJ12" s="3">
        <v>6</v>
      </c>
      <c r="AK12" s="3">
        <v>39</v>
      </c>
      <c r="AL12" s="3">
        <v>32</v>
      </c>
      <c r="AM12" s="3">
        <v>3</v>
      </c>
      <c r="AN12" s="3">
        <v>4</v>
      </c>
      <c r="AO12" s="3">
        <v>11</v>
      </c>
      <c r="AP12" s="3">
        <v>22</v>
      </c>
      <c r="AR12" s="9"/>
      <c r="AY12" s="1">
        <v>10</v>
      </c>
      <c r="AZ12" s="3">
        <v>10</v>
      </c>
      <c r="BA12" s="10">
        <v>44086</v>
      </c>
      <c r="BB12" s="2" t="s">
        <v>284</v>
      </c>
      <c r="BC12" s="3" t="s">
        <v>92</v>
      </c>
      <c r="BD12" s="3" t="s">
        <v>40</v>
      </c>
      <c r="BE12" s="3">
        <v>119</v>
      </c>
      <c r="BF12" s="3">
        <v>96</v>
      </c>
      <c r="BG12" s="3">
        <v>39</v>
      </c>
      <c r="BH12" s="3">
        <v>74</v>
      </c>
      <c r="BI12" s="3">
        <v>0.52700000000000002</v>
      </c>
      <c r="BJ12" s="3">
        <v>19</v>
      </c>
      <c r="BK12" s="3">
        <v>37</v>
      </c>
      <c r="BL12" s="3">
        <v>0.51400000000000001</v>
      </c>
      <c r="BM12" s="3">
        <v>22</v>
      </c>
      <c r="BN12" s="3">
        <v>29</v>
      </c>
      <c r="BO12" s="3">
        <v>0.75900000000000001</v>
      </c>
      <c r="BP12" s="3">
        <v>6</v>
      </c>
      <c r="BQ12" s="3">
        <v>50</v>
      </c>
      <c r="BR12" s="3">
        <v>25</v>
      </c>
      <c r="BS12" s="3">
        <v>5</v>
      </c>
      <c r="BT12" s="3">
        <v>7</v>
      </c>
      <c r="BU12" s="3">
        <v>19</v>
      </c>
      <c r="BV12" s="3">
        <v>24</v>
      </c>
      <c r="BW12" s="3" t="s">
        <v>46</v>
      </c>
      <c r="BX12" s="3">
        <v>33</v>
      </c>
      <c r="BY12" s="3">
        <v>89</v>
      </c>
      <c r="BZ12" s="3">
        <v>0.371</v>
      </c>
      <c r="CA12" s="3">
        <v>13</v>
      </c>
      <c r="CB12" s="3">
        <v>49</v>
      </c>
      <c r="CC12" s="3">
        <v>0.26500000000000001</v>
      </c>
      <c r="CD12" s="3">
        <v>17</v>
      </c>
      <c r="CE12" s="3">
        <v>24</v>
      </c>
      <c r="CF12" s="3">
        <v>0.70799999999999996</v>
      </c>
      <c r="CG12" s="3">
        <v>9</v>
      </c>
      <c r="CH12" s="3">
        <v>31</v>
      </c>
      <c r="CI12" s="3">
        <v>18</v>
      </c>
      <c r="CJ12" s="3">
        <v>6</v>
      </c>
      <c r="CK12" s="3">
        <v>3</v>
      </c>
      <c r="CL12" s="3">
        <v>12</v>
      </c>
      <c r="CM12" s="3">
        <v>26</v>
      </c>
    </row>
    <row r="13" spans="1:91" ht="18">
      <c r="A13" s="1">
        <v>11</v>
      </c>
      <c r="B13" s="3">
        <v>11</v>
      </c>
      <c r="C13" s="10">
        <v>43782</v>
      </c>
      <c r="D13" s="2" t="s">
        <v>284</v>
      </c>
      <c r="E13" s="3" t="s">
        <v>77</v>
      </c>
      <c r="F13" s="3" t="s">
        <v>297</v>
      </c>
      <c r="G13" s="3" t="s">
        <v>40</v>
      </c>
      <c r="H13" s="3">
        <v>120</v>
      </c>
      <c r="I13" s="3">
        <v>94</v>
      </c>
      <c r="J13" s="3">
        <v>48</v>
      </c>
      <c r="K13" s="3">
        <v>89</v>
      </c>
      <c r="L13" s="69">
        <v>0.53900000000000003</v>
      </c>
      <c r="M13" s="3">
        <v>9</v>
      </c>
      <c r="N13" s="3">
        <v>20</v>
      </c>
      <c r="O13" s="69">
        <v>0.45</v>
      </c>
      <c r="P13" s="3">
        <v>15</v>
      </c>
      <c r="Q13" s="3">
        <v>18</v>
      </c>
      <c r="R13" s="69">
        <v>0.83299999999999996</v>
      </c>
      <c r="S13" s="3">
        <v>13</v>
      </c>
      <c r="T13" s="3">
        <v>51</v>
      </c>
      <c r="U13" s="3">
        <v>31</v>
      </c>
      <c r="V13" s="3">
        <v>8</v>
      </c>
      <c r="W13" s="3">
        <v>6</v>
      </c>
      <c r="X13" s="3">
        <v>19</v>
      </c>
      <c r="Y13" s="3">
        <v>18</v>
      </c>
      <c r="Z13" s="5" t="s">
        <v>44</v>
      </c>
      <c r="AA13" s="3">
        <v>36</v>
      </c>
      <c r="AB13" s="3">
        <v>89</v>
      </c>
      <c r="AC13" s="69">
        <v>0.40400000000000003</v>
      </c>
      <c r="AD13" s="3">
        <v>9</v>
      </c>
      <c r="AE13" s="3">
        <v>35</v>
      </c>
      <c r="AF13" s="69">
        <v>0.25700000000000001</v>
      </c>
      <c r="AG13" s="3">
        <v>13</v>
      </c>
      <c r="AH13" s="3">
        <v>17</v>
      </c>
      <c r="AI13" s="69">
        <v>0.76500000000000001</v>
      </c>
      <c r="AJ13" s="3">
        <v>10</v>
      </c>
      <c r="AK13" s="3">
        <v>33</v>
      </c>
      <c r="AL13" s="3">
        <v>29</v>
      </c>
      <c r="AM13" s="3">
        <v>8</v>
      </c>
      <c r="AN13" s="3">
        <v>7</v>
      </c>
      <c r="AO13" s="3">
        <v>17</v>
      </c>
      <c r="AP13" s="3">
        <v>14</v>
      </c>
      <c r="AR13" s="9"/>
      <c r="AY13" s="1">
        <v>11</v>
      </c>
      <c r="AZ13" s="3">
        <v>11</v>
      </c>
      <c r="BA13" s="10">
        <v>44092</v>
      </c>
      <c r="BB13" s="2" t="s">
        <v>284</v>
      </c>
      <c r="BC13" s="3" t="s">
        <v>83</v>
      </c>
      <c r="BD13" s="3" t="s">
        <v>40</v>
      </c>
      <c r="BE13" s="3">
        <v>126</v>
      </c>
      <c r="BF13" s="3">
        <v>114</v>
      </c>
      <c r="BG13" s="3">
        <v>44</v>
      </c>
      <c r="BH13" s="3">
        <v>83</v>
      </c>
      <c r="BI13" s="3">
        <v>0.53</v>
      </c>
      <c r="BJ13" s="3">
        <v>11</v>
      </c>
      <c r="BK13" s="3">
        <v>26</v>
      </c>
      <c r="BL13" s="3">
        <v>0.42299999999999999</v>
      </c>
      <c r="BM13" s="3">
        <v>27</v>
      </c>
      <c r="BN13" s="3">
        <v>37</v>
      </c>
      <c r="BO13" s="3">
        <v>0.73</v>
      </c>
      <c r="BP13" s="3">
        <v>10</v>
      </c>
      <c r="BQ13" s="3">
        <v>34</v>
      </c>
      <c r="BR13" s="3">
        <v>33</v>
      </c>
      <c r="BS13" s="3">
        <v>10</v>
      </c>
      <c r="BT13" s="3">
        <v>6</v>
      </c>
      <c r="BU13" s="3">
        <v>11</v>
      </c>
      <c r="BV13" s="3">
        <v>28</v>
      </c>
      <c r="BW13" s="3" t="s">
        <v>47</v>
      </c>
      <c r="BX13" s="3">
        <v>41</v>
      </c>
      <c r="BY13" s="3">
        <v>83</v>
      </c>
      <c r="BZ13" s="3">
        <v>0.49399999999999999</v>
      </c>
      <c r="CA13" s="3">
        <v>9</v>
      </c>
      <c r="CB13" s="3">
        <v>26</v>
      </c>
      <c r="CC13" s="3">
        <v>0.34599999999999997</v>
      </c>
      <c r="CD13" s="3">
        <v>23</v>
      </c>
      <c r="CE13" s="3">
        <v>28</v>
      </c>
      <c r="CF13" s="3">
        <v>0.82099999999999995</v>
      </c>
      <c r="CG13" s="3">
        <v>9</v>
      </c>
      <c r="CH13" s="3">
        <v>37</v>
      </c>
      <c r="CI13" s="3">
        <v>23</v>
      </c>
      <c r="CJ13" s="3">
        <v>3</v>
      </c>
      <c r="CK13" s="3">
        <v>2</v>
      </c>
      <c r="CL13" s="3">
        <v>16</v>
      </c>
      <c r="CM13" s="3">
        <v>26</v>
      </c>
    </row>
    <row r="14" spans="1:91" ht="18">
      <c r="A14" s="1">
        <v>12</v>
      </c>
      <c r="B14" s="3">
        <v>12</v>
      </c>
      <c r="C14" s="10">
        <v>43784</v>
      </c>
      <c r="D14" s="2" t="s">
        <v>284</v>
      </c>
      <c r="E14" s="3" t="s">
        <v>78</v>
      </c>
      <c r="F14" s="3" t="s">
        <v>297</v>
      </c>
      <c r="G14" s="3" t="s">
        <v>40</v>
      </c>
      <c r="H14" s="3">
        <v>99</v>
      </c>
      <c r="I14" s="3">
        <v>97</v>
      </c>
      <c r="J14" s="3">
        <v>34</v>
      </c>
      <c r="K14" s="3">
        <v>81</v>
      </c>
      <c r="L14" s="69">
        <v>0.42</v>
      </c>
      <c r="M14" s="3">
        <v>11</v>
      </c>
      <c r="N14" s="3">
        <v>37</v>
      </c>
      <c r="O14" s="69">
        <v>0.29699999999999999</v>
      </c>
      <c r="P14" s="3">
        <v>20</v>
      </c>
      <c r="Q14" s="3">
        <v>22</v>
      </c>
      <c r="R14" s="69">
        <v>0.90900000000000003</v>
      </c>
      <c r="S14" s="3">
        <v>10</v>
      </c>
      <c r="T14" s="3">
        <v>41</v>
      </c>
      <c r="U14" s="3">
        <v>22</v>
      </c>
      <c r="V14" s="3">
        <v>11</v>
      </c>
      <c r="W14" s="3">
        <v>6</v>
      </c>
      <c r="X14" s="3">
        <v>13</v>
      </c>
      <c r="Y14" s="3">
        <v>18</v>
      </c>
      <c r="Z14" s="4" t="s">
        <v>45</v>
      </c>
      <c r="AA14" s="3">
        <v>36</v>
      </c>
      <c r="AB14" s="3">
        <v>82</v>
      </c>
      <c r="AC14" s="69">
        <v>0.439</v>
      </c>
      <c r="AD14" s="3">
        <v>16</v>
      </c>
      <c r="AE14" s="3">
        <v>39</v>
      </c>
      <c r="AF14" s="69">
        <v>0.41</v>
      </c>
      <c r="AG14" s="3">
        <v>9</v>
      </c>
      <c r="AH14" s="3">
        <v>9</v>
      </c>
      <c r="AI14" s="69">
        <v>1</v>
      </c>
      <c r="AJ14" s="3">
        <v>10</v>
      </c>
      <c r="AK14" s="3">
        <v>43</v>
      </c>
      <c r="AL14" s="3">
        <v>24</v>
      </c>
      <c r="AM14" s="3">
        <v>7</v>
      </c>
      <c r="AN14" s="3">
        <v>0</v>
      </c>
      <c r="AO14" s="3">
        <v>17</v>
      </c>
      <c r="AP14" s="3">
        <v>22</v>
      </c>
      <c r="AR14" s="9"/>
      <c r="AY14" s="1">
        <v>12</v>
      </c>
      <c r="AZ14" s="3">
        <v>12</v>
      </c>
      <c r="BA14" s="10">
        <v>44094</v>
      </c>
      <c r="BB14" s="2" t="s">
        <v>284</v>
      </c>
      <c r="BC14" s="3" t="s">
        <v>83</v>
      </c>
      <c r="BD14" s="3" t="s">
        <v>40</v>
      </c>
      <c r="BE14" s="3">
        <v>105</v>
      </c>
      <c r="BF14" s="3">
        <v>103</v>
      </c>
      <c r="BG14" s="3">
        <v>37</v>
      </c>
      <c r="BH14" s="3">
        <v>83</v>
      </c>
      <c r="BI14" s="3">
        <v>0.44600000000000001</v>
      </c>
      <c r="BJ14" s="3">
        <v>13</v>
      </c>
      <c r="BK14" s="3">
        <v>36</v>
      </c>
      <c r="BL14" s="3">
        <v>0.36099999999999999</v>
      </c>
      <c r="BM14" s="3">
        <v>18</v>
      </c>
      <c r="BN14" s="3">
        <v>19</v>
      </c>
      <c r="BO14" s="3">
        <v>0.94699999999999995</v>
      </c>
      <c r="BP14" s="3">
        <v>13</v>
      </c>
      <c r="BQ14" s="3">
        <v>44</v>
      </c>
      <c r="BR14" s="3">
        <v>23</v>
      </c>
      <c r="BS14" s="3">
        <v>9</v>
      </c>
      <c r="BT14" s="3">
        <v>7</v>
      </c>
      <c r="BU14" s="3">
        <v>23</v>
      </c>
      <c r="BV14" s="3">
        <v>30</v>
      </c>
      <c r="BW14" s="3" t="s">
        <v>48</v>
      </c>
      <c r="BX14" s="3">
        <v>35</v>
      </c>
      <c r="BY14" s="3">
        <v>74</v>
      </c>
      <c r="BZ14" s="3">
        <v>0.47299999999999998</v>
      </c>
      <c r="CA14" s="3">
        <v>8</v>
      </c>
      <c r="CB14" s="3">
        <v>24</v>
      </c>
      <c r="CC14" s="3">
        <v>0.33300000000000002</v>
      </c>
      <c r="CD14" s="3">
        <v>25</v>
      </c>
      <c r="CE14" s="3">
        <v>33</v>
      </c>
      <c r="CF14" s="3">
        <v>0.75800000000000001</v>
      </c>
      <c r="CG14" s="3">
        <v>7</v>
      </c>
      <c r="CH14" s="3">
        <v>31</v>
      </c>
      <c r="CI14" s="3">
        <v>22</v>
      </c>
      <c r="CJ14" s="3">
        <v>12</v>
      </c>
      <c r="CK14" s="3">
        <v>4</v>
      </c>
      <c r="CL14" s="3">
        <v>19</v>
      </c>
      <c r="CM14" s="3">
        <v>22</v>
      </c>
    </row>
    <row r="15" spans="1:91" ht="18">
      <c r="A15" s="1">
        <v>13</v>
      </c>
      <c r="B15" s="3">
        <v>13</v>
      </c>
      <c r="C15" s="10">
        <v>43786</v>
      </c>
      <c r="D15" s="2" t="s">
        <v>284</v>
      </c>
      <c r="E15" s="3" t="s">
        <v>79</v>
      </c>
      <c r="F15" s="3" t="s">
        <v>297</v>
      </c>
      <c r="G15" s="3" t="s">
        <v>40</v>
      </c>
      <c r="H15" s="3">
        <v>122</v>
      </c>
      <c r="I15" s="3">
        <v>101</v>
      </c>
      <c r="J15" s="3">
        <v>47</v>
      </c>
      <c r="K15" s="3">
        <v>89</v>
      </c>
      <c r="L15" s="69">
        <v>0.52800000000000002</v>
      </c>
      <c r="M15" s="3">
        <v>15</v>
      </c>
      <c r="N15" s="3">
        <v>35</v>
      </c>
      <c r="O15" s="69">
        <v>0.42899999999999999</v>
      </c>
      <c r="P15" s="3">
        <v>13</v>
      </c>
      <c r="Q15" s="3">
        <v>16</v>
      </c>
      <c r="R15" s="69">
        <v>0.81299999999999994</v>
      </c>
      <c r="S15" s="3">
        <v>10</v>
      </c>
      <c r="T15" s="3">
        <v>42</v>
      </c>
      <c r="U15" s="3">
        <v>26</v>
      </c>
      <c r="V15" s="3">
        <v>10</v>
      </c>
      <c r="W15" s="3">
        <v>14</v>
      </c>
      <c r="X15" s="3">
        <v>16</v>
      </c>
      <c r="Y15" s="3">
        <v>19</v>
      </c>
      <c r="Z15" s="5" t="s">
        <v>46</v>
      </c>
      <c r="AA15" s="3">
        <v>37</v>
      </c>
      <c r="AB15" s="3">
        <v>86</v>
      </c>
      <c r="AC15" s="69">
        <v>0.43</v>
      </c>
      <c r="AD15" s="3">
        <v>8</v>
      </c>
      <c r="AE15" s="3">
        <v>28</v>
      </c>
      <c r="AF15" s="69">
        <v>0.28599999999999998</v>
      </c>
      <c r="AG15" s="3">
        <v>19</v>
      </c>
      <c r="AH15" s="3">
        <v>25</v>
      </c>
      <c r="AI15" s="69">
        <v>0.76</v>
      </c>
      <c r="AJ15" s="3">
        <v>9</v>
      </c>
      <c r="AK15" s="3">
        <v>37</v>
      </c>
      <c r="AL15" s="3">
        <v>16</v>
      </c>
      <c r="AM15" s="3">
        <v>11</v>
      </c>
      <c r="AN15" s="3">
        <v>2</v>
      </c>
      <c r="AO15" s="3">
        <v>18</v>
      </c>
      <c r="AP15" s="3">
        <v>19</v>
      </c>
      <c r="AR15" s="9"/>
      <c r="AY15" s="1">
        <v>13</v>
      </c>
      <c r="AZ15" s="3">
        <v>13</v>
      </c>
      <c r="BA15" s="10">
        <v>44096</v>
      </c>
      <c r="BB15" s="3" t="s">
        <v>283</v>
      </c>
      <c r="BC15" s="3" t="s">
        <v>83</v>
      </c>
      <c r="BD15" s="3" t="s">
        <v>41</v>
      </c>
      <c r="BE15" s="3">
        <v>106</v>
      </c>
      <c r="BF15" s="3">
        <v>114</v>
      </c>
      <c r="BG15" s="3">
        <v>43</v>
      </c>
      <c r="BH15" s="3">
        <v>83</v>
      </c>
      <c r="BI15" s="3">
        <v>0.51800000000000002</v>
      </c>
      <c r="BJ15" s="3">
        <v>6</v>
      </c>
      <c r="BK15" s="3">
        <v>26</v>
      </c>
      <c r="BL15" s="3">
        <v>0.23100000000000001</v>
      </c>
      <c r="BM15" s="3">
        <v>14</v>
      </c>
      <c r="BN15" s="3">
        <v>22</v>
      </c>
      <c r="BO15" s="3">
        <v>0.63600000000000001</v>
      </c>
      <c r="BP15" s="3">
        <v>4</v>
      </c>
      <c r="BQ15" s="3">
        <v>25</v>
      </c>
      <c r="BR15" s="3">
        <v>27</v>
      </c>
      <c r="BS15" s="3">
        <v>11</v>
      </c>
      <c r="BT15" s="3">
        <v>3</v>
      </c>
      <c r="BU15" s="3">
        <v>16</v>
      </c>
      <c r="BV15" s="3">
        <v>26</v>
      </c>
      <c r="BW15" s="3" t="s">
        <v>42</v>
      </c>
      <c r="BX15" s="3">
        <v>40</v>
      </c>
      <c r="BY15" s="3">
        <v>73</v>
      </c>
      <c r="BZ15" s="3">
        <v>0.54800000000000004</v>
      </c>
      <c r="CA15" s="3">
        <v>11</v>
      </c>
      <c r="CB15" s="3">
        <v>29</v>
      </c>
      <c r="CC15" s="3">
        <v>0.379</v>
      </c>
      <c r="CD15" s="3">
        <v>23</v>
      </c>
      <c r="CE15" s="3">
        <v>29</v>
      </c>
      <c r="CF15" s="3">
        <v>0.79300000000000004</v>
      </c>
      <c r="CG15" s="3">
        <v>9</v>
      </c>
      <c r="CH15" s="3">
        <v>44</v>
      </c>
      <c r="CI15" s="3">
        <v>26</v>
      </c>
      <c r="CJ15" s="3">
        <v>8</v>
      </c>
      <c r="CK15" s="3">
        <v>2</v>
      </c>
      <c r="CL15" s="3">
        <v>18</v>
      </c>
      <c r="CM15" s="3">
        <v>21</v>
      </c>
    </row>
    <row r="16" spans="1:91" ht="18">
      <c r="A16" s="1">
        <v>14</v>
      </c>
      <c r="B16" s="3">
        <v>14</v>
      </c>
      <c r="C16" s="10">
        <v>43788</v>
      </c>
      <c r="D16" s="2" t="s">
        <v>284</v>
      </c>
      <c r="E16" s="3" t="s">
        <v>80</v>
      </c>
      <c r="F16" s="3" t="s">
        <v>297</v>
      </c>
      <c r="G16" s="3" t="s">
        <v>40</v>
      </c>
      <c r="H16" s="3">
        <v>112</v>
      </c>
      <c r="I16" s="3">
        <v>107</v>
      </c>
      <c r="J16" s="3">
        <v>43</v>
      </c>
      <c r="K16" s="3">
        <v>89</v>
      </c>
      <c r="L16" s="69">
        <v>0.48299999999999998</v>
      </c>
      <c r="M16" s="3">
        <v>14</v>
      </c>
      <c r="N16" s="3">
        <v>31</v>
      </c>
      <c r="O16" s="69">
        <v>0.45200000000000001</v>
      </c>
      <c r="P16" s="3">
        <v>12</v>
      </c>
      <c r="Q16" s="3">
        <v>19</v>
      </c>
      <c r="R16" s="69">
        <v>0.63200000000000001</v>
      </c>
      <c r="S16" s="3">
        <v>14</v>
      </c>
      <c r="T16" s="3">
        <v>46</v>
      </c>
      <c r="U16" s="3">
        <v>29</v>
      </c>
      <c r="V16" s="3">
        <v>9</v>
      </c>
      <c r="W16" s="3">
        <v>8</v>
      </c>
      <c r="X16" s="3">
        <v>16</v>
      </c>
      <c r="Y16" s="3">
        <v>20</v>
      </c>
      <c r="Z16" s="4" t="s">
        <v>47</v>
      </c>
      <c r="AA16" s="3">
        <v>38</v>
      </c>
      <c r="AB16" s="3">
        <v>80</v>
      </c>
      <c r="AC16" s="69">
        <v>0.47499999999999998</v>
      </c>
      <c r="AD16" s="3">
        <v>9</v>
      </c>
      <c r="AE16" s="3">
        <v>28</v>
      </c>
      <c r="AF16" s="69">
        <v>0.32100000000000001</v>
      </c>
      <c r="AG16" s="3">
        <v>22</v>
      </c>
      <c r="AH16" s="3">
        <v>25</v>
      </c>
      <c r="AI16" s="69">
        <v>0.88</v>
      </c>
      <c r="AJ16" s="3">
        <v>8</v>
      </c>
      <c r="AK16" s="3">
        <v>39</v>
      </c>
      <c r="AL16" s="3">
        <v>22</v>
      </c>
      <c r="AM16" s="3">
        <v>10</v>
      </c>
      <c r="AN16" s="3">
        <v>2</v>
      </c>
      <c r="AO16" s="3">
        <v>15</v>
      </c>
      <c r="AP16" s="3">
        <v>22</v>
      </c>
      <c r="AR16" s="9"/>
      <c r="AY16" s="1">
        <v>14</v>
      </c>
      <c r="AZ16" s="3">
        <v>14</v>
      </c>
      <c r="BA16" s="10">
        <v>44098</v>
      </c>
      <c r="BB16" s="3" t="s">
        <v>283</v>
      </c>
      <c r="BC16" s="3" t="s">
        <v>83</v>
      </c>
      <c r="BD16" s="3" t="s">
        <v>40</v>
      </c>
      <c r="BE16" s="3">
        <v>114</v>
      </c>
      <c r="BF16" s="3">
        <v>108</v>
      </c>
      <c r="BG16" s="3">
        <v>38</v>
      </c>
      <c r="BH16" s="3">
        <v>80</v>
      </c>
      <c r="BI16" s="3">
        <v>0.47499999999999998</v>
      </c>
      <c r="BJ16" s="3">
        <v>10</v>
      </c>
      <c r="BK16" s="3">
        <v>30</v>
      </c>
      <c r="BL16" s="3">
        <v>0.33300000000000002</v>
      </c>
      <c r="BM16" s="3">
        <v>28</v>
      </c>
      <c r="BN16" s="3">
        <v>35</v>
      </c>
      <c r="BO16" s="3">
        <v>0.8</v>
      </c>
      <c r="BP16" s="3">
        <v>12</v>
      </c>
      <c r="BQ16" s="3">
        <v>41</v>
      </c>
      <c r="BR16" s="3">
        <v>23</v>
      </c>
      <c r="BS16" s="3">
        <v>9</v>
      </c>
      <c r="BT16" s="3">
        <v>2</v>
      </c>
      <c r="BU16" s="3">
        <v>9</v>
      </c>
      <c r="BV16" s="3">
        <v>25</v>
      </c>
      <c r="BW16" s="3" t="s">
        <v>43</v>
      </c>
      <c r="BX16" s="3">
        <v>39</v>
      </c>
      <c r="BY16" s="3">
        <v>77</v>
      </c>
      <c r="BZ16" s="3">
        <v>0.50600000000000001</v>
      </c>
      <c r="CA16" s="3">
        <v>10</v>
      </c>
      <c r="CB16" s="3">
        <v>28</v>
      </c>
      <c r="CC16" s="3">
        <v>0.35699999999999998</v>
      </c>
      <c r="CD16" s="3">
        <v>20</v>
      </c>
      <c r="CE16" s="3">
        <v>23</v>
      </c>
      <c r="CF16" s="3">
        <v>0.87</v>
      </c>
      <c r="CG16" s="3">
        <v>6</v>
      </c>
      <c r="CH16" s="3">
        <v>33</v>
      </c>
      <c r="CI16" s="3">
        <v>22</v>
      </c>
      <c r="CJ16" s="3">
        <v>4</v>
      </c>
      <c r="CK16" s="3">
        <v>3</v>
      </c>
      <c r="CL16" s="3">
        <v>11</v>
      </c>
      <c r="CM16" s="3">
        <v>28</v>
      </c>
    </row>
    <row r="17" spans="1:91" ht="18">
      <c r="A17" s="1">
        <v>15</v>
      </c>
      <c r="B17" s="3">
        <v>15</v>
      </c>
      <c r="C17" s="10">
        <v>43791</v>
      </c>
      <c r="D17" s="3" t="s">
        <v>283</v>
      </c>
      <c r="E17" s="3" t="s">
        <v>80</v>
      </c>
      <c r="F17" s="3" t="s">
        <v>298</v>
      </c>
      <c r="G17" s="3" t="s">
        <v>40</v>
      </c>
      <c r="H17" s="3">
        <v>130</v>
      </c>
      <c r="I17" s="3">
        <v>127</v>
      </c>
      <c r="J17" s="3">
        <v>45</v>
      </c>
      <c r="K17" s="3">
        <v>88</v>
      </c>
      <c r="L17" s="69">
        <v>0.51100000000000001</v>
      </c>
      <c r="M17" s="3">
        <v>17</v>
      </c>
      <c r="N17" s="3">
        <v>31</v>
      </c>
      <c r="O17" s="69">
        <v>0.54800000000000004</v>
      </c>
      <c r="P17" s="3">
        <v>23</v>
      </c>
      <c r="Q17" s="3">
        <v>29</v>
      </c>
      <c r="R17" s="69">
        <v>0.79300000000000004</v>
      </c>
      <c r="S17" s="3">
        <v>11</v>
      </c>
      <c r="T17" s="3">
        <v>45</v>
      </c>
      <c r="U17" s="3">
        <v>32</v>
      </c>
      <c r="V17" s="3">
        <v>7</v>
      </c>
      <c r="W17" s="3">
        <v>6</v>
      </c>
      <c r="X17" s="3">
        <v>15</v>
      </c>
      <c r="Y17" s="3">
        <v>20</v>
      </c>
      <c r="Z17" s="5" t="s">
        <v>48</v>
      </c>
      <c r="AA17" s="3">
        <v>49</v>
      </c>
      <c r="AB17" s="3">
        <v>93</v>
      </c>
      <c r="AC17" s="69">
        <v>0.52700000000000002</v>
      </c>
      <c r="AD17" s="3">
        <v>11</v>
      </c>
      <c r="AE17" s="3">
        <v>31</v>
      </c>
      <c r="AF17" s="69">
        <v>0.35499999999999998</v>
      </c>
      <c r="AG17" s="3">
        <v>18</v>
      </c>
      <c r="AH17" s="3">
        <v>20</v>
      </c>
      <c r="AI17" s="69">
        <v>0.9</v>
      </c>
      <c r="AJ17" s="3">
        <v>6</v>
      </c>
      <c r="AK17" s="3">
        <v>37</v>
      </c>
      <c r="AL17" s="3">
        <v>28</v>
      </c>
      <c r="AM17" s="3">
        <v>8</v>
      </c>
      <c r="AN17" s="3">
        <v>3</v>
      </c>
      <c r="AO17" s="3">
        <v>11</v>
      </c>
      <c r="AP17" s="3">
        <v>23</v>
      </c>
      <c r="AR17" s="9"/>
      <c r="AY17" s="1">
        <v>15</v>
      </c>
      <c r="AZ17" s="3">
        <v>15</v>
      </c>
      <c r="BA17" s="10">
        <v>44100</v>
      </c>
      <c r="BB17" s="2" t="s">
        <v>284</v>
      </c>
      <c r="BC17" s="3" t="s">
        <v>83</v>
      </c>
      <c r="BD17" s="3" t="s">
        <v>40</v>
      </c>
      <c r="BE17" s="3">
        <v>117</v>
      </c>
      <c r="BF17" s="3">
        <v>107</v>
      </c>
      <c r="BG17" s="3">
        <v>42</v>
      </c>
      <c r="BH17" s="3">
        <v>77</v>
      </c>
      <c r="BI17" s="3">
        <v>0.54500000000000004</v>
      </c>
      <c r="BJ17" s="3">
        <v>9</v>
      </c>
      <c r="BK17" s="3">
        <v>24</v>
      </c>
      <c r="BL17" s="3">
        <v>0.375</v>
      </c>
      <c r="BM17" s="3">
        <v>24</v>
      </c>
      <c r="BN17" s="3">
        <v>29</v>
      </c>
      <c r="BO17" s="3">
        <v>0.82799999999999996</v>
      </c>
      <c r="BP17" s="3">
        <v>5</v>
      </c>
      <c r="BQ17" s="3">
        <v>43</v>
      </c>
      <c r="BR17" s="3">
        <v>24</v>
      </c>
      <c r="BS17" s="3">
        <v>6</v>
      </c>
      <c r="BT17" s="3">
        <v>8</v>
      </c>
      <c r="BU17" s="3">
        <v>13</v>
      </c>
      <c r="BV17" s="3">
        <v>26</v>
      </c>
      <c r="BW17" s="3" t="s">
        <v>44</v>
      </c>
      <c r="BX17" s="3">
        <v>38</v>
      </c>
      <c r="BY17" s="3">
        <v>90</v>
      </c>
      <c r="BZ17" s="3">
        <v>0.42199999999999999</v>
      </c>
      <c r="CA17" s="3">
        <v>8</v>
      </c>
      <c r="CB17" s="3">
        <v>30</v>
      </c>
      <c r="CC17" s="3">
        <v>0.26700000000000002</v>
      </c>
      <c r="CD17" s="3">
        <v>23</v>
      </c>
      <c r="CE17" s="3">
        <v>26</v>
      </c>
      <c r="CF17" s="3">
        <v>0.88500000000000001</v>
      </c>
      <c r="CG17" s="3">
        <v>9</v>
      </c>
      <c r="CH17" s="3">
        <v>36</v>
      </c>
      <c r="CI17" s="3">
        <v>23</v>
      </c>
      <c r="CJ17" s="3">
        <v>5</v>
      </c>
      <c r="CK17" s="3">
        <v>2</v>
      </c>
      <c r="CL17" s="3">
        <v>11</v>
      </c>
      <c r="CM17" s="3">
        <v>25</v>
      </c>
    </row>
    <row r="18" spans="1:91" ht="18">
      <c r="A18" s="1">
        <v>16</v>
      </c>
      <c r="B18" s="3">
        <v>16</v>
      </c>
      <c r="C18" s="10">
        <v>43792</v>
      </c>
      <c r="D18" s="3" t="s">
        <v>283</v>
      </c>
      <c r="E18" s="3" t="s">
        <v>70</v>
      </c>
      <c r="F18" s="3" t="s">
        <v>298</v>
      </c>
      <c r="G18" s="3" t="s">
        <v>40</v>
      </c>
      <c r="H18" s="3">
        <v>109</v>
      </c>
      <c r="I18" s="3">
        <v>108</v>
      </c>
      <c r="J18" s="3">
        <v>38</v>
      </c>
      <c r="K18" s="3">
        <v>84</v>
      </c>
      <c r="L18" s="69">
        <v>0.45200000000000001</v>
      </c>
      <c r="M18" s="3">
        <v>13</v>
      </c>
      <c r="N18" s="3">
        <v>39</v>
      </c>
      <c r="O18" s="69">
        <v>0.33300000000000002</v>
      </c>
      <c r="P18" s="3">
        <v>20</v>
      </c>
      <c r="Q18" s="3">
        <v>29</v>
      </c>
      <c r="R18" s="69">
        <v>0.69</v>
      </c>
      <c r="S18" s="3">
        <v>11</v>
      </c>
      <c r="T18" s="3">
        <v>40</v>
      </c>
      <c r="U18" s="3">
        <v>19</v>
      </c>
      <c r="V18" s="3">
        <v>12</v>
      </c>
      <c r="W18" s="3">
        <v>7</v>
      </c>
      <c r="X18" s="3">
        <v>16</v>
      </c>
      <c r="Y18" s="3">
        <v>14</v>
      </c>
      <c r="Z18" s="4" t="s">
        <v>49</v>
      </c>
      <c r="AA18" s="3">
        <v>43</v>
      </c>
      <c r="AB18" s="3">
        <v>89</v>
      </c>
      <c r="AC18" s="69">
        <v>0.48299999999999998</v>
      </c>
      <c r="AD18" s="3">
        <v>14</v>
      </c>
      <c r="AE18" s="3">
        <v>30</v>
      </c>
      <c r="AF18" s="69">
        <v>0.46700000000000003</v>
      </c>
      <c r="AG18" s="3">
        <v>8</v>
      </c>
      <c r="AH18" s="3">
        <v>13</v>
      </c>
      <c r="AI18" s="69">
        <v>0.61499999999999999</v>
      </c>
      <c r="AJ18" s="3">
        <v>12</v>
      </c>
      <c r="AK18" s="3">
        <v>47</v>
      </c>
      <c r="AL18" s="3">
        <v>28</v>
      </c>
      <c r="AM18" s="3">
        <v>12</v>
      </c>
      <c r="AN18" s="3">
        <v>3</v>
      </c>
      <c r="AO18" s="3">
        <v>19</v>
      </c>
      <c r="AP18" s="3">
        <v>19</v>
      </c>
      <c r="AR18" s="9"/>
      <c r="AY18" s="1">
        <v>16</v>
      </c>
      <c r="AZ18" s="3">
        <v>16</v>
      </c>
      <c r="BA18" s="10">
        <v>44104</v>
      </c>
      <c r="BB18" s="2" t="s">
        <v>284</v>
      </c>
      <c r="BC18" s="3" t="s">
        <v>74</v>
      </c>
      <c r="BD18" s="3" t="s">
        <v>40</v>
      </c>
      <c r="BE18" s="3">
        <v>116</v>
      </c>
      <c r="BF18" s="3">
        <v>98</v>
      </c>
      <c r="BG18" s="3">
        <v>38</v>
      </c>
      <c r="BH18" s="3">
        <v>84</v>
      </c>
      <c r="BI18" s="3">
        <v>0.45200000000000001</v>
      </c>
      <c r="BJ18" s="3">
        <v>15</v>
      </c>
      <c r="BK18" s="3">
        <v>38</v>
      </c>
      <c r="BL18" s="3">
        <v>0.39500000000000002</v>
      </c>
      <c r="BM18" s="3">
        <v>25</v>
      </c>
      <c r="BN18" s="3">
        <v>27</v>
      </c>
      <c r="BO18" s="3">
        <v>0.92600000000000005</v>
      </c>
      <c r="BP18" s="3">
        <v>9</v>
      </c>
      <c r="BQ18" s="3">
        <v>54</v>
      </c>
      <c r="BR18" s="3">
        <v>26</v>
      </c>
      <c r="BS18" s="3">
        <v>7</v>
      </c>
      <c r="BT18" s="3">
        <v>8</v>
      </c>
      <c r="BU18" s="3">
        <v>12</v>
      </c>
      <c r="BV18" s="3">
        <v>19</v>
      </c>
      <c r="BW18" s="3" t="s">
        <v>45</v>
      </c>
      <c r="BX18" s="3">
        <v>38</v>
      </c>
      <c r="BY18" s="3">
        <v>89</v>
      </c>
      <c r="BZ18" s="3">
        <v>0.42699999999999999</v>
      </c>
      <c r="CA18" s="3">
        <v>11</v>
      </c>
      <c r="CB18" s="3">
        <v>35</v>
      </c>
      <c r="CC18" s="3">
        <v>0.314</v>
      </c>
      <c r="CD18" s="3">
        <v>11</v>
      </c>
      <c r="CE18" s="3">
        <v>14</v>
      </c>
      <c r="CF18" s="3">
        <v>0.78600000000000003</v>
      </c>
      <c r="CG18" s="3">
        <v>5</v>
      </c>
      <c r="CH18" s="3">
        <v>36</v>
      </c>
      <c r="CI18" s="3">
        <v>23</v>
      </c>
      <c r="CJ18" s="3">
        <v>4</v>
      </c>
      <c r="CK18" s="3">
        <v>5</v>
      </c>
      <c r="CL18" s="3">
        <v>8</v>
      </c>
      <c r="CM18" s="3">
        <v>15</v>
      </c>
    </row>
    <row r="19" spans="1:91" ht="18">
      <c r="A19" s="1">
        <v>17</v>
      </c>
      <c r="B19" s="3">
        <v>17</v>
      </c>
      <c r="C19" s="10">
        <v>43794</v>
      </c>
      <c r="D19" s="3" t="s">
        <v>283</v>
      </c>
      <c r="E19" s="3" t="s">
        <v>72</v>
      </c>
      <c r="F19" s="3" t="s">
        <v>298</v>
      </c>
      <c r="G19" s="3" t="s">
        <v>40</v>
      </c>
      <c r="H19" s="3">
        <v>114</v>
      </c>
      <c r="I19" s="3">
        <v>104</v>
      </c>
      <c r="J19" s="3">
        <v>44</v>
      </c>
      <c r="K19" s="3">
        <v>89</v>
      </c>
      <c r="L19" s="69">
        <v>0.49399999999999999</v>
      </c>
      <c r="M19" s="3">
        <v>14</v>
      </c>
      <c r="N19" s="3">
        <v>33</v>
      </c>
      <c r="O19" s="69">
        <v>0.42399999999999999</v>
      </c>
      <c r="P19" s="3">
        <v>12</v>
      </c>
      <c r="Q19" s="3">
        <v>18</v>
      </c>
      <c r="R19" s="69">
        <v>0.66700000000000004</v>
      </c>
      <c r="S19" s="3">
        <v>10</v>
      </c>
      <c r="T19" s="3">
        <v>40</v>
      </c>
      <c r="U19" s="3">
        <v>28</v>
      </c>
      <c r="V19" s="3">
        <v>7</v>
      </c>
      <c r="W19" s="3">
        <v>6</v>
      </c>
      <c r="X19" s="3">
        <v>9</v>
      </c>
      <c r="Y19" s="3">
        <v>18</v>
      </c>
      <c r="Z19" s="5" t="s">
        <v>50</v>
      </c>
      <c r="AA19" s="3">
        <v>41</v>
      </c>
      <c r="AB19" s="3">
        <v>88</v>
      </c>
      <c r="AC19" s="69">
        <v>0.46600000000000003</v>
      </c>
      <c r="AD19" s="3">
        <v>10</v>
      </c>
      <c r="AE19" s="3">
        <v>25</v>
      </c>
      <c r="AF19" s="69">
        <v>0.4</v>
      </c>
      <c r="AG19" s="3">
        <v>12</v>
      </c>
      <c r="AH19" s="3">
        <v>15</v>
      </c>
      <c r="AI19" s="69">
        <v>0.8</v>
      </c>
      <c r="AJ19" s="3">
        <v>9</v>
      </c>
      <c r="AK19" s="3">
        <v>41</v>
      </c>
      <c r="AL19" s="3">
        <v>23</v>
      </c>
      <c r="AM19" s="3">
        <v>4</v>
      </c>
      <c r="AN19" s="3">
        <v>5</v>
      </c>
      <c r="AO19" s="3">
        <v>13</v>
      </c>
      <c r="AP19" s="3">
        <v>22</v>
      </c>
      <c r="AR19" s="9"/>
      <c r="AY19" s="1">
        <v>17</v>
      </c>
      <c r="AZ19" s="3">
        <v>17</v>
      </c>
      <c r="BA19" s="10">
        <v>44106</v>
      </c>
      <c r="BB19" s="2" t="s">
        <v>284</v>
      </c>
      <c r="BC19" s="3" t="s">
        <v>74</v>
      </c>
      <c r="BD19" s="3" t="s">
        <v>40</v>
      </c>
      <c r="BE19" s="3">
        <v>124</v>
      </c>
      <c r="BF19" s="3">
        <v>114</v>
      </c>
      <c r="BG19" s="3">
        <v>49</v>
      </c>
      <c r="BH19" s="3">
        <v>97</v>
      </c>
      <c r="BI19" s="3">
        <v>0.505</v>
      </c>
      <c r="BJ19" s="3">
        <v>16</v>
      </c>
      <c r="BK19" s="3">
        <v>47</v>
      </c>
      <c r="BL19" s="3">
        <v>0.34</v>
      </c>
      <c r="BM19" s="3">
        <v>10</v>
      </c>
      <c r="BN19" s="3">
        <v>17</v>
      </c>
      <c r="BO19" s="3">
        <v>0.58799999999999997</v>
      </c>
      <c r="BP19" s="3">
        <v>16</v>
      </c>
      <c r="BQ19" s="3">
        <v>44</v>
      </c>
      <c r="BR19" s="3">
        <v>32</v>
      </c>
      <c r="BS19" s="3">
        <v>6</v>
      </c>
      <c r="BT19" s="3">
        <v>3</v>
      </c>
      <c r="BU19" s="3">
        <v>9</v>
      </c>
      <c r="BV19" s="3">
        <v>26</v>
      </c>
      <c r="BW19" s="3" t="s">
        <v>46</v>
      </c>
      <c r="BX19" s="3">
        <v>36</v>
      </c>
      <c r="BY19" s="3">
        <v>71</v>
      </c>
      <c r="BZ19" s="3">
        <v>0.50700000000000001</v>
      </c>
      <c r="CA19" s="3">
        <v>11</v>
      </c>
      <c r="CB19" s="3">
        <v>27</v>
      </c>
      <c r="CC19" s="3">
        <v>0.40699999999999997</v>
      </c>
      <c r="CD19" s="3">
        <v>31</v>
      </c>
      <c r="CE19" s="3">
        <v>34</v>
      </c>
      <c r="CF19" s="3">
        <v>0.91200000000000003</v>
      </c>
      <c r="CG19" s="3">
        <v>6</v>
      </c>
      <c r="CH19" s="3">
        <v>37</v>
      </c>
      <c r="CI19" s="3">
        <v>29</v>
      </c>
      <c r="CJ19" s="3">
        <v>2</v>
      </c>
      <c r="CK19" s="3">
        <v>1</v>
      </c>
      <c r="CL19" s="3">
        <v>9</v>
      </c>
      <c r="CM19" s="3">
        <v>23</v>
      </c>
    </row>
    <row r="20" spans="1:91" ht="18">
      <c r="A20" s="1">
        <v>18</v>
      </c>
      <c r="B20" s="3">
        <v>18</v>
      </c>
      <c r="C20" s="10">
        <v>43796</v>
      </c>
      <c r="D20" s="3" t="s">
        <v>283</v>
      </c>
      <c r="E20" s="3" t="s">
        <v>81</v>
      </c>
      <c r="F20" s="3" t="s">
        <v>297</v>
      </c>
      <c r="G20" s="3" t="s">
        <v>40</v>
      </c>
      <c r="H20" s="3">
        <v>114</v>
      </c>
      <c r="I20" s="3">
        <v>110</v>
      </c>
      <c r="J20" s="3">
        <v>44</v>
      </c>
      <c r="K20" s="3">
        <v>85</v>
      </c>
      <c r="L20" s="69">
        <v>0.51800000000000002</v>
      </c>
      <c r="M20" s="3">
        <v>8</v>
      </c>
      <c r="N20" s="3">
        <v>24</v>
      </c>
      <c r="O20" s="69">
        <v>0.33300000000000002</v>
      </c>
      <c r="P20" s="3">
        <v>18</v>
      </c>
      <c r="Q20" s="3">
        <v>25</v>
      </c>
      <c r="R20" s="69">
        <v>0.72</v>
      </c>
      <c r="S20" s="3">
        <v>7</v>
      </c>
      <c r="T20" s="3">
        <v>37</v>
      </c>
      <c r="U20" s="3">
        <v>25</v>
      </c>
      <c r="V20" s="3">
        <v>9</v>
      </c>
      <c r="W20" s="3">
        <v>6</v>
      </c>
      <c r="X20" s="3">
        <v>15</v>
      </c>
      <c r="Y20" s="3">
        <v>24</v>
      </c>
      <c r="Z20" s="4" t="s">
        <v>51</v>
      </c>
      <c r="AA20" s="3">
        <v>34</v>
      </c>
      <c r="AB20" s="3">
        <v>84</v>
      </c>
      <c r="AC20" s="69">
        <v>0.40500000000000003</v>
      </c>
      <c r="AD20" s="3">
        <v>17</v>
      </c>
      <c r="AE20" s="3">
        <v>40</v>
      </c>
      <c r="AF20" s="69">
        <v>0.42499999999999999</v>
      </c>
      <c r="AG20" s="3">
        <v>25</v>
      </c>
      <c r="AH20" s="3">
        <v>30</v>
      </c>
      <c r="AI20" s="69">
        <v>0.83299999999999996</v>
      </c>
      <c r="AJ20" s="3">
        <v>13</v>
      </c>
      <c r="AK20" s="3">
        <v>42</v>
      </c>
      <c r="AL20" s="3">
        <v>20</v>
      </c>
      <c r="AM20" s="3">
        <v>7</v>
      </c>
      <c r="AN20" s="3">
        <v>4</v>
      </c>
      <c r="AO20" s="3">
        <v>19</v>
      </c>
      <c r="AP20" s="3">
        <v>23</v>
      </c>
      <c r="AR20" s="9"/>
      <c r="AY20" s="1">
        <v>18</v>
      </c>
      <c r="AZ20" s="3">
        <v>18</v>
      </c>
      <c r="BA20" s="10">
        <v>44108</v>
      </c>
      <c r="BB20" s="3" t="s">
        <v>283</v>
      </c>
      <c r="BC20" s="3" t="s">
        <v>74</v>
      </c>
      <c r="BD20" s="3" t="s">
        <v>41</v>
      </c>
      <c r="BE20" s="3">
        <v>104</v>
      </c>
      <c r="BF20" s="3">
        <v>115</v>
      </c>
      <c r="BG20" s="3">
        <v>34</v>
      </c>
      <c r="BH20" s="3">
        <v>79</v>
      </c>
      <c r="BI20" s="3">
        <v>0.43</v>
      </c>
      <c r="BJ20" s="3">
        <v>14</v>
      </c>
      <c r="BK20" s="3">
        <v>42</v>
      </c>
      <c r="BL20" s="3">
        <v>0.33300000000000002</v>
      </c>
      <c r="BM20" s="3">
        <v>22</v>
      </c>
      <c r="BN20" s="3">
        <v>29</v>
      </c>
      <c r="BO20" s="3">
        <v>0.75900000000000001</v>
      </c>
      <c r="BP20" s="3">
        <v>11</v>
      </c>
      <c r="BQ20" s="3">
        <v>43</v>
      </c>
      <c r="BR20" s="3">
        <v>23</v>
      </c>
      <c r="BS20" s="3">
        <v>8</v>
      </c>
      <c r="BT20" s="3">
        <v>2</v>
      </c>
      <c r="BU20" s="3">
        <v>19</v>
      </c>
      <c r="BV20" s="3">
        <v>22</v>
      </c>
      <c r="BW20" s="3" t="s">
        <v>42</v>
      </c>
      <c r="BX20" s="3">
        <v>41</v>
      </c>
      <c r="BY20" s="3">
        <v>80</v>
      </c>
      <c r="BZ20" s="3">
        <v>0.51300000000000001</v>
      </c>
      <c r="CA20" s="3">
        <v>12</v>
      </c>
      <c r="CB20" s="3">
        <v>34</v>
      </c>
      <c r="CC20" s="3">
        <v>0.35299999999999998</v>
      </c>
      <c r="CD20" s="3">
        <v>21</v>
      </c>
      <c r="CE20" s="3">
        <v>23</v>
      </c>
      <c r="CF20" s="3">
        <v>0.91300000000000003</v>
      </c>
      <c r="CG20" s="3">
        <v>3</v>
      </c>
      <c r="CH20" s="3">
        <v>37</v>
      </c>
      <c r="CI20" s="3">
        <v>25</v>
      </c>
      <c r="CJ20" s="3">
        <v>8</v>
      </c>
      <c r="CK20" s="3">
        <v>3</v>
      </c>
      <c r="CL20" s="3">
        <v>12</v>
      </c>
      <c r="CM20" s="3">
        <v>23</v>
      </c>
    </row>
    <row r="21" spans="1:91" ht="18">
      <c r="A21" s="1">
        <v>19</v>
      </c>
      <c r="B21" s="3">
        <v>19</v>
      </c>
      <c r="C21" s="10">
        <v>43798</v>
      </c>
      <c r="D21" s="2" t="s">
        <v>284</v>
      </c>
      <c r="E21" s="3" t="s">
        <v>82</v>
      </c>
      <c r="F21" s="3" t="s">
        <v>297</v>
      </c>
      <c r="G21" s="3" t="s">
        <v>40</v>
      </c>
      <c r="H21" s="3">
        <v>125</v>
      </c>
      <c r="I21" s="3">
        <v>103</v>
      </c>
      <c r="J21" s="3">
        <v>45</v>
      </c>
      <c r="K21" s="3">
        <v>87</v>
      </c>
      <c r="L21" s="69">
        <v>0.51700000000000002</v>
      </c>
      <c r="M21" s="3">
        <v>14</v>
      </c>
      <c r="N21" s="3">
        <v>32</v>
      </c>
      <c r="O21" s="69">
        <v>0.438</v>
      </c>
      <c r="P21" s="3">
        <v>21</v>
      </c>
      <c r="Q21" s="3">
        <v>28</v>
      </c>
      <c r="R21" s="69">
        <v>0.75</v>
      </c>
      <c r="S21" s="3">
        <v>7</v>
      </c>
      <c r="T21" s="3">
        <v>47</v>
      </c>
      <c r="U21" s="3">
        <v>29</v>
      </c>
      <c r="V21" s="3">
        <v>9</v>
      </c>
      <c r="W21" s="3">
        <v>8</v>
      </c>
      <c r="X21" s="3">
        <v>18</v>
      </c>
      <c r="Y21" s="3">
        <v>20</v>
      </c>
      <c r="Z21" s="5" t="s">
        <v>52</v>
      </c>
      <c r="AA21" s="3">
        <v>38</v>
      </c>
      <c r="AB21" s="3">
        <v>96</v>
      </c>
      <c r="AC21" s="69">
        <v>0.39600000000000002</v>
      </c>
      <c r="AD21" s="3">
        <v>10</v>
      </c>
      <c r="AE21" s="3">
        <v>37</v>
      </c>
      <c r="AF21" s="69">
        <v>0.27</v>
      </c>
      <c r="AG21" s="3">
        <v>17</v>
      </c>
      <c r="AH21" s="3">
        <v>19</v>
      </c>
      <c r="AI21" s="69">
        <v>0.89500000000000002</v>
      </c>
      <c r="AJ21" s="3">
        <v>13</v>
      </c>
      <c r="AK21" s="3">
        <v>45</v>
      </c>
      <c r="AL21" s="3">
        <v>25</v>
      </c>
      <c r="AM21" s="3">
        <v>10</v>
      </c>
      <c r="AN21" s="3">
        <v>2</v>
      </c>
      <c r="AO21" s="3">
        <v>17</v>
      </c>
      <c r="AP21" s="3">
        <v>23</v>
      </c>
      <c r="AR21" s="9"/>
      <c r="AY21" s="1">
        <v>19</v>
      </c>
      <c r="AZ21" s="3">
        <v>19</v>
      </c>
      <c r="BA21" s="10">
        <v>44110</v>
      </c>
      <c r="BB21" s="3" t="s">
        <v>283</v>
      </c>
      <c r="BC21" s="3" t="s">
        <v>74</v>
      </c>
      <c r="BD21" s="3" t="s">
        <v>40</v>
      </c>
      <c r="BE21" s="3">
        <v>102</v>
      </c>
      <c r="BF21" s="3">
        <v>96</v>
      </c>
      <c r="BG21" s="3">
        <v>35</v>
      </c>
      <c r="BH21" s="3">
        <v>79</v>
      </c>
      <c r="BI21" s="3">
        <v>0.443</v>
      </c>
      <c r="BJ21" s="3">
        <v>14</v>
      </c>
      <c r="BK21" s="3">
        <v>39</v>
      </c>
      <c r="BL21" s="3">
        <v>0.35899999999999999</v>
      </c>
      <c r="BM21" s="3">
        <v>18</v>
      </c>
      <c r="BN21" s="3">
        <v>21</v>
      </c>
      <c r="BO21" s="3">
        <v>0.85699999999999998</v>
      </c>
      <c r="BP21" s="3">
        <v>10</v>
      </c>
      <c r="BQ21" s="3">
        <v>42</v>
      </c>
      <c r="BR21" s="3">
        <v>25</v>
      </c>
      <c r="BS21" s="3">
        <v>5</v>
      </c>
      <c r="BT21" s="3">
        <v>4</v>
      </c>
      <c r="BU21" s="3">
        <v>15</v>
      </c>
      <c r="BV21" s="3">
        <v>14</v>
      </c>
      <c r="BW21" s="3" t="s">
        <v>43</v>
      </c>
      <c r="BX21" s="3">
        <v>32</v>
      </c>
      <c r="BY21" s="3">
        <v>75</v>
      </c>
      <c r="BZ21" s="3">
        <v>0.42699999999999999</v>
      </c>
      <c r="CA21" s="3">
        <v>11</v>
      </c>
      <c r="CB21" s="3">
        <v>32</v>
      </c>
      <c r="CC21" s="3">
        <v>0.34399999999999997</v>
      </c>
      <c r="CD21" s="3">
        <v>21</v>
      </c>
      <c r="CE21" s="3">
        <v>26</v>
      </c>
      <c r="CF21" s="3">
        <v>0.80800000000000005</v>
      </c>
      <c r="CG21" s="3">
        <v>7</v>
      </c>
      <c r="CH21" s="3">
        <v>39</v>
      </c>
      <c r="CI21" s="3">
        <v>18</v>
      </c>
      <c r="CJ21" s="3">
        <v>8</v>
      </c>
      <c r="CK21" s="3">
        <v>3</v>
      </c>
      <c r="CL21" s="3">
        <v>11</v>
      </c>
      <c r="CM21" s="3">
        <v>21</v>
      </c>
    </row>
    <row r="22" spans="1:91" ht="18">
      <c r="A22" s="1">
        <v>20</v>
      </c>
      <c r="B22" s="3">
        <v>20</v>
      </c>
      <c r="C22" s="10">
        <v>43800</v>
      </c>
      <c r="D22" s="2" t="s">
        <v>284</v>
      </c>
      <c r="E22" s="3" t="s">
        <v>71</v>
      </c>
      <c r="F22" s="3" t="s">
        <v>298</v>
      </c>
      <c r="G22" s="3" t="s">
        <v>41</v>
      </c>
      <c r="H22" s="3">
        <v>100</v>
      </c>
      <c r="I22" s="3">
        <v>114</v>
      </c>
      <c r="J22" s="3">
        <v>40</v>
      </c>
      <c r="K22" s="3">
        <v>87</v>
      </c>
      <c r="L22" s="69">
        <v>0.46</v>
      </c>
      <c r="M22" s="3">
        <v>7</v>
      </c>
      <c r="N22" s="3">
        <v>27</v>
      </c>
      <c r="O22" s="69">
        <v>0.25900000000000001</v>
      </c>
      <c r="P22" s="3">
        <v>13</v>
      </c>
      <c r="Q22" s="3">
        <v>16</v>
      </c>
      <c r="R22" s="69">
        <v>0.81299999999999994</v>
      </c>
      <c r="S22" s="3">
        <v>9</v>
      </c>
      <c r="T22" s="3">
        <v>45</v>
      </c>
      <c r="U22" s="3">
        <v>25</v>
      </c>
      <c r="V22" s="3">
        <v>9</v>
      </c>
      <c r="W22" s="3">
        <v>3</v>
      </c>
      <c r="X22" s="3">
        <v>17</v>
      </c>
      <c r="Y22" s="3">
        <v>14</v>
      </c>
      <c r="Z22" s="4" t="s">
        <v>42</v>
      </c>
      <c r="AA22" s="3">
        <v>42</v>
      </c>
      <c r="AB22" s="3">
        <v>97</v>
      </c>
      <c r="AC22" s="69">
        <v>0.433</v>
      </c>
      <c r="AD22" s="3">
        <v>17</v>
      </c>
      <c r="AE22" s="3">
        <v>49</v>
      </c>
      <c r="AF22" s="69">
        <v>0.34699999999999998</v>
      </c>
      <c r="AG22" s="3">
        <v>13</v>
      </c>
      <c r="AH22" s="3">
        <v>18</v>
      </c>
      <c r="AI22" s="69">
        <v>0.72199999999999998</v>
      </c>
      <c r="AJ22" s="3">
        <v>16</v>
      </c>
      <c r="AK22" s="3">
        <v>51</v>
      </c>
      <c r="AL22" s="3">
        <v>24</v>
      </c>
      <c r="AM22" s="3">
        <v>11</v>
      </c>
      <c r="AN22" s="3">
        <v>1</v>
      </c>
      <c r="AO22" s="3">
        <v>13</v>
      </c>
      <c r="AP22" s="3">
        <v>20</v>
      </c>
      <c r="AR22" s="9"/>
      <c r="AY22" s="1">
        <v>20</v>
      </c>
      <c r="AZ22" s="3">
        <v>20</v>
      </c>
      <c r="BA22" s="10">
        <v>44113</v>
      </c>
      <c r="BB22" s="2" t="s">
        <v>284</v>
      </c>
      <c r="BC22" s="3" t="s">
        <v>74</v>
      </c>
      <c r="BD22" s="3" t="s">
        <v>41</v>
      </c>
      <c r="BE22" s="3">
        <v>108</v>
      </c>
      <c r="BF22" s="3">
        <v>111</v>
      </c>
      <c r="BG22" s="3">
        <v>38</v>
      </c>
      <c r="BH22" s="3">
        <v>82</v>
      </c>
      <c r="BI22" s="3">
        <v>0.46300000000000002</v>
      </c>
      <c r="BJ22" s="3">
        <v>14</v>
      </c>
      <c r="BK22" s="3">
        <v>38</v>
      </c>
      <c r="BL22" s="3">
        <v>0.36799999999999999</v>
      </c>
      <c r="BM22" s="3">
        <v>18</v>
      </c>
      <c r="BN22" s="3">
        <v>21</v>
      </c>
      <c r="BO22" s="3">
        <v>0.85699999999999998</v>
      </c>
      <c r="BP22" s="3">
        <v>12</v>
      </c>
      <c r="BQ22" s="3">
        <v>41</v>
      </c>
      <c r="BR22" s="3">
        <v>21</v>
      </c>
      <c r="BS22" s="3">
        <v>10</v>
      </c>
      <c r="BT22" s="3">
        <v>5</v>
      </c>
      <c r="BU22" s="3">
        <v>15</v>
      </c>
      <c r="BV22" s="3">
        <v>21</v>
      </c>
      <c r="BW22" s="3" t="s">
        <v>42</v>
      </c>
      <c r="BX22" s="3">
        <v>38</v>
      </c>
      <c r="BY22" s="3">
        <v>83</v>
      </c>
      <c r="BZ22" s="3">
        <v>0.45800000000000002</v>
      </c>
      <c r="CA22" s="3">
        <v>14</v>
      </c>
      <c r="CB22" s="3">
        <v>33</v>
      </c>
      <c r="CC22" s="3">
        <v>0.42399999999999999</v>
      </c>
      <c r="CD22" s="3">
        <v>21</v>
      </c>
      <c r="CE22" s="3">
        <v>22</v>
      </c>
      <c r="CF22" s="3">
        <v>0.95499999999999996</v>
      </c>
      <c r="CG22" s="3">
        <v>9</v>
      </c>
      <c r="CH22" s="3">
        <v>35</v>
      </c>
      <c r="CI22" s="3">
        <v>26</v>
      </c>
      <c r="CJ22" s="3">
        <v>7</v>
      </c>
      <c r="CK22" s="3">
        <v>3</v>
      </c>
      <c r="CL22" s="3">
        <v>13</v>
      </c>
      <c r="CM22" s="3">
        <v>19</v>
      </c>
    </row>
    <row r="23" spans="1:91" ht="18">
      <c r="A23" s="1">
        <v>21</v>
      </c>
      <c r="B23" s="3">
        <v>21</v>
      </c>
      <c r="C23" s="10">
        <v>43802</v>
      </c>
      <c r="D23" s="3" t="s">
        <v>283</v>
      </c>
      <c r="E23" s="3" t="s">
        <v>83</v>
      </c>
      <c r="F23" s="3" t="s">
        <v>297</v>
      </c>
      <c r="G23" s="3" t="s">
        <v>40</v>
      </c>
      <c r="H23" s="3">
        <v>105</v>
      </c>
      <c r="I23" s="3">
        <v>96</v>
      </c>
      <c r="J23" s="3">
        <v>39</v>
      </c>
      <c r="K23" s="3">
        <v>84</v>
      </c>
      <c r="L23" s="69">
        <v>0.46400000000000002</v>
      </c>
      <c r="M23" s="3">
        <v>7</v>
      </c>
      <c r="N23" s="3">
        <v>24</v>
      </c>
      <c r="O23" s="69">
        <v>0.29199999999999998</v>
      </c>
      <c r="P23" s="3">
        <v>20</v>
      </c>
      <c r="Q23" s="3">
        <v>30</v>
      </c>
      <c r="R23" s="69">
        <v>0.66700000000000004</v>
      </c>
      <c r="S23" s="3">
        <v>14</v>
      </c>
      <c r="T23" s="3">
        <v>56</v>
      </c>
      <c r="U23" s="3">
        <v>24</v>
      </c>
      <c r="V23" s="3">
        <v>8</v>
      </c>
      <c r="W23" s="3">
        <v>5</v>
      </c>
      <c r="X23" s="3">
        <v>16</v>
      </c>
      <c r="Y23" s="3">
        <v>23</v>
      </c>
      <c r="Z23" s="5" t="s">
        <v>43</v>
      </c>
      <c r="AA23" s="3">
        <v>37</v>
      </c>
      <c r="AB23" s="3">
        <v>91</v>
      </c>
      <c r="AC23" s="69">
        <v>0.40699999999999997</v>
      </c>
      <c r="AD23" s="3">
        <v>6</v>
      </c>
      <c r="AE23" s="3">
        <v>29</v>
      </c>
      <c r="AF23" s="69">
        <v>0.20699999999999999</v>
      </c>
      <c r="AG23" s="3">
        <v>16</v>
      </c>
      <c r="AH23" s="3">
        <v>17</v>
      </c>
      <c r="AI23" s="69">
        <v>0.94099999999999995</v>
      </c>
      <c r="AJ23" s="3">
        <v>7</v>
      </c>
      <c r="AK23" s="3">
        <v>35</v>
      </c>
      <c r="AL23" s="3">
        <v>26</v>
      </c>
      <c r="AM23" s="3">
        <v>9</v>
      </c>
      <c r="AN23" s="3">
        <v>4</v>
      </c>
      <c r="AO23" s="3">
        <v>11</v>
      </c>
      <c r="AP23" s="3">
        <v>25</v>
      </c>
      <c r="AR23" s="9"/>
      <c r="AY23" s="1">
        <v>21</v>
      </c>
      <c r="AZ23" s="3">
        <v>21</v>
      </c>
      <c r="BA23" s="10">
        <v>44115</v>
      </c>
      <c r="BB23" s="3" t="s">
        <v>283</v>
      </c>
      <c r="BC23" s="3" t="s">
        <v>74</v>
      </c>
      <c r="BD23" s="3" t="s">
        <v>40</v>
      </c>
      <c r="BE23" s="3">
        <v>106</v>
      </c>
      <c r="BF23" s="3">
        <v>93</v>
      </c>
      <c r="BG23" s="3">
        <v>43</v>
      </c>
      <c r="BH23" s="3">
        <v>89</v>
      </c>
      <c r="BI23" s="3">
        <v>0.48299999999999998</v>
      </c>
      <c r="BJ23" s="3">
        <v>11</v>
      </c>
      <c r="BK23" s="3">
        <v>35</v>
      </c>
      <c r="BL23" s="3">
        <v>0.314</v>
      </c>
      <c r="BM23" s="3">
        <v>9</v>
      </c>
      <c r="BN23" s="3">
        <v>14</v>
      </c>
      <c r="BO23" s="3">
        <v>0.64300000000000002</v>
      </c>
      <c r="BP23" s="3">
        <v>12</v>
      </c>
      <c r="BQ23" s="3">
        <v>46</v>
      </c>
      <c r="BR23" s="3">
        <v>23</v>
      </c>
      <c r="BS23" s="3">
        <v>5</v>
      </c>
      <c r="BT23" s="3">
        <v>4</v>
      </c>
      <c r="BU23" s="3">
        <v>12</v>
      </c>
      <c r="BV23" s="3">
        <v>22</v>
      </c>
      <c r="BW23" s="3" t="s">
        <v>43</v>
      </c>
      <c r="BX23" s="3">
        <v>35</v>
      </c>
      <c r="BY23" s="3">
        <v>79</v>
      </c>
      <c r="BZ23" s="3">
        <v>0.443</v>
      </c>
      <c r="CA23" s="3">
        <v>10</v>
      </c>
      <c r="CB23" s="3">
        <v>28</v>
      </c>
      <c r="CC23" s="3">
        <v>0.35699999999999998</v>
      </c>
      <c r="CD23" s="3">
        <v>13</v>
      </c>
      <c r="CE23" s="3">
        <v>22</v>
      </c>
      <c r="CF23" s="3">
        <v>0.59099999999999997</v>
      </c>
      <c r="CG23" s="3">
        <v>9</v>
      </c>
      <c r="CH23" s="3">
        <v>41</v>
      </c>
      <c r="CI23" s="3">
        <v>25</v>
      </c>
      <c r="CJ23" s="3">
        <v>4</v>
      </c>
      <c r="CK23" s="3">
        <v>4</v>
      </c>
      <c r="CL23" s="3">
        <v>13</v>
      </c>
      <c r="CM23" s="3">
        <v>18</v>
      </c>
    </row>
    <row r="24" spans="1:91" ht="18">
      <c r="A24" s="1">
        <v>22</v>
      </c>
      <c r="B24" s="3">
        <v>22</v>
      </c>
      <c r="C24" s="10">
        <v>43803</v>
      </c>
      <c r="D24" s="3" t="s">
        <v>283</v>
      </c>
      <c r="E24" s="3" t="s">
        <v>68</v>
      </c>
      <c r="F24" s="3" t="s">
        <v>298</v>
      </c>
      <c r="G24" s="3" t="s">
        <v>40</v>
      </c>
      <c r="H24" s="3">
        <v>121</v>
      </c>
      <c r="I24" s="3">
        <v>96</v>
      </c>
      <c r="J24" s="3">
        <v>46</v>
      </c>
      <c r="K24" s="3">
        <v>90</v>
      </c>
      <c r="L24" s="69">
        <v>0.51100000000000001</v>
      </c>
      <c r="M24" s="3">
        <v>14</v>
      </c>
      <c r="N24" s="3">
        <v>29</v>
      </c>
      <c r="O24" s="69">
        <v>0.48299999999999998</v>
      </c>
      <c r="P24" s="3">
        <v>15</v>
      </c>
      <c r="Q24" s="3">
        <v>25</v>
      </c>
      <c r="R24" s="69">
        <v>0.6</v>
      </c>
      <c r="S24" s="3">
        <v>8</v>
      </c>
      <c r="T24" s="3">
        <v>46</v>
      </c>
      <c r="U24" s="3">
        <v>27</v>
      </c>
      <c r="V24" s="3">
        <v>13</v>
      </c>
      <c r="W24" s="3">
        <v>12</v>
      </c>
      <c r="X24" s="3">
        <v>7</v>
      </c>
      <c r="Y24" s="3">
        <v>17</v>
      </c>
      <c r="Z24" s="4" t="s">
        <v>44</v>
      </c>
      <c r="AA24" s="3">
        <v>34</v>
      </c>
      <c r="AB24" s="3">
        <v>83</v>
      </c>
      <c r="AC24" s="69">
        <v>0.41</v>
      </c>
      <c r="AD24" s="3">
        <v>14</v>
      </c>
      <c r="AE24" s="3">
        <v>31</v>
      </c>
      <c r="AF24" s="69">
        <v>0.45200000000000001</v>
      </c>
      <c r="AG24" s="3">
        <v>14</v>
      </c>
      <c r="AH24" s="3">
        <v>19</v>
      </c>
      <c r="AI24" s="69">
        <v>0.73699999999999999</v>
      </c>
      <c r="AJ24" s="3">
        <v>8</v>
      </c>
      <c r="AK24" s="3">
        <v>40</v>
      </c>
      <c r="AL24" s="3">
        <v>20</v>
      </c>
      <c r="AM24" s="3">
        <v>3</v>
      </c>
      <c r="AN24" s="3">
        <v>3</v>
      </c>
      <c r="AO24" s="3">
        <v>18</v>
      </c>
      <c r="AP24" s="3">
        <v>24</v>
      </c>
      <c r="AR24" s="9"/>
    </row>
    <row r="25" spans="1:91" ht="18">
      <c r="A25" s="1">
        <v>23</v>
      </c>
      <c r="B25" s="3">
        <v>23</v>
      </c>
      <c r="C25" s="10">
        <v>43805</v>
      </c>
      <c r="D25" s="3" t="s">
        <v>283</v>
      </c>
      <c r="E25" s="3" t="s">
        <v>84</v>
      </c>
      <c r="F25" s="3" t="s">
        <v>297</v>
      </c>
      <c r="G25" s="3" t="s">
        <v>40</v>
      </c>
      <c r="H25" s="3">
        <v>136</v>
      </c>
      <c r="I25" s="3">
        <v>113</v>
      </c>
      <c r="J25" s="3">
        <v>46</v>
      </c>
      <c r="K25" s="3">
        <v>85</v>
      </c>
      <c r="L25" s="69">
        <v>0.54100000000000004</v>
      </c>
      <c r="M25" s="3">
        <v>17</v>
      </c>
      <c r="N25" s="3">
        <v>36</v>
      </c>
      <c r="O25" s="69">
        <v>0.47199999999999998</v>
      </c>
      <c r="P25" s="3">
        <v>27</v>
      </c>
      <c r="Q25" s="3">
        <v>33</v>
      </c>
      <c r="R25" s="69">
        <v>0.81799999999999995</v>
      </c>
      <c r="S25" s="3">
        <v>3</v>
      </c>
      <c r="T25" s="3">
        <v>45</v>
      </c>
      <c r="U25" s="3">
        <v>26</v>
      </c>
      <c r="V25" s="3">
        <v>10</v>
      </c>
      <c r="W25" s="3">
        <v>8</v>
      </c>
      <c r="X25" s="3">
        <v>16</v>
      </c>
      <c r="Y25" s="3">
        <v>23</v>
      </c>
      <c r="Z25" s="5" t="s">
        <v>45</v>
      </c>
      <c r="AA25" s="3">
        <v>39</v>
      </c>
      <c r="AB25" s="3">
        <v>86</v>
      </c>
      <c r="AC25" s="69">
        <v>0.45300000000000001</v>
      </c>
      <c r="AD25" s="3">
        <v>10</v>
      </c>
      <c r="AE25" s="3">
        <v>34</v>
      </c>
      <c r="AF25" s="69">
        <v>0.29399999999999998</v>
      </c>
      <c r="AG25" s="3">
        <v>25</v>
      </c>
      <c r="AH25" s="3">
        <v>29</v>
      </c>
      <c r="AI25" s="69">
        <v>0.86199999999999999</v>
      </c>
      <c r="AJ25" s="3">
        <v>4</v>
      </c>
      <c r="AK25" s="3">
        <v>34</v>
      </c>
      <c r="AL25" s="3">
        <v>20</v>
      </c>
      <c r="AM25" s="3">
        <v>9</v>
      </c>
      <c r="AN25" s="3">
        <v>4</v>
      </c>
      <c r="AO25" s="3">
        <v>15</v>
      </c>
      <c r="AP25" s="3">
        <v>25</v>
      </c>
      <c r="AR25" s="9"/>
    </row>
    <row r="26" spans="1:91" ht="18">
      <c r="A26" s="1">
        <v>24</v>
      </c>
      <c r="B26" s="3">
        <v>24</v>
      </c>
      <c r="C26" s="10">
        <v>43807</v>
      </c>
      <c r="D26" s="2" t="s">
        <v>284</v>
      </c>
      <c r="E26" s="3" t="s">
        <v>85</v>
      </c>
      <c r="F26" s="3" t="s">
        <v>297</v>
      </c>
      <c r="G26" s="3" t="s">
        <v>40</v>
      </c>
      <c r="H26" s="3">
        <v>142</v>
      </c>
      <c r="I26" s="3">
        <v>125</v>
      </c>
      <c r="J26" s="3">
        <v>55</v>
      </c>
      <c r="K26" s="3">
        <v>94</v>
      </c>
      <c r="L26" s="69">
        <v>0.58499999999999996</v>
      </c>
      <c r="M26" s="3">
        <v>14</v>
      </c>
      <c r="N26" s="3">
        <v>31</v>
      </c>
      <c r="O26" s="69">
        <v>0.45200000000000001</v>
      </c>
      <c r="P26" s="3">
        <v>18</v>
      </c>
      <c r="Q26" s="3">
        <v>20</v>
      </c>
      <c r="R26" s="69">
        <v>0.9</v>
      </c>
      <c r="S26" s="3">
        <v>10</v>
      </c>
      <c r="T26" s="3">
        <v>41</v>
      </c>
      <c r="U26" s="3">
        <v>32</v>
      </c>
      <c r="V26" s="3">
        <v>9</v>
      </c>
      <c r="W26" s="3">
        <v>1</v>
      </c>
      <c r="X26" s="3">
        <v>10</v>
      </c>
      <c r="Y26" s="3">
        <v>19</v>
      </c>
      <c r="Z26" s="4" t="s">
        <v>46</v>
      </c>
      <c r="AA26" s="3">
        <v>44</v>
      </c>
      <c r="AB26" s="3">
        <v>84</v>
      </c>
      <c r="AC26" s="69">
        <v>0.52400000000000002</v>
      </c>
      <c r="AD26" s="3">
        <v>15</v>
      </c>
      <c r="AE26" s="3">
        <v>37</v>
      </c>
      <c r="AF26" s="69">
        <v>0.40500000000000003</v>
      </c>
      <c r="AG26" s="3">
        <v>22</v>
      </c>
      <c r="AH26" s="3">
        <v>26</v>
      </c>
      <c r="AI26" s="69">
        <v>0.84599999999999997</v>
      </c>
      <c r="AJ26" s="3">
        <v>6</v>
      </c>
      <c r="AK26" s="3">
        <v>31</v>
      </c>
      <c r="AL26" s="3">
        <v>27</v>
      </c>
      <c r="AM26" s="3">
        <v>5</v>
      </c>
      <c r="AN26" s="3">
        <v>6</v>
      </c>
      <c r="AO26" s="3">
        <v>15</v>
      </c>
      <c r="AP26" s="3">
        <v>18</v>
      </c>
      <c r="AR26" s="9"/>
    </row>
    <row r="27" spans="1:91" ht="18">
      <c r="A27" s="1">
        <v>25</v>
      </c>
      <c r="B27" s="3">
        <v>25</v>
      </c>
      <c r="C27" s="10">
        <v>43810</v>
      </c>
      <c r="D27" s="3" t="s">
        <v>283</v>
      </c>
      <c r="E27" s="3" t="s">
        <v>86</v>
      </c>
      <c r="F27" s="3" t="s">
        <v>297</v>
      </c>
      <c r="G27" s="3" t="s">
        <v>40</v>
      </c>
      <c r="H27" s="3">
        <v>96</v>
      </c>
      <c r="I27" s="3">
        <v>87</v>
      </c>
      <c r="J27" s="3">
        <v>37</v>
      </c>
      <c r="K27" s="3">
        <v>87</v>
      </c>
      <c r="L27" s="69">
        <v>0.42499999999999999</v>
      </c>
      <c r="M27" s="3">
        <v>12</v>
      </c>
      <c r="N27" s="3">
        <v>31</v>
      </c>
      <c r="O27" s="69">
        <v>0.38700000000000001</v>
      </c>
      <c r="P27" s="3">
        <v>10</v>
      </c>
      <c r="Q27" s="3">
        <v>19</v>
      </c>
      <c r="R27" s="69">
        <v>0.52600000000000002</v>
      </c>
      <c r="S27" s="3">
        <v>12</v>
      </c>
      <c r="T27" s="3">
        <v>49</v>
      </c>
      <c r="U27" s="3">
        <v>20</v>
      </c>
      <c r="V27" s="3">
        <v>10</v>
      </c>
      <c r="W27" s="3">
        <v>4</v>
      </c>
      <c r="X27" s="3">
        <v>13</v>
      </c>
      <c r="Y27" s="3">
        <v>17</v>
      </c>
      <c r="Z27" s="5" t="s">
        <v>47</v>
      </c>
      <c r="AA27" s="3">
        <v>34</v>
      </c>
      <c r="AB27" s="3">
        <v>81</v>
      </c>
      <c r="AC27" s="69">
        <v>0.42</v>
      </c>
      <c r="AD27" s="3">
        <v>8</v>
      </c>
      <c r="AE27" s="3">
        <v>26</v>
      </c>
      <c r="AF27" s="69">
        <v>0.308</v>
      </c>
      <c r="AG27" s="3">
        <v>11</v>
      </c>
      <c r="AH27" s="3">
        <v>17</v>
      </c>
      <c r="AI27" s="69">
        <v>0.64700000000000002</v>
      </c>
      <c r="AJ27" s="3">
        <v>8</v>
      </c>
      <c r="AK27" s="3">
        <v>41</v>
      </c>
      <c r="AL27" s="3">
        <v>20</v>
      </c>
      <c r="AM27" s="3">
        <v>10</v>
      </c>
      <c r="AN27" s="3">
        <v>5</v>
      </c>
      <c r="AO27" s="3">
        <v>14</v>
      </c>
      <c r="AP27" s="3">
        <v>17</v>
      </c>
      <c r="AR27" s="9"/>
    </row>
    <row r="28" spans="1:91" ht="18">
      <c r="A28" s="1">
        <v>26</v>
      </c>
      <c r="B28" s="3">
        <v>26</v>
      </c>
      <c r="C28" s="10">
        <v>43812</v>
      </c>
      <c r="D28" s="3" t="s">
        <v>283</v>
      </c>
      <c r="E28" s="3" t="s">
        <v>74</v>
      </c>
      <c r="F28" s="3" t="s">
        <v>298</v>
      </c>
      <c r="G28" s="3" t="s">
        <v>40</v>
      </c>
      <c r="H28" s="3">
        <v>113</v>
      </c>
      <c r="I28" s="3">
        <v>110</v>
      </c>
      <c r="J28" s="3">
        <v>43</v>
      </c>
      <c r="K28" s="3">
        <v>87</v>
      </c>
      <c r="L28" s="69">
        <v>0.49399999999999999</v>
      </c>
      <c r="M28" s="3">
        <v>12</v>
      </c>
      <c r="N28" s="3">
        <v>37</v>
      </c>
      <c r="O28" s="69">
        <v>0.32400000000000001</v>
      </c>
      <c r="P28" s="3">
        <v>15</v>
      </c>
      <c r="Q28" s="3">
        <v>23</v>
      </c>
      <c r="R28" s="69">
        <v>0.65200000000000002</v>
      </c>
      <c r="S28" s="3">
        <v>14</v>
      </c>
      <c r="T28" s="3">
        <v>50</v>
      </c>
      <c r="U28" s="3">
        <v>26</v>
      </c>
      <c r="V28" s="3">
        <v>5</v>
      </c>
      <c r="W28" s="3">
        <v>9</v>
      </c>
      <c r="X28" s="3">
        <v>19</v>
      </c>
      <c r="Y28" s="3">
        <v>23</v>
      </c>
      <c r="Z28" s="4" t="s">
        <v>48</v>
      </c>
      <c r="AA28" s="3">
        <v>39</v>
      </c>
      <c r="AB28" s="3">
        <v>85</v>
      </c>
      <c r="AC28" s="69">
        <v>0.45900000000000002</v>
      </c>
      <c r="AD28" s="3">
        <v>10</v>
      </c>
      <c r="AE28" s="3">
        <v>33</v>
      </c>
      <c r="AF28" s="69">
        <v>0.30299999999999999</v>
      </c>
      <c r="AG28" s="3">
        <v>22</v>
      </c>
      <c r="AH28" s="3">
        <v>28</v>
      </c>
      <c r="AI28" s="69">
        <v>0.78600000000000003</v>
      </c>
      <c r="AJ28" s="3">
        <v>5</v>
      </c>
      <c r="AK28" s="3">
        <v>34</v>
      </c>
      <c r="AL28" s="3">
        <v>24</v>
      </c>
      <c r="AM28" s="3">
        <v>8</v>
      </c>
      <c r="AN28" s="3">
        <v>2</v>
      </c>
      <c r="AO28" s="3">
        <v>8</v>
      </c>
      <c r="AP28" s="3">
        <v>21</v>
      </c>
      <c r="AR28" s="9"/>
    </row>
    <row r="29" spans="1:91" ht="18">
      <c r="A29" s="1">
        <v>27</v>
      </c>
      <c r="B29" s="3">
        <v>27</v>
      </c>
      <c r="C29" s="10">
        <v>43814</v>
      </c>
      <c r="D29" s="3" t="s">
        <v>283</v>
      </c>
      <c r="E29" s="3" t="s">
        <v>79</v>
      </c>
      <c r="F29" s="3" t="s">
        <v>298</v>
      </c>
      <c r="G29" s="3" t="s">
        <v>40</v>
      </c>
      <c r="H29" s="3">
        <v>101</v>
      </c>
      <c r="I29" s="3">
        <v>96</v>
      </c>
      <c r="J29" s="3">
        <v>36</v>
      </c>
      <c r="K29" s="3">
        <v>84</v>
      </c>
      <c r="L29" s="69">
        <v>0.42899999999999999</v>
      </c>
      <c r="M29" s="3">
        <v>5</v>
      </c>
      <c r="N29" s="3">
        <v>31</v>
      </c>
      <c r="O29" s="69">
        <v>0.161</v>
      </c>
      <c r="P29" s="3">
        <v>24</v>
      </c>
      <c r="Q29" s="3">
        <v>33</v>
      </c>
      <c r="R29" s="69">
        <v>0.72699999999999998</v>
      </c>
      <c r="S29" s="3">
        <v>13</v>
      </c>
      <c r="T29" s="3">
        <v>56</v>
      </c>
      <c r="U29" s="3">
        <v>21</v>
      </c>
      <c r="V29" s="3">
        <v>14</v>
      </c>
      <c r="W29" s="3">
        <v>9</v>
      </c>
      <c r="X29" s="3">
        <v>22</v>
      </c>
      <c r="Y29" s="3">
        <v>24</v>
      </c>
      <c r="Z29" s="5" t="s">
        <v>49</v>
      </c>
      <c r="AA29" s="3">
        <v>31</v>
      </c>
      <c r="AB29" s="3">
        <v>86</v>
      </c>
      <c r="AC29" s="69">
        <v>0.36</v>
      </c>
      <c r="AD29" s="3">
        <v>12</v>
      </c>
      <c r="AE29" s="3">
        <v>42</v>
      </c>
      <c r="AF29" s="69">
        <v>0.28599999999999998</v>
      </c>
      <c r="AG29" s="3">
        <v>22</v>
      </c>
      <c r="AH29" s="3">
        <v>25</v>
      </c>
      <c r="AI29" s="69">
        <v>0.88</v>
      </c>
      <c r="AJ29" s="3">
        <v>8</v>
      </c>
      <c r="AK29" s="3">
        <v>42</v>
      </c>
      <c r="AL29" s="3">
        <v>18</v>
      </c>
      <c r="AM29" s="3">
        <v>8</v>
      </c>
      <c r="AN29" s="3">
        <v>5</v>
      </c>
      <c r="AO29" s="3">
        <v>19</v>
      </c>
      <c r="AP29" s="3">
        <v>27</v>
      </c>
      <c r="AR29" s="9"/>
    </row>
    <row r="30" spans="1:91" ht="18">
      <c r="A30" s="1">
        <v>28</v>
      </c>
      <c r="B30" s="3">
        <v>28</v>
      </c>
      <c r="C30" s="10">
        <v>43816</v>
      </c>
      <c r="D30" s="3" t="s">
        <v>283</v>
      </c>
      <c r="E30" s="3" t="s">
        <v>87</v>
      </c>
      <c r="F30" s="3" t="s">
        <v>297</v>
      </c>
      <c r="G30" s="3" t="s">
        <v>41</v>
      </c>
      <c r="H30" s="3">
        <v>102</v>
      </c>
      <c r="I30" s="3">
        <v>105</v>
      </c>
      <c r="J30" s="3">
        <v>43</v>
      </c>
      <c r="K30" s="3">
        <v>91</v>
      </c>
      <c r="L30" s="69">
        <v>0.47299999999999998</v>
      </c>
      <c r="M30" s="3">
        <v>8</v>
      </c>
      <c r="N30" s="3">
        <v>31</v>
      </c>
      <c r="O30" s="69">
        <v>0.25800000000000001</v>
      </c>
      <c r="P30" s="3">
        <v>8</v>
      </c>
      <c r="Q30" s="3">
        <v>17</v>
      </c>
      <c r="R30" s="69">
        <v>0.47099999999999997</v>
      </c>
      <c r="S30" s="3">
        <v>14</v>
      </c>
      <c r="T30" s="3">
        <v>42</v>
      </c>
      <c r="U30" s="3">
        <v>28</v>
      </c>
      <c r="V30" s="3">
        <v>5</v>
      </c>
      <c r="W30" s="3">
        <v>6</v>
      </c>
      <c r="X30" s="3">
        <v>13</v>
      </c>
      <c r="Y30" s="3">
        <v>19</v>
      </c>
      <c r="Z30" s="4" t="s">
        <v>42</v>
      </c>
      <c r="AA30" s="3">
        <v>41</v>
      </c>
      <c r="AB30" s="3">
        <v>85</v>
      </c>
      <c r="AC30" s="69">
        <v>0.48199999999999998</v>
      </c>
      <c r="AD30" s="3">
        <v>10</v>
      </c>
      <c r="AE30" s="3">
        <v>25</v>
      </c>
      <c r="AF30" s="69">
        <v>0.4</v>
      </c>
      <c r="AG30" s="3">
        <v>13</v>
      </c>
      <c r="AH30" s="3">
        <v>20</v>
      </c>
      <c r="AI30" s="69">
        <v>0.65</v>
      </c>
      <c r="AJ30" s="3">
        <v>13</v>
      </c>
      <c r="AK30" s="3">
        <v>43</v>
      </c>
      <c r="AL30" s="3">
        <v>22</v>
      </c>
      <c r="AM30" s="3">
        <v>9</v>
      </c>
      <c r="AN30" s="3">
        <v>6</v>
      </c>
      <c r="AO30" s="3">
        <v>12</v>
      </c>
      <c r="AP30" s="3">
        <v>21</v>
      </c>
      <c r="AR30" s="9"/>
    </row>
    <row r="31" spans="1:91" ht="18">
      <c r="A31" s="1">
        <v>29</v>
      </c>
      <c r="B31" s="3">
        <v>29</v>
      </c>
      <c r="C31" s="10">
        <v>43818</v>
      </c>
      <c r="D31" s="3" t="s">
        <v>283</v>
      </c>
      <c r="E31" s="3" t="s">
        <v>88</v>
      </c>
      <c r="F31" s="3" t="s">
        <v>297</v>
      </c>
      <c r="G31" s="3" t="s">
        <v>41</v>
      </c>
      <c r="H31" s="3">
        <v>104</v>
      </c>
      <c r="I31" s="3">
        <v>111</v>
      </c>
      <c r="J31" s="3">
        <v>37</v>
      </c>
      <c r="K31" s="3">
        <v>80</v>
      </c>
      <c r="L31" s="69">
        <v>0.46300000000000002</v>
      </c>
      <c r="M31" s="3">
        <v>12</v>
      </c>
      <c r="N31" s="3">
        <v>35</v>
      </c>
      <c r="O31" s="69">
        <v>0.34300000000000003</v>
      </c>
      <c r="P31" s="3">
        <v>18</v>
      </c>
      <c r="Q31" s="3">
        <v>23</v>
      </c>
      <c r="R31" s="69">
        <v>0.78300000000000003</v>
      </c>
      <c r="S31" s="3">
        <v>7</v>
      </c>
      <c r="T31" s="3">
        <v>38</v>
      </c>
      <c r="U31" s="3">
        <v>24</v>
      </c>
      <c r="V31" s="3">
        <v>4</v>
      </c>
      <c r="W31" s="3">
        <v>6</v>
      </c>
      <c r="X31" s="3">
        <v>18</v>
      </c>
      <c r="Y31" s="3">
        <v>24</v>
      </c>
      <c r="Z31" s="5" t="s">
        <v>53</v>
      </c>
      <c r="AA31" s="3">
        <v>36</v>
      </c>
      <c r="AB31" s="3">
        <v>77</v>
      </c>
      <c r="AC31" s="69">
        <v>0.46800000000000003</v>
      </c>
      <c r="AD31" s="3">
        <v>16</v>
      </c>
      <c r="AE31" s="3">
        <v>39</v>
      </c>
      <c r="AF31" s="69">
        <v>0.41</v>
      </c>
      <c r="AG31" s="3">
        <v>23</v>
      </c>
      <c r="AH31" s="3">
        <v>32</v>
      </c>
      <c r="AI31" s="69">
        <v>0.71899999999999997</v>
      </c>
      <c r="AJ31" s="3">
        <v>8</v>
      </c>
      <c r="AK31" s="3">
        <v>40</v>
      </c>
      <c r="AL31" s="3">
        <v>22</v>
      </c>
      <c r="AM31" s="3">
        <v>14</v>
      </c>
      <c r="AN31" s="3">
        <v>7</v>
      </c>
      <c r="AO31" s="3">
        <v>13</v>
      </c>
      <c r="AP31" s="3">
        <v>25</v>
      </c>
      <c r="AR31" s="9"/>
    </row>
    <row r="32" spans="1:91" ht="18">
      <c r="A32" s="1">
        <v>30</v>
      </c>
      <c r="B32" s="3">
        <v>30</v>
      </c>
      <c r="C32" s="10">
        <v>43821</v>
      </c>
      <c r="D32" s="2" t="s">
        <v>284</v>
      </c>
      <c r="E32" s="3" t="s">
        <v>83</v>
      </c>
      <c r="F32" s="3" t="s">
        <v>298</v>
      </c>
      <c r="G32" s="3" t="s">
        <v>41</v>
      </c>
      <c r="H32" s="3">
        <v>104</v>
      </c>
      <c r="I32" s="3">
        <v>128</v>
      </c>
      <c r="J32" s="3">
        <v>39</v>
      </c>
      <c r="K32" s="3">
        <v>83</v>
      </c>
      <c r="L32" s="69">
        <v>0.47</v>
      </c>
      <c r="M32" s="3">
        <v>10</v>
      </c>
      <c r="N32" s="3">
        <v>29</v>
      </c>
      <c r="O32" s="69">
        <v>0.34499999999999997</v>
      </c>
      <c r="P32" s="3">
        <v>16</v>
      </c>
      <c r="Q32" s="3">
        <v>22</v>
      </c>
      <c r="R32" s="69">
        <v>0.72699999999999998</v>
      </c>
      <c r="S32" s="3">
        <v>18</v>
      </c>
      <c r="T32" s="3">
        <v>45</v>
      </c>
      <c r="U32" s="3">
        <v>18</v>
      </c>
      <c r="V32" s="3">
        <v>7</v>
      </c>
      <c r="W32" s="3">
        <v>9</v>
      </c>
      <c r="X32" s="3">
        <v>19</v>
      </c>
      <c r="Y32" s="3">
        <v>25</v>
      </c>
      <c r="Z32" s="4" t="s">
        <v>54</v>
      </c>
      <c r="AA32" s="3">
        <v>45</v>
      </c>
      <c r="AB32" s="3">
        <v>92</v>
      </c>
      <c r="AC32" s="69">
        <v>0.48899999999999999</v>
      </c>
      <c r="AD32" s="3">
        <v>11</v>
      </c>
      <c r="AE32" s="3">
        <v>32</v>
      </c>
      <c r="AF32" s="69">
        <v>0.34399999999999997</v>
      </c>
      <c r="AG32" s="3">
        <v>27</v>
      </c>
      <c r="AH32" s="3">
        <v>30</v>
      </c>
      <c r="AI32" s="69">
        <v>0.9</v>
      </c>
      <c r="AJ32" s="3">
        <v>17</v>
      </c>
      <c r="AK32" s="3">
        <v>44</v>
      </c>
      <c r="AL32" s="3">
        <v>31</v>
      </c>
      <c r="AM32" s="3">
        <v>13</v>
      </c>
      <c r="AN32" s="3">
        <v>2</v>
      </c>
      <c r="AO32" s="3">
        <v>8</v>
      </c>
      <c r="AP32" s="3">
        <v>19</v>
      </c>
      <c r="AR32" s="9"/>
    </row>
    <row r="33" spans="1:44" ht="18">
      <c r="A33" s="1">
        <v>31</v>
      </c>
      <c r="B33" s="3">
        <v>31</v>
      </c>
      <c r="C33" s="10">
        <v>43824</v>
      </c>
      <c r="D33" s="2" t="s">
        <v>284</v>
      </c>
      <c r="E33" s="3" t="s">
        <v>67</v>
      </c>
      <c r="F33" s="3" t="s">
        <v>298</v>
      </c>
      <c r="G33" s="3" t="s">
        <v>41</v>
      </c>
      <c r="H33" s="3">
        <v>106</v>
      </c>
      <c r="I33" s="3">
        <v>111</v>
      </c>
      <c r="J33" s="3">
        <v>39</v>
      </c>
      <c r="K33" s="3">
        <v>96</v>
      </c>
      <c r="L33" s="69">
        <v>0.40600000000000003</v>
      </c>
      <c r="M33" s="3">
        <v>12</v>
      </c>
      <c r="N33" s="3">
        <v>45</v>
      </c>
      <c r="O33" s="69">
        <v>0.26700000000000002</v>
      </c>
      <c r="P33" s="3">
        <v>16</v>
      </c>
      <c r="Q33" s="3">
        <v>21</v>
      </c>
      <c r="R33" s="69">
        <v>0.76200000000000001</v>
      </c>
      <c r="S33" s="3">
        <v>12</v>
      </c>
      <c r="T33" s="3">
        <v>42</v>
      </c>
      <c r="U33" s="3">
        <v>24</v>
      </c>
      <c r="V33" s="3">
        <v>11</v>
      </c>
      <c r="W33" s="3">
        <v>10</v>
      </c>
      <c r="X33" s="3">
        <v>13</v>
      </c>
      <c r="Y33" s="3">
        <v>23</v>
      </c>
      <c r="Z33" s="5" t="s">
        <v>55</v>
      </c>
      <c r="AA33" s="3">
        <v>39</v>
      </c>
      <c r="AB33" s="3">
        <v>85</v>
      </c>
      <c r="AC33" s="69">
        <v>0.45900000000000002</v>
      </c>
      <c r="AD33" s="3">
        <v>9</v>
      </c>
      <c r="AE33" s="3">
        <v>25</v>
      </c>
      <c r="AF33" s="69">
        <v>0.36</v>
      </c>
      <c r="AG33" s="3">
        <v>24</v>
      </c>
      <c r="AH33" s="3">
        <v>32</v>
      </c>
      <c r="AI33" s="69">
        <v>0.75</v>
      </c>
      <c r="AJ33" s="3">
        <v>13</v>
      </c>
      <c r="AK33" s="3">
        <v>50</v>
      </c>
      <c r="AL33" s="3">
        <v>24</v>
      </c>
      <c r="AM33" s="3">
        <v>6</v>
      </c>
      <c r="AN33" s="3">
        <v>6</v>
      </c>
      <c r="AO33" s="3">
        <v>16</v>
      </c>
      <c r="AP33" s="3">
        <v>17</v>
      </c>
      <c r="AR33" s="9"/>
    </row>
    <row r="34" spans="1:44" ht="18">
      <c r="A34" s="1">
        <v>32</v>
      </c>
      <c r="B34" s="3">
        <v>32</v>
      </c>
      <c r="C34" s="10">
        <v>43827</v>
      </c>
      <c r="D34" s="3" t="s">
        <v>283</v>
      </c>
      <c r="E34" s="3" t="s">
        <v>84</v>
      </c>
      <c r="F34" s="3" t="s">
        <v>298</v>
      </c>
      <c r="G34" s="3" t="s">
        <v>40</v>
      </c>
      <c r="H34" s="3">
        <v>128</v>
      </c>
      <c r="I34" s="3">
        <v>120</v>
      </c>
      <c r="J34" s="3">
        <v>47</v>
      </c>
      <c r="K34" s="3">
        <v>91</v>
      </c>
      <c r="L34" s="69">
        <v>0.51600000000000001</v>
      </c>
      <c r="M34" s="3">
        <v>11</v>
      </c>
      <c r="N34" s="3">
        <v>32</v>
      </c>
      <c r="O34" s="69">
        <v>0.34399999999999997</v>
      </c>
      <c r="P34" s="3">
        <v>23</v>
      </c>
      <c r="Q34" s="3">
        <v>28</v>
      </c>
      <c r="R34" s="69">
        <v>0.82099999999999995</v>
      </c>
      <c r="S34" s="3">
        <v>11</v>
      </c>
      <c r="T34" s="3">
        <v>44</v>
      </c>
      <c r="U34" s="3">
        <v>32</v>
      </c>
      <c r="V34" s="3">
        <v>6</v>
      </c>
      <c r="W34" s="3">
        <v>7</v>
      </c>
      <c r="X34" s="3">
        <v>9</v>
      </c>
      <c r="Y34" s="3">
        <v>25</v>
      </c>
      <c r="Z34" s="4" t="s">
        <v>43</v>
      </c>
      <c r="AA34" s="3">
        <v>41</v>
      </c>
      <c r="AB34" s="3">
        <v>86</v>
      </c>
      <c r="AC34" s="69">
        <v>0.47699999999999998</v>
      </c>
      <c r="AD34" s="3">
        <v>15</v>
      </c>
      <c r="AE34" s="3">
        <v>35</v>
      </c>
      <c r="AF34" s="69">
        <v>0.42899999999999999</v>
      </c>
      <c r="AG34" s="3">
        <v>23</v>
      </c>
      <c r="AH34" s="3">
        <v>27</v>
      </c>
      <c r="AI34" s="69">
        <v>0.85199999999999998</v>
      </c>
      <c r="AJ34" s="3">
        <v>9</v>
      </c>
      <c r="AK34" s="3">
        <v>39</v>
      </c>
      <c r="AL34" s="3">
        <v>18</v>
      </c>
      <c r="AM34" s="3">
        <v>4</v>
      </c>
      <c r="AN34" s="3">
        <v>8</v>
      </c>
      <c r="AO34" s="3">
        <v>16</v>
      </c>
      <c r="AP34" s="3">
        <v>22</v>
      </c>
      <c r="AR34" s="9"/>
    </row>
    <row r="35" spans="1:44" ht="18">
      <c r="A35" s="1">
        <v>33</v>
      </c>
      <c r="B35" s="3">
        <v>33</v>
      </c>
      <c r="C35" s="10">
        <v>43828</v>
      </c>
      <c r="D35" s="2" t="s">
        <v>284</v>
      </c>
      <c r="E35" s="3" t="s">
        <v>71</v>
      </c>
      <c r="F35" s="3" t="s">
        <v>299</v>
      </c>
      <c r="G35" s="3" t="s">
        <v>40</v>
      </c>
      <c r="H35" s="3">
        <v>108</v>
      </c>
      <c r="I35" s="3">
        <v>95</v>
      </c>
      <c r="J35" s="3">
        <v>38</v>
      </c>
      <c r="K35" s="3">
        <v>78</v>
      </c>
      <c r="L35" s="69">
        <v>0.48699999999999999</v>
      </c>
      <c r="M35" s="3">
        <v>9</v>
      </c>
      <c r="N35" s="3">
        <v>23</v>
      </c>
      <c r="O35" s="69">
        <v>0.39100000000000001</v>
      </c>
      <c r="P35" s="3">
        <v>23</v>
      </c>
      <c r="Q35" s="3">
        <v>28</v>
      </c>
      <c r="R35" s="69">
        <v>0.82099999999999995</v>
      </c>
      <c r="S35" s="3">
        <v>6</v>
      </c>
      <c r="T35" s="3">
        <v>39</v>
      </c>
      <c r="U35" s="3">
        <v>28</v>
      </c>
      <c r="V35" s="3">
        <v>12</v>
      </c>
      <c r="W35" s="3">
        <v>7</v>
      </c>
      <c r="X35" s="3">
        <v>16</v>
      </c>
      <c r="Y35" s="3">
        <v>23</v>
      </c>
      <c r="Z35" s="5" t="s">
        <v>44</v>
      </c>
      <c r="AA35" s="3">
        <v>32</v>
      </c>
      <c r="AB35" s="3">
        <v>89</v>
      </c>
      <c r="AC35" s="69">
        <v>0.36</v>
      </c>
      <c r="AD35" s="3">
        <v>13</v>
      </c>
      <c r="AE35" s="3">
        <v>43</v>
      </c>
      <c r="AF35" s="69">
        <v>0.30199999999999999</v>
      </c>
      <c r="AG35" s="3">
        <v>18</v>
      </c>
      <c r="AH35" s="3">
        <v>20</v>
      </c>
      <c r="AI35" s="69">
        <v>0.9</v>
      </c>
      <c r="AJ35" s="3">
        <v>13</v>
      </c>
      <c r="AK35" s="3">
        <v>45</v>
      </c>
      <c r="AL35" s="3">
        <v>17</v>
      </c>
      <c r="AM35" s="3">
        <v>11</v>
      </c>
      <c r="AN35" s="3">
        <v>4</v>
      </c>
      <c r="AO35" s="3">
        <v>18</v>
      </c>
      <c r="AP35" s="3">
        <v>23</v>
      </c>
      <c r="AR35" s="9"/>
    </row>
    <row r="36" spans="1:44" ht="18">
      <c r="A36" s="1">
        <v>34</v>
      </c>
      <c r="B36" s="3">
        <v>34</v>
      </c>
      <c r="C36" s="10">
        <v>43831</v>
      </c>
      <c r="D36" s="2" t="s">
        <v>284</v>
      </c>
      <c r="E36" s="3" t="s">
        <v>76</v>
      </c>
      <c r="F36" s="3" t="s">
        <v>298</v>
      </c>
      <c r="G36" s="3" t="s">
        <v>40</v>
      </c>
      <c r="H36" s="3">
        <v>117</v>
      </c>
      <c r="I36" s="3">
        <v>107</v>
      </c>
      <c r="J36" s="3">
        <v>43</v>
      </c>
      <c r="K36" s="3">
        <v>90</v>
      </c>
      <c r="L36" s="69">
        <v>0.47799999999999998</v>
      </c>
      <c r="M36" s="3">
        <v>7</v>
      </c>
      <c r="N36" s="3">
        <v>28</v>
      </c>
      <c r="O36" s="69">
        <v>0.25</v>
      </c>
      <c r="P36" s="3">
        <v>24</v>
      </c>
      <c r="Q36" s="3">
        <v>34</v>
      </c>
      <c r="R36" s="69">
        <v>0.70599999999999996</v>
      </c>
      <c r="S36" s="3">
        <v>13</v>
      </c>
      <c r="T36" s="3">
        <v>45</v>
      </c>
      <c r="U36" s="3">
        <v>25</v>
      </c>
      <c r="V36" s="3">
        <v>9</v>
      </c>
      <c r="W36" s="3">
        <v>5</v>
      </c>
      <c r="X36" s="3">
        <v>12</v>
      </c>
      <c r="Y36" s="3">
        <v>17</v>
      </c>
      <c r="Z36" s="4" t="s">
        <v>45</v>
      </c>
      <c r="AA36" s="3">
        <v>42</v>
      </c>
      <c r="AB36" s="3">
        <v>86</v>
      </c>
      <c r="AC36" s="69">
        <v>0.48799999999999999</v>
      </c>
      <c r="AD36" s="3">
        <v>6</v>
      </c>
      <c r="AE36" s="3">
        <v>23</v>
      </c>
      <c r="AF36" s="69">
        <v>0.26100000000000001</v>
      </c>
      <c r="AG36" s="3">
        <v>17</v>
      </c>
      <c r="AH36" s="3">
        <v>23</v>
      </c>
      <c r="AI36" s="69">
        <v>0.73899999999999999</v>
      </c>
      <c r="AJ36" s="3">
        <v>11</v>
      </c>
      <c r="AK36" s="3">
        <v>47</v>
      </c>
      <c r="AL36" s="3">
        <v>32</v>
      </c>
      <c r="AM36" s="3">
        <v>7</v>
      </c>
      <c r="AN36" s="3">
        <v>3</v>
      </c>
      <c r="AO36" s="3">
        <v>14</v>
      </c>
      <c r="AP36" s="3">
        <v>28</v>
      </c>
      <c r="AR36" s="9"/>
    </row>
    <row r="37" spans="1:44" ht="18">
      <c r="A37" s="1">
        <v>35</v>
      </c>
      <c r="B37" s="3">
        <v>35</v>
      </c>
      <c r="C37" s="10">
        <v>43833</v>
      </c>
      <c r="D37" s="2" t="s">
        <v>284</v>
      </c>
      <c r="E37" s="3" t="s">
        <v>81</v>
      </c>
      <c r="F37" s="3" t="s">
        <v>298</v>
      </c>
      <c r="G37" s="3" t="s">
        <v>40</v>
      </c>
      <c r="H37" s="3">
        <v>123</v>
      </c>
      <c r="I37" s="3">
        <v>113</v>
      </c>
      <c r="J37" s="3">
        <v>43</v>
      </c>
      <c r="K37" s="3">
        <v>86</v>
      </c>
      <c r="L37" s="69">
        <v>0.5</v>
      </c>
      <c r="M37" s="3">
        <v>14</v>
      </c>
      <c r="N37" s="3">
        <v>29</v>
      </c>
      <c r="O37" s="69">
        <v>0.48299999999999998</v>
      </c>
      <c r="P37" s="3">
        <v>23</v>
      </c>
      <c r="Q37" s="3">
        <v>28</v>
      </c>
      <c r="R37" s="69">
        <v>0.82099999999999995</v>
      </c>
      <c r="S37" s="3">
        <v>8</v>
      </c>
      <c r="T37" s="3">
        <v>47</v>
      </c>
      <c r="U37" s="3">
        <v>29</v>
      </c>
      <c r="V37" s="3">
        <v>9</v>
      </c>
      <c r="W37" s="3">
        <v>4</v>
      </c>
      <c r="X37" s="3">
        <v>12</v>
      </c>
      <c r="Y37" s="3">
        <v>14</v>
      </c>
      <c r="Z37" s="5" t="s">
        <v>46</v>
      </c>
      <c r="AA37" s="3">
        <v>48</v>
      </c>
      <c r="AB37" s="3">
        <v>102</v>
      </c>
      <c r="AC37" s="69">
        <v>0.47099999999999997</v>
      </c>
      <c r="AD37" s="3">
        <v>11</v>
      </c>
      <c r="AE37" s="3">
        <v>37</v>
      </c>
      <c r="AF37" s="69">
        <v>0.29699999999999999</v>
      </c>
      <c r="AG37" s="3">
        <v>6</v>
      </c>
      <c r="AH37" s="3">
        <v>7</v>
      </c>
      <c r="AI37" s="69">
        <v>0.85699999999999998</v>
      </c>
      <c r="AJ37" s="3">
        <v>9</v>
      </c>
      <c r="AK37" s="3">
        <v>40</v>
      </c>
      <c r="AL37" s="3">
        <v>24</v>
      </c>
      <c r="AM37" s="3">
        <v>4</v>
      </c>
      <c r="AN37" s="3">
        <v>10</v>
      </c>
      <c r="AO37" s="3">
        <v>11</v>
      </c>
      <c r="AP37" s="3">
        <v>20</v>
      </c>
      <c r="AR37" s="9"/>
    </row>
    <row r="38" spans="1:44" ht="18">
      <c r="A38" s="1">
        <v>36</v>
      </c>
      <c r="B38" s="3">
        <v>36</v>
      </c>
      <c r="C38" s="10">
        <v>43835</v>
      </c>
      <c r="D38" s="2" t="s">
        <v>284</v>
      </c>
      <c r="E38" s="3" t="s">
        <v>89</v>
      </c>
      <c r="F38" s="3" t="s">
        <v>297</v>
      </c>
      <c r="G38" s="3" t="s">
        <v>40</v>
      </c>
      <c r="H38" s="3">
        <v>106</v>
      </c>
      <c r="I38" s="3">
        <v>99</v>
      </c>
      <c r="J38" s="3">
        <v>42</v>
      </c>
      <c r="K38" s="3">
        <v>92</v>
      </c>
      <c r="L38" s="69">
        <v>0.45700000000000002</v>
      </c>
      <c r="M38" s="3">
        <v>6</v>
      </c>
      <c r="N38" s="3">
        <v>20</v>
      </c>
      <c r="O38" s="69">
        <v>0.3</v>
      </c>
      <c r="P38" s="3">
        <v>16</v>
      </c>
      <c r="Q38" s="3">
        <v>23</v>
      </c>
      <c r="R38" s="69">
        <v>0.69599999999999995</v>
      </c>
      <c r="S38" s="3">
        <v>11</v>
      </c>
      <c r="T38" s="3">
        <v>50</v>
      </c>
      <c r="U38" s="3">
        <v>23</v>
      </c>
      <c r="V38" s="3">
        <v>8</v>
      </c>
      <c r="W38" s="3">
        <v>20</v>
      </c>
      <c r="X38" s="3">
        <v>13</v>
      </c>
      <c r="Y38" s="3">
        <v>22</v>
      </c>
      <c r="Z38" s="4" t="s">
        <v>47</v>
      </c>
      <c r="AA38" s="3">
        <v>29</v>
      </c>
      <c r="AB38" s="3">
        <v>78</v>
      </c>
      <c r="AC38" s="69">
        <v>0.372</v>
      </c>
      <c r="AD38" s="3">
        <v>11</v>
      </c>
      <c r="AE38" s="3">
        <v>26</v>
      </c>
      <c r="AF38" s="69">
        <v>0.42299999999999999</v>
      </c>
      <c r="AG38" s="3">
        <v>30</v>
      </c>
      <c r="AH38" s="3">
        <v>35</v>
      </c>
      <c r="AI38" s="69">
        <v>0.85699999999999998</v>
      </c>
      <c r="AJ38" s="3">
        <v>6</v>
      </c>
      <c r="AK38" s="3">
        <v>43</v>
      </c>
      <c r="AL38" s="3">
        <v>21</v>
      </c>
      <c r="AM38" s="3">
        <v>8</v>
      </c>
      <c r="AN38" s="3">
        <v>6</v>
      </c>
      <c r="AO38" s="3">
        <v>16</v>
      </c>
      <c r="AP38" s="3">
        <v>22</v>
      </c>
      <c r="AR38" s="9"/>
    </row>
    <row r="39" spans="1:44" ht="18">
      <c r="A39" s="1">
        <v>37</v>
      </c>
      <c r="B39" s="3">
        <v>37</v>
      </c>
      <c r="C39" s="10">
        <v>43837</v>
      </c>
      <c r="D39" s="2" t="s">
        <v>284</v>
      </c>
      <c r="E39" s="3" t="s">
        <v>90</v>
      </c>
      <c r="F39" s="3" t="s">
        <v>297</v>
      </c>
      <c r="G39" s="3" t="s">
        <v>40</v>
      </c>
      <c r="H39" s="3">
        <v>117</v>
      </c>
      <c r="I39" s="3">
        <v>87</v>
      </c>
      <c r="J39" s="3">
        <v>41</v>
      </c>
      <c r="K39" s="3">
        <v>82</v>
      </c>
      <c r="L39" s="69">
        <v>0.5</v>
      </c>
      <c r="M39" s="3">
        <v>17</v>
      </c>
      <c r="N39" s="3">
        <v>36</v>
      </c>
      <c r="O39" s="69">
        <v>0.47199999999999998</v>
      </c>
      <c r="P39" s="3">
        <v>18</v>
      </c>
      <c r="Q39" s="3">
        <v>21</v>
      </c>
      <c r="R39" s="69">
        <v>0.85699999999999998</v>
      </c>
      <c r="S39" s="3">
        <v>6</v>
      </c>
      <c r="T39" s="3">
        <v>48</v>
      </c>
      <c r="U39" s="3">
        <v>27</v>
      </c>
      <c r="V39" s="3">
        <v>11</v>
      </c>
      <c r="W39" s="3">
        <v>11</v>
      </c>
      <c r="X39" s="3">
        <v>17</v>
      </c>
      <c r="Y39" s="3">
        <v>19</v>
      </c>
      <c r="Z39" s="5" t="s">
        <v>48</v>
      </c>
      <c r="AA39" s="3">
        <v>37</v>
      </c>
      <c r="AB39" s="3">
        <v>95</v>
      </c>
      <c r="AC39" s="69">
        <v>0.38900000000000001</v>
      </c>
      <c r="AD39" s="3">
        <v>4</v>
      </c>
      <c r="AE39" s="3">
        <v>20</v>
      </c>
      <c r="AF39" s="69">
        <v>0.2</v>
      </c>
      <c r="AG39" s="3">
        <v>9</v>
      </c>
      <c r="AH39" s="3">
        <v>16</v>
      </c>
      <c r="AI39" s="69">
        <v>0.56299999999999994</v>
      </c>
      <c r="AJ39" s="3">
        <v>15</v>
      </c>
      <c r="AK39" s="3">
        <v>47</v>
      </c>
      <c r="AL39" s="3">
        <v>15</v>
      </c>
      <c r="AM39" s="3">
        <v>10</v>
      </c>
      <c r="AN39" s="3">
        <v>3</v>
      </c>
      <c r="AO39" s="3">
        <v>16</v>
      </c>
      <c r="AP39" s="3">
        <v>20</v>
      </c>
      <c r="AR39" s="9"/>
    </row>
    <row r="40" spans="1:44" ht="18">
      <c r="A40" s="1">
        <v>38</v>
      </c>
      <c r="B40" s="3">
        <v>38</v>
      </c>
      <c r="C40" s="10">
        <v>43840</v>
      </c>
      <c r="D40" s="3" t="s">
        <v>283</v>
      </c>
      <c r="E40" s="3" t="s">
        <v>71</v>
      </c>
      <c r="F40" s="3" t="s">
        <v>300</v>
      </c>
      <c r="G40" s="3" t="s">
        <v>40</v>
      </c>
      <c r="H40" s="3">
        <v>129</v>
      </c>
      <c r="I40" s="3">
        <v>114</v>
      </c>
      <c r="J40" s="3">
        <v>47</v>
      </c>
      <c r="K40" s="3">
        <v>89</v>
      </c>
      <c r="L40" s="69">
        <v>0.52800000000000002</v>
      </c>
      <c r="M40" s="3">
        <v>10</v>
      </c>
      <c r="N40" s="3">
        <v>24</v>
      </c>
      <c r="O40" s="69">
        <v>0.41699999999999998</v>
      </c>
      <c r="P40" s="3">
        <v>25</v>
      </c>
      <c r="Q40" s="3">
        <v>32</v>
      </c>
      <c r="R40" s="69">
        <v>0.78100000000000003</v>
      </c>
      <c r="S40" s="3">
        <v>12</v>
      </c>
      <c r="T40" s="3">
        <v>49</v>
      </c>
      <c r="U40" s="3">
        <v>18</v>
      </c>
      <c r="V40" s="3">
        <v>6</v>
      </c>
      <c r="W40" s="3">
        <v>5</v>
      </c>
      <c r="X40" s="3">
        <v>7</v>
      </c>
      <c r="Y40" s="3">
        <v>27</v>
      </c>
      <c r="Z40" s="4" t="s">
        <v>49</v>
      </c>
      <c r="AA40" s="3">
        <v>39</v>
      </c>
      <c r="AB40" s="3">
        <v>96</v>
      </c>
      <c r="AC40" s="69">
        <v>0.40600000000000003</v>
      </c>
      <c r="AD40" s="3">
        <v>11</v>
      </c>
      <c r="AE40" s="3">
        <v>38</v>
      </c>
      <c r="AF40" s="69">
        <v>0.28899999999999998</v>
      </c>
      <c r="AG40" s="3">
        <v>25</v>
      </c>
      <c r="AH40" s="3">
        <v>37</v>
      </c>
      <c r="AI40" s="69">
        <v>0.67600000000000005</v>
      </c>
      <c r="AJ40" s="3">
        <v>17</v>
      </c>
      <c r="AK40" s="3">
        <v>47</v>
      </c>
      <c r="AL40" s="3">
        <v>19</v>
      </c>
      <c r="AM40" s="3">
        <v>4</v>
      </c>
      <c r="AN40" s="3">
        <v>3</v>
      </c>
      <c r="AO40" s="3">
        <v>9</v>
      </c>
      <c r="AP40" s="3">
        <v>20</v>
      </c>
      <c r="AR40" s="9"/>
    </row>
    <row r="41" spans="1:44" ht="18">
      <c r="A41" s="1">
        <v>39</v>
      </c>
      <c r="B41" s="3">
        <v>39</v>
      </c>
      <c r="C41" s="10">
        <v>43841</v>
      </c>
      <c r="D41" s="3" t="s">
        <v>283</v>
      </c>
      <c r="E41" s="3" t="s">
        <v>80</v>
      </c>
      <c r="F41" s="3" t="s">
        <v>299</v>
      </c>
      <c r="G41" s="3" t="s">
        <v>40</v>
      </c>
      <c r="H41" s="3">
        <v>125</v>
      </c>
      <c r="I41" s="3">
        <v>110</v>
      </c>
      <c r="J41" s="3">
        <v>51</v>
      </c>
      <c r="K41" s="3">
        <v>99</v>
      </c>
      <c r="L41" s="69">
        <v>0.51500000000000001</v>
      </c>
      <c r="M41" s="3">
        <v>15</v>
      </c>
      <c r="N41" s="3">
        <v>32</v>
      </c>
      <c r="O41" s="69">
        <v>0.46899999999999997</v>
      </c>
      <c r="P41" s="3">
        <v>8</v>
      </c>
      <c r="Q41" s="3">
        <v>10</v>
      </c>
      <c r="R41" s="69">
        <v>0.8</v>
      </c>
      <c r="S41" s="3">
        <v>12</v>
      </c>
      <c r="T41" s="3">
        <v>54</v>
      </c>
      <c r="U41" s="3">
        <v>21</v>
      </c>
      <c r="V41" s="3">
        <v>3</v>
      </c>
      <c r="W41" s="3">
        <v>4</v>
      </c>
      <c r="X41" s="3">
        <v>12</v>
      </c>
      <c r="Y41" s="3">
        <v>17</v>
      </c>
      <c r="Z41" s="5" t="s">
        <v>50</v>
      </c>
      <c r="AA41" s="3">
        <v>43</v>
      </c>
      <c r="AB41" s="3">
        <v>92</v>
      </c>
      <c r="AC41" s="69">
        <v>0.46700000000000003</v>
      </c>
      <c r="AD41" s="3">
        <v>9</v>
      </c>
      <c r="AE41" s="3">
        <v>31</v>
      </c>
      <c r="AF41" s="69">
        <v>0.28999999999999998</v>
      </c>
      <c r="AG41" s="3">
        <v>15</v>
      </c>
      <c r="AH41" s="3">
        <v>17</v>
      </c>
      <c r="AI41" s="69">
        <v>0.88200000000000001</v>
      </c>
      <c r="AJ41" s="3">
        <v>5</v>
      </c>
      <c r="AK41" s="3">
        <v>37</v>
      </c>
      <c r="AL41" s="3">
        <v>23</v>
      </c>
      <c r="AM41" s="3">
        <v>6</v>
      </c>
      <c r="AN41" s="3">
        <v>6</v>
      </c>
      <c r="AO41" s="3">
        <v>7</v>
      </c>
      <c r="AP41" s="3">
        <v>13</v>
      </c>
      <c r="AR41" s="9"/>
    </row>
    <row r="42" spans="1:44" ht="18">
      <c r="A42" s="1">
        <v>40</v>
      </c>
      <c r="B42" s="3">
        <v>40</v>
      </c>
      <c r="C42" s="10">
        <v>43843</v>
      </c>
      <c r="D42" s="2" t="s">
        <v>284</v>
      </c>
      <c r="E42" s="3" t="s">
        <v>91</v>
      </c>
      <c r="F42" s="3" t="s">
        <v>297</v>
      </c>
      <c r="G42" s="3" t="s">
        <v>40</v>
      </c>
      <c r="H42" s="3">
        <v>128</v>
      </c>
      <c r="I42" s="3">
        <v>99</v>
      </c>
      <c r="J42" s="3">
        <v>48</v>
      </c>
      <c r="K42" s="3">
        <v>88</v>
      </c>
      <c r="L42" s="69">
        <v>0.54500000000000004</v>
      </c>
      <c r="M42" s="3">
        <v>11</v>
      </c>
      <c r="N42" s="3">
        <v>30</v>
      </c>
      <c r="O42" s="69">
        <v>0.36699999999999999</v>
      </c>
      <c r="P42" s="3">
        <v>21</v>
      </c>
      <c r="Q42" s="3">
        <v>28</v>
      </c>
      <c r="R42" s="69">
        <v>0.75</v>
      </c>
      <c r="S42" s="3">
        <v>11</v>
      </c>
      <c r="T42" s="3">
        <v>45</v>
      </c>
      <c r="U42" s="3">
        <v>33</v>
      </c>
      <c r="V42" s="3">
        <v>8</v>
      </c>
      <c r="W42" s="3">
        <v>3</v>
      </c>
      <c r="X42" s="3">
        <v>9</v>
      </c>
      <c r="Y42" s="3">
        <v>25</v>
      </c>
      <c r="Z42" s="4" t="s">
        <v>51</v>
      </c>
      <c r="AA42" s="3">
        <v>38</v>
      </c>
      <c r="AB42" s="3">
        <v>85</v>
      </c>
      <c r="AC42" s="69">
        <v>0.44700000000000001</v>
      </c>
      <c r="AD42" s="3">
        <v>7</v>
      </c>
      <c r="AE42" s="3">
        <v>25</v>
      </c>
      <c r="AF42" s="69">
        <v>0.28000000000000003</v>
      </c>
      <c r="AG42" s="3">
        <v>16</v>
      </c>
      <c r="AH42" s="3">
        <v>24</v>
      </c>
      <c r="AI42" s="69">
        <v>0.66700000000000004</v>
      </c>
      <c r="AJ42" s="3">
        <v>10</v>
      </c>
      <c r="AK42" s="3">
        <v>40</v>
      </c>
      <c r="AL42" s="3">
        <v>21</v>
      </c>
      <c r="AM42" s="3">
        <v>4</v>
      </c>
      <c r="AN42" s="3">
        <v>1</v>
      </c>
      <c r="AO42" s="3">
        <v>19</v>
      </c>
      <c r="AP42" s="3">
        <v>22</v>
      </c>
      <c r="AR42" s="9"/>
    </row>
    <row r="43" spans="1:44" ht="18">
      <c r="A43" s="1">
        <v>41</v>
      </c>
      <c r="B43" s="3">
        <v>41</v>
      </c>
      <c r="C43" s="10">
        <v>43845</v>
      </c>
      <c r="D43" s="2" t="s">
        <v>284</v>
      </c>
      <c r="E43" s="3" t="s">
        <v>86</v>
      </c>
      <c r="F43" s="3" t="s">
        <v>298</v>
      </c>
      <c r="G43" s="3" t="s">
        <v>41</v>
      </c>
      <c r="H43" s="3">
        <v>118</v>
      </c>
      <c r="I43" s="3">
        <v>119</v>
      </c>
      <c r="J43" s="3">
        <v>48</v>
      </c>
      <c r="K43" s="3">
        <v>97</v>
      </c>
      <c r="L43" s="69">
        <v>0.495</v>
      </c>
      <c r="M43" s="3">
        <v>15</v>
      </c>
      <c r="N43" s="3">
        <v>38</v>
      </c>
      <c r="O43" s="69">
        <v>0.39500000000000002</v>
      </c>
      <c r="P43" s="3">
        <v>7</v>
      </c>
      <c r="Q43" s="3">
        <v>11</v>
      </c>
      <c r="R43" s="69">
        <v>0.63600000000000001</v>
      </c>
      <c r="S43" s="3">
        <v>13</v>
      </c>
      <c r="T43" s="3">
        <v>48</v>
      </c>
      <c r="U43" s="3">
        <v>34</v>
      </c>
      <c r="V43" s="3">
        <v>7</v>
      </c>
      <c r="W43" s="3">
        <v>6</v>
      </c>
      <c r="X43" s="3">
        <v>16</v>
      </c>
      <c r="Y43" s="3">
        <v>20</v>
      </c>
      <c r="Z43" s="5" t="s">
        <v>42</v>
      </c>
      <c r="AA43" s="3">
        <v>43</v>
      </c>
      <c r="AB43" s="3">
        <v>94</v>
      </c>
      <c r="AC43" s="69">
        <v>0.45700000000000002</v>
      </c>
      <c r="AD43" s="3">
        <v>10</v>
      </c>
      <c r="AE43" s="3">
        <v>26</v>
      </c>
      <c r="AF43" s="69">
        <v>0.38500000000000001</v>
      </c>
      <c r="AG43" s="3">
        <v>23</v>
      </c>
      <c r="AH43" s="3">
        <v>29</v>
      </c>
      <c r="AI43" s="69">
        <v>0.79300000000000004</v>
      </c>
      <c r="AJ43" s="3">
        <v>13</v>
      </c>
      <c r="AK43" s="3">
        <v>48</v>
      </c>
      <c r="AL43" s="3">
        <v>22</v>
      </c>
      <c r="AM43" s="3">
        <v>10</v>
      </c>
      <c r="AN43" s="3">
        <v>2</v>
      </c>
      <c r="AO43" s="3">
        <v>13</v>
      </c>
      <c r="AP43" s="3">
        <v>15</v>
      </c>
      <c r="AR43" s="9"/>
    </row>
    <row r="44" spans="1:44" ht="18">
      <c r="A44" s="1">
        <v>42</v>
      </c>
      <c r="B44" s="3">
        <v>42</v>
      </c>
      <c r="C44" s="10">
        <v>43848</v>
      </c>
      <c r="D44" s="3" t="s">
        <v>283</v>
      </c>
      <c r="E44" s="3" t="s">
        <v>92</v>
      </c>
      <c r="F44" s="3" t="s">
        <v>297</v>
      </c>
      <c r="G44" s="3" t="s">
        <v>40</v>
      </c>
      <c r="H44" s="3">
        <v>124</v>
      </c>
      <c r="I44" s="3">
        <v>115</v>
      </c>
      <c r="J44" s="3">
        <v>45</v>
      </c>
      <c r="K44" s="3">
        <v>93</v>
      </c>
      <c r="L44" s="69">
        <v>0.48399999999999999</v>
      </c>
      <c r="M44" s="3">
        <v>11</v>
      </c>
      <c r="N44" s="3">
        <v>33</v>
      </c>
      <c r="O44" s="69">
        <v>0.33300000000000002</v>
      </c>
      <c r="P44" s="3">
        <v>23</v>
      </c>
      <c r="Q44" s="3">
        <v>32</v>
      </c>
      <c r="R44" s="69">
        <v>0.71899999999999997</v>
      </c>
      <c r="S44" s="3">
        <v>15</v>
      </c>
      <c r="T44" s="3">
        <v>49</v>
      </c>
      <c r="U44" s="3">
        <v>25</v>
      </c>
      <c r="V44" s="3">
        <v>13</v>
      </c>
      <c r="W44" s="3">
        <v>9</v>
      </c>
      <c r="X44" s="3">
        <v>17</v>
      </c>
      <c r="Y44" s="3">
        <v>27</v>
      </c>
      <c r="Z44" s="4" t="s">
        <v>43</v>
      </c>
      <c r="AA44" s="3">
        <v>40</v>
      </c>
      <c r="AB44" s="3">
        <v>90</v>
      </c>
      <c r="AC44" s="69">
        <v>0.44400000000000001</v>
      </c>
      <c r="AD44" s="3">
        <v>12</v>
      </c>
      <c r="AE44" s="3">
        <v>37</v>
      </c>
      <c r="AF44" s="69">
        <v>0.32400000000000001</v>
      </c>
      <c r="AG44" s="3">
        <v>23</v>
      </c>
      <c r="AH44" s="3">
        <v>29</v>
      </c>
      <c r="AI44" s="69">
        <v>0.79300000000000004</v>
      </c>
      <c r="AJ44" s="3">
        <v>11</v>
      </c>
      <c r="AK44" s="3">
        <v>46</v>
      </c>
      <c r="AL44" s="3">
        <v>20</v>
      </c>
      <c r="AM44" s="3">
        <v>8</v>
      </c>
      <c r="AN44" s="3">
        <v>4</v>
      </c>
      <c r="AO44" s="3">
        <v>20</v>
      </c>
      <c r="AP44" s="3">
        <v>26</v>
      </c>
      <c r="AR44" s="9"/>
    </row>
    <row r="45" spans="1:44" ht="18">
      <c r="A45" s="1">
        <v>43</v>
      </c>
      <c r="B45" s="3">
        <v>43</v>
      </c>
      <c r="C45" s="10">
        <v>43850</v>
      </c>
      <c r="D45" s="3" t="s">
        <v>283</v>
      </c>
      <c r="E45" s="3" t="s">
        <v>93</v>
      </c>
      <c r="F45" s="3" t="s">
        <v>297</v>
      </c>
      <c r="G45" s="3" t="s">
        <v>41</v>
      </c>
      <c r="H45" s="3">
        <v>107</v>
      </c>
      <c r="I45" s="3">
        <v>139</v>
      </c>
      <c r="J45" s="3">
        <v>39</v>
      </c>
      <c r="K45" s="3">
        <v>89</v>
      </c>
      <c r="L45" s="69">
        <v>0.438</v>
      </c>
      <c r="M45" s="3">
        <v>7</v>
      </c>
      <c r="N45" s="3">
        <v>26</v>
      </c>
      <c r="O45" s="69">
        <v>0.26900000000000002</v>
      </c>
      <c r="P45" s="3">
        <v>22</v>
      </c>
      <c r="Q45" s="3">
        <v>29</v>
      </c>
      <c r="R45" s="69">
        <v>0.75900000000000001</v>
      </c>
      <c r="S45" s="3">
        <v>12</v>
      </c>
      <c r="T45" s="3">
        <v>36</v>
      </c>
      <c r="U45" s="3">
        <v>22</v>
      </c>
      <c r="V45" s="3">
        <v>5</v>
      </c>
      <c r="W45" s="3">
        <v>8</v>
      </c>
      <c r="X45" s="3">
        <v>15</v>
      </c>
      <c r="Y45" s="3">
        <v>23</v>
      </c>
      <c r="Z45" s="5" t="s">
        <v>42</v>
      </c>
      <c r="AA45" s="3">
        <v>52</v>
      </c>
      <c r="AB45" s="3">
        <v>93</v>
      </c>
      <c r="AC45" s="69">
        <v>0.55900000000000005</v>
      </c>
      <c r="AD45" s="3">
        <v>16</v>
      </c>
      <c r="AE45" s="3">
        <v>34</v>
      </c>
      <c r="AF45" s="69">
        <v>0.47099999999999997</v>
      </c>
      <c r="AG45" s="3">
        <v>19</v>
      </c>
      <c r="AH45" s="3">
        <v>29</v>
      </c>
      <c r="AI45" s="69">
        <v>0.65500000000000003</v>
      </c>
      <c r="AJ45" s="3">
        <v>14</v>
      </c>
      <c r="AK45" s="3">
        <v>48</v>
      </c>
      <c r="AL45" s="3">
        <v>31</v>
      </c>
      <c r="AM45" s="3">
        <v>10</v>
      </c>
      <c r="AN45" s="3">
        <v>5</v>
      </c>
      <c r="AO45" s="3">
        <v>12</v>
      </c>
      <c r="AP45" s="3">
        <v>26</v>
      </c>
      <c r="AR45" s="9"/>
    </row>
    <row r="46" spans="1:44" ht="18">
      <c r="A46" s="1">
        <v>44</v>
      </c>
      <c r="B46" s="3">
        <v>44</v>
      </c>
      <c r="C46" s="10">
        <v>43852</v>
      </c>
      <c r="D46" s="3" t="s">
        <v>283</v>
      </c>
      <c r="E46" s="3" t="s">
        <v>90</v>
      </c>
      <c r="F46" s="3" t="s">
        <v>298</v>
      </c>
      <c r="G46" s="3" t="s">
        <v>40</v>
      </c>
      <c r="H46" s="3">
        <v>100</v>
      </c>
      <c r="I46" s="3">
        <v>92</v>
      </c>
      <c r="J46" s="3">
        <v>36</v>
      </c>
      <c r="K46" s="3">
        <v>82</v>
      </c>
      <c r="L46" s="69">
        <v>0.439</v>
      </c>
      <c r="M46" s="3">
        <v>9</v>
      </c>
      <c r="N46" s="3">
        <v>27</v>
      </c>
      <c r="O46" s="69">
        <v>0.33300000000000002</v>
      </c>
      <c r="P46" s="3">
        <v>19</v>
      </c>
      <c r="Q46" s="3">
        <v>28</v>
      </c>
      <c r="R46" s="69">
        <v>0.67900000000000005</v>
      </c>
      <c r="S46" s="3">
        <v>11</v>
      </c>
      <c r="T46" s="3">
        <v>43</v>
      </c>
      <c r="U46" s="3">
        <v>18</v>
      </c>
      <c r="V46" s="3">
        <v>13</v>
      </c>
      <c r="W46" s="3">
        <v>8</v>
      </c>
      <c r="X46" s="3">
        <v>10</v>
      </c>
      <c r="Y46" s="3">
        <v>14</v>
      </c>
      <c r="Z46" s="4" t="s">
        <v>43</v>
      </c>
      <c r="AA46" s="3">
        <v>36</v>
      </c>
      <c r="AB46" s="3">
        <v>88</v>
      </c>
      <c r="AC46" s="69">
        <v>0.40899999999999997</v>
      </c>
      <c r="AD46" s="3">
        <v>11</v>
      </c>
      <c r="AE46" s="3">
        <v>34</v>
      </c>
      <c r="AF46" s="69">
        <v>0.32400000000000001</v>
      </c>
      <c r="AG46" s="3">
        <v>9</v>
      </c>
      <c r="AH46" s="3">
        <v>13</v>
      </c>
      <c r="AI46" s="69">
        <v>0.69199999999999995</v>
      </c>
      <c r="AJ46" s="3">
        <v>13</v>
      </c>
      <c r="AK46" s="3">
        <v>47</v>
      </c>
      <c r="AL46" s="3">
        <v>24</v>
      </c>
      <c r="AM46" s="3">
        <v>4</v>
      </c>
      <c r="AN46" s="3">
        <v>4</v>
      </c>
      <c r="AO46" s="3">
        <v>17</v>
      </c>
      <c r="AP46" s="3">
        <v>23</v>
      </c>
      <c r="AR46" s="9"/>
    </row>
    <row r="47" spans="1:44" ht="18">
      <c r="A47" s="1">
        <v>45</v>
      </c>
      <c r="B47" s="3">
        <v>45</v>
      </c>
      <c r="C47" s="10">
        <v>43853</v>
      </c>
      <c r="D47" s="3" t="s">
        <v>283</v>
      </c>
      <c r="E47" s="3" t="s">
        <v>94</v>
      </c>
      <c r="F47" s="3" t="s">
        <v>297</v>
      </c>
      <c r="G47" s="3" t="s">
        <v>40</v>
      </c>
      <c r="H47" s="3">
        <v>128</v>
      </c>
      <c r="I47" s="3">
        <v>113</v>
      </c>
      <c r="J47" s="3">
        <v>47</v>
      </c>
      <c r="K47" s="3">
        <v>94</v>
      </c>
      <c r="L47" s="69">
        <v>0.5</v>
      </c>
      <c r="M47" s="3">
        <v>19</v>
      </c>
      <c r="N47" s="3">
        <v>38</v>
      </c>
      <c r="O47" s="69">
        <v>0.5</v>
      </c>
      <c r="P47" s="3">
        <v>15</v>
      </c>
      <c r="Q47" s="3">
        <v>20</v>
      </c>
      <c r="R47" s="69">
        <v>0.75</v>
      </c>
      <c r="S47" s="3">
        <v>11</v>
      </c>
      <c r="T47" s="3">
        <v>52</v>
      </c>
      <c r="U47" s="3">
        <v>28</v>
      </c>
      <c r="V47" s="3">
        <v>9</v>
      </c>
      <c r="W47" s="3">
        <v>6</v>
      </c>
      <c r="X47" s="3">
        <v>15</v>
      </c>
      <c r="Y47" s="3">
        <v>15</v>
      </c>
      <c r="Z47" s="5" t="s">
        <v>44</v>
      </c>
      <c r="AA47" s="3">
        <v>40</v>
      </c>
      <c r="AB47" s="3">
        <v>91</v>
      </c>
      <c r="AC47" s="69">
        <v>0.44</v>
      </c>
      <c r="AD47" s="3">
        <v>21</v>
      </c>
      <c r="AE47" s="3">
        <v>46</v>
      </c>
      <c r="AF47" s="69">
        <v>0.45700000000000002</v>
      </c>
      <c r="AG47" s="3">
        <v>12</v>
      </c>
      <c r="AH47" s="3">
        <v>15</v>
      </c>
      <c r="AI47" s="69">
        <v>0.8</v>
      </c>
      <c r="AJ47" s="3">
        <v>8</v>
      </c>
      <c r="AK47" s="3">
        <v>41</v>
      </c>
      <c r="AL47" s="3">
        <v>30</v>
      </c>
      <c r="AM47" s="3">
        <v>12</v>
      </c>
      <c r="AN47" s="3">
        <v>3</v>
      </c>
      <c r="AO47" s="3">
        <v>16</v>
      </c>
      <c r="AP47" s="3">
        <v>17</v>
      </c>
      <c r="AR47" s="9"/>
    </row>
    <row r="48" spans="1:44" ht="18">
      <c r="A48" s="1">
        <v>46</v>
      </c>
      <c r="B48" s="3">
        <v>46</v>
      </c>
      <c r="C48" s="10">
        <v>43855</v>
      </c>
      <c r="D48" s="3" t="s">
        <v>283</v>
      </c>
      <c r="E48" s="3" t="s">
        <v>95</v>
      </c>
      <c r="F48" s="3" t="s">
        <v>297</v>
      </c>
      <c r="G48" s="3" t="s">
        <v>41</v>
      </c>
      <c r="H48" s="3">
        <v>91</v>
      </c>
      <c r="I48" s="3">
        <v>108</v>
      </c>
      <c r="J48" s="3">
        <v>35</v>
      </c>
      <c r="K48" s="3">
        <v>76</v>
      </c>
      <c r="L48" s="69">
        <v>0.46100000000000002</v>
      </c>
      <c r="M48" s="3">
        <v>6</v>
      </c>
      <c r="N48" s="3">
        <v>31</v>
      </c>
      <c r="O48" s="69">
        <v>0.19400000000000001</v>
      </c>
      <c r="P48" s="3">
        <v>15</v>
      </c>
      <c r="Q48" s="3">
        <v>23</v>
      </c>
      <c r="R48" s="69">
        <v>0.65200000000000002</v>
      </c>
      <c r="S48" s="3">
        <v>6</v>
      </c>
      <c r="T48" s="3">
        <v>35</v>
      </c>
      <c r="U48" s="3">
        <v>23</v>
      </c>
      <c r="V48" s="3">
        <v>12</v>
      </c>
      <c r="W48" s="3">
        <v>1</v>
      </c>
      <c r="X48" s="3">
        <v>21</v>
      </c>
      <c r="Y48" s="3">
        <v>18</v>
      </c>
      <c r="Z48" s="4" t="s">
        <v>42</v>
      </c>
      <c r="AA48" s="3">
        <v>41</v>
      </c>
      <c r="AB48" s="3">
        <v>78</v>
      </c>
      <c r="AC48" s="69">
        <v>0.52600000000000002</v>
      </c>
      <c r="AD48" s="3">
        <v>13</v>
      </c>
      <c r="AE48" s="3">
        <v>37</v>
      </c>
      <c r="AF48" s="69">
        <v>0.35099999999999998</v>
      </c>
      <c r="AG48" s="3">
        <v>13</v>
      </c>
      <c r="AH48" s="3">
        <v>19</v>
      </c>
      <c r="AI48" s="69">
        <v>0.68400000000000005</v>
      </c>
      <c r="AJ48" s="3">
        <v>8</v>
      </c>
      <c r="AK48" s="3">
        <v>41</v>
      </c>
      <c r="AL48" s="3">
        <v>19</v>
      </c>
      <c r="AM48" s="3">
        <v>12</v>
      </c>
      <c r="AN48" s="3">
        <v>3</v>
      </c>
      <c r="AO48" s="3">
        <v>21</v>
      </c>
      <c r="AP48" s="3">
        <v>18</v>
      </c>
      <c r="AR48" s="9"/>
    </row>
    <row r="49" spans="1:44" ht="18">
      <c r="A49" s="1">
        <v>47</v>
      </c>
      <c r="B49" s="3">
        <v>47</v>
      </c>
      <c r="C49" s="10">
        <v>43861</v>
      </c>
      <c r="D49" s="2" t="s">
        <v>284</v>
      </c>
      <c r="E49" s="3" t="s">
        <v>84</v>
      </c>
      <c r="F49" s="3" t="s">
        <v>299</v>
      </c>
      <c r="G49" s="3" t="s">
        <v>41</v>
      </c>
      <c r="H49" s="3">
        <v>119</v>
      </c>
      <c r="I49" s="3">
        <v>127</v>
      </c>
      <c r="J49" s="3">
        <v>45</v>
      </c>
      <c r="K49" s="3">
        <v>96</v>
      </c>
      <c r="L49" s="69">
        <v>0.46899999999999997</v>
      </c>
      <c r="M49" s="3">
        <v>11</v>
      </c>
      <c r="N49" s="3">
        <v>32</v>
      </c>
      <c r="O49" s="69">
        <v>0.34399999999999997</v>
      </c>
      <c r="P49" s="3">
        <v>18</v>
      </c>
      <c r="Q49" s="3">
        <v>28</v>
      </c>
      <c r="R49" s="69">
        <v>0.64300000000000002</v>
      </c>
      <c r="S49" s="3">
        <v>19</v>
      </c>
      <c r="T49" s="3">
        <v>62</v>
      </c>
      <c r="U49" s="3">
        <v>28</v>
      </c>
      <c r="V49" s="3">
        <v>2</v>
      </c>
      <c r="W49" s="3">
        <v>10</v>
      </c>
      <c r="X49" s="3">
        <v>18</v>
      </c>
      <c r="Y49" s="3">
        <v>21</v>
      </c>
      <c r="Z49" s="5" t="s">
        <v>53</v>
      </c>
      <c r="AA49" s="3">
        <v>49</v>
      </c>
      <c r="AB49" s="3">
        <v>97</v>
      </c>
      <c r="AC49" s="69">
        <v>0.505</v>
      </c>
      <c r="AD49" s="3">
        <v>13</v>
      </c>
      <c r="AE49" s="3">
        <v>36</v>
      </c>
      <c r="AF49" s="69">
        <v>0.36099999999999999</v>
      </c>
      <c r="AG49" s="3">
        <v>16</v>
      </c>
      <c r="AH49" s="3">
        <v>21</v>
      </c>
      <c r="AI49" s="69">
        <v>0.76200000000000001</v>
      </c>
      <c r="AJ49" s="3">
        <v>6</v>
      </c>
      <c r="AK49" s="3">
        <v>40</v>
      </c>
      <c r="AL49" s="3">
        <v>25</v>
      </c>
      <c r="AM49" s="3">
        <v>10</v>
      </c>
      <c r="AN49" s="3">
        <v>8</v>
      </c>
      <c r="AO49" s="3">
        <v>5</v>
      </c>
      <c r="AP49" s="3">
        <v>22</v>
      </c>
      <c r="AR49" s="9"/>
    </row>
    <row r="50" spans="1:44" ht="18">
      <c r="A50" s="1">
        <v>48</v>
      </c>
      <c r="B50" s="3">
        <v>48</v>
      </c>
      <c r="C50" s="10">
        <v>43862</v>
      </c>
      <c r="D50" s="3" t="s">
        <v>283</v>
      </c>
      <c r="E50" s="3" t="s">
        <v>78</v>
      </c>
      <c r="F50" s="3" t="s">
        <v>298</v>
      </c>
      <c r="G50" s="3" t="s">
        <v>40</v>
      </c>
      <c r="H50" s="3">
        <v>129</v>
      </c>
      <c r="I50" s="3">
        <v>113</v>
      </c>
      <c r="J50" s="3">
        <v>44</v>
      </c>
      <c r="K50" s="3">
        <v>86</v>
      </c>
      <c r="L50" s="69">
        <v>0.51200000000000001</v>
      </c>
      <c r="M50" s="3">
        <v>19</v>
      </c>
      <c r="N50" s="3">
        <v>43</v>
      </c>
      <c r="O50" s="69">
        <v>0.442</v>
      </c>
      <c r="P50" s="3">
        <v>22</v>
      </c>
      <c r="Q50" s="3">
        <v>27</v>
      </c>
      <c r="R50" s="69">
        <v>0.81499999999999995</v>
      </c>
      <c r="S50" s="3">
        <v>11</v>
      </c>
      <c r="T50" s="3">
        <v>46</v>
      </c>
      <c r="U50" s="3">
        <v>33</v>
      </c>
      <c r="V50" s="3">
        <v>10</v>
      </c>
      <c r="W50" s="3">
        <v>5</v>
      </c>
      <c r="X50" s="3">
        <v>14</v>
      </c>
      <c r="Y50" s="3">
        <v>22</v>
      </c>
      <c r="Z50" s="4" t="s">
        <v>43</v>
      </c>
      <c r="AA50" s="3">
        <v>39</v>
      </c>
      <c r="AB50" s="3">
        <v>91</v>
      </c>
      <c r="AC50" s="69">
        <v>0.42899999999999999</v>
      </c>
      <c r="AD50" s="3">
        <v>14</v>
      </c>
      <c r="AE50" s="3">
        <v>44</v>
      </c>
      <c r="AF50" s="69">
        <v>0.318</v>
      </c>
      <c r="AG50" s="3">
        <v>21</v>
      </c>
      <c r="AH50" s="3">
        <v>26</v>
      </c>
      <c r="AI50" s="69">
        <v>0.80800000000000005</v>
      </c>
      <c r="AJ50" s="3">
        <v>13</v>
      </c>
      <c r="AK50" s="3">
        <v>44</v>
      </c>
      <c r="AL50" s="3">
        <v>21</v>
      </c>
      <c r="AM50" s="3">
        <v>5</v>
      </c>
      <c r="AN50" s="3">
        <v>4</v>
      </c>
      <c r="AO50" s="3">
        <v>16</v>
      </c>
      <c r="AP50" s="3">
        <v>24</v>
      </c>
      <c r="AR50" s="9"/>
    </row>
    <row r="51" spans="1:44" ht="18">
      <c r="A51" s="1">
        <v>49</v>
      </c>
      <c r="B51" s="3">
        <v>49</v>
      </c>
      <c r="C51" s="10">
        <v>43865</v>
      </c>
      <c r="D51" s="2" t="s">
        <v>284</v>
      </c>
      <c r="E51" s="3" t="s">
        <v>72</v>
      </c>
      <c r="F51" s="3" t="s">
        <v>299</v>
      </c>
      <c r="G51" s="3" t="s">
        <v>40</v>
      </c>
      <c r="H51" s="3">
        <v>129</v>
      </c>
      <c r="I51" s="3">
        <v>102</v>
      </c>
      <c r="J51" s="3">
        <v>50</v>
      </c>
      <c r="K51" s="3">
        <v>85</v>
      </c>
      <c r="L51" s="69">
        <v>0.58799999999999997</v>
      </c>
      <c r="M51" s="3">
        <v>12</v>
      </c>
      <c r="N51" s="3">
        <v>28</v>
      </c>
      <c r="O51" s="69">
        <v>0.42899999999999999</v>
      </c>
      <c r="P51" s="3">
        <v>17</v>
      </c>
      <c r="Q51" s="3">
        <v>25</v>
      </c>
      <c r="R51" s="69">
        <v>0.68</v>
      </c>
      <c r="S51" s="3">
        <v>12</v>
      </c>
      <c r="T51" s="3">
        <v>58</v>
      </c>
      <c r="U51" s="3">
        <v>28</v>
      </c>
      <c r="V51" s="3">
        <v>5</v>
      </c>
      <c r="W51" s="3">
        <v>4</v>
      </c>
      <c r="X51" s="3">
        <v>14</v>
      </c>
      <c r="Y51" s="3">
        <v>15</v>
      </c>
      <c r="Z51" s="5" t="s">
        <v>44</v>
      </c>
      <c r="AA51" s="3">
        <v>40</v>
      </c>
      <c r="AB51" s="3">
        <v>91</v>
      </c>
      <c r="AC51" s="69">
        <v>0.44</v>
      </c>
      <c r="AD51" s="3">
        <v>13</v>
      </c>
      <c r="AE51" s="3">
        <v>27</v>
      </c>
      <c r="AF51" s="69">
        <v>0.48099999999999998</v>
      </c>
      <c r="AG51" s="3">
        <v>9</v>
      </c>
      <c r="AH51" s="3">
        <v>15</v>
      </c>
      <c r="AI51" s="69">
        <v>0.6</v>
      </c>
      <c r="AJ51" s="3">
        <v>7</v>
      </c>
      <c r="AK51" s="3">
        <v>28</v>
      </c>
      <c r="AL51" s="3">
        <v>21</v>
      </c>
      <c r="AM51" s="3">
        <v>6</v>
      </c>
      <c r="AN51" s="3">
        <v>2</v>
      </c>
      <c r="AO51" s="3">
        <v>6</v>
      </c>
      <c r="AP51" s="3">
        <v>16</v>
      </c>
      <c r="AR51" s="9"/>
    </row>
    <row r="52" spans="1:44" ht="18">
      <c r="A52" s="1">
        <v>50</v>
      </c>
      <c r="B52" s="3">
        <v>50</v>
      </c>
      <c r="C52" s="10">
        <v>43867</v>
      </c>
      <c r="D52" s="2" t="s">
        <v>284</v>
      </c>
      <c r="E52" s="3" t="s">
        <v>92</v>
      </c>
      <c r="F52" s="3" t="s">
        <v>298</v>
      </c>
      <c r="G52" s="3" t="s">
        <v>41</v>
      </c>
      <c r="H52" s="3">
        <v>111</v>
      </c>
      <c r="I52" s="3">
        <v>121</v>
      </c>
      <c r="J52" s="3">
        <v>45</v>
      </c>
      <c r="K52" s="3">
        <v>91</v>
      </c>
      <c r="L52" s="69">
        <v>0.495</v>
      </c>
      <c r="M52" s="3">
        <v>9</v>
      </c>
      <c r="N52" s="3">
        <v>31</v>
      </c>
      <c r="O52" s="69">
        <v>0.28999999999999998</v>
      </c>
      <c r="P52" s="3">
        <v>12</v>
      </c>
      <c r="Q52" s="3">
        <v>16</v>
      </c>
      <c r="R52" s="69">
        <v>0.75</v>
      </c>
      <c r="S52" s="3">
        <v>6</v>
      </c>
      <c r="T52" s="3">
        <v>38</v>
      </c>
      <c r="U52" s="3">
        <v>33</v>
      </c>
      <c r="V52" s="3">
        <v>10</v>
      </c>
      <c r="W52" s="3">
        <v>4</v>
      </c>
      <c r="X52" s="3">
        <v>15</v>
      </c>
      <c r="Y52" s="3">
        <v>18</v>
      </c>
      <c r="Z52" s="4" t="s">
        <v>42</v>
      </c>
      <c r="AA52" s="3">
        <v>43</v>
      </c>
      <c r="AB52" s="3">
        <v>85</v>
      </c>
      <c r="AC52" s="69">
        <v>0.50600000000000001</v>
      </c>
      <c r="AD52" s="3">
        <v>19</v>
      </c>
      <c r="AE52" s="3">
        <v>42</v>
      </c>
      <c r="AF52" s="69">
        <v>0.45200000000000001</v>
      </c>
      <c r="AG52" s="3">
        <v>16</v>
      </c>
      <c r="AH52" s="3">
        <v>18</v>
      </c>
      <c r="AI52" s="69">
        <v>0.88900000000000001</v>
      </c>
      <c r="AJ52" s="3">
        <v>6</v>
      </c>
      <c r="AK52" s="3">
        <v>37</v>
      </c>
      <c r="AL52" s="3">
        <v>20</v>
      </c>
      <c r="AM52" s="3">
        <v>8</v>
      </c>
      <c r="AN52" s="3">
        <v>4</v>
      </c>
      <c r="AO52" s="3">
        <v>16</v>
      </c>
      <c r="AP52" s="3">
        <v>22</v>
      </c>
      <c r="AR52" s="9"/>
    </row>
    <row r="53" spans="1:44" ht="18">
      <c r="A53" s="1">
        <v>51</v>
      </c>
      <c r="B53" s="3">
        <v>51</v>
      </c>
      <c r="C53" s="10">
        <v>43869</v>
      </c>
      <c r="D53" s="3" t="s">
        <v>283</v>
      </c>
      <c r="E53" s="3" t="s">
        <v>77</v>
      </c>
      <c r="F53" s="3" t="s">
        <v>298</v>
      </c>
      <c r="G53" s="3" t="s">
        <v>40</v>
      </c>
      <c r="H53" s="3">
        <v>125</v>
      </c>
      <c r="I53" s="3">
        <v>120</v>
      </c>
      <c r="J53" s="3">
        <v>43</v>
      </c>
      <c r="K53" s="3">
        <v>82</v>
      </c>
      <c r="L53" s="69">
        <v>0.52400000000000002</v>
      </c>
      <c r="M53" s="3">
        <v>14</v>
      </c>
      <c r="N53" s="3">
        <v>29</v>
      </c>
      <c r="O53" s="69">
        <v>0.48299999999999998</v>
      </c>
      <c r="P53" s="3">
        <v>25</v>
      </c>
      <c r="Q53" s="3">
        <v>34</v>
      </c>
      <c r="R53" s="69">
        <v>0.73499999999999999</v>
      </c>
      <c r="S53" s="3">
        <v>12</v>
      </c>
      <c r="T53" s="3">
        <v>47</v>
      </c>
      <c r="U53" s="3">
        <v>29</v>
      </c>
      <c r="V53" s="3">
        <v>11</v>
      </c>
      <c r="W53" s="3">
        <v>2</v>
      </c>
      <c r="X53" s="3">
        <v>24</v>
      </c>
      <c r="Y53" s="3">
        <v>22</v>
      </c>
      <c r="Z53" s="5" t="s">
        <v>43</v>
      </c>
      <c r="AA53" s="3">
        <v>46</v>
      </c>
      <c r="AB53" s="3">
        <v>89</v>
      </c>
      <c r="AC53" s="69">
        <v>0.51700000000000002</v>
      </c>
      <c r="AD53" s="3">
        <v>13</v>
      </c>
      <c r="AE53" s="3">
        <v>32</v>
      </c>
      <c r="AF53" s="69">
        <v>0.40600000000000003</v>
      </c>
      <c r="AG53" s="3">
        <v>15</v>
      </c>
      <c r="AH53" s="3">
        <v>23</v>
      </c>
      <c r="AI53" s="69">
        <v>0.65200000000000002</v>
      </c>
      <c r="AJ53" s="3">
        <v>8</v>
      </c>
      <c r="AK53" s="3">
        <v>33</v>
      </c>
      <c r="AL53" s="3">
        <v>31</v>
      </c>
      <c r="AM53" s="3">
        <v>15</v>
      </c>
      <c r="AN53" s="3">
        <v>6</v>
      </c>
      <c r="AO53" s="3">
        <v>18</v>
      </c>
      <c r="AP53" s="3">
        <v>27</v>
      </c>
      <c r="AR53" s="9"/>
    </row>
    <row r="54" spans="1:44" ht="18">
      <c r="A54" s="1">
        <v>52</v>
      </c>
      <c r="B54" s="3">
        <v>52</v>
      </c>
      <c r="C54" s="10">
        <v>43871</v>
      </c>
      <c r="D54" s="2" t="s">
        <v>284</v>
      </c>
      <c r="E54" s="3" t="s">
        <v>76</v>
      </c>
      <c r="F54" s="3" t="s">
        <v>299</v>
      </c>
      <c r="G54" s="3" t="s">
        <v>40</v>
      </c>
      <c r="H54" s="3">
        <v>125</v>
      </c>
      <c r="I54" s="3">
        <v>100</v>
      </c>
      <c r="J54" s="3">
        <v>47</v>
      </c>
      <c r="K54" s="3">
        <v>91</v>
      </c>
      <c r="L54" s="69">
        <v>0.51600000000000001</v>
      </c>
      <c r="M54" s="3">
        <v>14</v>
      </c>
      <c r="N54" s="3">
        <v>37</v>
      </c>
      <c r="O54" s="69">
        <v>0.378</v>
      </c>
      <c r="P54" s="3">
        <v>17</v>
      </c>
      <c r="Q54" s="3">
        <v>25</v>
      </c>
      <c r="R54" s="69">
        <v>0.68</v>
      </c>
      <c r="S54" s="3">
        <v>16</v>
      </c>
      <c r="T54" s="3">
        <v>59</v>
      </c>
      <c r="U54" s="3">
        <v>28</v>
      </c>
      <c r="V54" s="3">
        <v>8</v>
      </c>
      <c r="W54" s="3">
        <v>4</v>
      </c>
      <c r="X54" s="3">
        <v>16</v>
      </c>
      <c r="Y54" s="3">
        <v>22</v>
      </c>
      <c r="Z54" s="4" t="s">
        <v>44</v>
      </c>
      <c r="AA54" s="3">
        <v>32</v>
      </c>
      <c r="AB54" s="3">
        <v>76</v>
      </c>
      <c r="AC54" s="69">
        <v>0.42099999999999999</v>
      </c>
      <c r="AD54" s="3">
        <v>11</v>
      </c>
      <c r="AE54" s="3">
        <v>31</v>
      </c>
      <c r="AF54" s="69">
        <v>0.35499999999999998</v>
      </c>
      <c r="AG54" s="3">
        <v>25</v>
      </c>
      <c r="AH54" s="3">
        <v>31</v>
      </c>
      <c r="AI54" s="69">
        <v>0.80600000000000005</v>
      </c>
      <c r="AJ54" s="3">
        <v>3</v>
      </c>
      <c r="AK54" s="3">
        <v>29</v>
      </c>
      <c r="AL54" s="3">
        <v>26</v>
      </c>
      <c r="AM54" s="3">
        <v>7</v>
      </c>
      <c r="AN54" s="3">
        <v>2</v>
      </c>
      <c r="AO54" s="3">
        <v>13</v>
      </c>
      <c r="AP54" s="3">
        <v>19</v>
      </c>
      <c r="AR54" s="9"/>
    </row>
    <row r="55" spans="1:44" ht="18">
      <c r="A55" s="1">
        <v>53</v>
      </c>
      <c r="B55" s="3">
        <v>53</v>
      </c>
      <c r="C55" s="10">
        <v>43873</v>
      </c>
      <c r="D55" s="3" t="s">
        <v>283</v>
      </c>
      <c r="E55" s="3" t="s">
        <v>83</v>
      </c>
      <c r="F55" s="3" t="s">
        <v>299</v>
      </c>
      <c r="G55" s="3" t="s">
        <v>40</v>
      </c>
      <c r="H55" s="3">
        <v>120</v>
      </c>
      <c r="I55" s="3">
        <v>116</v>
      </c>
      <c r="J55" s="3">
        <v>47</v>
      </c>
      <c r="K55" s="3">
        <v>93</v>
      </c>
      <c r="L55" s="69">
        <v>0.505</v>
      </c>
      <c r="M55" s="3">
        <v>12</v>
      </c>
      <c r="N55" s="3">
        <v>33</v>
      </c>
      <c r="O55" s="69">
        <v>0.36399999999999999</v>
      </c>
      <c r="P55" s="3">
        <v>14</v>
      </c>
      <c r="Q55" s="3">
        <v>27</v>
      </c>
      <c r="R55" s="69">
        <v>0.51900000000000002</v>
      </c>
      <c r="S55" s="3">
        <v>10</v>
      </c>
      <c r="T55" s="3">
        <v>49</v>
      </c>
      <c r="U55" s="3">
        <v>29</v>
      </c>
      <c r="V55" s="3">
        <v>8</v>
      </c>
      <c r="W55" s="3">
        <v>4</v>
      </c>
      <c r="X55" s="3">
        <v>12</v>
      </c>
      <c r="Y55" s="3">
        <v>22</v>
      </c>
      <c r="Z55" s="5" t="s">
        <v>45</v>
      </c>
      <c r="AA55" s="3">
        <v>44</v>
      </c>
      <c r="AB55" s="3">
        <v>88</v>
      </c>
      <c r="AC55" s="69">
        <v>0.5</v>
      </c>
      <c r="AD55" s="3">
        <v>11</v>
      </c>
      <c r="AE55" s="3">
        <v>25</v>
      </c>
      <c r="AF55" s="69">
        <v>0.44</v>
      </c>
      <c r="AG55" s="3">
        <v>17</v>
      </c>
      <c r="AH55" s="3">
        <v>22</v>
      </c>
      <c r="AI55" s="69">
        <v>0.77300000000000002</v>
      </c>
      <c r="AJ55" s="3">
        <v>3</v>
      </c>
      <c r="AK55" s="3">
        <v>42</v>
      </c>
      <c r="AL55" s="3">
        <v>32</v>
      </c>
      <c r="AM55" s="3">
        <v>9</v>
      </c>
      <c r="AN55" s="3">
        <v>2</v>
      </c>
      <c r="AO55" s="3">
        <v>10</v>
      </c>
      <c r="AP55" s="3">
        <v>26</v>
      </c>
      <c r="AR55" s="9"/>
    </row>
    <row r="56" spans="1:44" ht="18">
      <c r="A56" s="1">
        <v>54</v>
      </c>
      <c r="B56" s="3">
        <v>54</v>
      </c>
      <c r="C56" s="10">
        <v>43882</v>
      </c>
      <c r="D56" s="2" t="s">
        <v>284</v>
      </c>
      <c r="E56" s="3" t="s">
        <v>70</v>
      </c>
      <c r="F56" s="3" t="s">
        <v>299</v>
      </c>
      <c r="G56" s="3" t="s">
        <v>40</v>
      </c>
      <c r="H56" s="3">
        <v>117</v>
      </c>
      <c r="I56" s="3">
        <v>105</v>
      </c>
      <c r="J56" s="3">
        <v>41</v>
      </c>
      <c r="K56" s="3">
        <v>86</v>
      </c>
      <c r="L56" s="69">
        <v>0.47699999999999998</v>
      </c>
      <c r="M56" s="3">
        <v>9</v>
      </c>
      <c r="N56" s="3">
        <v>29</v>
      </c>
      <c r="O56" s="69">
        <v>0.31</v>
      </c>
      <c r="P56" s="3">
        <v>26</v>
      </c>
      <c r="Q56" s="3">
        <v>40</v>
      </c>
      <c r="R56" s="69">
        <v>0.65</v>
      </c>
      <c r="S56" s="3">
        <v>12</v>
      </c>
      <c r="T56" s="3">
        <v>49</v>
      </c>
      <c r="U56" s="3">
        <v>25</v>
      </c>
      <c r="V56" s="3">
        <v>9</v>
      </c>
      <c r="W56" s="3">
        <v>14</v>
      </c>
      <c r="X56" s="3">
        <v>14</v>
      </c>
      <c r="Y56" s="3">
        <v>24</v>
      </c>
      <c r="Z56" s="4" t="s">
        <v>46</v>
      </c>
      <c r="AA56" s="3">
        <v>42</v>
      </c>
      <c r="AB56" s="3">
        <v>92</v>
      </c>
      <c r="AC56" s="69">
        <v>0.45700000000000002</v>
      </c>
      <c r="AD56" s="3">
        <v>5</v>
      </c>
      <c r="AE56" s="3">
        <v>15</v>
      </c>
      <c r="AF56" s="69">
        <v>0.33300000000000002</v>
      </c>
      <c r="AG56" s="3">
        <v>16</v>
      </c>
      <c r="AH56" s="3">
        <v>31</v>
      </c>
      <c r="AI56" s="69">
        <v>0.51600000000000001</v>
      </c>
      <c r="AJ56" s="3">
        <v>16</v>
      </c>
      <c r="AK56" s="3">
        <v>50</v>
      </c>
      <c r="AL56" s="3">
        <v>22</v>
      </c>
      <c r="AM56" s="3">
        <v>9</v>
      </c>
      <c r="AN56" s="3">
        <v>1</v>
      </c>
      <c r="AO56" s="3">
        <v>16</v>
      </c>
      <c r="AP56" s="3">
        <v>27</v>
      </c>
      <c r="AR56" s="9"/>
    </row>
    <row r="57" spans="1:44" ht="18">
      <c r="A57" s="1">
        <v>55</v>
      </c>
      <c r="B57" s="3">
        <v>55</v>
      </c>
      <c r="C57" s="10">
        <v>43884</v>
      </c>
      <c r="D57" s="2" t="s">
        <v>284</v>
      </c>
      <c r="E57" s="3" t="s">
        <v>93</v>
      </c>
      <c r="F57" s="3" t="s">
        <v>298</v>
      </c>
      <c r="G57" s="3" t="s">
        <v>40</v>
      </c>
      <c r="H57" s="3">
        <v>114</v>
      </c>
      <c r="I57" s="3">
        <v>112</v>
      </c>
      <c r="J57" s="3">
        <v>39</v>
      </c>
      <c r="K57" s="3">
        <v>86</v>
      </c>
      <c r="L57" s="69">
        <v>0.45300000000000001</v>
      </c>
      <c r="M57" s="3">
        <v>11</v>
      </c>
      <c r="N57" s="3">
        <v>34</v>
      </c>
      <c r="O57" s="69">
        <v>0.32400000000000001</v>
      </c>
      <c r="P57" s="3">
        <v>25</v>
      </c>
      <c r="Q57" s="3">
        <v>37</v>
      </c>
      <c r="R57" s="69">
        <v>0.67600000000000005</v>
      </c>
      <c r="S57" s="3">
        <v>11</v>
      </c>
      <c r="T57" s="3">
        <v>46</v>
      </c>
      <c r="U57" s="3">
        <v>20</v>
      </c>
      <c r="V57" s="3">
        <v>9</v>
      </c>
      <c r="W57" s="3">
        <v>4</v>
      </c>
      <c r="X57" s="3">
        <v>13</v>
      </c>
      <c r="Y57" s="3">
        <v>22</v>
      </c>
      <c r="Z57" s="5" t="s">
        <v>47</v>
      </c>
      <c r="AA57" s="3">
        <v>38</v>
      </c>
      <c r="AB57" s="3">
        <v>83</v>
      </c>
      <c r="AC57" s="69">
        <v>0.45800000000000002</v>
      </c>
      <c r="AD57" s="3">
        <v>13</v>
      </c>
      <c r="AE57" s="3">
        <v>34</v>
      </c>
      <c r="AF57" s="69">
        <v>0.38200000000000001</v>
      </c>
      <c r="AG57" s="3">
        <v>23</v>
      </c>
      <c r="AH57" s="3">
        <v>30</v>
      </c>
      <c r="AI57" s="69">
        <v>0.76700000000000002</v>
      </c>
      <c r="AJ57" s="3">
        <v>8</v>
      </c>
      <c r="AK57" s="3">
        <v>44</v>
      </c>
      <c r="AL57" s="3">
        <v>20</v>
      </c>
      <c r="AM57" s="3">
        <v>7</v>
      </c>
      <c r="AN57" s="3">
        <v>3</v>
      </c>
      <c r="AO57" s="3">
        <v>17</v>
      </c>
      <c r="AP57" s="3">
        <v>29</v>
      </c>
      <c r="AR57" s="9"/>
    </row>
    <row r="58" spans="1:44" ht="18">
      <c r="A58" s="1">
        <v>56</v>
      </c>
      <c r="B58" s="3">
        <v>56</v>
      </c>
      <c r="C58" s="10">
        <v>43886</v>
      </c>
      <c r="D58" s="2" t="s">
        <v>284</v>
      </c>
      <c r="E58" s="3" t="s">
        <v>81</v>
      </c>
      <c r="F58" s="3" t="s">
        <v>299</v>
      </c>
      <c r="G58" s="3" t="s">
        <v>40</v>
      </c>
      <c r="H58" s="3">
        <v>118</v>
      </c>
      <c r="I58" s="3">
        <v>109</v>
      </c>
      <c r="J58" s="3">
        <v>45</v>
      </c>
      <c r="K58" s="3">
        <v>102</v>
      </c>
      <c r="L58" s="69">
        <v>0.441</v>
      </c>
      <c r="M58" s="3">
        <v>13</v>
      </c>
      <c r="N58" s="3">
        <v>44</v>
      </c>
      <c r="O58" s="69">
        <v>0.29499999999999998</v>
      </c>
      <c r="P58" s="3">
        <v>15</v>
      </c>
      <c r="Q58" s="3">
        <v>21</v>
      </c>
      <c r="R58" s="69">
        <v>0.71399999999999997</v>
      </c>
      <c r="S58" s="3">
        <v>14</v>
      </c>
      <c r="T58" s="3">
        <v>51</v>
      </c>
      <c r="U58" s="3">
        <v>27</v>
      </c>
      <c r="V58" s="3">
        <v>10</v>
      </c>
      <c r="W58" s="3">
        <v>12</v>
      </c>
      <c r="X58" s="3">
        <v>16</v>
      </c>
      <c r="Y58" s="3">
        <v>20</v>
      </c>
      <c r="Z58" s="4" t="s">
        <v>48</v>
      </c>
      <c r="AA58" s="3">
        <v>39</v>
      </c>
      <c r="AB58" s="3">
        <v>86</v>
      </c>
      <c r="AC58" s="69">
        <v>0.45300000000000001</v>
      </c>
      <c r="AD58" s="3">
        <v>8</v>
      </c>
      <c r="AE58" s="3">
        <v>27</v>
      </c>
      <c r="AF58" s="69">
        <v>0.29599999999999999</v>
      </c>
      <c r="AG58" s="3">
        <v>23</v>
      </c>
      <c r="AH58" s="3">
        <v>30</v>
      </c>
      <c r="AI58" s="69">
        <v>0.76700000000000002</v>
      </c>
      <c r="AJ58" s="3">
        <v>6</v>
      </c>
      <c r="AK58" s="3">
        <v>45</v>
      </c>
      <c r="AL58" s="3">
        <v>31</v>
      </c>
      <c r="AM58" s="3">
        <v>10</v>
      </c>
      <c r="AN58" s="3">
        <v>2</v>
      </c>
      <c r="AO58" s="3">
        <v>20</v>
      </c>
      <c r="AP58" s="3">
        <v>24</v>
      </c>
      <c r="AR58" s="9"/>
    </row>
    <row r="59" spans="1:44" ht="18">
      <c r="A59" s="1">
        <v>57</v>
      </c>
      <c r="B59" s="3">
        <v>57</v>
      </c>
      <c r="C59" s="10">
        <v>43888</v>
      </c>
      <c r="D59" s="3" t="s">
        <v>283</v>
      </c>
      <c r="E59" s="3" t="s">
        <v>77</v>
      </c>
      <c r="F59" s="3" t="s">
        <v>299</v>
      </c>
      <c r="G59" s="3" t="s">
        <v>40</v>
      </c>
      <c r="H59" s="3">
        <v>116</v>
      </c>
      <c r="I59" s="3">
        <v>86</v>
      </c>
      <c r="J59" s="3">
        <v>45</v>
      </c>
      <c r="K59" s="3">
        <v>88</v>
      </c>
      <c r="L59" s="69">
        <v>0.51100000000000001</v>
      </c>
      <c r="M59" s="3">
        <v>8</v>
      </c>
      <c r="N59" s="3">
        <v>24</v>
      </c>
      <c r="O59" s="69">
        <v>0.33300000000000002</v>
      </c>
      <c r="P59" s="3">
        <v>18</v>
      </c>
      <c r="Q59" s="3">
        <v>27</v>
      </c>
      <c r="R59" s="69">
        <v>0.66700000000000004</v>
      </c>
      <c r="S59" s="3">
        <v>8</v>
      </c>
      <c r="T59" s="3">
        <v>44</v>
      </c>
      <c r="U59" s="3">
        <v>24</v>
      </c>
      <c r="V59" s="3">
        <v>13</v>
      </c>
      <c r="W59" s="3">
        <v>5</v>
      </c>
      <c r="X59" s="3">
        <v>16</v>
      </c>
      <c r="Y59" s="3">
        <v>17</v>
      </c>
      <c r="Z59" s="5" t="s">
        <v>49</v>
      </c>
      <c r="AA59" s="3">
        <v>34</v>
      </c>
      <c r="AB59" s="3">
        <v>80</v>
      </c>
      <c r="AC59" s="69">
        <v>0.42499999999999999</v>
      </c>
      <c r="AD59" s="3">
        <v>9</v>
      </c>
      <c r="AE59" s="3">
        <v>32</v>
      </c>
      <c r="AF59" s="69">
        <v>0.28100000000000003</v>
      </c>
      <c r="AG59" s="3">
        <v>9</v>
      </c>
      <c r="AH59" s="3">
        <v>10</v>
      </c>
      <c r="AI59" s="69">
        <v>0.9</v>
      </c>
      <c r="AJ59" s="3">
        <v>5</v>
      </c>
      <c r="AK59" s="3">
        <v>37</v>
      </c>
      <c r="AL59" s="3">
        <v>27</v>
      </c>
      <c r="AM59" s="3">
        <v>7</v>
      </c>
      <c r="AN59" s="3">
        <v>3</v>
      </c>
      <c r="AO59" s="3">
        <v>26</v>
      </c>
      <c r="AP59" s="3">
        <v>27</v>
      </c>
      <c r="AR59" s="9"/>
    </row>
    <row r="60" spans="1:44" ht="18">
      <c r="A60" s="1">
        <v>58</v>
      </c>
      <c r="B60" s="3">
        <v>58</v>
      </c>
      <c r="C60" s="10">
        <v>43890</v>
      </c>
      <c r="D60" s="3" t="s">
        <v>283</v>
      </c>
      <c r="E60" s="3" t="s">
        <v>70</v>
      </c>
      <c r="F60" s="3" t="s">
        <v>300</v>
      </c>
      <c r="G60" s="3" t="s">
        <v>41</v>
      </c>
      <c r="H60" s="3">
        <v>88</v>
      </c>
      <c r="I60" s="3">
        <v>105</v>
      </c>
      <c r="J60" s="3">
        <v>36</v>
      </c>
      <c r="K60" s="3">
        <v>87</v>
      </c>
      <c r="L60" s="69">
        <v>0.41399999999999998</v>
      </c>
      <c r="M60" s="3">
        <v>9</v>
      </c>
      <c r="N60" s="3">
        <v>35</v>
      </c>
      <c r="O60" s="69">
        <v>0.25700000000000001</v>
      </c>
      <c r="P60" s="3">
        <v>7</v>
      </c>
      <c r="Q60" s="3">
        <v>12</v>
      </c>
      <c r="R60" s="69">
        <v>0.58299999999999996</v>
      </c>
      <c r="S60" s="3">
        <v>13</v>
      </c>
      <c r="T60" s="3">
        <v>45</v>
      </c>
      <c r="U60" s="3">
        <v>26</v>
      </c>
      <c r="V60" s="3">
        <v>5</v>
      </c>
      <c r="W60" s="3">
        <v>3</v>
      </c>
      <c r="X60" s="3">
        <v>14</v>
      </c>
      <c r="Y60" s="3">
        <v>13</v>
      </c>
      <c r="Z60" s="4" t="s">
        <v>42</v>
      </c>
      <c r="AA60" s="3">
        <v>43</v>
      </c>
      <c r="AB60" s="3">
        <v>95</v>
      </c>
      <c r="AC60" s="69">
        <v>0.45300000000000001</v>
      </c>
      <c r="AD60" s="3">
        <v>10</v>
      </c>
      <c r="AE60" s="3">
        <v>31</v>
      </c>
      <c r="AF60" s="69">
        <v>0.32300000000000001</v>
      </c>
      <c r="AG60" s="3">
        <v>9</v>
      </c>
      <c r="AH60" s="3">
        <v>11</v>
      </c>
      <c r="AI60" s="69">
        <v>0.81799999999999995</v>
      </c>
      <c r="AJ60" s="3">
        <v>15</v>
      </c>
      <c r="AK60" s="3">
        <v>51</v>
      </c>
      <c r="AL60" s="3">
        <v>27</v>
      </c>
      <c r="AM60" s="3">
        <v>10</v>
      </c>
      <c r="AN60" s="3">
        <v>4</v>
      </c>
      <c r="AO60" s="3">
        <v>7</v>
      </c>
      <c r="AP60" s="3">
        <v>14</v>
      </c>
      <c r="AR60" s="9"/>
    </row>
    <row r="61" spans="1:44" ht="18">
      <c r="A61" s="1">
        <v>59</v>
      </c>
      <c r="B61" s="3">
        <v>59</v>
      </c>
      <c r="C61" s="10">
        <v>43891</v>
      </c>
      <c r="D61" s="3" t="s">
        <v>283</v>
      </c>
      <c r="E61" s="3" t="s">
        <v>81</v>
      </c>
      <c r="F61" s="3" t="s">
        <v>300</v>
      </c>
      <c r="G61" s="3" t="s">
        <v>40</v>
      </c>
      <c r="H61" s="3">
        <v>122</v>
      </c>
      <c r="I61" s="3">
        <v>114</v>
      </c>
      <c r="J61" s="3">
        <v>50</v>
      </c>
      <c r="K61" s="3">
        <v>97</v>
      </c>
      <c r="L61" s="69">
        <v>0.51500000000000001</v>
      </c>
      <c r="M61" s="3">
        <v>13</v>
      </c>
      <c r="N61" s="3">
        <v>35</v>
      </c>
      <c r="O61" s="69">
        <v>0.371</v>
      </c>
      <c r="P61" s="3">
        <v>9</v>
      </c>
      <c r="Q61" s="3">
        <v>10</v>
      </c>
      <c r="R61" s="69">
        <v>0.9</v>
      </c>
      <c r="S61" s="3">
        <v>6</v>
      </c>
      <c r="T61" s="3">
        <v>36</v>
      </c>
      <c r="U61" s="3">
        <v>23</v>
      </c>
      <c r="V61" s="3">
        <v>9</v>
      </c>
      <c r="W61" s="3">
        <v>10</v>
      </c>
      <c r="X61" s="3">
        <v>13</v>
      </c>
      <c r="Y61" s="3">
        <v>26</v>
      </c>
      <c r="Z61" s="5" t="s">
        <v>43</v>
      </c>
      <c r="AA61" s="3">
        <v>40</v>
      </c>
      <c r="AB61" s="3">
        <v>95</v>
      </c>
      <c r="AC61" s="69">
        <v>0.42099999999999999</v>
      </c>
      <c r="AD61" s="3">
        <v>7</v>
      </c>
      <c r="AE61" s="3">
        <v>32</v>
      </c>
      <c r="AF61" s="69">
        <v>0.219</v>
      </c>
      <c r="AG61" s="3">
        <v>27</v>
      </c>
      <c r="AH61" s="3">
        <v>33</v>
      </c>
      <c r="AI61" s="69">
        <v>0.81799999999999995</v>
      </c>
      <c r="AJ61" s="3">
        <v>15</v>
      </c>
      <c r="AK61" s="3">
        <v>52</v>
      </c>
      <c r="AL61" s="3">
        <v>24</v>
      </c>
      <c r="AM61" s="3">
        <v>7</v>
      </c>
      <c r="AN61" s="3">
        <v>3</v>
      </c>
      <c r="AO61" s="3">
        <v>16</v>
      </c>
      <c r="AP61" s="3">
        <v>11</v>
      </c>
      <c r="AR61" s="9"/>
    </row>
    <row r="62" spans="1:44" ht="18">
      <c r="A62" s="1">
        <v>60</v>
      </c>
      <c r="B62" s="3">
        <v>60</v>
      </c>
      <c r="C62" s="10">
        <v>43893</v>
      </c>
      <c r="D62" s="2" t="s">
        <v>284</v>
      </c>
      <c r="E62" s="3" t="s">
        <v>95</v>
      </c>
      <c r="F62" s="3" t="s">
        <v>298</v>
      </c>
      <c r="G62" s="3" t="s">
        <v>40</v>
      </c>
      <c r="H62" s="3">
        <v>120</v>
      </c>
      <c r="I62" s="3">
        <v>107</v>
      </c>
      <c r="J62" s="3">
        <v>46</v>
      </c>
      <c r="K62" s="3">
        <v>86</v>
      </c>
      <c r="L62" s="69">
        <v>0.53500000000000003</v>
      </c>
      <c r="M62" s="3">
        <v>13</v>
      </c>
      <c r="N62" s="3">
        <v>33</v>
      </c>
      <c r="O62" s="69">
        <v>0.39400000000000002</v>
      </c>
      <c r="P62" s="3">
        <v>15</v>
      </c>
      <c r="Q62" s="3">
        <v>18</v>
      </c>
      <c r="R62" s="69">
        <v>0.83299999999999996</v>
      </c>
      <c r="S62" s="3">
        <v>10</v>
      </c>
      <c r="T62" s="3">
        <v>43</v>
      </c>
      <c r="U62" s="3">
        <v>25</v>
      </c>
      <c r="V62" s="3">
        <v>9</v>
      </c>
      <c r="W62" s="3">
        <v>6</v>
      </c>
      <c r="X62" s="3">
        <v>13</v>
      </c>
      <c r="Y62" s="3">
        <v>18</v>
      </c>
      <c r="Z62" s="4" t="s">
        <v>44</v>
      </c>
      <c r="AA62" s="3">
        <v>38</v>
      </c>
      <c r="AB62" s="3">
        <v>85</v>
      </c>
      <c r="AC62" s="69">
        <v>0.44700000000000001</v>
      </c>
      <c r="AD62" s="3">
        <v>16</v>
      </c>
      <c r="AE62" s="3">
        <v>40</v>
      </c>
      <c r="AF62" s="69">
        <v>0.4</v>
      </c>
      <c r="AG62" s="3">
        <v>15</v>
      </c>
      <c r="AH62" s="3">
        <v>20</v>
      </c>
      <c r="AI62" s="69">
        <v>0.75</v>
      </c>
      <c r="AJ62" s="3">
        <v>12</v>
      </c>
      <c r="AK62" s="3">
        <v>42</v>
      </c>
      <c r="AL62" s="3">
        <v>24</v>
      </c>
      <c r="AM62" s="3">
        <v>10</v>
      </c>
      <c r="AN62" s="3">
        <v>1</v>
      </c>
      <c r="AO62" s="3">
        <v>15</v>
      </c>
      <c r="AP62" s="3">
        <v>17</v>
      </c>
      <c r="AR62" s="9"/>
    </row>
    <row r="63" spans="1:44" ht="18">
      <c r="A63" s="1">
        <v>61</v>
      </c>
      <c r="B63" s="3">
        <v>61</v>
      </c>
      <c r="C63" s="10">
        <v>43896</v>
      </c>
      <c r="D63" s="2" t="s">
        <v>284</v>
      </c>
      <c r="E63" s="3" t="s">
        <v>88</v>
      </c>
      <c r="F63" s="3" t="s">
        <v>298</v>
      </c>
      <c r="G63" s="3" t="s">
        <v>40</v>
      </c>
      <c r="H63" s="3">
        <v>113</v>
      </c>
      <c r="I63" s="3">
        <v>103</v>
      </c>
      <c r="J63" s="3">
        <v>38</v>
      </c>
      <c r="K63" s="3">
        <v>91</v>
      </c>
      <c r="L63" s="69">
        <v>0.41799999999999998</v>
      </c>
      <c r="M63" s="3">
        <v>6</v>
      </c>
      <c r="N63" s="3">
        <v>32</v>
      </c>
      <c r="O63" s="69">
        <v>0.188</v>
      </c>
      <c r="P63" s="3">
        <v>31</v>
      </c>
      <c r="Q63" s="3">
        <v>38</v>
      </c>
      <c r="R63" s="69">
        <v>0.81599999999999995</v>
      </c>
      <c r="S63" s="3">
        <v>10</v>
      </c>
      <c r="T63" s="3">
        <v>52</v>
      </c>
      <c r="U63" s="3">
        <v>19</v>
      </c>
      <c r="V63" s="3">
        <v>11</v>
      </c>
      <c r="W63" s="3">
        <v>4</v>
      </c>
      <c r="X63" s="3">
        <v>16</v>
      </c>
      <c r="Y63" s="3">
        <v>27</v>
      </c>
      <c r="Z63" s="5" t="s">
        <v>45</v>
      </c>
      <c r="AA63" s="3">
        <v>37</v>
      </c>
      <c r="AB63" s="3">
        <v>89</v>
      </c>
      <c r="AC63" s="69">
        <v>0.41599999999999998</v>
      </c>
      <c r="AD63" s="3">
        <v>12</v>
      </c>
      <c r="AE63" s="3">
        <v>43</v>
      </c>
      <c r="AF63" s="69">
        <v>0.27900000000000003</v>
      </c>
      <c r="AG63" s="3">
        <v>17</v>
      </c>
      <c r="AH63" s="3">
        <v>23</v>
      </c>
      <c r="AI63" s="69">
        <v>0.73899999999999999</v>
      </c>
      <c r="AJ63" s="3">
        <v>5</v>
      </c>
      <c r="AK63" s="3">
        <v>45</v>
      </c>
      <c r="AL63" s="3">
        <v>22</v>
      </c>
      <c r="AM63" s="3">
        <v>8</v>
      </c>
      <c r="AN63" s="3">
        <v>1</v>
      </c>
      <c r="AO63" s="3">
        <v>19</v>
      </c>
      <c r="AP63" s="3">
        <v>32</v>
      </c>
      <c r="AR63" s="9"/>
    </row>
    <row r="64" spans="1:44" ht="18">
      <c r="A64" s="1">
        <v>62</v>
      </c>
      <c r="B64" s="3">
        <v>62</v>
      </c>
      <c r="C64" s="10">
        <v>43898</v>
      </c>
      <c r="D64" s="3" t="s">
        <v>283</v>
      </c>
      <c r="E64" s="3" t="s">
        <v>67</v>
      </c>
      <c r="F64" s="3" t="s">
        <v>299</v>
      </c>
      <c r="G64" s="3" t="s">
        <v>40</v>
      </c>
      <c r="H64" s="3">
        <v>112</v>
      </c>
      <c r="I64" s="3">
        <v>103</v>
      </c>
      <c r="J64" s="3">
        <v>39</v>
      </c>
      <c r="K64" s="3">
        <v>87</v>
      </c>
      <c r="L64" s="69">
        <v>0.44800000000000001</v>
      </c>
      <c r="M64" s="3">
        <v>10</v>
      </c>
      <c r="N64" s="3">
        <v>35</v>
      </c>
      <c r="O64" s="69">
        <v>0.28599999999999998</v>
      </c>
      <c r="P64" s="3">
        <v>24</v>
      </c>
      <c r="Q64" s="3">
        <v>28</v>
      </c>
      <c r="R64" s="69">
        <v>0.85699999999999998</v>
      </c>
      <c r="S64" s="3">
        <v>9</v>
      </c>
      <c r="T64" s="3">
        <v>45</v>
      </c>
      <c r="U64" s="3">
        <v>22</v>
      </c>
      <c r="V64" s="3">
        <v>8</v>
      </c>
      <c r="W64" s="3">
        <v>7</v>
      </c>
      <c r="X64" s="3">
        <v>12</v>
      </c>
      <c r="Y64" s="3">
        <v>28</v>
      </c>
      <c r="Z64" s="4" t="s">
        <v>46</v>
      </c>
      <c r="AA64" s="3">
        <v>34</v>
      </c>
      <c r="AB64" s="3">
        <v>86</v>
      </c>
      <c r="AC64" s="69">
        <v>0.39500000000000002</v>
      </c>
      <c r="AD64" s="3">
        <v>7</v>
      </c>
      <c r="AE64" s="3">
        <v>31</v>
      </c>
      <c r="AF64" s="69">
        <v>0.22600000000000001</v>
      </c>
      <c r="AG64" s="3">
        <v>28</v>
      </c>
      <c r="AH64" s="3">
        <v>37</v>
      </c>
      <c r="AI64" s="69">
        <v>0.75700000000000001</v>
      </c>
      <c r="AJ64" s="3">
        <v>15</v>
      </c>
      <c r="AK64" s="3">
        <v>49</v>
      </c>
      <c r="AL64" s="3">
        <v>12</v>
      </c>
      <c r="AM64" s="3">
        <v>5</v>
      </c>
      <c r="AN64" s="3">
        <v>5</v>
      </c>
      <c r="AO64" s="3">
        <v>15</v>
      </c>
      <c r="AP64" s="3">
        <v>26</v>
      </c>
      <c r="AR64" s="9"/>
    </row>
    <row r="65" spans="1:44" ht="18">
      <c r="A65" s="1">
        <v>63</v>
      </c>
      <c r="B65" s="3">
        <v>63</v>
      </c>
      <c r="C65" s="10">
        <v>43900</v>
      </c>
      <c r="D65" s="2" t="s">
        <v>284</v>
      </c>
      <c r="E65" s="3" t="s">
        <v>94</v>
      </c>
      <c r="F65" s="3" t="s">
        <v>298</v>
      </c>
      <c r="G65" s="3" t="s">
        <v>41</v>
      </c>
      <c r="H65" s="3">
        <v>102</v>
      </c>
      <c r="I65" s="3">
        <v>104</v>
      </c>
      <c r="J65" s="3">
        <v>40</v>
      </c>
      <c r="K65" s="3">
        <v>87</v>
      </c>
      <c r="L65" s="69">
        <v>0.46</v>
      </c>
      <c r="M65" s="3">
        <v>15</v>
      </c>
      <c r="N65" s="3">
        <v>40</v>
      </c>
      <c r="O65" s="69">
        <v>0.375</v>
      </c>
      <c r="P65" s="3">
        <v>7</v>
      </c>
      <c r="Q65" s="3">
        <v>12</v>
      </c>
      <c r="R65" s="69">
        <v>0.58299999999999996</v>
      </c>
      <c r="S65" s="3">
        <v>8</v>
      </c>
      <c r="T65" s="3">
        <v>46</v>
      </c>
      <c r="U65" s="3">
        <v>24</v>
      </c>
      <c r="V65" s="3">
        <v>7</v>
      </c>
      <c r="W65" s="3">
        <v>4</v>
      </c>
      <c r="X65" s="3">
        <v>14</v>
      </c>
      <c r="Y65" s="3">
        <v>22</v>
      </c>
      <c r="Z65" s="5" t="s">
        <v>42</v>
      </c>
      <c r="AA65" s="3">
        <v>37</v>
      </c>
      <c r="AB65" s="3">
        <v>90</v>
      </c>
      <c r="AC65" s="69">
        <v>0.41099999999999998</v>
      </c>
      <c r="AD65" s="3">
        <v>13</v>
      </c>
      <c r="AE65" s="3">
        <v>40</v>
      </c>
      <c r="AF65" s="69">
        <v>0.32500000000000001</v>
      </c>
      <c r="AG65" s="3">
        <v>17</v>
      </c>
      <c r="AH65" s="3">
        <v>23</v>
      </c>
      <c r="AI65" s="69">
        <v>0.73899999999999999</v>
      </c>
      <c r="AJ65" s="3">
        <v>14</v>
      </c>
      <c r="AK65" s="3">
        <v>47</v>
      </c>
      <c r="AL65" s="3">
        <v>24</v>
      </c>
      <c r="AM65" s="3">
        <v>7</v>
      </c>
      <c r="AN65" s="3">
        <v>3</v>
      </c>
      <c r="AO65" s="3">
        <v>10</v>
      </c>
      <c r="AP65" s="3">
        <v>18</v>
      </c>
      <c r="AR65" s="9"/>
    </row>
    <row r="66" spans="1:44" ht="18">
      <c r="A66" s="1">
        <v>64</v>
      </c>
      <c r="B66" s="3">
        <v>64</v>
      </c>
      <c r="C66" s="10">
        <v>44042</v>
      </c>
      <c r="D66" s="2" t="s">
        <v>284</v>
      </c>
      <c r="E66" s="3" t="s">
        <v>67</v>
      </c>
      <c r="F66" s="3" t="s">
        <v>300</v>
      </c>
      <c r="G66" s="3" t="s">
        <v>40</v>
      </c>
      <c r="H66" s="3">
        <v>103</v>
      </c>
      <c r="I66" s="3">
        <v>101</v>
      </c>
      <c r="J66" s="3">
        <v>32</v>
      </c>
      <c r="K66" s="3">
        <v>82</v>
      </c>
      <c r="L66" s="69">
        <v>0.39</v>
      </c>
      <c r="M66" s="3">
        <v>11</v>
      </c>
      <c r="N66" s="3">
        <v>36</v>
      </c>
      <c r="O66" s="69">
        <v>0.30599999999999999</v>
      </c>
      <c r="P66" s="3">
        <v>28</v>
      </c>
      <c r="Q66" s="3">
        <v>37</v>
      </c>
      <c r="R66" s="69">
        <v>0.75700000000000001</v>
      </c>
      <c r="S66" s="3">
        <v>11</v>
      </c>
      <c r="T66" s="3">
        <v>45</v>
      </c>
      <c r="U66" s="3">
        <v>21</v>
      </c>
      <c r="V66" s="3">
        <v>6</v>
      </c>
      <c r="W66" s="3">
        <v>3</v>
      </c>
      <c r="X66" s="3">
        <v>16</v>
      </c>
      <c r="Y66" s="3">
        <v>27</v>
      </c>
      <c r="Z66" s="4" t="s">
        <v>43</v>
      </c>
      <c r="AA66" s="3">
        <v>32</v>
      </c>
      <c r="AB66" s="3">
        <v>74</v>
      </c>
      <c r="AC66" s="69">
        <v>0.432</v>
      </c>
      <c r="AD66" s="3">
        <v>16</v>
      </c>
      <c r="AE66" s="3">
        <v>36</v>
      </c>
      <c r="AF66" s="69">
        <v>0.44400000000000001</v>
      </c>
      <c r="AG66" s="3">
        <v>21</v>
      </c>
      <c r="AH66" s="3">
        <v>28</v>
      </c>
      <c r="AI66" s="69">
        <v>0.75</v>
      </c>
      <c r="AJ66" s="3">
        <v>4</v>
      </c>
      <c r="AK66" s="3">
        <v>36</v>
      </c>
      <c r="AL66" s="3">
        <v>17</v>
      </c>
      <c r="AM66" s="3">
        <v>6</v>
      </c>
      <c r="AN66" s="3">
        <v>5</v>
      </c>
      <c r="AO66" s="3">
        <v>20</v>
      </c>
      <c r="AP66" s="3">
        <v>30</v>
      </c>
      <c r="AR66" s="9"/>
    </row>
    <row r="67" spans="1:44" ht="18">
      <c r="A67" s="1">
        <v>65</v>
      </c>
      <c r="B67" s="3">
        <v>65</v>
      </c>
      <c r="C67" s="10">
        <v>44044</v>
      </c>
      <c r="D67" s="3" t="s">
        <v>283</v>
      </c>
      <c r="E67" s="3" t="s">
        <v>75</v>
      </c>
      <c r="F67" s="3" t="s">
        <v>298</v>
      </c>
      <c r="G67" s="3" t="s">
        <v>41</v>
      </c>
      <c r="H67" s="3">
        <v>92</v>
      </c>
      <c r="I67" s="3">
        <v>107</v>
      </c>
      <c r="J67" s="3">
        <v>29</v>
      </c>
      <c r="K67" s="3">
        <v>82</v>
      </c>
      <c r="L67" s="69">
        <v>0.35399999999999998</v>
      </c>
      <c r="M67" s="3">
        <v>10</v>
      </c>
      <c r="N67" s="3">
        <v>40</v>
      </c>
      <c r="O67" s="69">
        <v>0.25</v>
      </c>
      <c r="P67" s="3">
        <v>24</v>
      </c>
      <c r="Q67" s="3">
        <v>33</v>
      </c>
      <c r="R67" s="69">
        <v>0.72699999999999998</v>
      </c>
      <c r="S67" s="3">
        <v>8</v>
      </c>
      <c r="T67" s="3">
        <v>40</v>
      </c>
      <c r="U67" s="3">
        <v>17</v>
      </c>
      <c r="V67" s="3">
        <v>8</v>
      </c>
      <c r="W67" s="3">
        <v>12</v>
      </c>
      <c r="X67" s="3">
        <v>17</v>
      </c>
      <c r="Y67" s="3">
        <v>25</v>
      </c>
      <c r="Z67" s="5" t="s">
        <v>42</v>
      </c>
      <c r="AA67" s="3">
        <v>35</v>
      </c>
      <c r="AB67" s="3">
        <v>84</v>
      </c>
      <c r="AC67" s="69">
        <v>0.41699999999999998</v>
      </c>
      <c r="AD67" s="3">
        <v>14</v>
      </c>
      <c r="AE67" s="3">
        <v>34</v>
      </c>
      <c r="AF67" s="69">
        <v>0.41199999999999998</v>
      </c>
      <c r="AG67" s="3">
        <v>23</v>
      </c>
      <c r="AH67" s="3">
        <v>26</v>
      </c>
      <c r="AI67" s="69">
        <v>0.88500000000000001</v>
      </c>
      <c r="AJ67" s="3">
        <v>7</v>
      </c>
      <c r="AK67" s="3">
        <v>51</v>
      </c>
      <c r="AL67" s="3">
        <v>24</v>
      </c>
      <c r="AM67" s="3">
        <v>7</v>
      </c>
      <c r="AN67" s="3">
        <v>5</v>
      </c>
      <c r="AO67" s="3">
        <v>14</v>
      </c>
      <c r="AP67" s="3">
        <v>28</v>
      </c>
      <c r="AR67" s="9"/>
    </row>
    <row r="68" spans="1:44" ht="18">
      <c r="A68" s="1">
        <v>66</v>
      </c>
      <c r="B68" s="3">
        <v>66</v>
      </c>
      <c r="C68" s="10">
        <v>44046</v>
      </c>
      <c r="D68" s="3" t="s">
        <v>283</v>
      </c>
      <c r="E68" s="3" t="s">
        <v>68</v>
      </c>
      <c r="F68" s="3" t="s">
        <v>299</v>
      </c>
      <c r="G68" s="3" t="s">
        <v>40</v>
      </c>
      <c r="H68" s="3">
        <v>116</v>
      </c>
      <c r="I68" s="3">
        <v>108</v>
      </c>
      <c r="J68" s="3">
        <v>41</v>
      </c>
      <c r="K68" s="3">
        <v>82</v>
      </c>
      <c r="L68" s="69">
        <v>0.5</v>
      </c>
      <c r="M68" s="3">
        <v>9</v>
      </c>
      <c r="N68" s="3">
        <v>26</v>
      </c>
      <c r="O68" s="69">
        <v>0.34599999999999997</v>
      </c>
      <c r="P68" s="3">
        <v>25</v>
      </c>
      <c r="Q68" s="3">
        <v>31</v>
      </c>
      <c r="R68" s="69">
        <v>0.80600000000000005</v>
      </c>
      <c r="S68" s="3">
        <v>4</v>
      </c>
      <c r="T68" s="3">
        <v>38</v>
      </c>
      <c r="U68" s="3">
        <v>23</v>
      </c>
      <c r="V68" s="3">
        <v>12</v>
      </c>
      <c r="W68" s="3">
        <v>3</v>
      </c>
      <c r="X68" s="3">
        <v>14</v>
      </c>
      <c r="Y68" s="3">
        <v>24</v>
      </c>
      <c r="Z68" s="4" t="s">
        <v>43</v>
      </c>
      <c r="AA68" s="3">
        <v>37</v>
      </c>
      <c r="AB68" s="3">
        <v>83</v>
      </c>
      <c r="AC68" s="69">
        <v>0.44600000000000001</v>
      </c>
      <c r="AD68" s="3">
        <v>12</v>
      </c>
      <c r="AE68" s="3">
        <v>43</v>
      </c>
      <c r="AF68" s="69">
        <v>0.27900000000000003</v>
      </c>
      <c r="AG68" s="3">
        <v>22</v>
      </c>
      <c r="AH68" s="3">
        <v>25</v>
      </c>
      <c r="AI68" s="69">
        <v>0.88</v>
      </c>
      <c r="AJ68" s="3">
        <v>7</v>
      </c>
      <c r="AK68" s="3">
        <v>42</v>
      </c>
      <c r="AL68" s="3">
        <v>25</v>
      </c>
      <c r="AM68" s="3">
        <v>8</v>
      </c>
      <c r="AN68" s="3">
        <v>3</v>
      </c>
      <c r="AO68" s="3">
        <v>21</v>
      </c>
      <c r="AP68" s="3">
        <v>29</v>
      </c>
      <c r="AR68" s="9"/>
    </row>
    <row r="69" spans="1:44" ht="18">
      <c r="A69" s="1">
        <v>67</v>
      </c>
      <c r="B69" s="3">
        <v>67</v>
      </c>
      <c r="C69" s="10">
        <v>44048</v>
      </c>
      <c r="D69" s="2" t="s">
        <v>284</v>
      </c>
      <c r="E69" s="3" t="s">
        <v>80</v>
      </c>
      <c r="F69" s="3" t="s">
        <v>300</v>
      </c>
      <c r="G69" s="3" t="s">
        <v>41</v>
      </c>
      <c r="H69" s="3">
        <v>86</v>
      </c>
      <c r="I69" s="3">
        <v>105</v>
      </c>
      <c r="J69" s="3">
        <v>31</v>
      </c>
      <c r="K69" s="3">
        <v>88</v>
      </c>
      <c r="L69" s="69">
        <v>0.35199999999999998</v>
      </c>
      <c r="M69" s="3">
        <v>5</v>
      </c>
      <c r="N69" s="3">
        <v>37</v>
      </c>
      <c r="O69" s="69">
        <v>0.13500000000000001</v>
      </c>
      <c r="P69" s="3">
        <v>19</v>
      </c>
      <c r="Q69" s="3">
        <v>29</v>
      </c>
      <c r="R69" s="69">
        <v>0.65500000000000003</v>
      </c>
      <c r="S69" s="3">
        <v>10</v>
      </c>
      <c r="T69" s="3">
        <v>46</v>
      </c>
      <c r="U69" s="3">
        <v>17</v>
      </c>
      <c r="V69" s="3">
        <v>7</v>
      </c>
      <c r="W69" s="3">
        <v>3</v>
      </c>
      <c r="X69" s="3">
        <v>11</v>
      </c>
      <c r="Y69" s="3">
        <v>24</v>
      </c>
      <c r="Z69" s="5" t="s">
        <v>42</v>
      </c>
      <c r="AA69" s="3">
        <v>34</v>
      </c>
      <c r="AB69" s="3">
        <v>79</v>
      </c>
      <c r="AC69" s="69">
        <v>0.43</v>
      </c>
      <c r="AD69" s="3">
        <v>5</v>
      </c>
      <c r="AE69" s="3">
        <v>24</v>
      </c>
      <c r="AF69" s="69">
        <v>0.20799999999999999</v>
      </c>
      <c r="AG69" s="3">
        <v>32</v>
      </c>
      <c r="AH69" s="3">
        <v>36</v>
      </c>
      <c r="AI69" s="69">
        <v>0.88900000000000001</v>
      </c>
      <c r="AJ69" s="3">
        <v>4</v>
      </c>
      <c r="AK69" s="3">
        <v>52</v>
      </c>
      <c r="AL69" s="3">
        <v>17</v>
      </c>
      <c r="AM69" s="3">
        <v>9</v>
      </c>
      <c r="AN69" s="3">
        <v>2</v>
      </c>
      <c r="AO69" s="3">
        <v>13</v>
      </c>
      <c r="AP69" s="3">
        <v>23</v>
      </c>
      <c r="AR69" s="9"/>
    </row>
    <row r="70" spans="1:44" ht="18">
      <c r="A70" s="1">
        <v>68</v>
      </c>
      <c r="B70" s="3">
        <v>68</v>
      </c>
      <c r="C70" s="10">
        <v>44049</v>
      </c>
      <c r="D70" s="3" t="s">
        <v>283</v>
      </c>
      <c r="E70" s="3" t="s">
        <v>92</v>
      </c>
      <c r="F70" s="3" t="s">
        <v>299</v>
      </c>
      <c r="G70" s="3" t="s">
        <v>41</v>
      </c>
      <c r="H70" s="3">
        <v>97</v>
      </c>
      <c r="I70" s="3">
        <v>113</v>
      </c>
      <c r="J70" s="3">
        <v>35</v>
      </c>
      <c r="K70" s="3">
        <v>77</v>
      </c>
      <c r="L70" s="69">
        <v>0.45500000000000002</v>
      </c>
      <c r="M70" s="3">
        <v>2</v>
      </c>
      <c r="N70" s="3">
        <v>19</v>
      </c>
      <c r="O70" s="69">
        <v>0.105</v>
      </c>
      <c r="P70" s="3">
        <v>25</v>
      </c>
      <c r="Q70" s="3">
        <v>36</v>
      </c>
      <c r="R70" s="69">
        <v>0.69399999999999995</v>
      </c>
      <c r="S70" s="3">
        <v>12</v>
      </c>
      <c r="T70" s="3">
        <v>48</v>
      </c>
      <c r="U70" s="3">
        <v>18</v>
      </c>
      <c r="V70" s="3">
        <v>11</v>
      </c>
      <c r="W70" s="3">
        <v>6</v>
      </c>
      <c r="X70" s="3">
        <v>24</v>
      </c>
      <c r="Y70" s="3">
        <v>20</v>
      </c>
      <c r="Z70" s="4" t="s">
        <v>53</v>
      </c>
      <c r="AA70" s="3">
        <v>36</v>
      </c>
      <c r="AB70" s="3">
        <v>84</v>
      </c>
      <c r="AC70" s="69">
        <v>0.42899999999999999</v>
      </c>
      <c r="AD70" s="3">
        <v>21</v>
      </c>
      <c r="AE70" s="3">
        <v>57</v>
      </c>
      <c r="AF70" s="69">
        <v>0.36799999999999999</v>
      </c>
      <c r="AG70" s="3">
        <v>20</v>
      </c>
      <c r="AH70" s="3">
        <v>23</v>
      </c>
      <c r="AI70" s="69">
        <v>0.87</v>
      </c>
      <c r="AJ70" s="3">
        <v>4</v>
      </c>
      <c r="AK70" s="3">
        <v>34</v>
      </c>
      <c r="AL70" s="3">
        <v>26</v>
      </c>
      <c r="AM70" s="3">
        <v>11</v>
      </c>
      <c r="AN70" s="3">
        <v>5</v>
      </c>
      <c r="AO70" s="3">
        <v>19</v>
      </c>
      <c r="AP70" s="3">
        <v>28</v>
      </c>
      <c r="AR70" s="9"/>
    </row>
    <row r="71" spans="1:44" ht="18">
      <c r="A71" s="1">
        <v>69</v>
      </c>
      <c r="B71" s="3">
        <v>69</v>
      </c>
      <c r="C71" s="10">
        <v>44051</v>
      </c>
      <c r="D71" s="3" t="s">
        <v>283</v>
      </c>
      <c r="E71" s="3" t="s">
        <v>87</v>
      </c>
      <c r="F71" s="3" t="s">
        <v>298</v>
      </c>
      <c r="G71" s="3" t="s">
        <v>41</v>
      </c>
      <c r="H71" s="3">
        <v>111</v>
      </c>
      <c r="I71" s="3">
        <v>116</v>
      </c>
      <c r="J71" s="3">
        <v>42</v>
      </c>
      <c r="K71" s="3">
        <v>100</v>
      </c>
      <c r="L71" s="69">
        <v>0.42</v>
      </c>
      <c r="M71" s="3">
        <v>13</v>
      </c>
      <c r="N71" s="3">
        <v>39</v>
      </c>
      <c r="O71" s="69">
        <v>0.33300000000000002</v>
      </c>
      <c r="P71" s="3">
        <v>14</v>
      </c>
      <c r="Q71" s="3">
        <v>19</v>
      </c>
      <c r="R71" s="69">
        <v>0.73699999999999999</v>
      </c>
      <c r="S71" s="3">
        <v>15</v>
      </c>
      <c r="T71" s="3">
        <v>44</v>
      </c>
      <c r="U71" s="3">
        <v>20</v>
      </c>
      <c r="V71" s="3">
        <v>13</v>
      </c>
      <c r="W71" s="3">
        <v>6</v>
      </c>
      <c r="X71" s="3">
        <v>15</v>
      </c>
      <c r="Y71" s="3">
        <v>16</v>
      </c>
      <c r="Z71" s="5" t="s">
        <v>54</v>
      </c>
      <c r="AA71" s="3">
        <v>44</v>
      </c>
      <c r="AB71" s="3">
        <v>84</v>
      </c>
      <c r="AC71" s="69">
        <v>0.52400000000000002</v>
      </c>
      <c r="AD71" s="3">
        <v>15</v>
      </c>
      <c r="AE71" s="3">
        <v>33</v>
      </c>
      <c r="AF71" s="69">
        <v>0.45500000000000002</v>
      </c>
      <c r="AG71" s="3">
        <v>13</v>
      </c>
      <c r="AH71" s="3">
        <v>14</v>
      </c>
      <c r="AI71" s="69">
        <v>0.92900000000000005</v>
      </c>
      <c r="AJ71" s="3">
        <v>7</v>
      </c>
      <c r="AK71" s="3">
        <v>42</v>
      </c>
      <c r="AL71" s="3">
        <v>25</v>
      </c>
      <c r="AM71" s="3">
        <v>12</v>
      </c>
      <c r="AN71" s="3">
        <v>4</v>
      </c>
      <c r="AO71" s="3">
        <v>20</v>
      </c>
      <c r="AP71" s="3">
        <v>21</v>
      </c>
      <c r="AR71" s="9"/>
    </row>
    <row r="72" spans="1:44" ht="18">
      <c r="A72" s="1">
        <v>70</v>
      </c>
      <c r="B72" s="3">
        <v>70</v>
      </c>
      <c r="C72" s="10">
        <v>44053</v>
      </c>
      <c r="D72" s="2" t="s">
        <v>284</v>
      </c>
      <c r="E72" s="3" t="s">
        <v>83</v>
      </c>
      <c r="F72" s="3" t="s">
        <v>300</v>
      </c>
      <c r="G72" s="3" t="s">
        <v>40</v>
      </c>
      <c r="H72" s="3">
        <v>124</v>
      </c>
      <c r="I72" s="3">
        <v>121</v>
      </c>
      <c r="J72" s="3">
        <v>44</v>
      </c>
      <c r="K72" s="3">
        <v>81</v>
      </c>
      <c r="L72" s="69">
        <v>0.54300000000000004</v>
      </c>
      <c r="M72" s="3">
        <v>14</v>
      </c>
      <c r="N72" s="3">
        <v>29</v>
      </c>
      <c r="O72" s="69">
        <v>0.48299999999999998</v>
      </c>
      <c r="P72" s="3">
        <v>22</v>
      </c>
      <c r="Q72" s="3">
        <v>32</v>
      </c>
      <c r="R72" s="69">
        <v>0.68799999999999994</v>
      </c>
      <c r="S72" s="3">
        <v>14</v>
      </c>
      <c r="T72" s="3">
        <v>32</v>
      </c>
      <c r="U72" s="3">
        <v>28</v>
      </c>
      <c r="V72" s="3">
        <v>8</v>
      </c>
      <c r="W72" s="3">
        <v>4</v>
      </c>
      <c r="X72" s="3">
        <v>10</v>
      </c>
      <c r="Y72" s="3">
        <v>18</v>
      </c>
      <c r="Z72" s="4" t="s">
        <v>43</v>
      </c>
      <c r="AA72" s="3">
        <v>45</v>
      </c>
      <c r="AB72" s="3">
        <v>77</v>
      </c>
      <c r="AC72" s="69">
        <v>0.58399999999999996</v>
      </c>
      <c r="AD72" s="3">
        <v>13</v>
      </c>
      <c r="AE72" s="3">
        <v>23</v>
      </c>
      <c r="AF72" s="69">
        <v>0.56499999999999995</v>
      </c>
      <c r="AG72" s="3">
        <v>18</v>
      </c>
      <c r="AH72" s="3">
        <v>23</v>
      </c>
      <c r="AI72" s="69">
        <v>0.78300000000000003</v>
      </c>
      <c r="AJ72" s="3">
        <v>10</v>
      </c>
      <c r="AK72" s="3">
        <v>35</v>
      </c>
      <c r="AL72" s="3">
        <v>27</v>
      </c>
      <c r="AM72" s="3">
        <v>6</v>
      </c>
      <c r="AN72" s="3">
        <v>2</v>
      </c>
      <c r="AO72" s="3">
        <v>14</v>
      </c>
      <c r="AP72" s="3">
        <v>20</v>
      </c>
      <c r="AR72" s="9"/>
    </row>
    <row r="73" spans="1:44" ht="18">
      <c r="A73" s="1">
        <v>71</v>
      </c>
      <c r="B73" s="3">
        <v>71</v>
      </c>
      <c r="C73" s="10">
        <v>44056</v>
      </c>
      <c r="D73" s="2" t="s">
        <v>284</v>
      </c>
      <c r="E73" s="3" t="s">
        <v>78</v>
      </c>
      <c r="F73" s="3" t="s">
        <v>299</v>
      </c>
      <c r="G73" s="3" t="s">
        <v>41</v>
      </c>
      <c r="H73" s="3">
        <v>122</v>
      </c>
      <c r="I73" s="3">
        <v>136</v>
      </c>
      <c r="J73" s="3">
        <v>48</v>
      </c>
      <c r="K73" s="3">
        <v>98</v>
      </c>
      <c r="L73" s="69">
        <v>0.49</v>
      </c>
      <c r="M73" s="3">
        <v>15</v>
      </c>
      <c r="N73" s="3">
        <v>35</v>
      </c>
      <c r="O73" s="69">
        <v>0.42899999999999999</v>
      </c>
      <c r="P73" s="3">
        <v>11</v>
      </c>
      <c r="Q73" s="3">
        <v>15</v>
      </c>
      <c r="R73" s="69">
        <v>0.73299999999999998</v>
      </c>
      <c r="S73" s="3">
        <v>15</v>
      </c>
      <c r="T73" s="3">
        <v>47</v>
      </c>
      <c r="U73" s="3">
        <v>29</v>
      </c>
      <c r="V73" s="3">
        <v>6</v>
      </c>
      <c r="W73" s="3">
        <v>1</v>
      </c>
      <c r="X73" s="3">
        <v>17</v>
      </c>
      <c r="Y73" s="3">
        <v>18</v>
      </c>
      <c r="Z73" s="5" t="s">
        <v>42</v>
      </c>
      <c r="AA73" s="3">
        <v>54</v>
      </c>
      <c r="AB73" s="3">
        <v>95</v>
      </c>
      <c r="AC73" s="69">
        <v>0.56799999999999995</v>
      </c>
      <c r="AD73" s="3">
        <v>21</v>
      </c>
      <c r="AE73" s="3">
        <v>47</v>
      </c>
      <c r="AF73" s="69">
        <v>0.44700000000000001</v>
      </c>
      <c r="AG73" s="3">
        <v>7</v>
      </c>
      <c r="AH73" s="3">
        <v>12</v>
      </c>
      <c r="AI73" s="69">
        <v>0.58299999999999996</v>
      </c>
      <c r="AJ73" s="3">
        <v>9</v>
      </c>
      <c r="AK73" s="3">
        <v>44</v>
      </c>
      <c r="AL73" s="3">
        <v>37</v>
      </c>
      <c r="AM73" s="3">
        <v>12</v>
      </c>
      <c r="AN73" s="3">
        <v>2</v>
      </c>
      <c r="AO73" s="3">
        <v>14</v>
      </c>
      <c r="AP73" s="3">
        <v>15</v>
      </c>
      <c r="AR73" s="9"/>
    </row>
    <row r="74" spans="1:44" ht="18">
      <c r="AR74" s="9"/>
    </row>
    <row r="75" spans="1:44" ht="18">
      <c r="A75" s="6" t="s">
        <v>291</v>
      </c>
      <c r="B75" s="6"/>
      <c r="C75" s="6"/>
      <c r="D75" s="6"/>
      <c r="E75" s="6"/>
      <c r="F75" s="6"/>
      <c r="G75" s="6"/>
      <c r="H75" s="74">
        <f>AVERAGE(Table7[Tm])</f>
        <v>113.43661971830986</v>
      </c>
      <c r="I75" s="74">
        <f>AVERAGE(Table7[Opp2])</f>
        <v>107.64788732394366</v>
      </c>
      <c r="J75" s="74">
        <f>AVERAGE(Table7[FGM])</f>
        <v>42.338028169014088</v>
      </c>
      <c r="K75" s="74">
        <f>AVERAGE(Table7[FGA])</f>
        <v>88.295774647887328</v>
      </c>
      <c r="L75" s="75">
        <f>AVERAGE(Table7[FG%])</f>
        <v>0.47911267605633806</v>
      </c>
      <c r="M75" s="74">
        <f>AVERAGE(Table7[3PM])</f>
        <v>11.014084507042254</v>
      </c>
      <c r="N75" s="74">
        <f>AVERAGE(Table7[3PA])</f>
        <v>31.577464788732396</v>
      </c>
      <c r="O75" s="75">
        <f>AVERAGE(Table7[3P%])</f>
        <v>0.34770422535211271</v>
      </c>
      <c r="P75" s="74">
        <f>AVERAGE(Table7[FTM])</f>
        <v>17.746478873239436</v>
      </c>
      <c r="Q75" s="74">
        <f>AVERAGE(Table7[FTA])</f>
        <v>24.338028169014084</v>
      </c>
      <c r="R75" s="75">
        <f>AVERAGE(Table7[FT%])</f>
        <v>0.72847887323943661</v>
      </c>
      <c r="S75" s="74">
        <f>AVERAGE(Table7[ORB])</f>
        <v>10.661971830985916</v>
      </c>
      <c r="T75" s="74">
        <f>AVERAGE(Table7[TRB])</f>
        <v>45.732394366197184</v>
      </c>
      <c r="U75" s="74">
        <f>AVERAGE(Table7[AST])</f>
        <v>25.3943661971831</v>
      </c>
      <c r="V75" s="74">
        <f>AVERAGE(Table7[STL])</f>
        <v>8.6197183098591541</v>
      </c>
      <c r="W75" s="74">
        <f>AVERAGE(Table7[BLK])</f>
        <v>6.591549295774648</v>
      </c>
      <c r="X75" s="74">
        <f>AVERAGE(Table7[TOV])</f>
        <v>14.661971830985916</v>
      </c>
      <c r="Y75" s="74">
        <f>AVERAGE(Table7[PF])</f>
        <v>20.718309859154928</v>
      </c>
      <c r="Z75" s="74" t="e">
        <f>AVERAGE(Table7[Team W/L Streak])</f>
        <v>#DIV/0!</v>
      </c>
      <c r="AA75" s="74">
        <f>AVERAGE(Table7[Opp.FGM])</f>
        <v>39.056338028169016</v>
      </c>
      <c r="AB75" s="74">
        <f>AVERAGE(Table7[Opp.FGA])</f>
        <v>87.140845070422529</v>
      </c>
      <c r="AC75" s="75">
        <f>AVERAGE(Table7[OppFG%])</f>
        <v>0.44832394366197176</v>
      </c>
      <c r="AD75" s="74">
        <f>AVERAGE(Table7[Opp.3PM])</f>
        <v>11.647887323943662</v>
      </c>
      <c r="AE75" s="74">
        <f>AVERAGE(Table7[Opp.3PA])</f>
        <v>33.422535211267608</v>
      </c>
      <c r="AF75" s="75">
        <f>AVERAGE(Table7[Opp.3P%])</f>
        <v>0.3465352112676055</v>
      </c>
      <c r="AG75" s="74">
        <f>AVERAGE(Table7[Opp.FTM])</f>
        <v>17.887323943661972</v>
      </c>
      <c r="AH75" s="74">
        <f>AVERAGE(Table7[Opp.FTA])</f>
        <v>22.901408450704224</v>
      </c>
      <c r="AI75" s="75">
        <f>AVERAGE(Table7[Opp.FT%])</f>
        <v>0.78170422535211259</v>
      </c>
      <c r="AJ75" s="74">
        <f>AVERAGE(Table7[Opp.ORB])</f>
        <v>9.408450704225352</v>
      </c>
      <c r="AK75" s="74">
        <f>AVERAGE(Table7[Opp.TRB])</f>
        <v>42.267605633802816</v>
      </c>
      <c r="AL75" s="74">
        <f>AVERAGE(Table7[Opp.AST])</f>
        <v>23.408450704225352</v>
      </c>
      <c r="AM75" s="74">
        <f>AVERAGE(Table7[Opp.STL])</f>
        <v>8.23943661971831</v>
      </c>
      <c r="AN75" s="74">
        <f>AVERAGE(Table7[Opp.BLK])</f>
        <v>3.704225352112676</v>
      </c>
      <c r="AO75" s="74">
        <f>AVERAGE(Table7[Opp.TOV])</f>
        <v>15.140845070422536</v>
      </c>
      <c r="AP75" s="74">
        <f>AVERAGE(Table7[Opp.PF])</f>
        <v>21.746478873239436</v>
      </c>
      <c r="AR75" s="9"/>
    </row>
    <row r="76" spans="1:44" ht="18">
      <c r="AR76" s="9"/>
    </row>
    <row r="77" spans="1:44" ht="23">
      <c r="C77" s="71" t="s">
        <v>170</v>
      </c>
      <c r="AR77" s="9"/>
    </row>
    <row r="78" spans="1:44" ht="23">
      <c r="C78" s="71" t="s">
        <v>184</v>
      </c>
      <c r="AR78" s="9"/>
    </row>
    <row r="79" spans="1:44" ht="23">
      <c r="C79" s="71" t="s">
        <v>190</v>
      </c>
      <c r="AR79" s="9"/>
    </row>
    <row r="80" spans="1:44" ht="23">
      <c r="C80" s="71" t="s">
        <v>177</v>
      </c>
      <c r="AR80" s="9"/>
    </row>
    <row r="81" spans="3:44" ht="23">
      <c r="C81" s="71" t="s">
        <v>174</v>
      </c>
      <c r="AR81" s="9"/>
    </row>
    <row r="82" spans="3:44" ht="23">
      <c r="C82" s="71" t="s">
        <v>173</v>
      </c>
      <c r="AR82" s="9"/>
    </row>
    <row r="83" spans="3:44" ht="23">
      <c r="C83" s="71" t="s">
        <v>178</v>
      </c>
      <c r="AR83" s="9"/>
    </row>
    <row r="84" spans="3:44" ht="23">
      <c r="C84" s="71" t="s">
        <v>187</v>
      </c>
    </row>
    <row r="85" spans="3:44" ht="23">
      <c r="C85" s="71" t="s">
        <v>172</v>
      </c>
    </row>
    <row r="86" spans="3:44" ht="23">
      <c r="C86" s="71" t="s">
        <v>175</v>
      </c>
    </row>
    <row r="87" spans="3:44" ht="23">
      <c r="C87" s="71" t="s">
        <v>186</v>
      </c>
    </row>
    <row r="88" spans="3:44" ht="23">
      <c r="C88" s="71" t="s">
        <v>192</v>
      </c>
    </row>
    <row r="89" spans="3:44" ht="23">
      <c r="C89" s="71" t="s">
        <v>179</v>
      </c>
    </row>
    <row r="90" spans="3:44" ht="23">
      <c r="C90" s="71" t="s">
        <v>181</v>
      </c>
    </row>
    <row r="91" spans="3:44" ht="23">
      <c r="C91" s="71" t="s">
        <v>169</v>
      </c>
    </row>
    <row r="92" spans="3:44" ht="23">
      <c r="C92" s="71" t="s">
        <v>183</v>
      </c>
    </row>
    <row r="93" spans="3:44" ht="23">
      <c r="C93" s="71" t="s">
        <v>182</v>
      </c>
    </row>
    <row r="94" spans="3:44" ht="23">
      <c r="C94" s="71" t="s">
        <v>168</v>
      </c>
    </row>
    <row r="95" spans="3:44" ht="23">
      <c r="C95" s="71" t="s">
        <v>164</v>
      </c>
    </row>
    <row r="96" spans="3:44" ht="23">
      <c r="C96" s="71" t="s">
        <v>176</v>
      </c>
    </row>
    <row r="97" spans="3:3" ht="23">
      <c r="C97" s="71" t="s">
        <v>191</v>
      </c>
    </row>
    <row r="98" spans="3:3" ht="23">
      <c r="C98" s="71" t="s">
        <v>188</v>
      </c>
    </row>
    <row r="99" spans="3:3" ht="23">
      <c r="C99" s="71" t="s">
        <v>193</v>
      </c>
    </row>
    <row r="100" spans="3:3" ht="23">
      <c r="C100" s="71" t="s">
        <v>167</v>
      </c>
    </row>
    <row r="101" spans="3:3" ht="23">
      <c r="C101" s="71" t="s">
        <v>189</v>
      </c>
    </row>
    <row r="102" spans="3:3" ht="23">
      <c r="C102" s="71" t="s">
        <v>171</v>
      </c>
    </row>
    <row r="103" spans="3:3" ht="23">
      <c r="C103" s="71" t="s">
        <v>166</v>
      </c>
    </row>
    <row r="104" spans="3:3" ht="23">
      <c r="C104" s="71" t="s">
        <v>185</v>
      </c>
    </row>
    <row r="105" spans="3:3" ht="23">
      <c r="C105" s="71" t="s">
        <v>180</v>
      </c>
    </row>
    <row r="106" spans="3:3" ht="23">
      <c r="C106" s="71" t="s">
        <v>165</v>
      </c>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Player_Dashboard</vt:lpstr>
      <vt:lpstr>TEAM DASHBOARD</vt:lpstr>
      <vt:lpstr>player_work</vt:lpstr>
      <vt:lpstr>team_work</vt:lpstr>
      <vt:lpstr>PLAYER STATS</vt:lpstr>
      <vt:lpstr>TEAM STATS</vt:lpstr>
      <vt:lpstr>RefTable1</vt:lpstr>
      <vt:lpstr>RS_Players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Guru Darshan</cp:lastModifiedBy>
  <dcterms:created xsi:type="dcterms:W3CDTF">2023-02-07T00:21:20Z</dcterms:created>
  <dcterms:modified xsi:type="dcterms:W3CDTF">2023-03-07T19:53:30Z</dcterms:modified>
</cp:coreProperties>
</file>