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https://cometmail-my.sharepoint.com/personal/ycf220000_utdallas_edu/Documents/Microsoft Teams Chat Files/"/>
    </mc:Choice>
  </mc:AlternateContent>
  <xr:revisionPtr revIDLastSave="1543" documentId="13_ncr:1_{71464346-4E4A-3042-950B-C73E2643A7C3}" xr6:coauthVersionLast="47" xr6:coauthVersionMax="47" xr10:uidLastSave="{61A02BFE-18E6-E644-94D3-BC6300F67243}"/>
  <bookViews>
    <workbookView xWindow="0" yWindow="500" windowWidth="28800" windowHeight="15720" activeTab="3" xr2:uid="{7BCA643B-BB76-1745-8945-2BED4B4C524E}"/>
  </bookViews>
  <sheets>
    <sheet name="Customer Cost" sheetId="5" r:id="rId1"/>
    <sheet name="Revenue" sheetId="1" r:id="rId2"/>
    <sheet name="Expenses" sheetId="2" r:id="rId3"/>
    <sheet name="Income Statement" sheetId="3" r:id="rId4"/>
    <sheet name="Break-Even Analysis" sheetId="4" r:id="rId5"/>
    <sheet name="IRR_NPV"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2" i="5" l="1"/>
  <c r="H16" i="7"/>
  <c r="G16" i="7"/>
  <c r="F16" i="7"/>
  <c r="E16" i="7"/>
  <c r="D16" i="7"/>
  <c r="H15" i="7"/>
  <c r="G15" i="7"/>
  <c r="F15" i="7"/>
  <c r="E15" i="7"/>
  <c r="D15" i="7"/>
  <c r="I29" i="5"/>
  <c r="H29" i="5"/>
  <c r="I28" i="5"/>
  <c r="H28" i="5"/>
  <c r="E5" i="5"/>
  <c r="E4" i="5"/>
  <c r="I19" i="5"/>
  <c r="I18" i="5"/>
  <c r="H20" i="5"/>
  <c r="H19" i="5"/>
  <c r="H18" i="5"/>
  <c r="E10" i="1"/>
  <c r="F10" i="1"/>
  <c r="G10" i="1"/>
  <c r="H10" i="1"/>
  <c r="D10" i="1"/>
  <c r="D3" i="7"/>
  <c r="E5" i="7" s="1"/>
  <c r="F5" i="7" s="1"/>
  <c r="G5" i="7" s="1"/>
  <c r="H5" i="7" s="1"/>
  <c r="I5" i="7" s="1"/>
  <c r="F4" i="7"/>
  <c r="G4" i="7"/>
  <c r="H4" i="7"/>
  <c r="I4" i="7"/>
  <c r="E4" i="7"/>
  <c r="G9" i="2"/>
  <c r="G8" i="2"/>
  <c r="D9" i="7" l="1"/>
  <c r="D7" i="7"/>
  <c r="D8" i="7"/>
  <c r="G3" i="2"/>
  <c r="G4" i="2"/>
  <c r="G5" i="2"/>
  <c r="G6" i="2"/>
  <c r="G7" i="2"/>
  <c r="G10" i="2"/>
  <c r="G11" i="2"/>
  <c r="G12" i="2"/>
  <c r="G13" i="2"/>
  <c r="G14" i="2"/>
  <c r="G15" i="2"/>
  <c r="G16" i="2"/>
  <c r="G17" i="2"/>
  <c r="E12" i="5"/>
  <c r="E11" i="5"/>
  <c r="B11" i="5"/>
  <c r="E10" i="5"/>
  <c r="B10" i="5"/>
  <c r="E8" i="5"/>
  <c r="H20" i="1"/>
  <c r="E20" i="1"/>
  <c r="F20" i="1" s="1"/>
  <c r="G20" i="1" s="1"/>
  <c r="E24" i="2"/>
  <c r="E13" i="3" s="1"/>
  <c r="F24" i="2"/>
  <c r="F13" i="3" s="1"/>
  <c r="G24" i="2"/>
  <c r="G13" i="3" s="1"/>
  <c r="H24" i="2"/>
  <c r="H13" i="3" s="1"/>
  <c r="D24" i="2"/>
  <c r="D13" i="3" s="1"/>
  <c r="D17" i="4"/>
  <c r="B7" i="5"/>
  <c r="B16" i="5" s="1"/>
  <c r="H8" i="5"/>
  <c r="B15" i="3"/>
  <c r="B17" i="4" s="1"/>
  <c r="D21" i="1"/>
  <c r="E21" i="1" s="1"/>
  <c r="F21" i="1" s="1"/>
  <c r="G21" i="1" s="1"/>
  <c r="H21" i="1" s="1"/>
  <c r="E8" i="1"/>
  <c r="F8" i="1" s="1"/>
  <c r="G8" i="1" s="1"/>
  <c r="H8" i="1" s="1"/>
  <c r="D7" i="1"/>
  <c r="D7" i="4"/>
  <c r="D8" i="4"/>
  <c r="B23" i="4"/>
  <c r="B22" i="4"/>
  <c r="B21" i="4"/>
  <c r="B20" i="4"/>
  <c r="D19" i="4"/>
  <c r="B19" i="4"/>
  <c r="D18" i="4"/>
  <c r="B18" i="4"/>
  <c r="B16" i="4"/>
  <c r="B15" i="4"/>
  <c r="B12" i="4"/>
  <c r="B10" i="4"/>
  <c r="B9" i="4"/>
  <c r="B8" i="4"/>
  <c r="B7" i="4"/>
  <c r="B8" i="3"/>
  <c r="B5" i="3"/>
  <c r="D16" i="3"/>
  <c r="D17" i="3"/>
  <c r="B21" i="3"/>
  <c r="B22" i="3"/>
  <c r="B14" i="3"/>
  <c r="B16" i="3"/>
  <c r="B17" i="3"/>
  <c r="B18" i="3"/>
  <c r="B19" i="3"/>
  <c r="B20" i="3"/>
  <c r="B13" i="3"/>
  <c r="B10" i="3"/>
  <c r="B7" i="3"/>
  <c r="B6" i="3"/>
  <c r="D31" i="2"/>
  <c r="D20" i="3" s="1"/>
  <c r="D30" i="2"/>
  <c r="D29" i="2"/>
  <c r="E29" i="2" s="1"/>
  <c r="E18" i="3" s="1"/>
  <c r="E28" i="2"/>
  <c r="E17" i="3" s="1"/>
  <c r="E27" i="2"/>
  <c r="B17" i="5" l="1"/>
  <c r="E16" i="5"/>
  <c r="E17" i="5" s="1"/>
  <c r="G18" i="2"/>
  <c r="D16" i="1"/>
  <c r="D6" i="3" s="1"/>
  <c r="D26" i="2"/>
  <c r="D15" i="3" s="1"/>
  <c r="D25" i="2"/>
  <c r="D14" i="3" s="1"/>
  <c r="E30" i="2"/>
  <c r="F30" i="2" s="1"/>
  <c r="G30" i="2" s="1"/>
  <c r="H30" i="2" s="1"/>
  <c r="H19" i="3" s="1"/>
  <c r="D19" i="3"/>
  <c r="D12" i="4"/>
  <c r="D13" i="4" s="1"/>
  <c r="D15" i="4"/>
  <c r="F29" i="2"/>
  <c r="G29" i="2" s="1"/>
  <c r="D16" i="4"/>
  <c r="D21" i="4"/>
  <c r="F19" i="3"/>
  <c r="E31" i="2"/>
  <c r="E20" i="3" s="1"/>
  <c r="E19" i="3"/>
  <c r="D22" i="4"/>
  <c r="D18" i="3"/>
  <c r="D20" i="4"/>
  <c r="E16" i="3"/>
  <c r="D32" i="2"/>
  <c r="D23" i="4" s="1"/>
  <c r="F28" i="2"/>
  <c r="F17" i="3" s="1"/>
  <c r="F27" i="2"/>
  <c r="F16" i="3" s="1"/>
  <c r="E32" i="2" l="1"/>
  <c r="F18" i="3"/>
  <c r="G19" i="3"/>
  <c r="D24" i="4"/>
  <c r="E21" i="3"/>
  <c r="D33" i="2"/>
  <c r="D21" i="3"/>
  <c r="D22" i="3" s="1"/>
  <c r="F31" i="2"/>
  <c r="F20" i="3" s="1"/>
  <c r="G27" i="2"/>
  <c r="G16" i="3" s="1"/>
  <c r="G18" i="3"/>
  <c r="F32" i="2"/>
  <c r="F21" i="3" s="1"/>
  <c r="G28" i="2"/>
  <c r="G17" i="3" s="1"/>
  <c r="H28" i="2" l="1"/>
  <c r="H17" i="3" s="1"/>
  <c r="G32" i="2"/>
  <c r="G21" i="3" s="1"/>
  <c r="H29" i="2"/>
  <c r="H27" i="2"/>
  <c r="H16" i="3" s="1"/>
  <c r="G31" i="2"/>
  <c r="G20" i="3" l="1"/>
  <c r="H32" i="2"/>
  <c r="H21" i="3" s="1"/>
  <c r="H18" i="3"/>
  <c r="H31" i="2"/>
  <c r="E22" i="1"/>
  <c r="D23" i="1"/>
  <c r="D9" i="4" l="1"/>
  <c r="D10" i="4"/>
  <c r="D26" i="4" s="1"/>
  <c r="D25" i="1"/>
  <c r="D7" i="3" s="1"/>
  <c r="H20" i="3"/>
  <c r="E23" i="1"/>
  <c r="F22" i="1"/>
  <c r="G22" i="1" s="1"/>
  <c r="G23" i="1"/>
  <c r="H22" i="1"/>
  <c r="H23" i="1" s="1"/>
  <c r="D9" i="1"/>
  <c r="D22" i="2" s="1"/>
  <c r="F7" i="1"/>
  <c r="G7" i="1"/>
  <c r="H7" i="1"/>
  <c r="E7" i="1"/>
  <c r="H9" i="1" l="1"/>
  <c r="H22" i="2" s="1"/>
  <c r="H25" i="2"/>
  <c r="H14" i="3" s="1"/>
  <c r="G9" i="1"/>
  <c r="G22" i="2" s="1"/>
  <c r="G10" i="3" s="1"/>
  <c r="G25" i="2"/>
  <c r="G14" i="3" s="1"/>
  <c r="E25" i="2"/>
  <c r="E26" i="2"/>
  <c r="E15" i="3" s="1"/>
  <c r="B13" i="5"/>
  <c r="B15" i="5" s="1"/>
  <c r="E13" i="5"/>
  <c r="E15" i="5" s="1"/>
  <c r="F26" i="2"/>
  <c r="F25" i="2"/>
  <c r="F16" i="1"/>
  <c r="F6" i="3" s="1"/>
  <c r="H5" i="3"/>
  <c r="H10" i="3"/>
  <c r="G5" i="3"/>
  <c r="D27" i="1"/>
  <c r="D10" i="3"/>
  <c r="D5" i="3"/>
  <c r="D8" i="3" s="1"/>
  <c r="D11" i="3" s="1"/>
  <c r="D24" i="3" s="1"/>
  <c r="H25" i="1"/>
  <c r="H7" i="3" s="1"/>
  <c r="F23" i="1"/>
  <c r="F25" i="1" s="1"/>
  <c r="F7" i="3" s="1"/>
  <c r="E25" i="1"/>
  <c r="E7" i="3" s="1"/>
  <c r="G16" i="1"/>
  <c r="F9" i="1"/>
  <c r="F22" i="2" s="1"/>
  <c r="E16" i="1"/>
  <c r="E6" i="3" s="1"/>
  <c r="E9" i="1"/>
  <c r="E22" i="2" s="1"/>
  <c r="H16" i="1"/>
  <c r="H11" i="5" l="1"/>
  <c r="H12" i="5"/>
  <c r="H13" i="5"/>
  <c r="H14" i="5" s="1"/>
  <c r="H15" i="5" s="1"/>
  <c r="I12" i="5"/>
  <c r="I13" i="5" s="1"/>
  <c r="I14" i="5" s="1"/>
  <c r="I15" i="5" s="1"/>
  <c r="I11" i="5"/>
  <c r="E14" i="3"/>
  <c r="E22" i="3" s="1"/>
  <c r="E33" i="2"/>
  <c r="F14" i="3"/>
  <c r="F33" i="2"/>
  <c r="G26" i="2"/>
  <c r="F15" i="3"/>
  <c r="G25" i="1"/>
  <c r="G7" i="3" s="1"/>
  <c r="F5" i="3"/>
  <c r="F8" i="3" s="1"/>
  <c r="F10" i="3"/>
  <c r="E5" i="3"/>
  <c r="E8" i="3" s="1"/>
  <c r="E10" i="3"/>
  <c r="G27" i="1"/>
  <c r="G6" i="3"/>
  <c r="G8" i="3" s="1"/>
  <c r="G11" i="3" s="1"/>
  <c r="H6" i="3"/>
  <c r="H8" i="3" s="1"/>
  <c r="H11" i="3" s="1"/>
  <c r="H27" i="1"/>
  <c r="E27" i="1"/>
  <c r="F27" i="1"/>
  <c r="H26" i="2" l="1"/>
  <c r="G15" i="3"/>
  <c r="G22" i="3" s="1"/>
  <c r="G24" i="3" s="1"/>
  <c r="G33" i="2"/>
  <c r="F22" i="3"/>
  <c r="H29" i="1"/>
  <c r="E11" i="3"/>
  <c r="E24" i="3" s="1"/>
  <c r="F11" i="3"/>
  <c r="H28" i="1"/>
  <c r="F29" i="1"/>
  <c r="F28" i="1"/>
  <c r="E29" i="1"/>
  <c r="E28" i="1"/>
  <c r="G28" i="1"/>
  <c r="G29" i="1"/>
  <c r="F24" i="3" l="1"/>
  <c r="H15" i="3"/>
  <c r="H22" i="3" s="1"/>
  <c r="H24" i="3" s="1"/>
  <c r="H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Forbes, Yannick</author>
  </authors>
  <commentList>
    <comment ref="A2" authorId="0" shapeId="0" xr:uid="{13865E7B-D8A9-4BF4-80F4-F749D08BF8C5}">
      <text>
        <r>
          <rPr>
            <sz val="12"/>
            <color theme="1"/>
            <rFont val="Calibri"/>
            <family val="2"/>
            <scheme val="minor"/>
          </rPr>
          <t>Forbes, Yannick:
Needed to monitor traffic and assist with search and rescue ops. 
Operating cost is estimated between $600 and $1000 per hour</t>
        </r>
      </text>
    </comment>
    <comment ref="D2" authorId="0" shapeId="0" xr:uid="{D975FDBB-E4CD-4C9A-9756-4E95519454DF}">
      <text>
        <r>
          <rPr>
            <sz val="12"/>
            <color theme="1"/>
            <rFont val="Calibri"/>
            <family val="2"/>
            <scheme val="minor"/>
          </rPr>
          <t>Forbes, Yannick:
Assumes police agency deploys officers to conduct regular patrolling around an event venue.
Hours are also required to secure a crime scene and collect evidence. This requires multiple hours to be on foot and search an area. Drone can be used to survey the area with real time footage so officers are used more effectively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Forbes, Yannick</author>
  </authors>
  <commentList>
    <comment ref="B12" authorId="0" shapeId="0" xr:uid="{41BF7F2C-0319-9D43-BF80-F284EF622050}">
      <text>
        <r>
          <rPr>
            <sz val="12"/>
            <color theme="1"/>
            <rFont val="Calibri"/>
            <family val="2"/>
            <scheme val="minor"/>
          </rPr>
          <t>Forbes, Yannick:
Includes wireless service, software as well as regular software updates
$400 software
$200 wireless</t>
        </r>
      </text>
    </comment>
    <comment ref="B23" authorId="0" shapeId="0" xr:uid="{E545A895-9A69-FF4A-A30F-9D69EB49C449}">
      <text>
        <r>
          <rPr>
            <b/>
            <sz val="10"/>
            <color rgb="FF000000"/>
            <rFont val="Tahoma"/>
            <family val="2"/>
          </rPr>
          <t>Forbes, Yannick:</t>
        </r>
        <r>
          <rPr>
            <sz val="10"/>
            <color rgb="FF000000"/>
            <rFont val="Tahoma"/>
            <family val="2"/>
          </rPr>
          <t xml:space="preserve">
</t>
        </r>
        <r>
          <rPr>
            <sz val="10"/>
            <color rgb="FF000000"/>
            <rFont val="Calibri"/>
            <family val="2"/>
          </rPr>
          <t>Includes the cost of replacing parts, such as propellers, batteries, and motors, as well as the cost of regular inspections and repairs.</t>
        </r>
      </text>
    </comment>
  </commentList>
</comments>
</file>

<file path=xl/sharedStrings.xml><?xml version="1.0" encoding="utf-8"?>
<sst xmlns="http://schemas.openxmlformats.org/spreadsheetml/2006/main" count="145" uniqueCount="114">
  <si>
    <t>Helicopter Operations</t>
  </si>
  <si>
    <t>Police Patrolling</t>
  </si>
  <si>
    <t>Police Avg Salary &amp; Benefits</t>
  </si>
  <si>
    <t>15 to 40 hours of each police officer per month</t>
  </si>
  <si>
    <t>Hourly Rate</t>
  </si>
  <si>
    <t>9% of that is spent on special events</t>
  </si>
  <si>
    <t>Avg. Hours per Month</t>
  </si>
  <si>
    <t>Avg # of Officers</t>
  </si>
  <si>
    <t>Total Cost per Year</t>
  </si>
  <si>
    <t>Weekly Hours per Officer</t>
  </si>
  <si>
    <t>Arlington</t>
  </si>
  <si>
    <t>Austin</t>
  </si>
  <si>
    <t>Drone Equipment (8)</t>
  </si>
  <si>
    <t>Year</t>
  </si>
  <si>
    <t>Heli</t>
  </si>
  <si>
    <t>Patrol</t>
  </si>
  <si>
    <t>Drone Subscription</t>
  </si>
  <si>
    <t>Drone Maintenance</t>
  </si>
  <si>
    <t>Total Drone Cost</t>
  </si>
  <si>
    <t>Y1 Savings (Cost)</t>
  </si>
  <si>
    <t>Y2 Savings (Cost)</t>
  </si>
  <si>
    <t>Y3 Savings (Cost)</t>
  </si>
  <si>
    <t>Drone Tasks</t>
  </si>
  <si>
    <t>Police Tasks</t>
  </si>
  <si>
    <t>Crowd monitoring - monitor crowds and provide awareness</t>
  </si>
  <si>
    <t>Crowd control - maintain order and manage large crowds</t>
  </si>
  <si>
    <t>Traffic mgmt - monitor congested areas and provide updates</t>
  </si>
  <si>
    <t>Security - identify security threats and respond</t>
  </si>
  <si>
    <t>Search &amp; rescue - locate missing individuals quickly</t>
  </si>
  <si>
    <t>Traffic Mgmt - prevent congestion and accidents</t>
  </si>
  <si>
    <t>Surveillance - monitor suspicious activity/threats in real time</t>
  </si>
  <si>
    <t>ER Response - coordinate with emergency services</t>
  </si>
  <si>
    <t>Evidence - capture photos/videos of incidents during events</t>
  </si>
  <si>
    <t>Crowd safety - ensure safety and help people navigate</t>
  </si>
  <si>
    <t>Year 1</t>
  </si>
  <si>
    <t>Year 2</t>
  </si>
  <si>
    <t>Year 3</t>
  </si>
  <si>
    <t>Year 4</t>
  </si>
  <si>
    <t>Year 5</t>
  </si>
  <si>
    <t># of Agencies</t>
  </si>
  <si>
    <t>Avg Drones Per Agency</t>
  </si>
  <si>
    <t>Total Drone Quantity</t>
  </si>
  <si>
    <t>Avg. Drone &amp; Accessory Price</t>
  </si>
  <si>
    <t>Equipment Revenue</t>
  </si>
  <si>
    <t>Subscription Monthly Price</t>
  </si>
  <si>
    <t xml:space="preserve"> -  Software Fees</t>
  </si>
  <si>
    <t xml:space="preserve"> -  Wireless Fees</t>
  </si>
  <si>
    <t>Avg Months to Sign On</t>
  </si>
  <si>
    <t>5G Subscription Revenue</t>
  </si>
  <si>
    <t>Avg. Failure Rate</t>
  </si>
  <si>
    <t>Avg. Drone Lifespan (Yrs)</t>
  </si>
  <si>
    <t>Equip. Cost to AT&amp;T (75%)</t>
  </si>
  <si>
    <t>Markup to Cover Labor</t>
  </si>
  <si>
    <t>Monthly Maintenance Costs</t>
  </si>
  <si>
    <t>Avg. Months to Sign On</t>
  </si>
  <si>
    <t>Maintenance Revenue</t>
  </si>
  <si>
    <t>Total Revenue</t>
  </si>
  <si>
    <t>Rev Change $ YoY</t>
  </si>
  <si>
    <t>Rev Change % YoY</t>
  </si>
  <si>
    <t>Helpful Links</t>
  </si>
  <si>
    <t>https://finance.yahoo.com/news/drone-servicing-repair-global-market-185600553.html?guccounter=1&amp;guce_referrer=aHR0cHM6Ly93d3cuZ29vZ2xlLmNvbS8&amp;guce_referrer_sig=AQAAAD50ZtV-2vwfGeL6qmaZ8r-aqVbPFVi_Lb3ezBzVjaEy6QgVihRY6olMfWp9sYQq-qqmr8Jd-h4kI_9JHYxtanCgFrCL1rOZonWKpytuKJ2iQTx_qsD_VTao8IlJ3OghcAyRxSLOCDij0XFjoCH6r-xg-G7AsTAzoCAmVfhnfMiW</t>
  </si>
  <si>
    <t>https://www.factmr.com/report/drone-maintenance-market</t>
  </si>
  <si>
    <t> </t>
  </si>
  <si>
    <t>Activities Performed </t>
  </si>
  <si>
    <r>
      <t>Resources Utilized</t>
    </r>
    <r>
      <rPr>
        <sz val="12"/>
        <rFont val="Calibri"/>
        <family val="2"/>
        <scheme val="minor"/>
      </rPr>
      <t> </t>
    </r>
  </si>
  <si>
    <r>
      <t>Units</t>
    </r>
    <r>
      <rPr>
        <sz val="12"/>
        <rFont val="Calibri"/>
        <family val="2"/>
        <scheme val="minor"/>
      </rPr>
      <t> </t>
    </r>
  </si>
  <si>
    <r>
      <t>Unit Cost Per Year</t>
    </r>
    <r>
      <rPr>
        <sz val="12"/>
        <rFont val="Calibri"/>
        <family val="2"/>
        <scheme val="minor"/>
      </rPr>
      <t> </t>
    </r>
  </si>
  <si>
    <t>Total Cost</t>
  </si>
  <si>
    <t>Prototype &amp; Proof of Concept Team </t>
  </si>
  <si>
    <t>1 x Engineer (4 months) </t>
  </si>
  <si>
    <t>2 x Software Developer (4 months) </t>
  </si>
  <si>
    <t>1 x Account Manager (4 months) </t>
  </si>
  <si>
    <t>1 x Product Manager (4 months)</t>
  </si>
  <si>
    <t>Azure Compute &amp; Analytics Package </t>
  </si>
  <si>
    <t>Vendor Selection &amp; Integration Agreement</t>
  </si>
  <si>
    <t xml:space="preserve">1X Product Manager (6months) </t>
  </si>
  <si>
    <t>1X Solution Architecture(6)(Halftime)</t>
  </si>
  <si>
    <t>Development of DOCMP &amp; Integration (System Integrator Services) </t>
  </si>
  <si>
    <t>3 X Software developers (Full Time) </t>
  </si>
  <si>
    <t>Project Management &amp; AT&amp;T Network Integration Activities </t>
  </si>
  <si>
    <t>1 X Project Manager (Half Time) </t>
  </si>
  <si>
    <t>1X Integration Engineer (Full Time) </t>
  </si>
  <si>
    <t>Network Usage, Edge Compute Resources &amp; 5G Antenna </t>
  </si>
  <si>
    <t>Microsoft Azure Cloud Services &amp; Stream Analytics Package for 6 Drones x 730 hours per year </t>
  </si>
  <si>
    <t>AT&amp;T Network Infrastructure Charge </t>
  </si>
  <si>
    <t>AT&amp;T’s Beta Testing Team </t>
  </si>
  <si>
    <t>1 X Engineers (2 months) </t>
  </si>
  <si>
    <t>1X Account Manager (2 months) </t>
  </si>
  <si>
    <t>Equipment COGS @ 75%</t>
  </si>
  <si>
    <t>Travel Costs</t>
  </si>
  <si>
    <t>Shipping Costs</t>
  </si>
  <si>
    <t>Infrastructure Costs</t>
  </si>
  <si>
    <t>BD Director (1)</t>
  </si>
  <si>
    <t>Sales Staff (2)</t>
  </si>
  <si>
    <t>Engineering Staff (2)</t>
  </si>
  <si>
    <t>Marketing Staff (3)</t>
  </si>
  <si>
    <t>Sales Commissions</t>
  </si>
  <si>
    <t>G&amp;A Commissions</t>
  </si>
  <si>
    <t>Operating Expenses</t>
  </si>
  <si>
    <t>Gross Profit</t>
  </si>
  <si>
    <t>Operating Income</t>
  </si>
  <si>
    <t>Drone Quantity Needed</t>
  </si>
  <si>
    <t>Variable Costs</t>
  </si>
  <si>
    <t>Fixed Costs</t>
  </si>
  <si>
    <t>Break Even</t>
  </si>
  <si>
    <t>Year 0</t>
  </si>
  <si>
    <t>Initial Investment</t>
  </si>
  <si>
    <t>Breake Even</t>
  </si>
  <si>
    <t>IRR &amp; NPV Analysis</t>
  </si>
  <si>
    <t>IRR</t>
  </si>
  <si>
    <t>NPV @10%</t>
  </si>
  <si>
    <t>NPV @15%</t>
  </si>
  <si>
    <t>Subscription Revenue</t>
  </si>
  <si>
    <t>Break even in Year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</si>
</sst>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0.0"/>
    <numFmt numFmtId="165" formatCode="_(&quot;$&quot;* #,##0_);_(&quot;$&quot;* \(#,##0\);_(&quot;$&quot;* &quot;-&quot;??_);_(@_)"/>
    <numFmt numFmtId="166" formatCode="&quot;$&quot;#,##0.00"/>
    <numFmt numFmtId="167" formatCode="_([$$-409]* #,##0.00_);_([$$-409]* \(#,##0.00\);_([$$-409]* &quot;-&quot;??_);_(@_)"/>
  </numFmts>
  <fonts count="12"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Tahoma"/>
      <family val="2"/>
    </font>
    <font>
      <b/>
      <sz val="10"/>
      <color rgb="FF000000"/>
      <name val="Tahoma"/>
      <family val="2"/>
    </font>
    <font>
      <u/>
      <sz val="12"/>
      <color theme="10"/>
      <name val="Calibri"/>
      <family val="2"/>
      <scheme val="minor"/>
    </font>
    <font>
      <b/>
      <sz val="12"/>
      <name val="Calibri"/>
      <family val="2"/>
      <scheme val="minor"/>
    </font>
    <font>
      <sz val="12"/>
      <name val="Calibri"/>
      <family val="2"/>
      <scheme val="minor"/>
    </font>
    <font>
      <sz val="20"/>
      <color theme="1"/>
      <name val="Calibri"/>
      <family val="2"/>
      <scheme val="minor"/>
    </font>
    <font>
      <sz val="10"/>
      <color rgb="FF000000"/>
      <name val="Calibri"/>
      <family val="2"/>
    </font>
    <font>
      <u/>
      <sz val="12"/>
      <color theme="1"/>
      <name val="Calibri"/>
      <family val="2"/>
      <scheme val="minor"/>
    </font>
    <font>
      <sz val="13.5"/>
      <color rgb="FF000000"/>
      <name val="Times New Roman"/>
      <family val="1"/>
    </font>
  </fonts>
  <fills count="5">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rgb="FFE7E6E6"/>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71">
    <xf numFmtId="0" fontId="0" fillId="0" borderId="0" xfId="0"/>
    <xf numFmtId="44" fontId="0" fillId="0" borderId="0" xfId="1" applyFont="1"/>
    <xf numFmtId="164" fontId="0" fillId="0" borderId="0" xfId="1" applyNumberFormat="1" applyFont="1"/>
    <xf numFmtId="164" fontId="0" fillId="0" borderId="0" xfId="0" applyNumberFormat="1"/>
    <xf numFmtId="1" fontId="0" fillId="0" borderId="0" xfId="0" applyNumberFormat="1"/>
    <xf numFmtId="44" fontId="0" fillId="2" borderId="0" xfId="1" applyFont="1" applyFill="1"/>
    <xf numFmtId="0" fontId="2" fillId="0" borderId="0" xfId="0" applyFont="1" applyAlignment="1">
      <alignment horizontal="center"/>
    </xf>
    <xf numFmtId="44" fontId="2" fillId="0" borderId="0" xfId="1" applyFont="1" applyAlignment="1">
      <alignment horizontal="center"/>
    </xf>
    <xf numFmtId="0" fontId="2" fillId="0" borderId="0" xfId="0" applyFont="1" applyAlignment="1">
      <alignment horizontal="left"/>
    </xf>
    <xf numFmtId="0" fontId="5" fillId="0" borderId="0" xfId="3"/>
    <xf numFmtId="44" fontId="0" fillId="3" borderId="0" xfId="1" applyFont="1" applyFill="1"/>
    <xf numFmtId="9" fontId="0" fillId="3" borderId="0" xfId="1" applyNumberFormat="1" applyFont="1" applyFill="1"/>
    <xf numFmtId="1" fontId="0" fillId="3" borderId="0" xfId="1" applyNumberFormat="1" applyFont="1" applyFill="1"/>
    <xf numFmtId="164" fontId="0" fillId="0" borderId="0" xfId="1" applyNumberFormat="1" applyFont="1" applyFill="1"/>
    <xf numFmtId="44" fontId="0" fillId="0" borderId="0" xfId="1" applyFont="1" applyFill="1"/>
    <xf numFmtId="9" fontId="0" fillId="0" borderId="0" xfId="2" applyFont="1"/>
    <xf numFmtId="44" fontId="1" fillId="0" borderId="0" xfId="1" applyFont="1"/>
    <xf numFmtId="44" fontId="2" fillId="2" borderId="0" xfId="1" applyFont="1" applyFill="1"/>
    <xf numFmtId="44" fontId="2" fillId="0" borderId="0" xfId="1" applyFont="1" applyFill="1"/>
    <xf numFmtId="44" fontId="0" fillId="2" borderId="0" xfId="0" applyNumberFormat="1" applyFill="1"/>
    <xf numFmtId="0" fontId="6" fillId="0" borderId="0" xfId="0" applyFont="1"/>
    <xf numFmtId="0" fontId="7" fillId="0" borderId="0" xfId="0" applyFont="1"/>
    <xf numFmtId="0" fontId="6" fillId="0" borderId="0" xfId="0" applyFont="1" applyAlignment="1">
      <alignment wrapText="1"/>
    </xf>
    <xf numFmtId="0" fontId="7" fillId="0" borderId="0" xfId="0" applyFont="1" applyAlignment="1">
      <alignment wrapText="1"/>
    </xf>
    <xf numFmtId="0" fontId="6" fillId="0" borderId="0" xfId="0" applyFont="1" applyAlignment="1">
      <alignment horizontal="left" wrapText="1"/>
    </xf>
    <xf numFmtId="44" fontId="7" fillId="0" borderId="0" xfId="1" applyFont="1"/>
    <xf numFmtId="0" fontId="0" fillId="0" borderId="0" xfId="0" applyAlignment="1">
      <alignment wrapText="1"/>
    </xf>
    <xf numFmtId="0" fontId="6" fillId="0" borderId="0" xfId="0" applyFont="1" applyAlignment="1">
      <alignment horizontal="center"/>
    </xf>
    <xf numFmtId="44" fontId="2" fillId="2" borderId="0" xfId="0" applyNumberFormat="1" applyFont="1" applyFill="1"/>
    <xf numFmtId="0" fontId="8" fillId="0" borderId="0" xfId="0" applyFont="1" applyAlignment="1">
      <alignment horizontal="center"/>
    </xf>
    <xf numFmtId="2" fontId="7" fillId="0" borderId="0" xfId="0" applyNumberFormat="1" applyFont="1" applyAlignment="1">
      <alignment horizontal="center"/>
    </xf>
    <xf numFmtId="2" fontId="0" fillId="0" borderId="0" xfId="0" applyNumberFormat="1" applyAlignment="1">
      <alignment horizontal="center"/>
    </xf>
    <xf numFmtId="1" fontId="0" fillId="3" borderId="0" xfId="0" applyNumberFormat="1" applyFill="1"/>
    <xf numFmtId="0" fontId="0" fillId="0" borderId="0" xfId="0" applyAlignment="1">
      <alignment horizontal="left"/>
    </xf>
    <xf numFmtId="44" fontId="0" fillId="0" borderId="1" xfId="1" applyFont="1" applyFill="1" applyBorder="1"/>
    <xf numFmtId="44" fontId="0" fillId="0" borderId="1" xfId="0" applyNumberFormat="1" applyBorder="1"/>
    <xf numFmtId="44" fontId="0" fillId="0" borderId="1" xfId="1" applyFont="1" applyBorder="1"/>
    <xf numFmtId="44" fontId="0" fillId="3" borderId="1" xfId="1" applyFont="1" applyFill="1" applyBorder="1"/>
    <xf numFmtId="164" fontId="0" fillId="0" borderId="1" xfId="1" applyNumberFormat="1" applyFont="1" applyBorder="1"/>
    <xf numFmtId="44" fontId="0" fillId="0" borderId="0" xfId="1" applyFont="1" applyFill="1" applyBorder="1"/>
    <xf numFmtId="0" fontId="2" fillId="2" borderId="0" xfId="0" applyFont="1" applyFill="1" applyAlignment="1">
      <alignment horizontal="left"/>
    </xf>
    <xf numFmtId="1" fontId="2" fillId="2" borderId="0" xfId="1" applyNumberFormat="1" applyFont="1" applyFill="1"/>
    <xf numFmtId="44" fontId="0" fillId="0" borderId="0" xfId="0" applyNumberFormat="1"/>
    <xf numFmtId="9" fontId="0" fillId="0" borderId="0" xfId="0" applyNumberFormat="1"/>
    <xf numFmtId="0" fontId="0" fillId="0" borderId="2" xfId="0" applyBorder="1"/>
    <xf numFmtId="44" fontId="2" fillId="0" borderId="2" xfId="1" applyFont="1" applyBorder="1" applyAlignment="1">
      <alignment horizontal="center"/>
    </xf>
    <xf numFmtId="0" fontId="2" fillId="0" borderId="2" xfId="0" applyFont="1" applyBorder="1" applyAlignment="1">
      <alignment horizontal="center"/>
    </xf>
    <xf numFmtId="0" fontId="2" fillId="0" borderId="2" xfId="0" applyFont="1" applyBorder="1"/>
    <xf numFmtId="44" fontId="0" fillId="0" borderId="2" xfId="0" applyNumberFormat="1" applyBorder="1"/>
    <xf numFmtId="0" fontId="2" fillId="0" borderId="2" xfId="0" applyFont="1" applyBorder="1" applyAlignment="1">
      <alignment horizontal="left"/>
    </xf>
    <xf numFmtId="44" fontId="0" fillId="0" borderId="2" xfId="1" applyFont="1" applyBorder="1"/>
    <xf numFmtId="8" fontId="0" fillId="0" borderId="2" xfId="0" applyNumberFormat="1" applyBorder="1"/>
    <xf numFmtId="165" fontId="2" fillId="2" borderId="0" xfId="1" applyNumberFormat="1" applyFont="1" applyFill="1"/>
    <xf numFmtId="166" fontId="0" fillId="0" borderId="0" xfId="2" applyNumberFormat="1" applyFont="1" applyFill="1"/>
    <xf numFmtId="9" fontId="2" fillId="0" borderId="2" xfId="0" applyNumberFormat="1" applyFont="1" applyBorder="1"/>
    <xf numFmtId="2" fontId="0" fillId="0" borderId="0" xfId="0" applyNumberFormat="1"/>
    <xf numFmtId="0" fontId="2" fillId="4" borderId="0" xfId="0" applyFont="1" applyFill="1" applyAlignment="1">
      <alignment horizontal="left"/>
    </xf>
    <xf numFmtId="0" fontId="0" fillId="0" borderId="0" xfId="0" applyAlignment="1">
      <alignment horizontal="center"/>
    </xf>
    <xf numFmtId="0" fontId="0" fillId="0" borderId="0" xfId="0" applyAlignment="1">
      <alignment horizontal="right"/>
    </xf>
    <xf numFmtId="44" fontId="0" fillId="0" borderId="0" xfId="0" applyNumberFormat="1" applyAlignment="1">
      <alignment horizontal="right"/>
    </xf>
    <xf numFmtId="164" fontId="0" fillId="0" borderId="0" xfId="0" applyNumberFormat="1" applyAlignment="1">
      <alignment horizontal="right"/>
    </xf>
    <xf numFmtId="1" fontId="0" fillId="0" borderId="0" xfId="0" applyNumberFormat="1" applyAlignment="1">
      <alignment horizontal="right"/>
    </xf>
    <xf numFmtId="44" fontId="2" fillId="4" borderId="0" xfId="0" applyNumberFormat="1" applyFont="1" applyFill="1" applyAlignment="1">
      <alignment horizontal="right"/>
    </xf>
    <xf numFmtId="44" fontId="0" fillId="0" borderId="0" xfId="1" applyFont="1" applyAlignment="1">
      <alignment horizontal="right"/>
    </xf>
    <xf numFmtId="44" fontId="2" fillId="0" borderId="0" xfId="0" applyNumberFormat="1" applyFont="1" applyAlignment="1">
      <alignment horizontal="right"/>
    </xf>
    <xf numFmtId="0" fontId="11" fillId="0" borderId="0" xfId="0" applyFont="1"/>
    <xf numFmtId="167" fontId="0" fillId="0" borderId="0" xfId="0" applyNumberFormat="1"/>
    <xf numFmtId="167" fontId="0" fillId="0" borderId="0" xfId="1" applyNumberFormat="1" applyFont="1"/>
    <xf numFmtId="0" fontId="10" fillId="0" borderId="0" xfId="0" applyFont="1" applyAlignment="1">
      <alignment horizontal="center"/>
    </xf>
    <xf numFmtId="0" fontId="7" fillId="0" borderId="0" xfId="0" applyFont="1"/>
    <xf numFmtId="0" fontId="6" fillId="0" borderId="0" xfId="0" applyFont="1" applyAlignment="1">
      <alignment horizontal="left" vertical="center" wrapText="1"/>
    </xf>
  </cellXfs>
  <cellStyles count="4">
    <cellStyle name="Currency" xfId="1" builtinId="4"/>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Agency</a:t>
            </a:r>
            <a:r>
              <a:rPr lang="en-US" baseline="0"/>
              <a:t> Savings with Drone Solution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Helicopter</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'Customer Cost'!$G$18:$G$20</c:f>
              <c:numCache>
                <c:formatCode>General</c:formatCode>
                <c:ptCount val="3"/>
                <c:pt idx="0">
                  <c:v>1</c:v>
                </c:pt>
                <c:pt idx="1">
                  <c:v>2</c:v>
                </c:pt>
                <c:pt idx="2">
                  <c:v>3</c:v>
                </c:pt>
              </c:numCache>
            </c:numRef>
          </c:xVal>
          <c:yVal>
            <c:numRef>
              <c:f>'Customer Cost'!$H$18:$H$20</c:f>
              <c:numCache>
                <c:formatCode>0.00</c:formatCode>
                <c:ptCount val="3"/>
                <c:pt idx="0" formatCode="General">
                  <c:v>-121800</c:v>
                </c:pt>
                <c:pt idx="1">
                  <c:v>3600</c:v>
                </c:pt>
                <c:pt idx="2" formatCode="General">
                  <c:v>114600</c:v>
                </c:pt>
              </c:numCache>
            </c:numRef>
          </c:yVal>
          <c:smooth val="1"/>
          <c:extLst>
            <c:ext xmlns:c16="http://schemas.microsoft.com/office/drawing/2014/chart" uri="{C3380CC4-5D6E-409C-BE32-E72D297353CC}">
              <c16:uniqueId val="{00000000-50DC-469B-8A07-00794EB041A1}"/>
            </c:ext>
          </c:extLst>
        </c:ser>
        <c:ser>
          <c:idx val="1"/>
          <c:order val="1"/>
          <c:tx>
            <c:v>Patrol</c:v>
          </c:tx>
          <c:spPr>
            <a:ln w="19050" cap="rnd">
              <a:solidFill>
                <a:srgbClr val="002060"/>
              </a:solidFill>
              <a:prstDash val="dash"/>
              <a:round/>
            </a:ln>
            <a:effectLst/>
          </c:spPr>
          <c:marker>
            <c:symbol val="diamond"/>
            <c:size val="5"/>
            <c:spPr>
              <a:solidFill>
                <a:srgbClr val="002060"/>
              </a:solidFill>
              <a:ln w="9525">
                <a:noFill/>
              </a:ln>
              <a:effectLst/>
            </c:spPr>
          </c:marker>
          <c:xVal>
            <c:numRef>
              <c:f>'Customer Cost'!$G$18:$G$20</c:f>
              <c:numCache>
                <c:formatCode>General</c:formatCode>
                <c:ptCount val="3"/>
                <c:pt idx="0">
                  <c:v>1</c:v>
                </c:pt>
                <c:pt idx="1">
                  <c:v>2</c:v>
                </c:pt>
                <c:pt idx="2">
                  <c:v>3</c:v>
                </c:pt>
              </c:numCache>
            </c:numRef>
          </c:xVal>
          <c:yVal>
            <c:numRef>
              <c:f>'Customer Cost'!$I$18:$I$20</c:f>
              <c:numCache>
                <c:formatCode>0.00</c:formatCode>
                <c:ptCount val="3"/>
                <c:pt idx="0">
                  <c:v>-120600</c:v>
                </c:pt>
                <c:pt idx="1">
                  <c:v>1200</c:v>
                </c:pt>
                <c:pt idx="2">
                  <c:v>118200</c:v>
                </c:pt>
              </c:numCache>
            </c:numRef>
          </c:yVal>
          <c:smooth val="1"/>
          <c:extLst>
            <c:ext xmlns:c16="http://schemas.microsoft.com/office/drawing/2014/chart" uri="{C3380CC4-5D6E-409C-BE32-E72D297353CC}">
              <c16:uniqueId val="{00000002-50DC-469B-8A07-00794EB041A1}"/>
            </c:ext>
          </c:extLst>
        </c:ser>
        <c:dLbls>
          <c:showLegendKey val="0"/>
          <c:showVal val="0"/>
          <c:showCatName val="0"/>
          <c:showSerName val="0"/>
          <c:showPercent val="0"/>
          <c:showBubbleSize val="0"/>
        </c:dLbls>
        <c:axId val="984009999"/>
        <c:axId val="984007119"/>
      </c:scatterChart>
      <c:valAx>
        <c:axId val="984009999"/>
        <c:scaling>
          <c:orientation val="minMax"/>
          <c:max val="3"/>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007119"/>
        <c:crosses val="autoZero"/>
        <c:crossBetween val="midCat"/>
        <c:majorUnit val="1"/>
      </c:valAx>
      <c:valAx>
        <c:axId val="98400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Savings</a:t>
                </a:r>
                <a:r>
                  <a:rPr lang="en-US" baseline="0"/>
                  <a:t> in 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0099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0" i="0" u="none" strike="noStrike" kern="1200" spc="0" baseline="0">
                <a:solidFill>
                  <a:sysClr val="windowText" lastClr="000000"/>
                </a:solidFill>
                <a:latin typeface="+mn-lt"/>
                <a:ea typeface="+mn-ea"/>
                <a:cs typeface="+mn-cs"/>
              </a:defRPr>
            </a:pPr>
            <a:r>
              <a:rPr lang="en-US" sz="2400" b="1" i="0" baseline="0">
                <a:solidFill>
                  <a:sysClr val="windowText" lastClr="000000"/>
                </a:solidFill>
                <a:effectLst/>
              </a:rPr>
              <a:t>5YR Revenue Growth</a:t>
            </a:r>
            <a:endParaRPr lang="en-US" sz="2400">
              <a:solidFill>
                <a:sysClr val="windowText" lastClr="000000"/>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Revenue!$B$9</c:f>
              <c:strCache>
                <c:ptCount val="1"/>
                <c:pt idx="0">
                  <c:v>Equipment Revenue</c:v>
                </c:pt>
              </c:strCache>
            </c:strRef>
          </c:tx>
          <c:spPr>
            <a:solidFill>
              <a:schemeClr val="accent1"/>
            </a:solidFill>
            <a:ln>
              <a:noFill/>
            </a:ln>
            <a:effectLst/>
          </c:spPr>
          <c:invertIfNegative val="0"/>
          <c:cat>
            <c:strRef>
              <c:f>Revenue!$D$3:$H$3</c:f>
              <c:strCache>
                <c:ptCount val="5"/>
                <c:pt idx="0">
                  <c:v> Year 1 </c:v>
                </c:pt>
                <c:pt idx="1">
                  <c:v>Year 2</c:v>
                </c:pt>
                <c:pt idx="2">
                  <c:v>Year 3</c:v>
                </c:pt>
                <c:pt idx="3">
                  <c:v> Year 4 </c:v>
                </c:pt>
                <c:pt idx="4">
                  <c:v> Year 5 </c:v>
                </c:pt>
              </c:strCache>
            </c:strRef>
          </c:cat>
          <c:val>
            <c:numRef>
              <c:f>Revenue!$D$9:$H$9</c:f>
              <c:numCache>
                <c:formatCode>_("$"* #,##0.00_);_("$"* \(#,##0.00\);_("$"* "-"??_);_(@_)</c:formatCode>
                <c:ptCount val="5"/>
                <c:pt idx="0">
                  <c:v>1500000</c:v>
                </c:pt>
                <c:pt idx="1">
                  <c:v>3600000</c:v>
                </c:pt>
                <c:pt idx="2">
                  <c:v>4800000</c:v>
                </c:pt>
                <c:pt idx="3">
                  <c:v>4800000</c:v>
                </c:pt>
                <c:pt idx="4">
                  <c:v>6000000</c:v>
                </c:pt>
              </c:numCache>
            </c:numRef>
          </c:val>
          <c:extLst>
            <c:ext xmlns:c16="http://schemas.microsoft.com/office/drawing/2014/chart" uri="{C3380CC4-5D6E-409C-BE32-E72D297353CC}">
              <c16:uniqueId val="{00000000-08C4-4A94-82EC-00E38278D648}"/>
            </c:ext>
          </c:extLst>
        </c:ser>
        <c:ser>
          <c:idx val="1"/>
          <c:order val="1"/>
          <c:tx>
            <c:strRef>
              <c:f>Revenue!$B$16</c:f>
              <c:strCache>
                <c:ptCount val="1"/>
                <c:pt idx="0">
                  <c:v>5G Subscription Revenue</c:v>
                </c:pt>
              </c:strCache>
            </c:strRef>
          </c:tx>
          <c:spPr>
            <a:solidFill>
              <a:srgbClr val="92D050"/>
            </a:solidFill>
            <a:ln>
              <a:noFill/>
            </a:ln>
            <a:effectLst/>
          </c:spPr>
          <c:invertIfNegative val="0"/>
          <c:cat>
            <c:strRef>
              <c:f>Revenue!$D$3:$H$3</c:f>
              <c:strCache>
                <c:ptCount val="5"/>
                <c:pt idx="0">
                  <c:v> Year 1 </c:v>
                </c:pt>
                <c:pt idx="1">
                  <c:v>Year 2</c:v>
                </c:pt>
                <c:pt idx="2">
                  <c:v>Year 3</c:v>
                </c:pt>
                <c:pt idx="3">
                  <c:v> Year 4 </c:v>
                </c:pt>
                <c:pt idx="4">
                  <c:v> Year 5 </c:v>
                </c:pt>
              </c:strCache>
            </c:strRef>
          </c:cat>
          <c:val>
            <c:numRef>
              <c:f>Revenue!$D$16:$H$16</c:f>
              <c:numCache>
                <c:formatCode>_("$"* #,##0.00_);_("$"* \(#,##0.00\);_("$"* "-"??_);_(@_)</c:formatCode>
                <c:ptCount val="5"/>
                <c:pt idx="0">
                  <c:v>180000</c:v>
                </c:pt>
                <c:pt idx="1">
                  <c:v>792000</c:v>
                </c:pt>
                <c:pt idx="2">
                  <c:v>1800000</c:v>
                </c:pt>
                <c:pt idx="3">
                  <c:v>2952000</c:v>
                </c:pt>
                <c:pt idx="4">
                  <c:v>4248000</c:v>
                </c:pt>
              </c:numCache>
            </c:numRef>
          </c:val>
          <c:extLst>
            <c:ext xmlns:c16="http://schemas.microsoft.com/office/drawing/2014/chart" uri="{C3380CC4-5D6E-409C-BE32-E72D297353CC}">
              <c16:uniqueId val="{00000001-08C4-4A94-82EC-00E38278D648}"/>
            </c:ext>
          </c:extLst>
        </c:ser>
        <c:ser>
          <c:idx val="2"/>
          <c:order val="2"/>
          <c:tx>
            <c:strRef>
              <c:f>Revenue!$B$25</c:f>
              <c:strCache>
                <c:ptCount val="1"/>
                <c:pt idx="0">
                  <c:v>Maintenance Revenue</c:v>
                </c:pt>
              </c:strCache>
            </c:strRef>
          </c:tx>
          <c:spPr>
            <a:solidFill>
              <a:schemeClr val="accent3"/>
            </a:solidFill>
            <a:ln>
              <a:noFill/>
            </a:ln>
            <a:effectLst/>
          </c:spPr>
          <c:invertIfNegative val="0"/>
          <c:cat>
            <c:strRef>
              <c:f>Revenue!$D$3:$H$3</c:f>
              <c:strCache>
                <c:ptCount val="5"/>
                <c:pt idx="0">
                  <c:v> Year 1 </c:v>
                </c:pt>
                <c:pt idx="1">
                  <c:v>Year 2</c:v>
                </c:pt>
                <c:pt idx="2">
                  <c:v>Year 3</c:v>
                </c:pt>
                <c:pt idx="3">
                  <c:v> Year 4 </c:v>
                </c:pt>
                <c:pt idx="4">
                  <c:v> Year 5 </c:v>
                </c:pt>
              </c:strCache>
            </c:strRef>
          </c:cat>
          <c:val>
            <c:numRef>
              <c:f>Revenue!$D$25:$H$25</c:f>
              <c:numCache>
                <c:formatCode>_("$"* #,##0.00_);_("$"* \(#,##0.00\);_("$"* "-"??_);_(@_)</c:formatCode>
                <c:ptCount val="5"/>
                <c:pt idx="0">
                  <c:v>65625</c:v>
                </c:pt>
                <c:pt idx="1">
                  <c:v>290100</c:v>
                </c:pt>
                <c:pt idx="2">
                  <c:v>663729</c:v>
                </c:pt>
                <c:pt idx="3">
                  <c:v>1096886.3700000001</c:v>
                </c:pt>
                <c:pt idx="4">
                  <c:v>1592240.3332500001</c:v>
                </c:pt>
              </c:numCache>
            </c:numRef>
          </c:val>
          <c:extLst>
            <c:ext xmlns:c16="http://schemas.microsoft.com/office/drawing/2014/chart" uri="{C3380CC4-5D6E-409C-BE32-E72D297353CC}">
              <c16:uniqueId val="{00000002-08C4-4A94-82EC-00E38278D648}"/>
            </c:ext>
          </c:extLst>
        </c:ser>
        <c:ser>
          <c:idx val="3"/>
          <c:order val="3"/>
          <c:tx>
            <c:strRef>
              <c:f>Revenue!$B$27</c:f>
              <c:strCache>
                <c:ptCount val="1"/>
                <c:pt idx="0">
                  <c:v>Total Revenue</c:v>
                </c:pt>
              </c:strCache>
            </c:strRef>
          </c:tx>
          <c:spPr>
            <a:solidFill>
              <a:schemeClr val="accent4"/>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Revenue!$D$3:$H$3</c:f>
              <c:strCache>
                <c:ptCount val="5"/>
                <c:pt idx="0">
                  <c:v> Year 1 </c:v>
                </c:pt>
                <c:pt idx="1">
                  <c:v>Year 2</c:v>
                </c:pt>
                <c:pt idx="2">
                  <c:v>Year 3</c:v>
                </c:pt>
                <c:pt idx="3">
                  <c:v> Year 4 </c:v>
                </c:pt>
                <c:pt idx="4">
                  <c:v> Year 5 </c:v>
                </c:pt>
              </c:strCache>
            </c:strRef>
          </c:cat>
          <c:val>
            <c:numRef>
              <c:f>Revenue!$D$27:$H$27</c:f>
              <c:numCache>
                <c:formatCode>_("$"* #,##0.00_);_("$"* \(#,##0.00\);_("$"* "-"??_);_(@_)</c:formatCode>
                <c:ptCount val="5"/>
                <c:pt idx="0">
                  <c:v>1745625</c:v>
                </c:pt>
                <c:pt idx="1">
                  <c:v>4682100</c:v>
                </c:pt>
                <c:pt idx="2">
                  <c:v>7263729</c:v>
                </c:pt>
                <c:pt idx="3">
                  <c:v>8848886.370000001</c:v>
                </c:pt>
                <c:pt idx="4">
                  <c:v>11840240.333250001</c:v>
                </c:pt>
              </c:numCache>
            </c:numRef>
          </c:val>
          <c:extLst>
            <c:ext xmlns:c16="http://schemas.microsoft.com/office/drawing/2014/chart" uri="{C3380CC4-5D6E-409C-BE32-E72D297353CC}">
              <c16:uniqueId val="{00000005-08C4-4A94-82EC-00E38278D648}"/>
            </c:ext>
          </c:extLst>
        </c:ser>
        <c:dLbls>
          <c:showLegendKey val="0"/>
          <c:showVal val="0"/>
          <c:showCatName val="0"/>
          <c:showSerName val="0"/>
          <c:showPercent val="0"/>
          <c:showBubbleSize val="0"/>
        </c:dLbls>
        <c:gapWidth val="219"/>
        <c:overlap val="-27"/>
        <c:axId val="1011473008"/>
        <c:axId val="1011467248"/>
      </c:barChart>
      <c:catAx>
        <c:axId val="101147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crossAx val="1011467248"/>
        <c:crosses val="autoZero"/>
        <c:auto val="1"/>
        <c:lblAlgn val="ctr"/>
        <c:lblOffset val="100"/>
        <c:noMultiLvlLbl val="0"/>
      </c:catAx>
      <c:valAx>
        <c:axId val="10114672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crossAx val="1011473008"/>
        <c:crosses val="autoZero"/>
        <c:crossBetween val="between"/>
        <c:min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0" i="0" u="none" strike="noStrike" kern="1200" spc="0" baseline="0">
                <a:solidFill>
                  <a:sysClr val="windowText" lastClr="000000"/>
                </a:solidFill>
                <a:latin typeface="+mn-lt"/>
                <a:ea typeface="+mn-ea"/>
                <a:cs typeface="+mn-cs"/>
              </a:defRPr>
            </a:pPr>
            <a:r>
              <a:rPr lang="en-US" sz="2400" b="1" i="0" baseline="0">
                <a:solidFill>
                  <a:sysClr val="windowText" lastClr="000000"/>
                </a:solidFill>
                <a:effectLst/>
              </a:rPr>
              <a:t>5YR Revenue Growth</a:t>
            </a:r>
            <a:endParaRPr lang="en-US" sz="2400">
              <a:solidFill>
                <a:sysClr val="windowText" lastClr="000000"/>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3"/>
          <c:order val="0"/>
          <c:tx>
            <c:strRef>
              <c:f>Revenue!$B$27</c:f>
              <c:strCache>
                <c:ptCount val="1"/>
                <c:pt idx="0">
                  <c:v>Total Revenue</c:v>
                </c:pt>
              </c:strCache>
            </c:strRef>
          </c:tx>
          <c:spPr>
            <a:ln w="28575" cap="rnd">
              <a:solidFill>
                <a:schemeClr val="accent4"/>
              </a:solidFill>
              <a:round/>
            </a:ln>
            <a:effectLst/>
          </c:spPr>
          <c:marker>
            <c:symbol val="none"/>
          </c:marker>
          <c:dLbls>
            <c:dLbl>
              <c:idx val="0"/>
              <c:layout>
                <c:manualLayout>
                  <c:x val="-6.3624218318791392E-2"/>
                  <c:y val="-7.5697261538329841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0056-46DD-AF3A-0002A07F6A9C}"/>
                </c:ext>
              </c:extLst>
            </c:dLbl>
            <c:dLbl>
              <c:idx val="1"/>
              <c:layout>
                <c:manualLayout>
                  <c:x val="-8.013712211292362E-2"/>
                  <c:y val="-8.0420959606244513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0056-46DD-AF3A-0002A07F6A9C}"/>
                </c:ext>
              </c:extLst>
            </c:dLbl>
            <c:dLbl>
              <c:idx val="2"/>
              <c:layout>
                <c:manualLayout>
                  <c:x val="-7.3531960595270618E-2"/>
                  <c:y val="-4.2631375062928488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0056-46DD-AF3A-0002A07F6A9C}"/>
                </c:ext>
              </c:extLst>
            </c:dLbl>
            <c:dLbl>
              <c:idx val="3"/>
              <c:layout>
                <c:manualLayout>
                  <c:x val="-9.0044864389402873E-2"/>
                  <c:y val="-6.8611714436458221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0056-46DD-AF3A-0002A07F6A9C}"/>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Revenue!$D$3:$H$3</c:f>
              <c:strCache>
                <c:ptCount val="5"/>
                <c:pt idx="0">
                  <c:v> Year 1 </c:v>
                </c:pt>
                <c:pt idx="1">
                  <c:v>Year 2</c:v>
                </c:pt>
                <c:pt idx="2">
                  <c:v>Year 3</c:v>
                </c:pt>
                <c:pt idx="3">
                  <c:v> Year 4 </c:v>
                </c:pt>
                <c:pt idx="4">
                  <c:v> Year 5 </c:v>
                </c:pt>
              </c:strCache>
            </c:strRef>
          </c:cat>
          <c:val>
            <c:numRef>
              <c:f>Revenue!$D$27:$H$27</c:f>
              <c:numCache>
                <c:formatCode>_("$"* #,##0.00_);_("$"* \(#,##0.00\);_("$"* "-"??_);_(@_)</c:formatCode>
                <c:ptCount val="5"/>
                <c:pt idx="0">
                  <c:v>1745625</c:v>
                </c:pt>
                <c:pt idx="1">
                  <c:v>4682100</c:v>
                </c:pt>
                <c:pt idx="2">
                  <c:v>7263729</c:v>
                </c:pt>
                <c:pt idx="3">
                  <c:v>8848886.370000001</c:v>
                </c:pt>
                <c:pt idx="4">
                  <c:v>11840240.333250001</c:v>
                </c:pt>
              </c:numCache>
            </c:numRef>
          </c:val>
          <c:smooth val="0"/>
          <c:extLst>
            <c:ext xmlns:c16="http://schemas.microsoft.com/office/drawing/2014/chart" uri="{C3380CC4-5D6E-409C-BE32-E72D297353CC}">
              <c16:uniqueId val="{00000003-B678-44F7-BAB0-E0F465AF3077}"/>
            </c:ext>
          </c:extLst>
        </c:ser>
        <c:ser>
          <c:idx val="1"/>
          <c:order val="1"/>
          <c:tx>
            <c:strRef>
              <c:f>Revenue!$B$16</c:f>
              <c:strCache>
                <c:ptCount val="1"/>
                <c:pt idx="0">
                  <c:v>5G Subscription Revenue</c:v>
                </c:pt>
              </c:strCache>
            </c:strRef>
          </c:tx>
          <c:spPr>
            <a:ln w="28575" cap="rnd">
              <a:solidFill>
                <a:srgbClr val="92D050"/>
              </a:solidFill>
              <a:round/>
            </a:ln>
            <a:effectLst/>
          </c:spPr>
          <c:marker>
            <c:symbol val="none"/>
          </c:marker>
          <c:cat>
            <c:strRef>
              <c:f>Revenue!$D$3:$H$3</c:f>
              <c:strCache>
                <c:ptCount val="5"/>
                <c:pt idx="0">
                  <c:v> Year 1 </c:v>
                </c:pt>
                <c:pt idx="1">
                  <c:v>Year 2</c:v>
                </c:pt>
                <c:pt idx="2">
                  <c:v>Year 3</c:v>
                </c:pt>
                <c:pt idx="3">
                  <c:v> Year 4 </c:v>
                </c:pt>
                <c:pt idx="4">
                  <c:v> Year 5 </c:v>
                </c:pt>
              </c:strCache>
            </c:strRef>
          </c:cat>
          <c:val>
            <c:numRef>
              <c:f>Revenue!$D$16:$H$16</c:f>
              <c:numCache>
                <c:formatCode>_("$"* #,##0.00_);_("$"* \(#,##0.00\);_("$"* "-"??_);_(@_)</c:formatCode>
                <c:ptCount val="5"/>
                <c:pt idx="0">
                  <c:v>180000</c:v>
                </c:pt>
                <c:pt idx="1">
                  <c:v>792000</c:v>
                </c:pt>
                <c:pt idx="2">
                  <c:v>1800000</c:v>
                </c:pt>
                <c:pt idx="3">
                  <c:v>2952000</c:v>
                </c:pt>
                <c:pt idx="4">
                  <c:v>4248000</c:v>
                </c:pt>
              </c:numCache>
            </c:numRef>
          </c:val>
          <c:smooth val="0"/>
          <c:extLst>
            <c:ext xmlns:c16="http://schemas.microsoft.com/office/drawing/2014/chart" uri="{C3380CC4-5D6E-409C-BE32-E72D297353CC}">
              <c16:uniqueId val="{00000001-B678-44F7-BAB0-E0F465AF3077}"/>
            </c:ext>
          </c:extLst>
        </c:ser>
        <c:ser>
          <c:idx val="0"/>
          <c:order val="2"/>
          <c:tx>
            <c:strRef>
              <c:f>Revenue!$B$9</c:f>
              <c:strCache>
                <c:ptCount val="1"/>
                <c:pt idx="0">
                  <c:v>Equipment Revenue</c:v>
                </c:pt>
              </c:strCache>
            </c:strRef>
          </c:tx>
          <c:spPr>
            <a:ln w="28575" cap="rnd">
              <a:solidFill>
                <a:schemeClr val="accent1"/>
              </a:solidFill>
              <a:round/>
            </a:ln>
            <a:effectLst/>
          </c:spPr>
          <c:marker>
            <c:symbol val="none"/>
          </c:marker>
          <c:cat>
            <c:strRef>
              <c:f>Revenue!$D$3:$H$3</c:f>
              <c:strCache>
                <c:ptCount val="5"/>
                <c:pt idx="0">
                  <c:v> Year 1 </c:v>
                </c:pt>
                <c:pt idx="1">
                  <c:v>Year 2</c:v>
                </c:pt>
                <c:pt idx="2">
                  <c:v>Year 3</c:v>
                </c:pt>
                <c:pt idx="3">
                  <c:v> Year 4 </c:v>
                </c:pt>
                <c:pt idx="4">
                  <c:v> Year 5 </c:v>
                </c:pt>
              </c:strCache>
            </c:strRef>
          </c:cat>
          <c:val>
            <c:numRef>
              <c:f>Revenue!$D$9:$H$9</c:f>
              <c:numCache>
                <c:formatCode>_("$"* #,##0.00_);_("$"* \(#,##0.00\);_("$"* "-"??_);_(@_)</c:formatCode>
                <c:ptCount val="5"/>
                <c:pt idx="0">
                  <c:v>1500000</c:v>
                </c:pt>
                <c:pt idx="1">
                  <c:v>3600000</c:v>
                </c:pt>
                <c:pt idx="2">
                  <c:v>4800000</c:v>
                </c:pt>
                <c:pt idx="3">
                  <c:v>4800000</c:v>
                </c:pt>
                <c:pt idx="4">
                  <c:v>6000000</c:v>
                </c:pt>
              </c:numCache>
            </c:numRef>
          </c:val>
          <c:smooth val="0"/>
          <c:extLst>
            <c:ext xmlns:c16="http://schemas.microsoft.com/office/drawing/2014/chart" uri="{C3380CC4-5D6E-409C-BE32-E72D297353CC}">
              <c16:uniqueId val="{00000000-B678-44F7-BAB0-E0F465AF3077}"/>
            </c:ext>
          </c:extLst>
        </c:ser>
        <c:ser>
          <c:idx val="2"/>
          <c:order val="3"/>
          <c:tx>
            <c:strRef>
              <c:f>Revenue!$B$25</c:f>
              <c:strCache>
                <c:ptCount val="1"/>
                <c:pt idx="0">
                  <c:v>Maintenance Revenue</c:v>
                </c:pt>
              </c:strCache>
            </c:strRef>
          </c:tx>
          <c:spPr>
            <a:ln w="28575" cap="rnd">
              <a:solidFill>
                <a:schemeClr val="accent3"/>
              </a:solidFill>
              <a:round/>
            </a:ln>
            <a:effectLst/>
          </c:spPr>
          <c:marker>
            <c:symbol val="none"/>
          </c:marker>
          <c:cat>
            <c:strRef>
              <c:f>Revenue!$D$3:$H$3</c:f>
              <c:strCache>
                <c:ptCount val="5"/>
                <c:pt idx="0">
                  <c:v> Year 1 </c:v>
                </c:pt>
                <c:pt idx="1">
                  <c:v>Year 2</c:v>
                </c:pt>
                <c:pt idx="2">
                  <c:v>Year 3</c:v>
                </c:pt>
                <c:pt idx="3">
                  <c:v> Year 4 </c:v>
                </c:pt>
                <c:pt idx="4">
                  <c:v> Year 5 </c:v>
                </c:pt>
              </c:strCache>
            </c:strRef>
          </c:cat>
          <c:val>
            <c:numRef>
              <c:f>Revenue!$D$25:$H$25</c:f>
              <c:numCache>
                <c:formatCode>_("$"* #,##0.00_);_("$"* \(#,##0.00\);_("$"* "-"??_);_(@_)</c:formatCode>
                <c:ptCount val="5"/>
                <c:pt idx="0">
                  <c:v>65625</c:v>
                </c:pt>
                <c:pt idx="1">
                  <c:v>290100</c:v>
                </c:pt>
                <c:pt idx="2">
                  <c:v>663729</c:v>
                </c:pt>
                <c:pt idx="3">
                  <c:v>1096886.3700000001</c:v>
                </c:pt>
                <c:pt idx="4">
                  <c:v>1592240.3332500001</c:v>
                </c:pt>
              </c:numCache>
            </c:numRef>
          </c:val>
          <c:smooth val="0"/>
          <c:extLst>
            <c:ext xmlns:c16="http://schemas.microsoft.com/office/drawing/2014/chart" uri="{C3380CC4-5D6E-409C-BE32-E72D297353CC}">
              <c16:uniqueId val="{00000002-B678-44F7-BAB0-E0F465AF3077}"/>
            </c:ext>
          </c:extLst>
        </c:ser>
        <c:dLbls>
          <c:showLegendKey val="0"/>
          <c:showVal val="0"/>
          <c:showCatName val="0"/>
          <c:showSerName val="0"/>
          <c:showPercent val="0"/>
          <c:showBubbleSize val="0"/>
        </c:dLbls>
        <c:smooth val="0"/>
        <c:axId val="1011473008"/>
        <c:axId val="1011467248"/>
      </c:lineChart>
      <c:catAx>
        <c:axId val="101147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crossAx val="1011467248"/>
        <c:crosses val="autoZero"/>
        <c:auto val="1"/>
        <c:lblAlgn val="ctr"/>
        <c:lblOffset val="100"/>
        <c:noMultiLvlLbl val="0"/>
      </c:catAx>
      <c:valAx>
        <c:axId val="10114672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crossAx val="1011473008"/>
        <c:crosses val="autoZero"/>
        <c:crossBetween val="between"/>
        <c:minorUnit val="200"/>
      </c:valAx>
      <c:spPr>
        <a:noFill/>
        <a:ln>
          <a:noFill/>
        </a:ln>
        <a:effectLst/>
      </c:spPr>
    </c:plotArea>
    <c:legend>
      <c:legendPos val="b"/>
      <c:layout>
        <c:manualLayout>
          <c:xMode val="edge"/>
          <c:yMode val="edge"/>
          <c:x val="0.11212482715085449"/>
          <c:y val="0.88951028455073633"/>
          <c:w val="0.76500603631148523"/>
          <c:h val="0.1081604524290065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0" i="0" u="none" strike="noStrike" kern="1200" spc="0" baseline="0">
                <a:solidFill>
                  <a:sysClr val="windowText" lastClr="000000"/>
                </a:solidFill>
                <a:latin typeface="+mn-lt"/>
                <a:ea typeface="+mn-ea"/>
                <a:cs typeface="+mn-cs"/>
              </a:defRPr>
            </a:pPr>
            <a:r>
              <a:rPr lang="en-US" sz="2400" b="1" i="0" baseline="0">
                <a:solidFill>
                  <a:sysClr val="windowText" lastClr="000000"/>
                </a:solidFill>
                <a:effectLst/>
              </a:rPr>
              <a:t>Income Statement - Years 1- 5</a:t>
            </a:r>
            <a:endParaRPr lang="en-US" sz="2400">
              <a:solidFill>
                <a:sysClr val="windowText" lastClr="000000"/>
              </a:solidFill>
              <a:effectLst/>
            </a:endParaRPr>
          </a:p>
        </c:rich>
      </c:tx>
      <c:layout>
        <c:manualLayout>
          <c:xMode val="edge"/>
          <c:yMode val="edge"/>
          <c:x val="0.29094339651980289"/>
          <c:y val="1.529755552289935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2"/>
          <c:order val="0"/>
          <c:tx>
            <c:strRef>
              <c:f>'Income Statement'!$B$22</c:f>
              <c:strCache>
                <c:ptCount val="1"/>
                <c:pt idx="0">
                  <c:v>Operating Expenses</c:v>
                </c:pt>
              </c:strCache>
            </c:strRef>
          </c:tx>
          <c:spPr>
            <a:solidFill>
              <a:srgbClr val="4472C4">
                <a:lumMod val="60000"/>
                <a:lumOff val="40000"/>
              </a:srgbClr>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Revenue!$D$3:$H$3</c:f>
              <c:strCache>
                <c:ptCount val="5"/>
                <c:pt idx="0">
                  <c:v> Year 1 </c:v>
                </c:pt>
                <c:pt idx="1">
                  <c:v>Year 2</c:v>
                </c:pt>
                <c:pt idx="2">
                  <c:v>Year 3</c:v>
                </c:pt>
                <c:pt idx="3">
                  <c:v> Year 4 </c:v>
                </c:pt>
                <c:pt idx="4">
                  <c:v> Year 5 </c:v>
                </c:pt>
              </c:strCache>
            </c:strRef>
          </c:cat>
          <c:val>
            <c:numRef>
              <c:f>'Income Statement'!$D$22:$H$22</c:f>
              <c:numCache>
                <c:formatCode>_("$"* #,##0.00_);_("$"* \(#,##0.00\);_("$"* "-"??_);_(@_)</c:formatCode>
                <c:ptCount val="5"/>
                <c:pt idx="0">
                  <c:v>1350136</c:v>
                </c:pt>
                <c:pt idx="1">
                  <c:v>1629942.4</c:v>
                </c:pt>
                <c:pt idx="2">
                  <c:v>2057064</c:v>
                </c:pt>
                <c:pt idx="3">
                  <c:v>2492142.1919999998</c:v>
                </c:pt>
                <c:pt idx="4">
                  <c:v>2667744.47376</c:v>
                </c:pt>
              </c:numCache>
            </c:numRef>
          </c:val>
          <c:extLst>
            <c:ext xmlns:c16="http://schemas.microsoft.com/office/drawing/2014/chart" uri="{C3380CC4-5D6E-409C-BE32-E72D297353CC}">
              <c16:uniqueId val="{00000002-6C71-4360-9CF3-3F13597FC19D}"/>
            </c:ext>
          </c:extLst>
        </c:ser>
        <c:ser>
          <c:idx val="3"/>
          <c:order val="1"/>
          <c:tx>
            <c:strRef>
              <c:f>'Income Statement'!$B$24</c:f>
              <c:strCache>
                <c:ptCount val="1"/>
                <c:pt idx="0">
                  <c:v>Operating Income</c:v>
                </c:pt>
              </c:strCache>
            </c:strRef>
          </c:tx>
          <c:spPr>
            <a:solidFill>
              <a:srgbClr val="70AD47"/>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4-DCD5-254D-8DE7-B8F3AB8F7F1E}"/>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Revenue!$D$3:$H$3</c:f>
              <c:strCache>
                <c:ptCount val="5"/>
                <c:pt idx="0">
                  <c:v> Year 1 </c:v>
                </c:pt>
                <c:pt idx="1">
                  <c:v>Year 2</c:v>
                </c:pt>
                <c:pt idx="2">
                  <c:v>Year 3</c:v>
                </c:pt>
                <c:pt idx="3">
                  <c:v> Year 4 </c:v>
                </c:pt>
                <c:pt idx="4">
                  <c:v> Year 5 </c:v>
                </c:pt>
              </c:strCache>
            </c:strRef>
          </c:cat>
          <c:val>
            <c:numRef>
              <c:f>'Income Statement'!$D$24:$H$24</c:f>
              <c:numCache>
                <c:formatCode>_("$"* #,##0_);_("$"* \(#,##0\);_("$"* "-"??_);_(@_)</c:formatCode>
                <c:ptCount val="5"/>
                <c:pt idx="0">
                  <c:v>-729511</c:v>
                </c:pt>
                <c:pt idx="1">
                  <c:v>352157.60000000009</c:v>
                </c:pt>
                <c:pt idx="2">
                  <c:v>1606665</c:v>
                </c:pt>
                <c:pt idx="3">
                  <c:v>2756744.1780000012</c:v>
                </c:pt>
                <c:pt idx="4">
                  <c:v>4672495.8594900016</c:v>
                </c:pt>
              </c:numCache>
            </c:numRef>
          </c:val>
          <c:extLst>
            <c:ext xmlns:c16="http://schemas.microsoft.com/office/drawing/2014/chart" uri="{C3380CC4-5D6E-409C-BE32-E72D297353CC}">
              <c16:uniqueId val="{00000003-6C71-4360-9CF3-3F13597FC19D}"/>
            </c:ext>
          </c:extLst>
        </c:ser>
        <c:ser>
          <c:idx val="0"/>
          <c:order val="2"/>
          <c:tx>
            <c:strRef>
              <c:f>'Income Statement'!$B$8</c:f>
              <c:strCache>
                <c:ptCount val="1"/>
                <c:pt idx="0">
                  <c:v>Total Revenue</c:v>
                </c:pt>
              </c:strCache>
            </c:strRef>
          </c:tx>
          <c:spPr>
            <a:solidFill>
              <a:srgbClr val="4472C4"/>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Revenue!$D$3:$H$3</c:f>
              <c:strCache>
                <c:ptCount val="5"/>
                <c:pt idx="0">
                  <c:v> Year 1 </c:v>
                </c:pt>
                <c:pt idx="1">
                  <c:v>Year 2</c:v>
                </c:pt>
                <c:pt idx="2">
                  <c:v>Year 3</c:v>
                </c:pt>
                <c:pt idx="3">
                  <c:v> Year 4 </c:v>
                </c:pt>
                <c:pt idx="4">
                  <c:v> Year 5 </c:v>
                </c:pt>
              </c:strCache>
            </c:strRef>
          </c:cat>
          <c:val>
            <c:numRef>
              <c:f>'Income Statement'!$D$8:$H$8</c:f>
              <c:numCache>
                <c:formatCode>_("$"* #,##0.00_);_("$"* \(#,##0.00\);_("$"* "-"??_);_(@_)</c:formatCode>
                <c:ptCount val="5"/>
                <c:pt idx="0">
                  <c:v>1745625</c:v>
                </c:pt>
                <c:pt idx="1">
                  <c:v>4682100</c:v>
                </c:pt>
                <c:pt idx="2">
                  <c:v>7263729</c:v>
                </c:pt>
                <c:pt idx="3">
                  <c:v>8848886.370000001</c:v>
                </c:pt>
                <c:pt idx="4">
                  <c:v>11840240.333250001</c:v>
                </c:pt>
              </c:numCache>
            </c:numRef>
          </c:val>
          <c:extLst>
            <c:ext xmlns:c16="http://schemas.microsoft.com/office/drawing/2014/chart" uri="{C3380CC4-5D6E-409C-BE32-E72D297353CC}">
              <c16:uniqueId val="{00000000-6C71-4360-9CF3-3F13597FC19D}"/>
            </c:ext>
          </c:extLst>
        </c:ser>
        <c:dLbls>
          <c:showLegendKey val="0"/>
          <c:showVal val="0"/>
          <c:showCatName val="0"/>
          <c:showSerName val="0"/>
          <c:showPercent val="0"/>
          <c:showBubbleSize val="0"/>
        </c:dLbls>
        <c:gapWidth val="219"/>
        <c:overlap val="-27"/>
        <c:axId val="1011473008"/>
        <c:axId val="1011467248"/>
      </c:barChart>
      <c:catAx>
        <c:axId val="1011473008"/>
        <c:scaling>
          <c:orientation val="minMax"/>
        </c:scaling>
        <c:delete val="0"/>
        <c:axPos val="b"/>
        <c:numFmt formatCode="General" sourceLinked="1"/>
        <c:majorTickMark val="none"/>
        <c:minorTickMark val="none"/>
        <c:tickLblPos val="nextTo"/>
        <c:spPr>
          <a:noFill/>
          <a:ln w="28575" cap="flat" cmpd="sng" algn="ctr">
            <a:solidFill>
              <a:schemeClr val="tx1">
                <a:lumMod val="15000"/>
                <a:lumOff val="85000"/>
              </a:schemeClr>
            </a:solidFill>
            <a:round/>
          </a:ln>
          <a:effectLst/>
        </c:spPr>
        <c:txPr>
          <a:bodyPr rot="0" spcFirstLastPara="1" vertOverflow="ellipsis" wrap="square" anchor="b" anchorCtr="0"/>
          <a:lstStyle/>
          <a:p>
            <a:pPr>
              <a:defRPr sz="1400" b="1" i="0" u="none" strike="noStrike" kern="1200" baseline="0">
                <a:solidFill>
                  <a:schemeClr val="tx2"/>
                </a:solidFill>
                <a:latin typeface="+mn-lt"/>
                <a:ea typeface="+mn-ea"/>
                <a:cs typeface="+mn-cs"/>
              </a:defRPr>
            </a:pPr>
            <a:endParaRPr lang="en-US"/>
          </a:p>
        </c:txPr>
        <c:crossAx val="1011467248"/>
        <c:crosses val="autoZero"/>
        <c:auto val="1"/>
        <c:lblAlgn val="ctr"/>
        <c:lblOffset val="800"/>
        <c:noMultiLvlLbl val="0"/>
      </c:catAx>
      <c:valAx>
        <c:axId val="1011467248"/>
        <c:scaling>
          <c:orientation val="minMax"/>
        </c:scaling>
        <c:delete val="0"/>
        <c:axPos val="l"/>
        <c:numFmt formatCode="General" sourceLinked="0"/>
        <c:majorTickMark val="cross"/>
        <c:minorTickMark val="out"/>
        <c:tickLblPos val="nextTo"/>
        <c:spPr>
          <a:noFill/>
          <a:ln>
            <a:solidFill>
              <a:srgbClr val="4472C4"/>
            </a:solidFill>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crossAx val="1011473008"/>
        <c:crosses val="autoZero"/>
        <c:crossBetween val="between"/>
        <c:minorUnit val="200"/>
        <c:dispUnits>
          <c:builtInUnit val="millions"/>
          <c:dispUnitsLbl>
            <c:layout>
              <c:manualLayout>
                <c:xMode val="edge"/>
                <c:yMode val="edge"/>
                <c:x val="1.4021199391060415E-2"/>
                <c:y val="0.47895339689140132"/>
              </c:manualLayout>
            </c:layout>
            <c:tx>
              <c:rich>
                <a:bodyPr rot="-5400000" spcFirstLastPara="1" vertOverflow="ellipsis" vert="horz" wrap="square" anchor="ctr" anchorCtr="1"/>
                <a:lstStyle/>
                <a:p>
                  <a:pPr>
                    <a:defRPr sz="1330" b="1" i="0" u="none" strike="noStrike" kern="1200" baseline="0">
                      <a:solidFill>
                        <a:schemeClr val="tx1">
                          <a:lumMod val="65000"/>
                          <a:lumOff val="35000"/>
                        </a:schemeClr>
                      </a:solidFill>
                      <a:latin typeface="+mn-lt"/>
                      <a:ea typeface="+mn-ea"/>
                      <a:cs typeface="+mn-cs"/>
                    </a:defRPr>
                  </a:pPr>
                  <a:r>
                    <a:rPr lang="en-US" b="1">
                      <a:latin typeface="+mn-lt"/>
                    </a:rPr>
                    <a:t>Millions</a:t>
                  </a:r>
                </a:p>
              </c:rich>
            </c:tx>
            <c:spPr>
              <a:noFill/>
              <a:ln>
                <a:noFill/>
              </a:ln>
              <a:effectLst/>
            </c:spPr>
            <c:txPr>
              <a:bodyPr rot="-5400000" spcFirstLastPara="1" vertOverflow="ellipsis" vert="horz" wrap="square" anchor="ctr" anchorCtr="1"/>
              <a:lstStyle/>
              <a:p>
                <a:pPr>
                  <a:defRPr sz="133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Cash Flow Stream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cat>
            <c:strRef>
              <c:f>IRR_NPV!$D$2:$I$2</c:f>
              <c:strCache>
                <c:ptCount val="6"/>
                <c:pt idx="0">
                  <c:v> Year 0 </c:v>
                </c:pt>
                <c:pt idx="1">
                  <c:v> Year 1 </c:v>
                </c:pt>
                <c:pt idx="2">
                  <c:v>Year 2</c:v>
                </c:pt>
                <c:pt idx="3">
                  <c:v>Year 3</c:v>
                </c:pt>
                <c:pt idx="4">
                  <c:v> Year 4 </c:v>
                </c:pt>
                <c:pt idx="5">
                  <c:v> Year 5 </c:v>
                </c:pt>
              </c:strCache>
            </c:strRef>
          </c:cat>
          <c:val>
            <c:numRef>
              <c:f>IRR_NPV!$D$3:$I$3</c:f>
              <c:numCache>
                <c:formatCode>_("$"* #,##0.00_);_("$"* \(#,##0.00\);_("$"* "-"??_);_(@_)</c:formatCode>
                <c:ptCount val="6"/>
                <c:pt idx="0">
                  <c:v>-3214440</c:v>
                </c:pt>
              </c:numCache>
            </c:numRef>
          </c:val>
          <c:extLst>
            <c:ext xmlns:c16="http://schemas.microsoft.com/office/drawing/2014/chart" uri="{C3380CC4-5D6E-409C-BE32-E72D297353CC}">
              <c16:uniqueId val="{00000000-59C2-4584-AB42-82A5374B1190}"/>
            </c:ext>
          </c:extLst>
        </c:ser>
        <c:ser>
          <c:idx val="1"/>
          <c:order val="1"/>
          <c:spPr>
            <a:solidFill>
              <a:schemeClr val="accent5"/>
            </a:solidFill>
            <a:ln>
              <a:noFill/>
            </a:ln>
            <a:effectLst/>
          </c:spPr>
          <c:invertIfNegative val="0"/>
          <c:cat>
            <c:strRef>
              <c:f>IRR_NPV!$D$2:$I$2</c:f>
              <c:strCache>
                <c:ptCount val="6"/>
                <c:pt idx="0">
                  <c:v> Year 0 </c:v>
                </c:pt>
                <c:pt idx="1">
                  <c:v> Year 1 </c:v>
                </c:pt>
                <c:pt idx="2">
                  <c:v>Year 2</c:v>
                </c:pt>
                <c:pt idx="3">
                  <c:v>Year 3</c:v>
                </c:pt>
                <c:pt idx="4">
                  <c:v> Year 4 </c:v>
                </c:pt>
                <c:pt idx="5">
                  <c:v> Year 5 </c:v>
                </c:pt>
              </c:strCache>
            </c:strRef>
          </c:cat>
          <c:val>
            <c:numRef>
              <c:f>IRR_NPV!$D$4:$I$4</c:f>
              <c:numCache>
                <c:formatCode>_("$"* #,##0.00_);_("$"* \(#,##0.00\);_("$"* "-"??_);_(@_)</c:formatCode>
                <c:ptCount val="6"/>
                <c:pt idx="1">
                  <c:v>-729511</c:v>
                </c:pt>
                <c:pt idx="2">
                  <c:v>352157.60000000009</c:v>
                </c:pt>
                <c:pt idx="3">
                  <c:v>1606665</c:v>
                </c:pt>
                <c:pt idx="4">
                  <c:v>2756744.1780000012</c:v>
                </c:pt>
                <c:pt idx="5">
                  <c:v>4672495.8594900016</c:v>
                </c:pt>
              </c:numCache>
            </c:numRef>
          </c:val>
          <c:extLst>
            <c:ext xmlns:c16="http://schemas.microsoft.com/office/drawing/2014/chart" uri="{C3380CC4-5D6E-409C-BE32-E72D297353CC}">
              <c16:uniqueId val="{00000001-59C2-4584-AB42-82A5374B1190}"/>
            </c:ext>
          </c:extLst>
        </c:ser>
        <c:dLbls>
          <c:showLegendKey val="0"/>
          <c:showVal val="0"/>
          <c:showCatName val="0"/>
          <c:showSerName val="0"/>
          <c:showPercent val="0"/>
          <c:showBubbleSize val="0"/>
        </c:dLbls>
        <c:gapWidth val="150"/>
        <c:axId val="842299808"/>
        <c:axId val="842302432"/>
      </c:barChart>
      <c:lineChart>
        <c:grouping val="standard"/>
        <c:varyColors val="0"/>
        <c:ser>
          <c:idx val="2"/>
          <c:order val="2"/>
          <c:tx>
            <c:v>Breakeven</c:v>
          </c:tx>
          <c:spPr>
            <a:ln w="12700" cap="rnd">
              <a:solidFill>
                <a:schemeClr val="accent4"/>
              </a:solidFill>
              <a:round/>
            </a:ln>
            <a:effectLst/>
          </c:spPr>
          <c:marker>
            <c:symbol val="none"/>
          </c:marker>
          <c:cat>
            <c:strRef>
              <c:f>IRR_NPV!$D$2:$I$2</c:f>
              <c:strCache>
                <c:ptCount val="6"/>
                <c:pt idx="0">
                  <c:v> Year 0 </c:v>
                </c:pt>
                <c:pt idx="1">
                  <c:v> Year 1 </c:v>
                </c:pt>
                <c:pt idx="2">
                  <c:v>Year 2</c:v>
                </c:pt>
                <c:pt idx="3">
                  <c:v>Year 3</c:v>
                </c:pt>
                <c:pt idx="4">
                  <c:v> Year 4 </c:v>
                </c:pt>
                <c:pt idx="5">
                  <c:v> Year 5 </c:v>
                </c:pt>
              </c:strCache>
            </c:strRef>
          </c:cat>
          <c:val>
            <c:numRef>
              <c:f>IRR_NPV!$D$5:$I$5</c:f>
              <c:numCache>
                <c:formatCode>_("$"* #,##0.00_);_("$"* \(#,##0.00\);_("$"* "-"??_);_(@_)</c:formatCode>
                <c:ptCount val="6"/>
                <c:pt idx="1">
                  <c:v>-3943951</c:v>
                </c:pt>
                <c:pt idx="2">
                  <c:v>-3591793.4</c:v>
                </c:pt>
                <c:pt idx="3">
                  <c:v>-1985128.4</c:v>
                </c:pt>
                <c:pt idx="4">
                  <c:v>771615.77800000133</c:v>
                </c:pt>
                <c:pt idx="5">
                  <c:v>5444111.6374900024</c:v>
                </c:pt>
              </c:numCache>
            </c:numRef>
          </c:val>
          <c:smooth val="0"/>
          <c:extLst>
            <c:ext xmlns:c16="http://schemas.microsoft.com/office/drawing/2014/chart" uri="{C3380CC4-5D6E-409C-BE32-E72D297353CC}">
              <c16:uniqueId val="{00000003-16FE-4721-9BDD-CD6328A6925E}"/>
            </c:ext>
          </c:extLst>
        </c:ser>
        <c:dLbls>
          <c:showLegendKey val="0"/>
          <c:showVal val="0"/>
          <c:showCatName val="0"/>
          <c:showSerName val="0"/>
          <c:showPercent val="0"/>
          <c:showBubbleSize val="0"/>
        </c:dLbls>
        <c:marker val="1"/>
        <c:smooth val="0"/>
        <c:axId val="842299808"/>
        <c:axId val="842302432"/>
      </c:lineChart>
      <c:catAx>
        <c:axId val="842299808"/>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02432"/>
        <c:crosses val="autoZero"/>
        <c:auto val="1"/>
        <c:lblAlgn val="ctr"/>
        <c:lblOffset val="100"/>
        <c:noMultiLvlLbl val="0"/>
      </c:catAx>
      <c:valAx>
        <c:axId val="842302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Cash Flow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0"/>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84229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Subscription Revenue's</a:t>
            </a:r>
            <a:r>
              <a:rPr lang="en-US" b="1" baseline="0"/>
              <a:t> Share of Total Revenue</a:t>
            </a:r>
            <a:endParaRPr lang="en-US" b="1"/>
          </a:p>
        </c:rich>
      </c:tx>
      <c:layout>
        <c:manualLayout>
          <c:xMode val="edge"/>
          <c:yMode val="edge"/>
          <c:x val="9.6094864390916643E-4"/>
          <c:y val="2.74340224361339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IRR_NPV!$C$15</c:f>
              <c:strCache>
                <c:ptCount val="1"/>
                <c:pt idx="0">
                  <c:v>Total Revenue</c:v>
                </c:pt>
              </c:strCache>
            </c:strRef>
          </c:tx>
          <c:spPr>
            <a:solidFill>
              <a:schemeClr val="accent6"/>
            </a:solidFill>
            <a:ln>
              <a:noFill/>
            </a:ln>
            <a:effectLst/>
          </c:spPr>
          <c:invertIfNegative val="0"/>
          <c:cat>
            <c:strRef>
              <c:f>IRR_NPV!$D$14:$H$14</c:f>
              <c:strCache>
                <c:ptCount val="5"/>
                <c:pt idx="0">
                  <c:v>Year 1</c:v>
                </c:pt>
                <c:pt idx="1">
                  <c:v>Year 2</c:v>
                </c:pt>
                <c:pt idx="2">
                  <c:v>Year 3</c:v>
                </c:pt>
                <c:pt idx="3">
                  <c:v>Year 4</c:v>
                </c:pt>
                <c:pt idx="4">
                  <c:v>Year 5</c:v>
                </c:pt>
              </c:strCache>
            </c:strRef>
          </c:cat>
          <c:val>
            <c:numRef>
              <c:f>IRR_NPV!$D$15:$H$15</c:f>
              <c:numCache>
                <c:formatCode>_("$"* #,##0.00_);_("$"* \(#,##0.00\);_("$"* "-"??_);_(@_)</c:formatCode>
                <c:ptCount val="5"/>
                <c:pt idx="0">
                  <c:v>1745625</c:v>
                </c:pt>
                <c:pt idx="1">
                  <c:v>4682100</c:v>
                </c:pt>
                <c:pt idx="2">
                  <c:v>7263729</c:v>
                </c:pt>
                <c:pt idx="3">
                  <c:v>8848886.370000001</c:v>
                </c:pt>
                <c:pt idx="4">
                  <c:v>11840240.333250001</c:v>
                </c:pt>
              </c:numCache>
            </c:numRef>
          </c:val>
          <c:extLst>
            <c:ext xmlns:c16="http://schemas.microsoft.com/office/drawing/2014/chart" uri="{C3380CC4-5D6E-409C-BE32-E72D297353CC}">
              <c16:uniqueId val="{00000000-8176-4DE1-A520-C2FDEA573060}"/>
            </c:ext>
          </c:extLst>
        </c:ser>
        <c:dLbls>
          <c:showLegendKey val="0"/>
          <c:showVal val="0"/>
          <c:showCatName val="0"/>
          <c:showSerName val="0"/>
          <c:showPercent val="0"/>
          <c:showBubbleSize val="0"/>
        </c:dLbls>
        <c:gapWidth val="219"/>
        <c:axId val="338197464"/>
        <c:axId val="338198776"/>
      </c:barChart>
      <c:lineChart>
        <c:grouping val="standard"/>
        <c:varyColors val="0"/>
        <c:ser>
          <c:idx val="1"/>
          <c:order val="1"/>
          <c:tx>
            <c:strRef>
              <c:f>IRR_NPV!$C$16</c:f>
              <c:strCache>
                <c:ptCount val="1"/>
                <c:pt idx="0">
                  <c:v>Subscription Revenue</c:v>
                </c:pt>
              </c:strCache>
            </c:strRef>
          </c:tx>
          <c:spPr>
            <a:ln w="28575" cap="rnd">
              <a:solidFill>
                <a:schemeClr val="accent5"/>
              </a:solidFill>
              <a:round/>
            </a:ln>
            <a:effectLst/>
          </c:spPr>
          <c:marker>
            <c:symbol val="none"/>
          </c:marker>
          <c:cat>
            <c:strRef>
              <c:f>IRR_NPV!$D$14:$H$14</c:f>
              <c:strCache>
                <c:ptCount val="5"/>
                <c:pt idx="0">
                  <c:v>Year 1</c:v>
                </c:pt>
                <c:pt idx="1">
                  <c:v>Year 2</c:v>
                </c:pt>
                <c:pt idx="2">
                  <c:v>Year 3</c:v>
                </c:pt>
                <c:pt idx="3">
                  <c:v>Year 4</c:v>
                </c:pt>
                <c:pt idx="4">
                  <c:v>Year 5</c:v>
                </c:pt>
              </c:strCache>
            </c:strRef>
          </c:cat>
          <c:val>
            <c:numRef>
              <c:f>IRR_NPV!$D$16:$H$16</c:f>
              <c:numCache>
                <c:formatCode>0%</c:formatCode>
                <c:ptCount val="5"/>
                <c:pt idx="0">
                  <c:v>0.10311493018259936</c:v>
                </c:pt>
                <c:pt idx="1">
                  <c:v>0.16915486640609984</c:v>
                </c:pt>
                <c:pt idx="2">
                  <c:v>0.24780660181567898</c:v>
                </c:pt>
                <c:pt idx="3">
                  <c:v>0.33360130038600549</c:v>
                </c:pt>
                <c:pt idx="4">
                  <c:v>0.35877650118897342</c:v>
                </c:pt>
              </c:numCache>
            </c:numRef>
          </c:val>
          <c:smooth val="0"/>
          <c:extLst>
            <c:ext xmlns:c16="http://schemas.microsoft.com/office/drawing/2014/chart" uri="{C3380CC4-5D6E-409C-BE32-E72D297353CC}">
              <c16:uniqueId val="{00000001-8176-4DE1-A520-C2FDEA573060}"/>
            </c:ext>
          </c:extLst>
        </c:ser>
        <c:dLbls>
          <c:showLegendKey val="0"/>
          <c:showVal val="0"/>
          <c:showCatName val="0"/>
          <c:showSerName val="0"/>
          <c:showPercent val="0"/>
          <c:showBubbleSize val="0"/>
        </c:dLbls>
        <c:marker val="1"/>
        <c:smooth val="0"/>
        <c:axId val="774100560"/>
        <c:axId val="774097936"/>
      </c:lineChart>
      <c:catAx>
        <c:axId val="338197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198776"/>
        <c:crosses val="autoZero"/>
        <c:auto val="1"/>
        <c:lblAlgn val="ctr"/>
        <c:lblOffset val="100"/>
        <c:noMultiLvlLbl val="0"/>
      </c:catAx>
      <c:valAx>
        <c:axId val="3381987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338197464"/>
        <c:crosses val="autoZero"/>
        <c:crossBetween val="between"/>
      </c:valAx>
      <c:valAx>
        <c:axId val="77409793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100560"/>
        <c:crosses val="max"/>
        <c:crossBetween val="between"/>
      </c:valAx>
      <c:catAx>
        <c:axId val="774100560"/>
        <c:scaling>
          <c:orientation val="minMax"/>
        </c:scaling>
        <c:delete val="1"/>
        <c:axPos val="b"/>
        <c:numFmt formatCode="General" sourceLinked="1"/>
        <c:majorTickMark val="out"/>
        <c:minorTickMark val="none"/>
        <c:tickLblPos val="nextTo"/>
        <c:crossAx val="7740979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516391</xdr:colOff>
      <xdr:row>5</xdr:row>
      <xdr:rowOff>145796</xdr:rowOff>
    </xdr:from>
    <xdr:to>
      <xdr:col>11</xdr:col>
      <xdr:colOff>3149691</xdr:colOff>
      <xdr:row>19</xdr:row>
      <xdr:rowOff>134166</xdr:rowOff>
    </xdr:to>
    <xdr:graphicFrame macro="">
      <xdr:nvGraphicFramePr>
        <xdr:cNvPr id="2" name="Chart 6">
          <a:extLst>
            <a:ext uri="{FF2B5EF4-FFF2-40B4-BE49-F238E27FC236}">
              <a16:creationId xmlns:a16="http://schemas.microsoft.com/office/drawing/2014/main" id="{16FA84DB-6666-28AA-C6D5-29E4AD3D3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1033894</xdr:colOff>
      <xdr:row>5</xdr:row>
      <xdr:rowOff>153266</xdr:rowOff>
    </xdr:from>
    <xdr:to>
      <xdr:col>13</xdr:col>
      <xdr:colOff>712643</xdr:colOff>
      <xdr:row>30</xdr:row>
      <xdr:rowOff>21648</xdr:rowOff>
    </xdr:to>
    <xdr:graphicFrame macro="">
      <xdr:nvGraphicFramePr>
        <xdr:cNvPr id="32" name="Chart 1">
          <a:extLst>
            <a:ext uri="{FF2B5EF4-FFF2-40B4-BE49-F238E27FC236}">
              <a16:creationId xmlns:a16="http://schemas.microsoft.com/office/drawing/2014/main" id="{374E207B-1C3A-AA00-0158-736891CE1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1562100</xdr:colOff>
      <xdr:row>35</xdr:row>
      <xdr:rowOff>180975</xdr:rowOff>
    </xdr:from>
    <xdr:to>
      <xdr:col>13</xdr:col>
      <xdr:colOff>1240849</xdr:colOff>
      <xdr:row>62</xdr:row>
      <xdr:rowOff>89648</xdr:rowOff>
    </xdr:to>
    <xdr:graphicFrame macro="">
      <xdr:nvGraphicFramePr>
        <xdr:cNvPr id="3" name="Chart 2">
          <a:extLst>
            <a:ext uri="{FF2B5EF4-FFF2-40B4-BE49-F238E27FC236}">
              <a16:creationId xmlns:a16="http://schemas.microsoft.com/office/drawing/2014/main" id="{773778FF-130E-4C33-98ED-030743ABDECD}"/>
            </a:ext>
            <a:ext uri="{147F2762-F138-4A5C-976F-8EAC2B608ADB}">
              <a16:predDERef xmlns:a16="http://schemas.microsoft.com/office/drawing/2014/main" pred="{374E207B-1C3A-AA00-0158-736891CE1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398722</xdr:colOff>
      <xdr:row>14</xdr:row>
      <xdr:rowOff>177209</xdr:rowOff>
    </xdr:from>
    <xdr:to>
      <xdr:col>16</xdr:col>
      <xdr:colOff>649768</xdr:colOff>
      <xdr:row>37</xdr:row>
      <xdr:rowOff>132907</xdr:rowOff>
    </xdr:to>
    <xdr:graphicFrame macro="">
      <xdr:nvGraphicFramePr>
        <xdr:cNvPr id="63" name="Chart 1">
          <a:extLst>
            <a:ext uri="{FF2B5EF4-FFF2-40B4-BE49-F238E27FC236}">
              <a16:creationId xmlns:a16="http://schemas.microsoft.com/office/drawing/2014/main" id="{98E64CDE-9BEB-4F0D-82B1-E7DE2FBE6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0</xdr:row>
      <xdr:rowOff>180974</xdr:rowOff>
    </xdr:from>
    <xdr:to>
      <xdr:col>14</xdr:col>
      <xdr:colOff>439614</xdr:colOff>
      <xdr:row>13</xdr:row>
      <xdr:rowOff>87923</xdr:rowOff>
    </xdr:to>
    <xdr:graphicFrame macro="">
      <xdr:nvGraphicFramePr>
        <xdr:cNvPr id="47" name="Chart 2">
          <a:extLst>
            <a:ext uri="{FF2B5EF4-FFF2-40B4-BE49-F238E27FC236}">
              <a16:creationId xmlns:a16="http://schemas.microsoft.com/office/drawing/2014/main" id="{CC430D5A-6C28-4D34-BBA3-9E264B002C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316524</xdr:colOff>
      <xdr:row>3</xdr:row>
      <xdr:rowOff>61547</xdr:rowOff>
    </xdr:from>
    <xdr:to>
      <xdr:col>13</xdr:col>
      <xdr:colOff>153865</xdr:colOff>
      <xdr:row>5</xdr:row>
      <xdr:rowOff>29308</xdr:rowOff>
    </xdr:to>
    <xdr:sp macro="" textlink="">
      <xdr:nvSpPr>
        <xdr:cNvPr id="4" name="TextBox 3">
          <a:extLst>
            <a:ext uri="{FF2B5EF4-FFF2-40B4-BE49-F238E27FC236}">
              <a16:creationId xmlns:a16="http://schemas.microsoft.com/office/drawing/2014/main" id="{13E8D3E6-C2F9-6AD1-E6CE-46873AA3C9B5}"/>
            </a:ext>
          </a:extLst>
        </xdr:cNvPr>
        <xdr:cNvSpPr txBox="1"/>
      </xdr:nvSpPr>
      <xdr:spPr>
        <a:xfrm>
          <a:off x="11900389" y="655028"/>
          <a:ext cx="1214803" cy="3634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Internal</a:t>
          </a:r>
          <a:r>
            <a:rPr lang="en-US" sz="800" baseline="0"/>
            <a:t> Rate of Return</a:t>
          </a:r>
        </a:p>
        <a:p>
          <a:r>
            <a:rPr lang="en-US" sz="800" b="1" baseline="0"/>
            <a:t>          IRR=24%</a:t>
          </a:r>
          <a:endParaRPr lang="en-US" sz="800" b="1"/>
        </a:p>
      </xdr:txBody>
    </xdr:sp>
    <xdr:clientData/>
  </xdr:twoCellAnchor>
  <xdr:twoCellAnchor>
    <xdr:from>
      <xdr:col>12</xdr:col>
      <xdr:colOff>542192</xdr:colOff>
      <xdr:row>8</xdr:row>
      <xdr:rowOff>168520</xdr:rowOff>
    </xdr:from>
    <xdr:to>
      <xdr:col>14</xdr:col>
      <xdr:colOff>168519</xdr:colOff>
      <xdr:row>10</xdr:row>
      <xdr:rowOff>153865</xdr:rowOff>
    </xdr:to>
    <xdr:sp macro="" textlink="">
      <xdr:nvSpPr>
        <xdr:cNvPr id="48" name="TextBox 47">
          <a:extLst>
            <a:ext uri="{FF2B5EF4-FFF2-40B4-BE49-F238E27FC236}">
              <a16:creationId xmlns:a16="http://schemas.microsoft.com/office/drawing/2014/main" id="{4DA53BB2-55DA-41D0-B134-9A4EFF292D81}"/>
            </a:ext>
          </a:extLst>
        </xdr:cNvPr>
        <xdr:cNvSpPr txBox="1"/>
      </xdr:nvSpPr>
      <xdr:spPr>
        <a:xfrm>
          <a:off x="12814788" y="1751135"/>
          <a:ext cx="1003789" cy="380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a:t>Breakeven</a:t>
          </a:r>
          <a:r>
            <a:rPr lang="en-US" sz="800" b="0" baseline="0"/>
            <a:t> Point:    </a:t>
          </a:r>
          <a:r>
            <a:rPr lang="en-US" sz="800" b="1" baseline="0"/>
            <a:t>3.7 yrs</a:t>
          </a:r>
          <a:endParaRPr lang="en-US" sz="800" b="1"/>
        </a:p>
      </xdr:txBody>
    </xdr:sp>
    <xdr:clientData/>
  </xdr:twoCellAnchor>
  <xdr:twoCellAnchor>
    <xdr:from>
      <xdr:col>13</xdr:col>
      <xdr:colOff>95249</xdr:colOff>
      <xdr:row>7</xdr:row>
      <xdr:rowOff>139212</xdr:rowOff>
    </xdr:from>
    <xdr:to>
      <xdr:col>13</xdr:col>
      <xdr:colOff>190499</xdr:colOff>
      <xdr:row>8</xdr:row>
      <xdr:rowOff>102578</xdr:rowOff>
    </xdr:to>
    <xdr:cxnSp macro="">
      <xdr:nvCxnSpPr>
        <xdr:cNvPr id="50" name="Straight Arrow Connector 49">
          <a:extLst>
            <a:ext uri="{FF2B5EF4-FFF2-40B4-BE49-F238E27FC236}">
              <a16:creationId xmlns:a16="http://schemas.microsoft.com/office/drawing/2014/main" id="{E0ED98F0-2D91-A2E0-1B7C-8523F3AD6695}"/>
            </a:ext>
          </a:extLst>
        </xdr:cNvPr>
        <xdr:cNvCxnSpPr/>
      </xdr:nvCxnSpPr>
      <xdr:spPr>
        <a:xfrm flipH="1" flipV="1">
          <a:off x="13056576" y="1524000"/>
          <a:ext cx="95250" cy="1611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14</xdr:row>
      <xdr:rowOff>16852</xdr:rowOff>
    </xdr:from>
    <xdr:to>
      <xdr:col>14</xdr:col>
      <xdr:colOff>450605</xdr:colOff>
      <xdr:row>27</xdr:row>
      <xdr:rowOff>102577</xdr:rowOff>
    </xdr:to>
    <xdr:graphicFrame macro="">
      <xdr:nvGraphicFramePr>
        <xdr:cNvPr id="14" name="Chart 50">
          <a:extLst>
            <a:ext uri="{FF2B5EF4-FFF2-40B4-BE49-F238E27FC236}">
              <a16:creationId xmlns:a16="http://schemas.microsoft.com/office/drawing/2014/main" id="{E6017BBB-5108-EEBE-B3EB-9F7489CA5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Project Management Pack">
    <a:dk1>
      <a:sysClr val="windowText" lastClr="000000"/>
    </a:dk1>
    <a:lt1>
      <a:sysClr val="window" lastClr="FFFFFF"/>
    </a:lt1>
    <a:dk2>
      <a:srgbClr val="373545"/>
    </a:dk2>
    <a:lt2>
      <a:srgbClr val="FFFFFF"/>
    </a:lt2>
    <a:accent1>
      <a:srgbClr val="013E79"/>
    </a:accent1>
    <a:accent2>
      <a:srgbClr val="0253A2"/>
    </a:accent2>
    <a:accent3>
      <a:srgbClr val="006DEC"/>
    </a:accent3>
    <a:accent4>
      <a:srgbClr val="3C96FF"/>
    </a:accent4>
    <a:accent5>
      <a:srgbClr val="75B9FC"/>
    </a:accent5>
    <a:accent6>
      <a:srgbClr val="FFFFFF"/>
    </a:accent6>
    <a:hlink>
      <a:srgbClr val="3B0072"/>
    </a:hlink>
    <a:folHlink>
      <a:srgbClr val="562F88"/>
    </a:folHlink>
  </a:clrScheme>
  <a:fontScheme name="Business Proposal">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Project Management Pack">
    <a:dk1>
      <a:sysClr val="windowText" lastClr="000000"/>
    </a:dk1>
    <a:lt1>
      <a:sysClr val="window" lastClr="FFFFFF"/>
    </a:lt1>
    <a:dk2>
      <a:srgbClr val="373545"/>
    </a:dk2>
    <a:lt2>
      <a:srgbClr val="FFFFFF"/>
    </a:lt2>
    <a:accent1>
      <a:srgbClr val="013E79"/>
    </a:accent1>
    <a:accent2>
      <a:srgbClr val="0253A2"/>
    </a:accent2>
    <a:accent3>
      <a:srgbClr val="006DEC"/>
    </a:accent3>
    <a:accent4>
      <a:srgbClr val="3C96FF"/>
    </a:accent4>
    <a:accent5>
      <a:srgbClr val="75B9FC"/>
    </a:accent5>
    <a:accent6>
      <a:srgbClr val="FFFFFF"/>
    </a:accent6>
    <a:hlink>
      <a:srgbClr val="3B0072"/>
    </a:hlink>
    <a:folHlink>
      <a:srgbClr val="562F88"/>
    </a:folHlink>
  </a:clrScheme>
  <a:fontScheme name="Business Proposal">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Project Management Pack">
    <a:dk1>
      <a:sysClr val="windowText" lastClr="000000"/>
    </a:dk1>
    <a:lt1>
      <a:sysClr val="window" lastClr="FFFFFF"/>
    </a:lt1>
    <a:dk2>
      <a:srgbClr val="373545"/>
    </a:dk2>
    <a:lt2>
      <a:srgbClr val="FFFFFF"/>
    </a:lt2>
    <a:accent1>
      <a:srgbClr val="013E79"/>
    </a:accent1>
    <a:accent2>
      <a:srgbClr val="0253A2"/>
    </a:accent2>
    <a:accent3>
      <a:srgbClr val="006DEC"/>
    </a:accent3>
    <a:accent4>
      <a:srgbClr val="3C96FF"/>
    </a:accent4>
    <a:accent5>
      <a:srgbClr val="75B9FC"/>
    </a:accent5>
    <a:accent6>
      <a:srgbClr val="FFFFFF"/>
    </a:accent6>
    <a:hlink>
      <a:srgbClr val="3B0072"/>
    </a:hlink>
    <a:folHlink>
      <a:srgbClr val="562F88"/>
    </a:folHlink>
  </a:clrScheme>
  <a:fontScheme name="Business Proposal">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factmr.com/report/drone-maintenance-market" TargetMode="External"/><Relationship Id="rId1" Type="http://schemas.openxmlformats.org/officeDocument/2006/relationships/hyperlink" Target="https://finance.yahoo.com/news/drone-servicing-repair-global-market-185600553.html?guccounter=1&amp;guce_referrer=aHR0cHM6Ly93d3cuZ29vZ2xlLmNvbS8&amp;guce_referrer_sig=AQAAAD50ZtV-2vwfGeL6qmaZ8r-aqVbPFVi_Lb3ezBzVjaEy6QgVihRY6olMfWp9sYQq-qqmr8Jd-h4kI_9JHYxtanCgFrCL1rOZonWKpytuKJ2iQTx_qsD_VTao8IlJ3OghcAyRxSLOCDij0XFjoCH6r-xg-G7AsTAzoCAmVfhnfMiW"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mailto:NPV@15%2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7D6AE-8B58-6740-ABDF-F001399D4BFE}">
  <dimension ref="A1:K29"/>
  <sheetViews>
    <sheetView zoomScale="78" zoomScaleNormal="78" workbookViewId="0">
      <selection activeCell="B15" sqref="B15"/>
    </sheetView>
  </sheetViews>
  <sheetFormatPr baseColWidth="10" defaultColWidth="11" defaultRowHeight="15.75" customHeight="1" x14ac:dyDescent="0.2"/>
  <cols>
    <col min="1" max="1" width="20.6640625" bestFit="1" customWidth="1"/>
    <col min="2" max="2" width="14.1640625" customWidth="1"/>
    <col min="3" max="3" width="4.1640625" customWidth="1"/>
    <col min="4" max="4" width="24.33203125" bestFit="1" customWidth="1"/>
    <col min="5" max="5" width="13" bestFit="1" customWidth="1"/>
    <col min="8" max="8" width="12.6640625" bestFit="1" customWidth="1"/>
    <col min="9" max="9" width="14.5" bestFit="1" customWidth="1"/>
    <col min="10" max="10" width="13" bestFit="1" customWidth="1"/>
    <col min="11" max="11" width="12.5" bestFit="1" customWidth="1"/>
    <col min="12" max="12" width="52.1640625" bestFit="1" customWidth="1"/>
  </cols>
  <sheetData>
    <row r="1" spans="1:11" ht="16" x14ac:dyDescent="0.2">
      <c r="A1" s="6"/>
      <c r="B1" s="6"/>
      <c r="C1" s="6"/>
    </row>
    <row r="2" spans="1:11" ht="15.75" customHeight="1" x14ac:dyDescent="0.2">
      <c r="A2" s="68" t="s">
        <v>0</v>
      </c>
      <c r="B2" s="68"/>
      <c r="C2" s="57"/>
      <c r="D2" s="68" t="s">
        <v>1</v>
      </c>
      <c r="E2" s="68"/>
      <c r="G2" s="68"/>
      <c r="H2" s="68"/>
    </row>
    <row r="3" spans="1:11" ht="15.75" customHeight="1" x14ac:dyDescent="0.2">
      <c r="A3" s="58"/>
      <c r="B3" s="58"/>
      <c r="C3" s="58"/>
      <c r="D3" s="58"/>
      <c r="E3" s="58"/>
    </row>
    <row r="4" spans="1:11" ht="16" customHeight="1" x14ac:dyDescent="0.2">
      <c r="A4" s="58"/>
      <c r="B4" s="58"/>
      <c r="C4" s="58"/>
      <c r="D4" s="33" t="s">
        <v>2</v>
      </c>
      <c r="E4" s="63">
        <f>60000*1.5</f>
        <v>90000</v>
      </c>
      <c r="G4" t="s">
        <v>3</v>
      </c>
    </row>
    <row r="5" spans="1:11" ht="16" customHeight="1" x14ac:dyDescent="0.2">
      <c r="A5" s="33" t="s">
        <v>4</v>
      </c>
      <c r="B5" s="59">
        <v>800</v>
      </c>
      <c r="C5" s="58"/>
      <c r="D5" s="33" t="s">
        <v>4</v>
      </c>
      <c r="E5" s="59">
        <f>E4/52/40</f>
        <v>43.269230769230766</v>
      </c>
      <c r="G5" t="s">
        <v>5</v>
      </c>
    </row>
    <row r="6" spans="1:11" ht="16" customHeight="1" x14ac:dyDescent="0.2">
      <c r="A6" s="33" t="s">
        <v>6</v>
      </c>
      <c r="B6" s="60">
        <v>20.5</v>
      </c>
      <c r="C6" s="58"/>
      <c r="D6" s="33" t="s">
        <v>7</v>
      </c>
      <c r="E6" s="61">
        <v>4</v>
      </c>
    </row>
    <row r="7" spans="1:11" ht="16" customHeight="1" x14ac:dyDescent="0.2">
      <c r="A7" s="56" t="s">
        <v>8</v>
      </c>
      <c r="B7" s="62">
        <f>B5*B6*12</f>
        <v>196800</v>
      </c>
      <c r="C7" s="63"/>
      <c r="D7" s="33" t="s">
        <v>9</v>
      </c>
      <c r="E7" s="60">
        <v>22</v>
      </c>
      <c r="G7" t="s">
        <v>10</v>
      </c>
      <c r="H7" s="1">
        <v>573600</v>
      </c>
    </row>
    <row r="8" spans="1:11" ht="16" customHeight="1" x14ac:dyDescent="0.2">
      <c r="A8" s="8"/>
      <c r="B8" s="64"/>
      <c r="C8" s="63"/>
      <c r="D8" s="56" t="s">
        <v>8</v>
      </c>
      <c r="E8" s="62">
        <f>E7*E6*E5*52</f>
        <v>198000</v>
      </c>
      <c r="G8" t="s">
        <v>11</v>
      </c>
      <c r="H8" s="1">
        <f>7600000*0.09</f>
        <v>684000</v>
      </c>
    </row>
    <row r="9" spans="1:11" ht="16" customHeight="1" x14ac:dyDescent="0.2">
      <c r="A9" s="33"/>
      <c r="B9" s="58"/>
      <c r="C9" s="58"/>
      <c r="D9" s="33"/>
      <c r="E9" s="58"/>
      <c r="H9" s="42"/>
      <c r="I9" s="42"/>
    </row>
    <row r="10" spans="1:11" ht="16" customHeight="1" x14ac:dyDescent="0.2">
      <c r="A10" s="33" t="s">
        <v>12</v>
      </c>
      <c r="B10" s="59">
        <f>Revenue!D8*8</f>
        <v>240000</v>
      </c>
      <c r="C10" s="63"/>
      <c r="D10" s="33" t="s">
        <v>12</v>
      </c>
      <c r="E10" s="59">
        <f>Revenue!D8*8</f>
        <v>240000</v>
      </c>
      <c r="G10" t="s">
        <v>13</v>
      </c>
      <c r="H10" t="s">
        <v>14</v>
      </c>
      <c r="I10" t="s">
        <v>15</v>
      </c>
    </row>
    <row r="11" spans="1:11" ht="16" customHeight="1" x14ac:dyDescent="0.2">
      <c r="A11" s="33" t="s">
        <v>16</v>
      </c>
      <c r="B11" s="59">
        <f>Revenue!D12*12*8</f>
        <v>57600</v>
      </c>
      <c r="C11" s="58"/>
      <c r="D11" s="33" t="s">
        <v>16</v>
      </c>
      <c r="E11" s="59">
        <f>Revenue!D12*12*8</f>
        <v>57600</v>
      </c>
      <c r="G11">
        <v>1</v>
      </c>
      <c r="H11" s="42">
        <f>B15</f>
        <v>-121800</v>
      </c>
      <c r="I11" s="42">
        <f>E15</f>
        <v>-120600</v>
      </c>
    </row>
    <row r="12" spans="1:11" ht="16" customHeight="1" x14ac:dyDescent="0.2">
      <c r="A12" s="33" t="s">
        <v>17</v>
      </c>
      <c r="B12" s="59">
        <f>8*Revenue!D23*12</f>
        <v>21000</v>
      </c>
      <c r="C12" s="58"/>
      <c r="D12" s="33" t="s">
        <v>17</v>
      </c>
      <c r="E12" s="59">
        <f>8*Revenue!D23*12</f>
        <v>21000</v>
      </c>
      <c r="G12">
        <v>2</v>
      </c>
      <c r="H12" s="42">
        <f>B16+B15</f>
        <v>-3600</v>
      </c>
      <c r="I12" s="42">
        <f>E15+E16</f>
        <v>-1200</v>
      </c>
    </row>
    <row r="13" spans="1:11" ht="16" customHeight="1" x14ac:dyDescent="0.2">
      <c r="A13" s="56" t="s">
        <v>18</v>
      </c>
      <c r="B13" s="62">
        <f>SUM(B10:B12)</f>
        <v>318600</v>
      </c>
      <c r="C13" s="58"/>
      <c r="D13" s="56" t="s">
        <v>18</v>
      </c>
      <c r="E13" s="62">
        <f>SUM(E10:E12)</f>
        <v>318600</v>
      </c>
      <c r="G13">
        <v>3</v>
      </c>
      <c r="H13" s="42">
        <f>B17+B15+B16</f>
        <v>114600</v>
      </c>
      <c r="I13" s="42">
        <f>I12+E17</f>
        <v>118200</v>
      </c>
    </row>
    <row r="14" spans="1:11" ht="16" customHeight="1" x14ac:dyDescent="0.2">
      <c r="A14" s="33"/>
      <c r="B14" s="59"/>
      <c r="C14" s="58"/>
      <c r="D14" s="33"/>
      <c r="E14" s="58"/>
      <c r="G14">
        <v>4</v>
      </c>
      <c r="H14" s="42">
        <f>H13+B17</f>
        <v>232800</v>
      </c>
      <c r="I14" s="42">
        <f>I13+E17</f>
        <v>237600</v>
      </c>
    </row>
    <row r="15" spans="1:11" ht="16" customHeight="1" x14ac:dyDescent="0.2">
      <c r="A15" s="56" t="s">
        <v>19</v>
      </c>
      <c r="B15" s="62">
        <f>B7-B13</f>
        <v>-121800</v>
      </c>
      <c r="C15" s="58"/>
      <c r="D15" s="56" t="s">
        <v>19</v>
      </c>
      <c r="E15" s="62">
        <f>E8-E13</f>
        <v>-120600</v>
      </c>
      <c r="G15">
        <v>5</v>
      </c>
      <c r="H15" s="42">
        <f>H14+B17</f>
        <v>351000</v>
      </c>
      <c r="I15" s="42">
        <f>I14+E17</f>
        <v>357000</v>
      </c>
      <c r="J15" s="42"/>
      <c r="K15" s="42"/>
    </row>
    <row r="16" spans="1:11" ht="16" customHeight="1" x14ac:dyDescent="0.2">
      <c r="A16" s="56" t="s">
        <v>20</v>
      </c>
      <c r="B16" s="62">
        <f>B7-SUM(B11:B12)</f>
        <v>118200</v>
      </c>
      <c r="C16" s="58"/>
      <c r="D16" s="56" t="s">
        <v>20</v>
      </c>
      <c r="E16" s="62">
        <f>E8-SUM(E11:E12)</f>
        <v>119400</v>
      </c>
      <c r="I16" s="1"/>
      <c r="J16" s="42"/>
      <c r="K16" s="42"/>
    </row>
    <row r="17" spans="1:11" ht="16" x14ac:dyDescent="0.2">
      <c r="A17" s="56" t="s">
        <v>21</v>
      </c>
      <c r="B17" s="62">
        <f>B16</f>
        <v>118200</v>
      </c>
      <c r="C17" s="58"/>
      <c r="D17" s="56" t="s">
        <v>21</v>
      </c>
      <c r="E17" s="62">
        <f>E16</f>
        <v>119400</v>
      </c>
      <c r="I17" s="1"/>
      <c r="J17" s="1"/>
      <c r="K17" s="1"/>
    </row>
    <row r="18" spans="1:11" ht="16" x14ac:dyDescent="0.2">
      <c r="B18" s="42"/>
      <c r="E18" s="42"/>
      <c r="G18">
        <v>1</v>
      </c>
      <c r="H18">
        <f>-121800</f>
        <v>-121800</v>
      </c>
      <c r="I18" s="55">
        <f>-120600</f>
        <v>-120600</v>
      </c>
    </row>
    <row r="19" spans="1:11" ht="16" x14ac:dyDescent="0.2">
      <c r="B19" s="42"/>
      <c r="G19">
        <v>2</v>
      </c>
      <c r="H19" s="55">
        <f>3600</f>
        <v>3600</v>
      </c>
      <c r="I19" s="55">
        <f>1200</f>
        <v>1200</v>
      </c>
    </row>
    <row r="20" spans="1:11" ht="16" x14ac:dyDescent="0.2">
      <c r="D20" t="s">
        <v>22</v>
      </c>
      <c r="G20">
        <v>3</v>
      </c>
      <c r="H20">
        <f>114600</f>
        <v>114600</v>
      </c>
      <c r="I20" s="55">
        <v>118200</v>
      </c>
      <c r="J20" s="42"/>
    </row>
    <row r="21" spans="1:11" ht="16" x14ac:dyDescent="0.2">
      <c r="A21" t="s">
        <v>23</v>
      </c>
      <c r="D21" t="s">
        <v>24</v>
      </c>
    </row>
    <row r="22" spans="1:11" ht="16" x14ac:dyDescent="0.2">
      <c r="A22" t="s">
        <v>25</v>
      </c>
      <c r="D22" t="s">
        <v>26</v>
      </c>
    </row>
    <row r="23" spans="1:11" ht="16" x14ac:dyDescent="0.2">
      <c r="A23" t="s">
        <v>27</v>
      </c>
      <c r="D23" t="s">
        <v>28</v>
      </c>
    </row>
    <row r="24" spans="1:11" ht="15.75" customHeight="1" x14ac:dyDescent="0.2">
      <c r="A24" t="s">
        <v>29</v>
      </c>
      <c r="D24" t="s">
        <v>30</v>
      </c>
    </row>
    <row r="25" spans="1:11" ht="15.75" customHeight="1" x14ac:dyDescent="0.2">
      <c r="A25" t="s">
        <v>31</v>
      </c>
      <c r="D25" t="s">
        <v>32</v>
      </c>
    </row>
    <row r="26" spans="1:11" ht="15.75" customHeight="1" x14ac:dyDescent="0.2">
      <c r="A26" t="s">
        <v>33</v>
      </c>
    </row>
    <row r="28" spans="1:11" ht="15.75" customHeight="1" x14ac:dyDescent="0.2">
      <c r="H28">
        <f>E17/H7</f>
        <v>0.20815899581589958</v>
      </c>
      <c r="I28">
        <f>H28*100</f>
        <v>20.81589958158996</v>
      </c>
    </row>
    <row r="29" spans="1:11" ht="15.75" customHeight="1" x14ac:dyDescent="0.2">
      <c r="H29">
        <f>E16/H8</f>
        <v>0.17456140350877192</v>
      </c>
      <c r="I29">
        <f>H29*100</f>
        <v>17.456140350877192</v>
      </c>
    </row>
  </sheetData>
  <mergeCells count="3">
    <mergeCell ref="A2:B2"/>
    <mergeCell ref="D2:E2"/>
    <mergeCell ref="G2:H2"/>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A6E33-878F-DE47-8A6F-B13BA6F07F5B}">
  <dimension ref="A3:J52"/>
  <sheetViews>
    <sheetView topLeftCell="A7" zoomScale="85" zoomScaleNormal="85" workbookViewId="0">
      <selection activeCell="E54" sqref="E54"/>
    </sheetView>
  </sheetViews>
  <sheetFormatPr baseColWidth="10" defaultColWidth="21" defaultRowHeight="16" x14ac:dyDescent="0.2"/>
  <cols>
    <col min="2" max="2" width="25.33203125" style="8" customWidth="1"/>
    <col min="3" max="3" width="4.33203125" style="1" customWidth="1"/>
    <col min="4" max="4" width="14.33203125" style="1" bestFit="1" customWidth="1"/>
    <col min="5" max="6" width="14.33203125" bestFit="1" customWidth="1"/>
    <col min="7" max="8" width="15.33203125" bestFit="1" customWidth="1"/>
  </cols>
  <sheetData>
    <row r="3" spans="2:10" s="6" customFormat="1" x14ac:dyDescent="0.2">
      <c r="B3" s="8"/>
      <c r="C3" s="7"/>
      <c r="D3" s="7" t="s">
        <v>34</v>
      </c>
      <c r="E3" s="6" t="s">
        <v>35</v>
      </c>
      <c r="F3" s="6" t="s">
        <v>36</v>
      </c>
      <c r="G3" s="7" t="s">
        <v>37</v>
      </c>
      <c r="H3" s="7" t="s">
        <v>38</v>
      </c>
    </row>
    <row r="5" spans="2:10" x14ac:dyDescent="0.2">
      <c r="B5" s="33" t="s">
        <v>39</v>
      </c>
      <c r="D5" s="12">
        <v>5</v>
      </c>
      <c r="E5" s="32">
        <v>15</v>
      </c>
      <c r="F5" s="32">
        <v>20</v>
      </c>
      <c r="G5" s="32">
        <v>20</v>
      </c>
      <c r="H5" s="32">
        <v>25</v>
      </c>
    </row>
    <row r="6" spans="2:10" x14ac:dyDescent="0.2">
      <c r="B6" s="33" t="s">
        <v>40</v>
      </c>
      <c r="D6" s="2">
        <v>10</v>
      </c>
      <c r="E6" s="3">
        <v>8</v>
      </c>
      <c r="F6" s="3">
        <v>8</v>
      </c>
      <c r="G6" s="3">
        <v>8</v>
      </c>
      <c r="H6" s="3">
        <v>8</v>
      </c>
      <c r="J6">
        <v>6000000</v>
      </c>
    </row>
    <row r="7" spans="2:10" x14ac:dyDescent="0.2">
      <c r="B7" s="33" t="s">
        <v>41</v>
      </c>
      <c r="D7" s="4">
        <f>D5*D6</f>
        <v>50</v>
      </c>
      <c r="E7" s="4">
        <f>E5*E6</f>
        <v>120</v>
      </c>
      <c r="F7" s="4">
        <f t="shared" ref="F7:H7" si="0">F5*F6</f>
        <v>160</v>
      </c>
      <c r="G7" s="4">
        <f t="shared" si="0"/>
        <v>160</v>
      </c>
      <c r="H7" s="4">
        <f t="shared" si="0"/>
        <v>200</v>
      </c>
    </row>
    <row r="8" spans="2:10" x14ac:dyDescent="0.2">
      <c r="B8" s="33" t="s">
        <v>42</v>
      </c>
      <c r="D8" s="37">
        <v>30000</v>
      </c>
      <c r="E8" s="37">
        <f>D8</f>
        <v>30000</v>
      </c>
      <c r="F8" s="37">
        <f>E8</f>
        <v>30000</v>
      </c>
      <c r="G8" s="37">
        <f>F8</f>
        <v>30000</v>
      </c>
      <c r="H8" s="37">
        <f>G8</f>
        <v>30000</v>
      </c>
    </row>
    <row r="9" spans="2:10" x14ac:dyDescent="0.2">
      <c r="B9" s="8" t="s">
        <v>43</v>
      </c>
      <c r="D9" s="5">
        <f>D7*D8</f>
        <v>1500000</v>
      </c>
      <c r="E9" s="5">
        <f>E7*E8</f>
        <v>3600000</v>
      </c>
      <c r="F9" s="5">
        <f>F7*F8</f>
        <v>4800000</v>
      </c>
      <c r="G9" s="5">
        <f>G7*G8</f>
        <v>4800000</v>
      </c>
      <c r="H9" s="5">
        <f>H7*H8</f>
        <v>6000000</v>
      </c>
    </row>
    <row r="10" spans="2:10" x14ac:dyDescent="0.2">
      <c r="D10" s="1">
        <f>D9/1000000</f>
        <v>1.5</v>
      </c>
      <c r="E10" s="1">
        <f>E9/1000000</f>
        <v>3.6</v>
      </c>
      <c r="F10" s="1">
        <f>F9/1000000</f>
        <v>4.8</v>
      </c>
      <c r="G10" s="1">
        <f>G9/1000000</f>
        <v>4.8</v>
      </c>
      <c r="H10" s="1">
        <f>H9/1000000</f>
        <v>6</v>
      </c>
    </row>
    <row r="12" spans="2:10" x14ac:dyDescent="0.2">
      <c r="B12" s="33" t="s">
        <v>44</v>
      </c>
      <c r="D12" s="10">
        <v>600</v>
      </c>
      <c r="E12" s="10">
        <v>600</v>
      </c>
      <c r="F12" s="10">
        <v>600</v>
      </c>
      <c r="G12" s="10">
        <v>600</v>
      </c>
      <c r="H12" s="10">
        <v>600</v>
      </c>
    </row>
    <row r="13" spans="2:10" x14ac:dyDescent="0.2">
      <c r="B13" s="33" t="s">
        <v>45</v>
      </c>
      <c r="D13" s="14">
        <v>400</v>
      </c>
      <c r="E13" s="14">
        <v>400</v>
      </c>
      <c r="F13" s="14">
        <v>400</v>
      </c>
      <c r="G13" s="14">
        <v>400</v>
      </c>
      <c r="H13" s="14">
        <v>400</v>
      </c>
    </row>
    <row r="14" spans="2:10" x14ac:dyDescent="0.2">
      <c r="B14" s="33" t="s">
        <v>46</v>
      </c>
      <c r="D14" s="14">
        <v>200</v>
      </c>
      <c r="E14" s="14">
        <v>200</v>
      </c>
      <c r="F14" s="14">
        <v>200</v>
      </c>
      <c r="G14" s="14">
        <v>200</v>
      </c>
      <c r="H14" s="14">
        <v>200</v>
      </c>
    </row>
    <row r="15" spans="2:10" x14ac:dyDescent="0.2">
      <c r="B15" s="33" t="s">
        <v>47</v>
      </c>
      <c r="D15" s="38">
        <v>6</v>
      </c>
      <c r="E15" s="38">
        <v>6</v>
      </c>
      <c r="F15" s="38">
        <v>6</v>
      </c>
      <c r="G15" s="38">
        <v>6</v>
      </c>
      <c r="H15" s="38">
        <v>6</v>
      </c>
    </row>
    <row r="16" spans="2:10" x14ac:dyDescent="0.2">
      <c r="B16" s="8" t="s">
        <v>48</v>
      </c>
      <c r="D16" s="5">
        <f>D12*D15*D7</f>
        <v>180000</v>
      </c>
      <c r="E16" s="5">
        <f>(D7*12*D12)+(E7*E12*E15)</f>
        <v>792000</v>
      </c>
      <c r="F16" s="5">
        <f>((E7+D7)*12*E12)+(F7*F12*F15)</f>
        <v>1800000</v>
      </c>
      <c r="G16" s="5">
        <f>((F7+E7+D7)*12*F12)+(G7*G12*G15)</f>
        <v>2952000</v>
      </c>
      <c r="H16" s="5">
        <f>((G7+F7+E7+D7)*12*G12)+(H7*H12*H15)</f>
        <v>4248000</v>
      </c>
    </row>
    <row r="17" spans="1:9" x14ac:dyDescent="0.2">
      <c r="E17" s="1"/>
      <c r="F17" s="1"/>
      <c r="G17" s="1"/>
      <c r="H17" s="1"/>
    </row>
    <row r="18" spans="1:9" x14ac:dyDescent="0.2">
      <c r="E18" s="1"/>
      <c r="F18" s="1"/>
      <c r="G18" s="1"/>
      <c r="H18" s="1"/>
    </row>
    <row r="19" spans="1:9" x14ac:dyDescent="0.2">
      <c r="B19" s="33" t="s">
        <v>49</v>
      </c>
      <c r="D19" s="11">
        <v>0.25</v>
      </c>
      <c r="E19" s="11">
        <v>0.25</v>
      </c>
      <c r="F19" s="11">
        <v>0.25</v>
      </c>
      <c r="G19" s="11">
        <v>0.25</v>
      </c>
      <c r="H19" s="11">
        <v>0.25</v>
      </c>
      <c r="I19" s="1"/>
    </row>
    <row r="20" spans="1:9" x14ac:dyDescent="0.2">
      <c r="B20" s="33" t="s">
        <v>50</v>
      </c>
      <c r="D20" s="13">
        <v>3</v>
      </c>
      <c r="E20" s="13">
        <f t="shared" ref="E20:H21" si="1">D20</f>
        <v>3</v>
      </c>
      <c r="F20" s="13">
        <f t="shared" si="1"/>
        <v>3</v>
      </c>
      <c r="G20" s="13">
        <f t="shared" si="1"/>
        <v>3</v>
      </c>
      <c r="H20" s="13">
        <f t="shared" si="1"/>
        <v>3</v>
      </c>
      <c r="I20" s="1"/>
    </row>
    <row r="21" spans="1:9" x14ac:dyDescent="0.2">
      <c r="A21" s="9"/>
      <c r="B21" s="33" t="s">
        <v>51</v>
      </c>
      <c r="D21" s="10">
        <f>0.75*D8</f>
        <v>22500</v>
      </c>
      <c r="E21" s="10">
        <f t="shared" si="1"/>
        <v>22500</v>
      </c>
      <c r="F21" s="10">
        <f t="shared" si="1"/>
        <v>22500</v>
      </c>
      <c r="G21" s="10">
        <f t="shared" si="1"/>
        <v>22500</v>
      </c>
      <c r="H21" s="10">
        <f t="shared" si="1"/>
        <v>22500</v>
      </c>
      <c r="I21" s="1"/>
    </row>
    <row r="22" spans="1:9" x14ac:dyDescent="0.2">
      <c r="A22" s="9"/>
      <c r="B22" s="33" t="s">
        <v>52</v>
      </c>
      <c r="D22" s="11">
        <v>0.4</v>
      </c>
      <c r="E22" s="11">
        <f>D22*1.03</f>
        <v>0.41200000000000003</v>
      </c>
      <c r="F22" s="11">
        <f t="shared" ref="F22:H22" si="2">E22*1.03</f>
        <v>0.42436000000000007</v>
      </c>
      <c r="G22" s="11">
        <f t="shared" si="2"/>
        <v>0.43709080000000006</v>
      </c>
      <c r="H22" s="11">
        <f t="shared" si="2"/>
        <v>0.45020352400000008</v>
      </c>
      <c r="I22" s="1"/>
    </row>
    <row r="23" spans="1:9" x14ac:dyDescent="0.2">
      <c r="B23" s="33" t="s">
        <v>53</v>
      </c>
      <c r="D23" s="14">
        <f>D21/D20*D19/12*(1+D22)</f>
        <v>218.75</v>
      </c>
      <c r="E23" s="14">
        <f t="shared" ref="E23:H23" si="3">E21/E20*E19/12*(1+E22)</f>
        <v>220.625</v>
      </c>
      <c r="F23" s="14">
        <f t="shared" si="3"/>
        <v>222.55625000000001</v>
      </c>
      <c r="G23" s="14">
        <f t="shared" si="3"/>
        <v>224.54543749999999</v>
      </c>
      <c r="H23" s="14">
        <f t="shared" si="3"/>
        <v>226.59430062499999</v>
      </c>
      <c r="I23" s="1"/>
    </row>
    <row r="24" spans="1:9" x14ac:dyDescent="0.2">
      <c r="B24" s="33" t="s">
        <v>54</v>
      </c>
      <c r="D24" s="38">
        <v>6</v>
      </c>
      <c r="E24" s="38">
        <v>6</v>
      </c>
      <c r="F24" s="38">
        <v>6</v>
      </c>
      <c r="G24" s="38">
        <v>6</v>
      </c>
      <c r="H24" s="38">
        <v>6</v>
      </c>
      <c r="I24" s="1"/>
    </row>
    <row r="25" spans="1:9" x14ac:dyDescent="0.2">
      <c r="B25" s="8" t="s">
        <v>55</v>
      </c>
      <c r="D25" s="5">
        <f>D23*D24*D7</f>
        <v>65625</v>
      </c>
      <c r="E25" s="5">
        <f>(D23*12*D7)+(E23*E24*E7)</f>
        <v>290100</v>
      </c>
      <c r="F25" s="5">
        <f>(E23*12*(E7+D7))+(F23*F24*F7)</f>
        <v>663729</v>
      </c>
      <c r="G25" s="5">
        <f>(F23*12*(F7+E7+D7))+(G23*G24*G7)</f>
        <v>1096886.3700000001</v>
      </c>
      <c r="H25" s="5">
        <f>(G23*12*(G7+F7+E7+D7))+(H23*H24*H7)</f>
        <v>1592240.3332500001</v>
      </c>
      <c r="I25" s="1"/>
    </row>
    <row r="26" spans="1:9" x14ac:dyDescent="0.2">
      <c r="E26" s="1"/>
      <c r="F26" s="1"/>
      <c r="G26" s="1"/>
      <c r="H26" s="1"/>
      <c r="I26" s="1"/>
    </row>
    <row r="27" spans="1:9" x14ac:dyDescent="0.2">
      <c r="B27" s="8" t="s">
        <v>56</v>
      </c>
      <c r="D27" s="17">
        <f>D9+D16+D25</f>
        <v>1745625</v>
      </c>
      <c r="E27" s="17">
        <f>E9+E16+E25</f>
        <v>4682100</v>
      </c>
      <c r="F27" s="17">
        <f t="shared" ref="F27:G27" si="4">F9+F16+F25</f>
        <v>7263729</v>
      </c>
      <c r="G27" s="17">
        <f t="shared" si="4"/>
        <v>8848886.370000001</v>
      </c>
      <c r="H27" s="17">
        <f>H9+H16+H25</f>
        <v>11840240.333250001</v>
      </c>
      <c r="I27" s="1"/>
    </row>
    <row r="28" spans="1:9" x14ac:dyDescent="0.2">
      <c r="B28" s="33" t="s">
        <v>57</v>
      </c>
      <c r="E28" s="16">
        <f>E27-D27</f>
        <v>2936475</v>
      </c>
      <c r="F28" s="16">
        <f t="shared" ref="F28:G28" si="5">F27-E27</f>
        <v>2581629</v>
      </c>
      <c r="G28" s="16">
        <f t="shared" si="5"/>
        <v>1585157.370000001</v>
      </c>
      <c r="H28" s="16">
        <f>H27-G27</f>
        <v>2991353.96325</v>
      </c>
      <c r="I28" s="1"/>
    </row>
    <row r="29" spans="1:9" x14ac:dyDescent="0.2">
      <c r="B29" s="33" t="s">
        <v>58</v>
      </c>
      <c r="E29" s="15">
        <f>(E27-D27)/D27</f>
        <v>1.6821911922663801</v>
      </c>
      <c r="F29" s="15">
        <f t="shared" ref="F29:H29" si="6">(F27-E27)/E27</f>
        <v>0.55138271288524376</v>
      </c>
      <c r="G29" s="15">
        <f t="shared" si="6"/>
        <v>0.21822914511265509</v>
      </c>
      <c r="H29" s="15">
        <f t="shared" si="6"/>
        <v>0.33804863551999703</v>
      </c>
      <c r="I29" s="1"/>
    </row>
    <row r="30" spans="1:9" x14ac:dyDescent="0.2">
      <c r="E30" s="1"/>
      <c r="F30" s="1"/>
      <c r="G30" s="1"/>
      <c r="H30" s="1"/>
      <c r="I30" s="1"/>
    </row>
    <row r="31" spans="1:9" x14ac:dyDescent="0.2">
      <c r="E31" s="1"/>
      <c r="F31" s="1"/>
      <c r="G31" s="1"/>
      <c r="H31" s="1"/>
      <c r="I31" s="1"/>
    </row>
    <row r="32" spans="1:9" x14ac:dyDescent="0.2">
      <c r="B32" s="33"/>
      <c r="E32" s="1"/>
      <c r="F32" s="1"/>
      <c r="G32" s="1"/>
      <c r="H32" s="1"/>
      <c r="I32" s="1"/>
    </row>
    <row r="33" spans="2:10" x14ac:dyDescent="0.2">
      <c r="B33" s="33"/>
      <c r="D33"/>
      <c r="E33" s="1"/>
      <c r="F33" s="1"/>
      <c r="G33" s="1"/>
      <c r="H33" s="1"/>
      <c r="I33" s="1"/>
    </row>
    <row r="34" spans="2:10" x14ac:dyDescent="0.2">
      <c r="B34" s="33" t="s">
        <v>59</v>
      </c>
      <c r="D34" s="9" t="s">
        <v>60</v>
      </c>
    </row>
    <row r="35" spans="2:10" x14ac:dyDescent="0.2">
      <c r="D35" s="9" t="s">
        <v>61</v>
      </c>
    </row>
    <row r="38" spans="2:10" ht="18" x14ac:dyDescent="0.2">
      <c r="J38" s="65" t="s">
        <v>62</v>
      </c>
    </row>
    <row r="50" spans="4:4" x14ac:dyDescent="0.2">
      <c r="D50" s="66">
        <v>6000000</v>
      </c>
    </row>
    <row r="51" spans="4:4" x14ac:dyDescent="0.2">
      <c r="D51" s="67">
        <v>4248000</v>
      </c>
    </row>
    <row r="52" spans="4:4" x14ac:dyDescent="0.2">
      <c r="D52" s="67">
        <v>1592240.3332500001</v>
      </c>
    </row>
  </sheetData>
  <hyperlinks>
    <hyperlink ref="D34" r:id="rId1" display="https://finance.yahoo.com/news/drone-servicing-repair-global-market-185600553.html?guccounter=1&amp;guce_referrer=aHR0cHM6Ly93d3cuZ29vZ2xlLmNvbS8&amp;guce_referrer_sig=AQAAAD50ZtV-2vwfGeL6qmaZ8r-aqVbPFVi_Lb3ezBzVjaEy6QgVihRY6olMfWp9sYQq-qqmr8Jd-h4kI_9JHYxtanCgFrCL1rOZonWKpytuKJ2iQTx_qsD_VTao8IlJ3OghcAyRxSLOCDij0XFjoCH6r-xg-G7AsTAzoCAmVfhnfMiW" xr:uid="{7AE61773-1B53-AC41-9FDB-3D32CA3963CF}"/>
    <hyperlink ref="D35" r:id="rId2" xr:uid="{3F725BE6-C0E3-674F-8985-BB6F5722B0BF}"/>
  </hyperlinks>
  <pageMargins left="0.7" right="0.7" top="0.75" bottom="0.75" header="0.3" footer="0.3"/>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25E0-7864-794F-BEF4-69AB480F8EB7}">
  <dimension ref="A2:H59"/>
  <sheetViews>
    <sheetView topLeftCell="A8" zoomScale="85" zoomScaleNormal="85" workbookViewId="0">
      <selection activeCell="K30" sqref="K30"/>
    </sheetView>
  </sheetViews>
  <sheetFormatPr baseColWidth="10" defaultColWidth="11.1640625" defaultRowHeight="16" x14ac:dyDescent="0.2"/>
  <cols>
    <col min="1" max="1" width="9.5" customWidth="1"/>
    <col min="2" max="2" width="26.6640625" customWidth="1"/>
    <col min="3" max="3" width="4" customWidth="1"/>
    <col min="4" max="4" width="30.5" customWidth="1"/>
    <col min="5" max="6" width="18.5" bestFit="1" customWidth="1"/>
    <col min="7" max="8" width="19.5" bestFit="1" customWidth="1"/>
  </cols>
  <sheetData>
    <row r="2" spans="2:7" ht="17" x14ac:dyDescent="0.2">
      <c r="B2" s="24" t="s">
        <v>63</v>
      </c>
      <c r="D2" s="27" t="s">
        <v>64</v>
      </c>
      <c r="E2" s="27" t="s">
        <v>65</v>
      </c>
      <c r="F2" s="27" t="s">
        <v>66</v>
      </c>
      <c r="G2" s="27" t="s">
        <v>67</v>
      </c>
    </row>
    <row r="3" spans="2:7" ht="17" x14ac:dyDescent="0.2">
      <c r="B3" s="70" t="s">
        <v>68</v>
      </c>
      <c r="D3" s="23" t="s">
        <v>69</v>
      </c>
      <c r="E3" s="30">
        <v>0.33</v>
      </c>
      <c r="F3" s="25">
        <v>100000</v>
      </c>
      <c r="G3" s="1">
        <f>F3*E3</f>
        <v>33000</v>
      </c>
    </row>
    <row r="4" spans="2:7" ht="34" x14ac:dyDescent="0.2">
      <c r="B4" s="70"/>
      <c r="D4" s="23" t="s">
        <v>70</v>
      </c>
      <c r="E4" s="30">
        <v>0.66</v>
      </c>
      <c r="F4" s="25">
        <v>624000</v>
      </c>
      <c r="G4" s="1">
        <f t="shared" ref="G4:G15" si="0">F4*E4</f>
        <v>411840</v>
      </c>
    </row>
    <row r="5" spans="2:7" ht="17" x14ac:dyDescent="0.2">
      <c r="B5" s="70"/>
      <c r="D5" s="23" t="s">
        <v>71</v>
      </c>
      <c r="E5" s="30">
        <v>0.33</v>
      </c>
      <c r="F5" s="25">
        <v>150000</v>
      </c>
      <c r="G5" s="1">
        <f>F5*E5</f>
        <v>49500</v>
      </c>
    </row>
    <row r="6" spans="2:7" ht="17" x14ac:dyDescent="0.2">
      <c r="B6" s="70"/>
      <c r="D6" s="23" t="s">
        <v>72</v>
      </c>
      <c r="E6" s="30">
        <v>0.33</v>
      </c>
      <c r="F6" s="25">
        <v>150000</v>
      </c>
      <c r="G6" s="1">
        <f>F6*E6</f>
        <v>49500</v>
      </c>
    </row>
    <row r="7" spans="2:7" ht="34" x14ac:dyDescent="0.2">
      <c r="B7" s="70"/>
      <c r="D7" s="23" t="s">
        <v>73</v>
      </c>
      <c r="E7" s="30">
        <v>1</v>
      </c>
      <c r="F7" s="25">
        <v>6000</v>
      </c>
      <c r="G7" s="1">
        <f t="shared" si="0"/>
        <v>6000</v>
      </c>
    </row>
    <row r="8" spans="2:7" ht="31.5" customHeight="1" x14ac:dyDescent="0.2">
      <c r="B8" s="70" t="s">
        <v>74</v>
      </c>
      <c r="D8" s="23" t="s">
        <v>75</v>
      </c>
      <c r="E8" s="30">
        <v>0.5</v>
      </c>
      <c r="F8" s="25">
        <v>150000</v>
      </c>
      <c r="G8" s="1">
        <f>E8*F8</f>
        <v>75000</v>
      </c>
    </row>
    <row r="9" spans="2:7" ht="34" x14ac:dyDescent="0.2">
      <c r="B9" s="70"/>
      <c r="D9" s="23" t="s">
        <v>76</v>
      </c>
      <c r="E9" s="30">
        <v>0.25</v>
      </c>
      <c r="F9" s="25">
        <v>150000</v>
      </c>
      <c r="G9" s="1">
        <f>E9*F9</f>
        <v>37500</v>
      </c>
    </row>
    <row r="10" spans="2:7" ht="34" x14ac:dyDescent="0.2">
      <c r="B10" s="70" t="s">
        <v>77</v>
      </c>
      <c r="D10" s="23" t="s">
        <v>78</v>
      </c>
      <c r="E10" s="30">
        <v>3.5</v>
      </c>
      <c r="F10" s="25">
        <v>624000</v>
      </c>
      <c r="G10" s="1">
        <f t="shared" si="0"/>
        <v>2184000</v>
      </c>
    </row>
    <row r="11" spans="2:7" x14ac:dyDescent="0.2">
      <c r="B11" s="70"/>
      <c r="D11" s="26"/>
      <c r="E11" s="31"/>
      <c r="F11" s="25"/>
      <c r="G11" s="1">
        <f t="shared" si="0"/>
        <v>0</v>
      </c>
    </row>
    <row r="12" spans="2:7" ht="17" x14ac:dyDescent="0.2">
      <c r="B12" s="70" t="s">
        <v>79</v>
      </c>
      <c r="D12" s="23" t="s">
        <v>80</v>
      </c>
      <c r="E12" s="30">
        <v>0.57999999999999996</v>
      </c>
      <c r="F12" s="25">
        <v>120000</v>
      </c>
      <c r="G12" s="1">
        <f t="shared" si="0"/>
        <v>69600</v>
      </c>
    </row>
    <row r="13" spans="2:7" ht="34" x14ac:dyDescent="0.2">
      <c r="B13" s="70"/>
      <c r="D13" s="23" t="s">
        <v>81</v>
      </c>
      <c r="E13" s="30">
        <v>1.1599999999999999</v>
      </c>
      <c r="F13" s="25">
        <v>100000</v>
      </c>
      <c r="G13" s="1">
        <f t="shared" si="0"/>
        <v>115999.99999999999</v>
      </c>
    </row>
    <row r="14" spans="2:7" ht="51" x14ac:dyDescent="0.2">
      <c r="B14" s="70" t="s">
        <v>82</v>
      </c>
      <c r="D14" s="23" t="s">
        <v>83</v>
      </c>
      <c r="E14" s="31">
        <v>1</v>
      </c>
      <c r="F14" s="25">
        <v>60000</v>
      </c>
      <c r="G14" s="1">
        <f t="shared" si="0"/>
        <v>60000</v>
      </c>
    </row>
    <row r="15" spans="2:7" ht="34" x14ac:dyDescent="0.2">
      <c r="B15" s="70"/>
      <c r="D15" s="23" t="s">
        <v>84</v>
      </c>
      <c r="E15" s="31">
        <v>1</v>
      </c>
      <c r="F15" s="25">
        <v>40000</v>
      </c>
      <c r="G15" s="1">
        <f t="shared" si="0"/>
        <v>40000</v>
      </c>
    </row>
    <row r="16" spans="2:7" ht="17" x14ac:dyDescent="0.2">
      <c r="B16" s="70" t="s">
        <v>85</v>
      </c>
      <c r="D16" s="23" t="s">
        <v>86</v>
      </c>
      <c r="E16" s="30">
        <v>0.33</v>
      </c>
      <c r="F16" s="25">
        <v>100000</v>
      </c>
      <c r="G16" s="1">
        <f>F16*E16</f>
        <v>33000</v>
      </c>
    </row>
    <row r="17" spans="1:8" ht="17" x14ac:dyDescent="0.2">
      <c r="B17" s="70"/>
      <c r="D17" s="23" t="s">
        <v>87</v>
      </c>
      <c r="E17" s="30">
        <v>0.33</v>
      </c>
      <c r="F17" s="25">
        <v>150000</v>
      </c>
      <c r="G17" s="36">
        <f>F17*E17</f>
        <v>49500</v>
      </c>
    </row>
    <row r="18" spans="1:8" x14ac:dyDescent="0.2">
      <c r="A18" s="22"/>
      <c r="B18" s="21"/>
      <c r="G18" s="28">
        <f>SUM(G3:G17)</f>
        <v>3214440</v>
      </c>
    </row>
    <row r="19" spans="1:8" ht="16" customHeight="1" x14ac:dyDescent="0.3">
      <c r="B19" s="29"/>
      <c r="C19" s="29"/>
      <c r="D19" s="29"/>
      <c r="E19" s="29"/>
      <c r="F19" s="29"/>
      <c r="G19" s="29"/>
      <c r="H19" s="29"/>
    </row>
    <row r="20" spans="1:8" x14ac:dyDescent="0.2">
      <c r="B20" s="8"/>
      <c r="C20" s="7"/>
      <c r="D20" s="7" t="s">
        <v>34</v>
      </c>
      <c r="E20" s="6" t="s">
        <v>35</v>
      </c>
      <c r="F20" s="6" t="s">
        <v>36</v>
      </c>
      <c r="G20" s="7" t="s">
        <v>37</v>
      </c>
      <c r="H20" s="7" t="s">
        <v>38</v>
      </c>
    </row>
    <row r="21" spans="1:8" x14ac:dyDescent="0.2">
      <c r="B21" s="8"/>
      <c r="C21" s="1"/>
      <c r="D21" s="1"/>
    </row>
    <row r="22" spans="1:8" x14ac:dyDescent="0.2">
      <c r="B22" s="8" t="s">
        <v>88</v>
      </c>
      <c r="C22" s="1"/>
      <c r="D22" s="1">
        <f>Revenue!D9*0.75</f>
        <v>1125000</v>
      </c>
      <c r="E22" s="1">
        <f>Revenue!E9*0.75</f>
        <v>2700000</v>
      </c>
      <c r="F22" s="1">
        <f>Revenue!F9*0.75</f>
        <v>3600000</v>
      </c>
      <c r="G22" s="1">
        <f>Revenue!G9*0.75</f>
        <v>3600000</v>
      </c>
      <c r="H22" s="1">
        <f>Revenue!H9*0.75</f>
        <v>4500000</v>
      </c>
    </row>
    <row r="23" spans="1:8" x14ac:dyDescent="0.2">
      <c r="B23" s="8"/>
      <c r="C23" s="1"/>
      <c r="D23" s="1"/>
    </row>
    <row r="24" spans="1:8" x14ac:dyDescent="0.2">
      <c r="B24" s="33" t="s">
        <v>89</v>
      </c>
      <c r="C24" s="1"/>
      <c r="D24" s="1">
        <f>Revenue!D5*5*600*2</f>
        <v>30000</v>
      </c>
      <c r="E24" s="1">
        <f>Revenue!E5*5*600*2</f>
        <v>90000</v>
      </c>
      <c r="F24" s="1">
        <f>Revenue!F5*5*600*2</f>
        <v>120000</v>
      </c>
      <c r="G24" s="1">
        <f>Revenue!G5*5*600*2</f>
        <v>120000</v>
      </c>
      <c r="H24" s="1">
        <f>Revenue!H5*5*600*2</f>
        <v>150000</v>
      </c>
    </row>
    <row r="25" spans="1:8" x14ac:dyDescent="0.2">
      <c r="B25" s="33" t="s">
        <v>90</v>
      </c>
      <c r="C25" s="1"/>
      <c r="D25" s="1">
        <f>100*Revenue!D7</f>
        <v>5000</v>
      </c>
      <c r="E25" s="1">
        <f>100*Revenue!E7</f>
        <v>12000</v>
      </c>
      <c r="F25" s="1">
        <f>100*Revenue!F7</f>
        <v>16000</v>
      </c>
      <c r="G25" s="1">
        <f>100*Revenue!G7</f>
        <v>16000</v>
      </c>
      <c r="H25" s="1">
        <f>100*Revenue!H7</f>
        <v>20000</v>
      </c>
    </row>
    <row r="26" spans="1:8" x14ac:dyDescent="0.2">
      <c r="B26" s="33" t="s">
        <v>91</v>
      </c>
      <c r="C26" s="1"/>
      <c r="D26" s="1">
        <f>191.36/6*Revenue!D7*12</f>
        <v>19136</v>
      </c>
      <c r="E26" s="1">
        <f>191.36/6*Revenue!E7*12+D26</f>
        <v>65062.400000000001</v>
      </c>
      <c r="F26" s="1">
        <f>191.36/6*Revenue!F7*12+E26</f>
        <v>126297.60000000001</v>
      </c>
      <c r="G26" s="1">
        <f>191.36/6*Revenue!G7*12+F26</f>
        <v>187532.79999999999</v>
      </c>
      <c r="H26" s="1">
        <f>191.36/6*Revenue!H7*12+G26</f>
        <v>264076.79999999999</v>
      </c>
    </row>
    <row r="27" spans="1:8" x14ac:dyDescent="0.2">
      <c r="B27" s="33" t="s">
        <v>92</v>
      </c>
      <c r="C27" s="1"/>
      <c r="D27" s="1">
        <v>140000</v>
      </c>
      <c r="E27" s="1">
        <f>D27*1.03</f>
        <v>144200</v>
      </c>
      <c r="F27" s="1">
        <f>1.03*E27</f>
        <v>148526</v>
      </c>
      <c r="G27" s="1">
        <f>F27*1.03</f>
        <v>152981.78</v>
      </c>
      <c r="H27" s="1">
        <f>G27*1.03</f>
        <v>157571.2334</v>
      </c>
    </row>
    <row r="28" spans="1:8" x14ac:dyDescent="0.2">
      <c r="B28" s="33" t="s">
        <v>93</v>
      </c>
      <c r="C28" s="1"/>
      <c r="D28" s="1">
        <v>160000</v>
      </c>
      <c r="E28" s="1">
        <f>D28*1.03+80000</f>
        <v>244800</v>
      </c>
      <c r="F28" s="1">
        <f t="shared" ref="F28:H28" si="1">E28*1.03</f>
        <v>252144</v>
      </c>
      <c r="G28" s="1">
        <f>F28*1.03+80000</f>
        <v>339708.32</v>
      </c>
      <c r="H28" s="1">
        <f t="shared" si="1"/>
        <v>349899.56959999999</v>
      </c>
    </row>
    <row r="29" spans="1:8" x14ac:dyDescent="0.2">
      <c r="B29" s="33" t="s">
        <v>94</v>
      </c>
      <c r="C29" s="1"/>
      <c r="D29" s="1">
        <f>320000</f>
        <v>320000</v>
      </c>
      <c r="E29" s="1">
        <f>D29*1.03</f>
        <v>329600</v>
      </c>
      <c r="F29" s="1">
        <f>E29*1.03</f>
        <v>339488</v>
      </c>
      <c r="G29" s="1">
        <f>F29*1.03+160000</f>
        <v>509672.64</v>
      </c>
      <c r="H29" s="1">
        <f t="shared" ref="H29" si="2">G29*1.03</f>
        <v>524962.81920000003</v>
      </c>
    </row>
    <row r="30" spans="1:8" x14ac:dyDescent="0.2">
      <c r="B30" s="33" t="s">
        <v>95</v>
      </c>
      <c r="C30" s="1"/>
      <c r="D30" s="1">
        <f>160000+(2*100000)</f>
        <v>360000</v>
      </c>
      <c r="E30" s="1">
        <f>1.03*D30</f>
        <v>370800</v>
      </c>
      <c r="F30" s="1">
        <f>1.03*E30+(120000*2)</f>
        <v>621924</v>
      </c>
      <c r="G30" s="1">
        <f t="shared" ref="G30:H30" si="3">1.03*F30</f>
        <v>640581.72</v>
      </c>
      <c r="H30" s="1">
        <f t="shared" si="3"/>
        <v>659799.1716</v>
      </c>
    </row>
    <row r="31" spans="1:8" x14ac:dyDescent="0.2">
      <c r="B31" s="33" t="s">
        <v>96</v>
      </c>
      <c r="C31" s="1"/>
      <c r="D31" s="1">
        <f>(D27+D28)*0.6</f>
        <v>180000</v>
      </c>
      <c r="E31" s="1">
        <f t="shared" ref="E31:H31" si="4">(E27+E28)*0.6</f>
        <v>233400</v>
      </c>
      <c r="F31" s="1">
        <f t="shared" si="4"/>
        <v>240402</v>
      </c>
      <c r="G31" s="1">
        <f t="shared" si="4"/>
        <v>295614.06</v>
      </c>
      <c r="H31" s="1">
        <f t="shared" si="4"/>
        <v>304482.48179999995</v>
      </c>
    </row>
    <row r="32" spans="1:8" x14ac:dyDescent="0.2">
      <c r="B32" s="33" t="s">
        <v>97</v>
      </c>
      <c r="C32" s="1"/>
      <c r="D32" s="35">
        <f>(D29+D30)*0.2</f>
        <v>136000</v>
      </c>
      <c r="E32" s="35">
        <f t="shared" ref="E32:H32" si="5">(E29+E30)*0.2</f>
        <v>140080</v>
      </c>
      <c r="F32" s="35">
        <f t="shared" si="5"/>
        <v>192282.40000000002</v>
      </c>
      <c r="G32" s="35">
        <f t="shared" si="5"/>
        <v>230050.87199999997</v>
      </c>
      <c r="H32" s="35">
        <f t="shared" si="5"/>
        <v>236952.39816000001</v>
      </c>
    </row>
    <row r="33" spans="2:8" x14ac:dyDescent="0.2">
      <c r="B33" s="8" t="s">
        <v>98</v>
      </c>
      <c r="C33" s="1"/>
      <c r="D33" s="19">
        <f>SUM(D24:D32)</f>
        <v>1350136</v>
      </c>
      <c r="E33" s="19">
        <f t="shared" ref="E33:H33" si="6">SUM(E24:E32)</f>
        <v>1629942.4</v>
      </c>
      <c r="F33" s="19">
        <f t="shared" si="6"/>
        <v>2057064</v>
      </c>
      <c r="G33" s="19">
        <f t="shared" si="6"/>
        <v>2492142.1919999998</v>
      </c>
      <c r="H33" s="19">
        <f t="shared" si="6"/>
        <v>2667744.47376</v>
      </c>
    </row>
    <row r="34" spans="2:8" x14ac:dyDescent="0.2">
      <c r="B34" s="8"/>
      <c r="C34" s="1"/>
      <c r="D34" s="14"/>
      <c r="E34" s="14"/>
      <c r="F34" s="14"/>
      <c r="G34" s="14"/>
      <c r="H34" s="14"/>
    </row>
    <row r="35" spans="2:8" x14ac:dyDescent="0.2">
      <c r="B35" s="8"/>
      <c r="C35" s="14"/>
      <c r="H35" s="20"/>
    </row>
    <row r="36" spans="2:8" x14ac:dyDescent="0.2">
      <c r="B36" s="8"/>
      <c r="C36" s="14"/>
      <c r="H36" s="69"/>
    </row>
    <row r="37" spans="2:8" x14ac:dyDescent="0.2">
      <c r="B37" s="8"/>
      <c r="C37" s="14"/>
      <c r="H37" s="69"/>
    </row>
    <row r="38" spans="2:8" x14ac:dyDescent="0.2">
      <c r="B38" s="8"/>
      <c r="C38" s="14"/>
      <c r="H38" s="69"/>
    </row>
    <row r="39" spans="2:8" x14ac:dyDescent="0.2">
      <c r="B39" s="8"/>
      <c r="C39" s="14"/>
      <c r="H39" s="69"/>
    </row>
    <row r="40" spans="2:8" x14ac:dyDescent="0.2">
      <c r="B40" s="8"/>
      <c r="C40" s="14"/>
      <c r="H40" s="69"/>
    </row>
    <row r="41" spans="2:8" x14ac:dyDescent="0.2">
      <c r="B41" s="8"/>
      <c r="C41" s="14"/>
      <c r="H41" s="69"/>
    </row>
    <row r="42" spans="2:8" x14ac:dyDescent="0.2">
      <c r="B42" s="8"/>
      <c r="C42" s="14"/>
      <c r="H42" s="69"/>
    </row>
    <row r="43" spans="2:8" x14ac:dyDescent="0.2">
      <c r="B43" s="8"/>
      <c r="C43" s="14"/>
      <c r="H43" s="69"/>
    </row>
    <row r="44" spans="2:8" x14ac:dyDescent="0.2">
      <c r="B44" s="8"/>
      <c r="C44" s="14"/>
      <c r="H44" s="21"/>
    </row>
    <row r="45" spans="2:8" x14ac:dyDescent="0.2">
      <c r="B45" s="8"/>
      <c r="C45" s="14"/>
      <c r="H45" s="69"/>
    </row>
    <row r="46" spans="2:8" x14ac:dyDescent="0.2">
      <c r="B46" s="8"/>
      <c r="C46" s="14"/>
      <c r="H46" s="69"/>
    </row>
    <row r="47" spans="2:8" x14ac:dyDescent="0.2">
      <c r="B47" s="8"/>
      <c r="C47" s="14"/>
      <c r="H47" s="69"/>
    </row>
    <row r="48" spans="2:8" x14ac:dyDescent="0.2">
      <c r="B48" s="8"/>
      <c r="C48" s="1"/>
      <c r="H48" s="69"/>
    </row>
    <row r="49" spans="2:8" x14ac:dyDescent="0.2">
      <c r="B49" s="8"/>
      <c r="C49" s="1"/>
      <c r="H49" s="21"/>
    </row>
    <row r="50" spans="2:8" x14ac:dyDescent="0.2">
      <c r="H50" s="21"/>
    </row>
    <row r="51" spans="2:8" x14ac:dyDescent="0.2">
      <c r="H51" s="21"/>
    </row>
    <row r="52" spans="2:8" x14ac:dyDescent="0.2">
      <c r="H52" s="21"/>
    </row>
    <row r="53" spans="2:8" x14ac:dyDescent="0.2">
      <c r="H53" s="21"/>
    </row>
    <row r="54" spans="2:8" x14ac:dyDescent="0.2">
      <c r="H54" s="21"/>
    </row>
    <row r="55" spans="2:8" x14ac:dyDescent="0.2">
      <c r="H55" s="69"/>
    </row>
    <row r="56" spans="2:8" x14ac:dyDescent="0.2">
      <c r="H56" s="69"/>
    </row>
    <row r="57" spans="2:8" x14ac:dyDescent="0.2">
      <c r="H57" s="69"/>
    </row>
    <row r="58" spans="2:8" x14ac:dyDescent="0.2">
      <c r="E58" s="21"/>
      <c r="H58" s="69"/>
    </row>
    <row r="59" spans="2:8" x14ac:dyDescent="0.2">
      <c r="D59" s="20"/>
      <c r="E59" s="21"/>
      <c r="F59" s="21"/>
      <c r="G59" s="21"/>
      <c r="H59" s="20"/>
    </row>
  </sheetData>
  <mergeCells count="9">
    <mergeCell ref="H36:H43"/>
    <mergeCell ref="H45:H48"/>
    <mergeCell ref="H55:H58"/>
    <mergeCell ref="B3:B7"/>
    <mergeCell ref="B10:B11"/>
    <mergeCell ref="B12:B13"/>
    <mergeCell ref="B14:B15"/>
    <mergeCell ref="B16:B17"/>
    <mergeCell ref="B8:B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3E29E-7F00-0948-9C97-5DB951CCDF83}">
  <dimension ref="B3:J24"/>
  <sheetViews>
    <sheetView tabSelected="1" zoomScale="86" zoomScaleNormal="85" workbookViewId="0">
      <selection activeCell="L16" sqref="L16"/>
    </sheetView>
  </sheetViews>
  <sheetFormatPr baseColWidth="10" defaultColWidth="11" defaultRowHeight="16" x14ac:dyDescent="0.2"/>
  <cols>
    <col min="2" max="2" width="24.5" bestFit="1" customWidth="1"/>
    <col min="3" max="3" width="4.1640625" customWidth="1"/>
    <col min="4" max="5" width="14" bestFit="1" customWidth="1"/>
    <col min="6" max="6" width="16.1640625" customWidth="1"/>
    <col min="7" max="8" width="15" bestFit="1" customWidth="1"/>
    <col min="10" max="10" width="14.1640625" bestFit="1" customWidth="1"/>
    <col min="11" max="14" width="14.33203125" bestFit="1" customWidth="1"/>
    <col min="15" max="15" width="15.33203125" bestFit="1" customWidth="1"/>
  </cols>
  <sheetData>
    <row r="3" spans="2:10" x14ac:dyDescent="0.2">
      <c r="B3" s="8"/>
      <c r="C3" s="7"/>
      <c r="D3" s="7" t="s">
        <v>34</v>
      </c>
      <c r="E3" s="6" t="s">
        <v>35</v>
      </c>
      <c r="F3" s="6" t="s">
        <v>36</v>
      </c>
      <c r="G3" s="7" t="s">
        <v>37</v>
      </c>
      <c r="H3" s="7" t="s">
        <v>38</v>
      </c>
    </row>
    <row r="4" spans="2:10" x14ac:dyDescent="0.2">
      <c r="B4" s="8"/>
      <c r="C4" s="1"/>
      <c r="D4" s="1"/>
    </row>
    <row r="5" spans="2:10" x14ac:dyDescent="0.2">
      <c r="B5" s="33" t="str">
        <f>Revenue!B9</f>
        <v>Equipment Revenue</v>
      </c>
      <c r="C5" s="1"/>
      <c r="D5" s="14">
        <f>Revenue!D9</f>
        <v>1500000</v>
      </c>
      <c r="E5" s="14">
        <f>Revenue!E9</f>
        <v>3600000</v>
      </c>
      <c r="F5" s="14">
        <f>Revenue!F9</f>
        <v>4800000</v>
      </c>
      <c r="G5" s="14">
        <f>Revenue!G9</f>
        <v>4800000</v>
      </c>
      <c r="H5" s="14">
        <f>Revenue!H9</f>
        <v>6000000</v>
      </c>
    </row>
    <row r="6" spans="2:10" x14ac:dyDescent="0.2">
      <c r="B6" s="33" t="str">
        <f>Revenue!B16</f>
        <v>5G Subscription Revenue</v>
      </c>
      <c r="C6" s="1"/>
      <c r="D6" s="14">
        <f>Revenue!D16</f>
        <v>180000</v>
      </c>
      <c r="E6" s="14">
        <f>Revenue!E16</f>
        <v>792000</v>
      </c>
      <c r="F6" s="14">
        <f>Revenue!F16</f>
        <v>1800000</v>
      </c>
      <c r="G6" s="14">
        <f>Revenue!G16</f>
        <v>2952000</v>
      </c>
      <c r="H6" s="14">
        <f>Revenue!H16</f>
        <v>4248000</v>
      </c>
    </row>
    <row r="7" spans="2:10" x14ac:dyDescent="0.2">
      <c r="B7" s="33" t="str">
        <f>Revenue!B25</f>
        <v>Maintenance Revenue</v>
      </c>
      <c r="C7" s="1"/>
      <c r="D7" s="34">
        <f>Revenue!D25</f>
        <v>65625</v>
      </c>
      <c r="E7" s="34">
        <f>Revenue!E25</f>
        <v>290100</v>
      </c>
      <c r="F7" s="34">
        <f>Revenue!F25</f>
        <v>663729</v>
      </c>
      <c r="G7" s="34">
        <f>Revenue!G25</f>
        <v>1096886.3700000001</v>
      </c>
      <c r="H7" s="34">
        <f>Revenue!H25</f>
        <v>1592240.3332500001</v>
      </c>
    </row>
    <row r="8" spans="2:10" x14ac:dyDescent="0.2">
      <c r="B8" s="8" t="str">
        <f>Revenue!B27</f>
        <v>Total Revenue</v>
      </c>
      <c r="C8" s="1"/>
      <c r="D8" s="17">
        <f>SUM(D5:D7)</f>
        <v>1745625</v>
      </c>
      <c r="E8" s="17">
        <f t="shared" ref="E8:H8" si="0">SUM(E5:E7)</f>
        <v>4682100</v>
      </c>
      <c r="F8" s="17">
        <f t="shared" si="0"/>
        <v>7263729</v>
      </c>
      <c r="G8" s="17">
        <f t="shared" si="0"/>
        <v>8848886.370000001</v>
      </c>
      <c r="H8" s="17">
        <f t="shared" si="0"/>
        <v>11840240.333250001</v>
      </c>
    </row>
    <row r="9" spans="2:10" x14ac:dyDescent="0.2">
      <c r="B9" s="8"/>
      <c r="C9" s="1"/>
      <c r="D9" s="1"/>
    </row>
    <row r="10" spans="2:10" x14ac:dyDescent="0.2">
      <c r="B10" s="33" t="str">
        <f>Expenses!B22</f>
        <v>Equipment COGS @ 75%</v>
      </c>
      <c r="C10" s="1"/>
      <c r="D10" s="34">
        <f>Expenses!D22</f>
        <v>1125000</v>
      </c>
      <c r="E10" s="34">
        <f>Expenses!E22</f>
        <v>2700000</v>
      </c>
      <c r="F10" s="34">
        <f>Expenses!F22</f>
        <v>3600000</v>
      </c>
      <c r="G10" s="34">
        <f>Expenses!G22</f>
        <v>3600000</v>
      </c>
      <c r="H10" s="34">
        <f>Expenses!H22</f>
        <v>4500000</v>
      </c>
    </row>
    <row r="11" spans="2:10" x14ac:dyDescent="0.2">
      <c r="B11" s="8" t="s">
        <v>99</v>
      </c>
      <c r="C11" s="1"/>
      <c r="D11" s="17">
        <f>D8-D10</f>
        <v>620625</v>
      </c>
      <c r="E11" s="17">
        <f>E8-E10</f>
        <v>1982100</v>
      </c>
      <c r="F11" s="17">
        <f>F8-F10</f>
        <v>3663729</v>
      </c>
      <c r="G11" s="17">
        <f>G8-G10</f>
        <v>5248886.370000001</v>
      </c>
      <c r="H11" s="17">
        <f>H8-H10</f>
        <v>7340240.3332500011</v>
      </c>
      <c r="J11" s="53"/>
    </row>
    <row r="12" spans="2:10" x14ac:dyDescent="0.2">
      <c r="B12" s="8"/>
      <c r="C12" s="1"/>
      <c r="D12" s="1"/>
      <c r="E12" s="1"/>
      <c r="F12" s="1"/>
      <c r="G12" s="1"/>
      <c r="H12" s="1"/>
      <c r="J12" s="42"/>
    </row>
    <row r="13" spans="2:10" x14ac:dyDescent="0.2">
      <c r="B13" s="33" t="str">
        <f>Expenses!B24</f>
        <v>Travel Costs</v>
      </c>
      <c r="C13" s="1"/>
      <c r="D13" s="14">
        <f>Expenses!D24</f>
        <v>30000</v>
      </c>
      <c r="E13" s="14">
        <f>Expenses!E24</f>
        <v>90000</v>
      </c>
      <c r="F13" s="14">
        <f>Expenses!F24</f>
        <v>120000</v>
      </c>
      <c r="G13" s="14">
        <f>Expenses!G24</f>
        <v>120000</v>
      </c>
      <c r="H13" s="14">
        <f>Expenses!H24</f>
        <v>150000</v>
      </c>
    </row>
    <row r="14" spans="2:10" x14ac:dyDescent="0.2">
      <c r="B14" s="33" t="str">
        <f>Expenses!B25</f>
        <v>Shipping Costs</v>
      </c>
      <c r="C14" s="1"/>
      <c r="D14" s="14">
        <f>Expenses!D25</f>
        <v>5000</v>
      </c>
      <c r="E14" s="14">
        <f>Expenses!E25</f>
        <v>12000</v>
      </c>
      <c r="F14" s="14">
        <f>Expenses!F25</f>
        <v>16000</v>
      </c>
      <c r="G14" s="14">
        <f>Expenses!G25</f>
        <v>16000</v>
      </c>
      <c r="H14" s="14">
        <f>Expenses!H25</f>
        <v>20000</v>
      </c>
    </row>
    <row r="15" spans="2:10" x14ac:dyDescent="0.2">
      <c r="B15" s="33" t="str">
        <f>Expenses!B26</f>
        <v>Infrastructure Costs</v>
      </c>
      <c r="C15" s="1"/>
      <c r="D15" s="14">
        <f>Expenses!D26</f>
        <v>19136</v>
      </c>
      <c r="E15" s="14">
        <f>Expenses!E26</f>
        <v>65062.400000000001</v>
      </c>
      <c r="F15" s="14">
        <f>Expenses!F26</f>
        <v>126297.60000000001</v>
      </c>
      <c r="G15" s="14">
        <f>Expenses!G26</f>
        <v>187532.79999999999</v>
      </c>
      <c r="H15" s="14">
        <f>Expenses!H26</f>
        <v>264076.79999999999</v>
      </c>
    </row>
    <row r="16" spans="2:10" x14ac:dyDescent="0.2">
      <c r="B16" s="33" t="str">
        <f>Expenses!B27</f>
        <v>BD Director (1)</v>
      </c>
      <c r="C16" s="1"/>
      <c r="D16" s="14">
        <f>Expenses!D27</f>
        <v>140000</v>
      </c>
      <c r="E16" s="14">
        <f>Expenses!E27</f>
        <v>144200</v>
      </c>
      <c r="F16" s="14">
        <f>Expenses!F27</f>
        <v>148526</v>
      </c>
      <c r="G16" s="14">
        <f>Expenses!G27</f>
        <v>152981.78</v>
      </c>
      <c r="H16" s="14">
        <f>Expenses!H27</f>
        <v>157571.2334</v>
      </c>
    </row>
    <row r="17" spans="2:8" x14ac:dyDescent="0.2">
      <c r="B17" s="33" t="str">
        <f>Expenses!B28</f>
        <v>Sales Staff (2)</v>
      </c>
      <c r="C17" s="1"/>
      <c r="D17" s="14">
        <f>Expenses!D28</f>
        <v>160000</v>
      </c>
      <c r="E17" s="14">
        <f>Expenses!E28</f>
        <v>244800</v>
      </c>
      <c r="F17" s="14">
        <f>Expenses!F28</f>
        <v>252144</v>
      </c>
      <c r="G17" s="14">
        <f>Expenses!G28</f>
        <v>339708.32</v>
      </c>
      <c r="H17" s="14">
        <f>Expenses!H28</f>
        <v>349899.56959999999</v>
      </c>
    </row>
    <row r="18" spans="2:8" x14ac:dyDescent="0.2">
      <c r="B18" s="33" t="str">
        <f>Expenses!B29</f>
        <v>Engineering Staff (2)</v>
      </c>
      <c r="C18" s="1"/>
      <c r="D18" s="14">
        <f>Expenses!D29</f>
        <v>320000</v>
      </c>
      <c r="E18" s="14">
        <f>Expenses!E29</f>
        <v>329600</v>
      </c>
      <c r="F18" s="14">
        <f>Expenses!F29</f>
        <v>339488</v>
      </c>
      <c r="G18" s="14">
        <f>Expenses!G29</f>
        <v>509672.64</v>
      </c>
      <c r="H18" s="14">
        <f>Expenses!H29</f>
        <v>524962.81920000003</v>
      </c>
    </row>
    <row r="19" spans="2:8" x14ac:dyDescent="0.2">
      <c r="B19" s="33" t="str">
        <f>Expenses!B30</f>
        <v>Marketing Staff (3)</v>
      </c>
      <c r="C19" s="1"/>
      <c r="D19" s="14">
        <f>Expenses!D30</f>
        <v>360000</v>
      </c>
      <c r="E19" s="14">
        <f>Expenses!E30</f>
        <v>370800</v>
      </c>
      <c r="F19" s="14">
        <f>Expenses!F30</f>
        <v>621924</v>
      </c>
      <c r="G19" s="14">
        <f>Expenses!G30</f>
        <v>640581.72</v>
      </c>
      <c r="H19" s="14">
        <f>Expenses!H30</f>
        <v>659799.1716</v>
      </c>
    </row>
    <row r="20" spans="2:8" x14ac:dyDescent="0.2">
      <c r="B20" s="33" t="str">
        <f>Expenses!B31</f>
        <v>Sales Commissions</v>
      </c>
      <c r="C20" s="1"/>
      <c r="D20" s="14">
        <f>Expenses!D31</f>
        <v>180000</v>
      </c>
      <c r="E20" s="14">
        <f>Expenses!E31</f>
        <v>233400</v>
      </c>
      <c r="F20" s="14">
        <f>Expenses!F31</f>
        <v>240402</v>
      </c>
      <c r="G20" s="14">
        <f>Expenses!G31</f>
        <v>295614.06</v>
      </c>
      <c r="H20" s="14">
        <f>Expenses!H31</f>
        <v>304482.48179999995</v>
      </c>
    </row>
    <row r="21" spans="2:8" x14ac:dyDescent="0.2">
      <c r="B21" s="33" t="str">
        <f>Expenses!B32</f>
        <v>G&amp;A Commissions</v>
      </c>
      <c r="C21" s="1"/>
      <c r="D21" s="34">
        <f>Expenses!D32</f>
        <v>136000</v>
      </c>
      <c r="E21" s="34">
        <f>Expenses!E32</f>
        <v>140080</v>
      </c>
      <c r="F21" s="34">
        <f>Expenses!F32</f>
        <v>192282.40000000002</v>
      </c>
      <c r="G21" s="34">
        <f>Expenses!G32</f>
        <v>230050.87199999997</v>
      </c>
      <c r="H21" s="34">
        <f>Expenses!H32</f>
        <v>236952.39816000001</v>
      </c>
    </row>
    <row r="22" spans="2:8" x14ac:dyDescent="0.2">
      <c r="B22" s="8" t="str">
        <f>Expenses!B33</f>
        <v>Operating Expenses</v>
      </c>
      <c r="C22" s="1"/>
      <c r="D22" s="17">
        <f>SUM(D13:D21)</f>
        <v>1350136</v>
      </c>
      <c r="E22" s="17">
        <f t="shared" ref="E22:H22" si="1">SUM(E13:E21)</f>
        <v>1629942.4</v>
      </c>
      <c r="F22" s="17">
        <f t="shared" si="1"/>
        <v>2057064</v>
      </c>
      <c r="G22" s="17">
        <f t="shared" si="1"/>
        <v>2492142.1919999998</v>
      </c>
      <c r="H22" s="17">
        <f t="shared" si="1"/>
        <v>2667744.47376</v>
      </c>
    </row>
    <row r="23" spans="2:8" x14ac:dyDescent="0.2">
      <c r="B23" s="8"/>
      <c r="C23" s="1"/>
      <c r="D23" s="1"/>
      <c r="E23" s="1"/>
      <c r="F23" s="1"/>
      <c r="G23" s="1"/>
      <c r="H23" s="1"/>
    </row>
    <row r="24" spans="2:8" x14ac:dyDescent="0.2">
      <c r="B24" s="8" t="s">
        <v>100</v>
      </c>
      <c r="C24" s="1"/>
      <c r="D24" s="52">
        <f>D11-D22</f>
        <v>-729511</v>
      </c>
      <c r="E24" s="52">
        <f t="shared" ref="E24:H24" si="2">E11-E22</f>
        <v>352157.60000000009</v>
      </c>
      <c r="F24" s="52">
        <f t="shared" si="2"/>
        <v>1606665</v>
      </c>
      <c r="G24" s="52">
        <f t="shared" si="2"/>
        <v>2756744.1780000012</v>
      </c>
      <c r="H24" s="52">
        <f t="shared" si="2"/>
        <v>4672495.8594900016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70D1-EAF1-4D42-ADF2-63ED6B81E1F7}">
  <dimension ref="B3:F26"/>
  <sheetViews>
    <sheetView topLeftCell="A4" zoomScale="125" workbookViewId="0">
      <selection activeCell="F14" sqref="F14"/>
    </sheetView>
  </sheetViews>
  <sheetFormatPr baseColWidth="10" defaultColWidth="11.1640625" defaultRowHeight="16" x14ac:dyDescent="0.2"/>
  <cols>
    <col min="2" max="2" width="22.1640625" bestFit="1" customWidth="1"/>
    <col min="4" max="4" width="14.5" bestFit="1" customWidth="1"/>
    <col min="6" max="6" width="18" bestFit="1" customWidth="1"/>
  </cols>
  <sheetData>
    <row r="3" spans="2:6" x14ac:dyDescent="0.2">
      <c r="B3" s="8"/>
      <c r="C3" s="7"/>
      <c r="D3" s="7"/>
    </row>
    <row r="4" spans="2:6" x14ac:dyDescent="0.2">
      <c r="B4" s="8"/>
      <c r="C4" s="1"/>
      <c r="D4" s="1"/>
    </row>
    <row r="5" spans="2:6" x14ac:dyDescent="0.2">
      <c r="B5" s="40" t="s">
        <v>101</v>
      </c>
      <c r="C5" s="5"/>
      <c r="D5" s="41">
        <v>111</v>
      </c>
      <c r="F5" t="s">
        <v>113</v>
      </c>
    </row>
    <row r="6" spans="2:6" x14ac:dyDescent="0.2">
      <c r="B6" s="8"/>
      <c r="C6" s="1"/>
      <c r="D6" s="1"/>
    </row>
    <row r="7" spans="2:6" x14ac:dyDescent="0.2">
      <c r="B7" s="33" t="str">
        <f>Revenue!B9</f>
        <v>Equipment Revenue</v>
      </c>
      <c r="C7" s="1"/>
      <c r="D7" s="14">
        <f>D5*Revenue!D8</f>
        <v>3330000</v>
      </c>
    </row>
    <row r="8" spans="2:6" x14ac:dyDescent="0.2">
      <c r="B8" s="33" t="str">
        <f>Revenue!B16</f>
        <v>5G Subscription Revenue</v>
      </c>
      <c r="C8" s="1"/>
      <c r="D8" s="14">
        <f>Revenue!D12*D5*Revenue!D15</f>
        <v>399600</v>
      </c>
    </row>
    <row r="9" spans="2:6" x14ac:dyDescent="0.2">
      <c r="B9" s="33" t="str">
        <f>Revenue!B25</f>
        <v>Maintenance Revenue</v>
      </c>
      <c r="C9" s="1"/>
      <c r="D9" s="34">
        <f>Revenue!D23*Revenue!D24*D5</f>
        <v>145687.5</v>
      </c>
    </row>
    <row r="10" spans="2:6" x14ac:dyDescent="0.2">
      <c r="B10" s="8" t="str">
        <f>Revenue!B27</f>
        <v>Total Revenue</v>
      </c>
      <c r="C10" s="1"/>
      <c r="D10" s="14">
        <f>SUM(D7:D9)</f>
        <v>3875287.5</v>
      </c>
    </row>
    <row r="11" spans="2:6" x14ac:dyDescent="0.2">
      <c r="B11" s="8"/>
      <c r="C11" s="1"/>
      <c r="D11" s="14"/>
    </row>
    <row r="12" spans="2:6" x14ac:dyDescent="0.2">
      <c r="B12" s="33" t="str">
        <f>Expenses!B22</f>
        <v>Equipment COGS @ 75%</v>
      </c>
      <c r="C12" s="1"/>
      <c r="D12" s="34">
        <f>0.75*D7</f>
        <v>2497500</v>
      </c>
    </row>
    <row r="13" spans="2:6" x14ac:dyDescent="0.2">
      <c r="B13" s="8" t="s">
        <v>102</v>
      </c>
      <c r="C13" s="1"/>
      <c r="D13" s="39">
        <f>D12</f>
        <v>2497500</v>
      </c>
    </row>
    <row r="14" spans="2:6" x14ac:dyDescent="0.2">
      <c r="B14" s="8"/>
      <c r="C14" s="1"/>
      <c r="D14" s="14"/>
    </row>
    <row r="15" spans="2:6" x14ac:dyDescent="0.2">
      <c r="B15" s="33" t="str">
        <f>Expenses!B24</f>
        <v>Travel Costs</v>
      </c>
      <c r="C15" s="1"/>
      <c r="D15" s="14">
        <f>Expenses!D24</f>
        <v>30000</v>
      </c>
    </row>
    <row r="16" spans="2:6" x14ac:dyDescent="0.2">
      <c r="B16" s="33" t="str">
        <f>Expenses!B25</f>
        <v>Shipping Costs</v>
      </c>
      <c r="C16" s="1"/>
      <c r="D16" s="14">
        <f>Expenses!D25</f>
        <v>5000</v>
      </c>
    </row>
    <row r="17" spans="2:4" x14ac:dyDescent="0.2">
      <c r="B17" s="33" t="str">
        <f>'Income Statement'!B15</f>
        <v>Infrastructure Costs</v>
      </c>
      <c r="C17" s="1"/>
      <c r="D17" s="14">
        <f>191.36/6*12*D5</f>
        <v>42481.920000000006</v>
      </c>
    </row>
    <row r="18" spans="2:4" x14ac:dyDescent="0.2">
      <c r="B18" s="33" t="str">
        <f>Expenses!B27</f>
        <v>BD Director (1)</v>
      </c>
      <c r="C18" s="1"/>
      <c r="D18" s="14">
        <f>Expenses!D27</f>
        <v>140000</v>
      </c>
    </row>
    <row r="19" spans="2:4" x14ac:dyDescent="0.2">
      <c r="B19" s="33" t="str">
        <f>Expenses!B28</f>
        <v>Sales Staff (2)</v>
      </c>
      <c r="C19" s="1"/>
      <c r="D19" s="14">
        <f>Expenses!D28</f>
        <v>160000</v>
      </c>
    </row>
    <row r="20" spans="2:4" x14ac:dyDescent="0.2">
      <c r="B20" s="33" t="str">
        <f>Expenses!B29</f>
        <v>Engineering Staff (2)</v>
      </c>
      <c r="C20" s="1"/>
      <c r="D20" s="14">
        <f>Expenses!D29</f>
        <v>320000</v>
      </c>
    </row>
    <row r="21" spans="2:4" x14ac:dyDescent="0.2">
      <c r="B21" s="33" t="str">
        <f>Expenses!B30</f>
        <v>Marketing Staff (3)</v>
      </c>
      <c r="C21" s="1"/>
      <c r="D21" s="14">
        <f>Expenses!D30</f>
        <v>360000</v>
      </c>
    </row>
    <row r="22" spans="2:4" x14ac:dyDescent="0.2">
      <c r="B22" s="33" t="str">
        <f>Expenses!B31</f>
        <v>Sales Commissions</v>
      </c>
      <c r="C22" s="1"/>
      <c r="D22" s="14">
        <f>Expenses!D31</f>
        <v>180000</v>
      </c>
    </row>
    <row r="23" spans="2:4" x14ac:dyDescent="0.2">
      <c r="B23" s="33" t="str">
        <f>Expenses!B32</f>
        <v>G&amp;A Commissions</v>
      </c>
      <c r="C23" s="1"/>
      <c r="D23" s="34">
        <f>Expenses!D32</f>
        <v>136000</v>
      </c>
    </row>
    <row r="24" spans="2:4" x14ac:dyDescent="0.2">
      <c r="B24" s="8" t="s">
        <v>103</v>
      </c>
      <c r="C24" s="1"/>
      <c r="D24" s="14">
        <f>SUM(D15:D23)</f>
        <v>1373481.92</v>
      </c>
    </row>
    <row r="25" spans="2:4" x14ac:dyDescent="0.2">
      <c r="B25" s="8"/>
      <c r="C25" s="1"/>
      <c r="D25" s="14"/>
    </row>
    <row r="26" spans="2:4" x14ac:dyDescent="0.2">
      <c r="B26" s="8" t="s">
        <v>104</v>
      </c>
      <c r="C26" s="1"/>
      <c r="D26" s="18">
        <f>D10-D12-D24</f>
        <v>4305.5800000000745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3564C-51DC-486B-AA9A-4777097D9AFA}">
  <dimension ref="C2:I16"/>
  <sheetViews>
    <sheetView topLeftCell="C4" zoomScale="92" zoomScaleNormal="92" workbookViewId="0">
      <selection activeCell="P34" sqref="P34"/>
    </sheetView>
  </sheetViews>
  <sheetFormatPr baseColWidth="10" defaultColWidth="8.83203125" defaultRowHeight="16" x14ac:dyDescent="0.2"/>
  <cols>
    <col min="3" max="3" width="17.1640625" bestFit="1" customWidth="1"/>
    <col min="4" max="4" width="14.33203125" bestFit="1" customWidth="1"/>
    <col min="5" max="7" width="14.6640625" bestFit="1" customWidth="1"/>
    <col min="8" max="8" width="15.1640625" bestFit="1" customWidth="1"/>
    <col min="9" max="9" width="14.1640625" bestFit="1" customWidth="1"/>
  </cols>
  <sheetData>
    <row r="2" spans="3:9" x14ac:dyDescent="0.2">
      <c r="C2" s="44"/>
      <c r="D2" s="45" t="s">
        <v>105</v>
      </c>
      <c r="E2" s="45" t="s">
        <v>34</v>
      </c>
      <c r="F2" s="46" t="s">
        <v>35</v>
      </c>
      <c r="G2" s="46" t="s">
        <v>36</v>
      </c>
      <c r="H2" s="45" t="s">
        <v>37</v>
      </c>
      <c r="I2" s="45" t="s">
        <v>38</v>
      </c>
    </row>
    <row r="3" spans="3:9" x14ac:dyDescent="0.2">
      <c r="C3" s="47" t="s">
        <v>106</v>
      </c>
      <c r="D3" s="48">
        <f>-Expenses!G18</f>
        <v>-3214440</v>
      </c>
      <c r="E3" s="45"/>
      <c r="F3" s="46"/>
      <c r="G3" s="46"/>
      <c r="H3" s="45"/>
      <c r="I3" s="45"/>
    </row>
    <row r="4" spans="3:9" x14ac:dyDescent="0.2">
      <c r="C4" s="49" t="s">
        <v>100</v>
      </c>
      <c r="E4" s="50">
        <f>'Income Statement'!D24</f>
        <v>-729511</v>
      </c>
      <c r="F4" s="50">
        <f>'Income Statement'!E24</f>
        <v>352157.60000000009</v>
      </c>
      <c r="G4" s="50">
        <f>'Income Statement'!F24</f>
        <v>1606665</v>
      </c>
      <c r="H4" s="50">
        <f>'Income Statement'!G24</f>
        <v>2756744.1780000012</v>
      </c>
      <c r="I4" s="50">
        <f>'Income Statement'!H24</f>
        <v>4672495.8594900016</v>
      </c>
    </row>
    <row r="5" spans="3:9" x14ac:dyDescent="0.2">
      <c r="C5" s="8" t="s">
        <v>107</v>
      </c>
      <c r="D5" s="8"/>
      <c r="E5" s="1">
        <f>D3+E4</f>
        <v>-3943951</v>
      </c>
      <c r="F5" s="1">
        <f>E5+F4</f>
        <v>-3591793.4</v>
      </c>
      <c r="G5" s="1">
        <f>F5+G4</f>
        <v>-1985128.4</v>
      </c>
      <c r="H5" s="1">
        <f>G5+H4</f>
        <v>771615.77800000133</v>
      </c>
      <c r="I5" s="1">
        <f>H5+I4</f>
        <v>5444111.6374900024</v>
      </c>
    </row>
    <row r="6" spans="3:9" x14ac:dyDescent="0.2">
      <c r="C6" s="49" t="s">
        <v>108</v>
      </c>
      <c r="D6" s="49"/>
      <c r="E6" s="1"/>
      <c r="F6" s="1"/>
      <c r="G6" s="1"/>
      <c r="H6" s="1"/>
      <c r="I6" s="1"/>
    </row>
    <row r="7" spans="3:9" x14ac:dyDescent="0.2">
      <c r="C7" s="44" t="s">
        <v>109</v>
      </c>
      <c r="D7" s="54">
        <f>IRR(D3:I4)</f>
        <v>0.24238873236608449</v>
      </c>
      <c r="E7" s="43"/>
      <c r="F7" s="43"/>
      <c r="G7" s="43"/>
      <c r="H7" s="43"/>
      <c r="I7" s="43"/>
    </row>
    <row r="8" spans="3:9" x14ac:dyDescent="0.2">
      <c r="C8" s="44" t="s">
        <v>110</v>
      </c>
      <c r="D8" s="51">
        <f>NPV(10%,E4:I4)</f>
        <v>5619104.3928879667</v>
      </c>
    </row>
    <row r="9" spans="3:9" x14ac:dyDescent="0.2">
      <c r="C9" s="44" t="s">
        <v>111</v>
      </c>
      <c r="D9" s="51">
        <f>NPV(15%,E4:I4)</f>
        <v>4587566.3335636444</v>
      </c>
    </row>
    <row r="14" spans="3:9" x14ac:dyDescent="0.2">
      <c r="D14" t="s">
        <v>34</v>
      </c>
      <c r="E14" t="s">
        <v>35</v>
      </c>
      <c r="F14" t="s">
        <v>36</v>
      </c>
      <c r="G14" t="s">
        <v>37</v>
      </c>
      <c r="H14" t="s">
        <v>38</v>
      </c>
    </row>
    <row r="15" spans="3:9" x14ac:dyDescent="0.2">
      <c r="C15" t="s">
        <v>56</v>
      </c>
      <c r="D15" s="42">
        <f>'Income Statement'!D8</f>
        <v>1745625</v>
      </c>
      <c r="E15" s="42">
        <f>'Income Statement'!E8</f>
        <v>4682100</v>
      </c>
      <c r="F15" s="42">
        <f>'Income Statement'!F8</f>
        <v>7263729</v>
      </c>
      <c r="G15" s="42">
        <f>'Income Statement'!G8</f>
        <v>8848886.370000001</v>
      </c>
      <c r="H15" s="42">
        <f>'Income Statement'!H8</f>
        <v>11840240.333250001</v>
      </c>
    </row>
    <row r="16" spans="3:9" x14ac:dyDescent="0.2">
      <c r="C16" t="s">
        <v>112</v>
      </c>
      <c r="D16" s="15">
        <f>'Income Statement'!D6/'Income Statement'!D8</f>
        <v>0.10311493018259936</v>
      </c>
      <c r="E16" s="15">
        <f>'Income Statement'!E6/'Income Statement'!E8</f>
        <v>0.16915486640609984</v>
      </c>
      <c r="F16" s="15">
        <f>'Income Statement'!F6/'Income Statement'!F8</f>
        <v>0.24780660181567898</v>
      </c>
      <c r="G16" s="15">
        <f>'Income Statement'!G6/'Income Statement'!G8</f>
        <v>0.33360130038600549</v>
      </c>
      <c r="H16" s="15">
        <f>'Income Statement'!H6/'Income Statement'!H8</f>
        <v>0.35877650118897342</v>
      </c>
    </row>
  </sheetData>
  <hyperlinks>
    <hyperlink ref="C9" r:id="rId1" display="NPV@15%" xr:uid="{3D6E83FC-F6D8-49D2-BC2D-EC78601EC40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Customer Cost</vt:lpstr>
      <vt:lpstr>Revenue</vt:lpstr>
      <vt:lpstr>Expenses</vt:lpstr>
      <vt:lpstr>Income Statement</vt:lpstr>
      <vt:lpstr>Break-Even Analysis</vt:lpstr>
      <vt:lpstr>IRR_NPV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Forbes, Yannick</dc:creator>
  <cp:keywords/>
  <dc:description/>
  <cp:lastModifiedBy>Ananthaneni, Guru Charan Chowdary</cp:lastModifiedBy>
  <cp:revision/>
  <dcterms:created xsi:type="dcterms:W3CDTF">2023-04-07T14:55:23Z</dcterms:created>
  <dcterms:modified xsi:type="dcterms:W3CDTF">2023-05-03T20:28:11Z</dcterms:modified>
  <cp:category/>
  <cp:contentStatus/>
</cp:coreProperties>
</file>