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Upload\4-hour-course-xl-files\"/>
    </mc:Choice>
  </mc:AlternateContent>
  <xr:revisionPtr revIDLastSave="0" documentId="13_ncr:1_{3BAA54DB-F569-4316-B4E4-FB7D478F4051}" xr6:coauthVersionLast="47" xr6:coauthVersionMax="47" xr10:uidLastSave="{00000000-0000-0000-0000-000000000000}"/>
  <bookViews>
    <workbookView xWindow="-108" yWindow="-108" windowWidth="23256" windowHeight="12456" activeTab="1" xr2:uid="{26D4546B-D2A1-4444-8EAF-A6228F96F0C1}"/>
  </bookViews>
  <sheets>
    <sheet name="Concepts" sheetId="2" r:id="rId1"/>
    <sheet name="Data" sheetId="1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0" l="1" a="1"/>
  <c r="G11" i="10" s="1"/>
  <c r="F11" i="10" a="1"/>
  <c r="F11" i="10" s="1"/>
  <c r="J7" i="10"/>
  <c r="C11" i="10" a="1"/>
  <c r="C11" i="10" s="1"/>
  <c r="D11" i="10" s="1" a="1"/>
  <c r="D11" i="10" s="1"/>
  <c r="H7" i="10"/>
  <c r="E7" i="10"/>
  <c r="D7" i="10"/>
  <c r="B55" i="9" a="1"/>
  <c r="B55" i="9" s="1"/>
  <c r="B28" i="9" a="1"/>
  <c r="B28" i="9" s="1"/>
  <c r="B29" i="9" a="1"/>
  <c r="B29" i="9" s="1"/>
  <c r="B6" i="9" a="1"/>
  <c r="B6" i="9" s="1"/>
  <c r="B7" i="9" a="1"/>
  <c r="B7" i="9" s="1"/>
  <c r="C16" i="8" a="1"/>
  <c r="C16" i="8" s="1"/>
  <c r="C12" i="8" a="1"/>
  <c r="C12" i="8" s="1"/>
  <c r="C9" i="8" a="1"/>
  <c r="C9" i="8" s="1"/>
  <c r="C6" i="8"/>
  <c r="C44" i="7" a="1"/>
  <c r="C44" i="7" s="1"/>
  <c r="C45" i="7" a="1"/>
  <c r="C45" i="7" s="1"/>
  <c r="F21" i="7" a="1"/>
  <c r="F21" i="7" s="1"/>
  <c r="F26" i="7" s="1" a="1"/>
  <c r="F26" i="7" s="1"/>
  <c r="F12" i="7"/>
  <c r="F11" i="7"/>
  <c r="F10" i="7"/>
  <c r="F9" i="7"/>
  <c r="D23" i="7"/>
  <c r="D22" i="7"/>
  <c r="D21" i="7"/>
  <c r="D17" i="7"/>
  <c r="D18" i="7" s="1" a="1"/>
  <c r="D18" i="7" s="1"/>
  <c r="D10" i="7"/>
  <c r="D11" i="7"/>
  <c r="D12" i="7"/>
  <c r="D9" i="7"/>
  <c r="C31" i="6"/>
  <c r="A28" i="6" a="1"/>
  <c r="A28" i="6" s="1"/>
  <c r="C27" i="6" s="1"/>
  <c r="B15" i="6" a="1"/>
  <c r="B15" i="6" s="1"/>
  <c r="D11" i="6" a="1"/>
  <c r="D11" i="6" s="1"/>
  <c r="C11" i="6" a="1"/>
  <c r="C11" i="6" s="1"/>
  <c r="B11" i="6"/>
  <c r="D10" i="6" a="1"/>
  <c r="D10" i="6" s="1"/>
  <c r="C10" i="6" a="1"/>
  <c r="C10" i="6" s="1"/>
  <c r="B10" i="6"/>
  <c r="D9" i="6" a="1"/>
  <c r="D9" i="6" s="1"/>
  <c r="C9" i="6" a="1"/>
  <c r="C9" i="6" s="1"/>
  <c r="B9" i="6"/>
  <c r="D8" i="6" a="1"/>
  <c r="D8" i="6" s="1"/>
  <c r="C8" i="6" a="1"/>
  <c r="C8" i="6" s="1"/>
  <c r="B8" i="6"/>
  <c r="D7" i="6" a="1"/>
  <c r="D7" i="6" s="1"/>
  <c r="C7" i="6" a="1"/>
  <c r="C7" i="6" s="1"/>
  <c r="B7" i="6"/>
  <c r="D6" i="6"/>
  <c r="C6" i="6"/>
  <c r="B6" i="6"/>
  <c r="D5" i="6"/>
  <c r="C5" i="6"/>
  <c r="B5" i="6"/>
  <c r="A3" i="5" a="1"/>
  <c r="A3" i="5" s="1"/>
  <c r="A2" i="5" a="1"/>
  <c r="A2" i="5" s="1"/>
  <c r="J65" i="4" a="1"/>
  <c r="J65" i="4" s="1"/>
  <c r="J64" i="4" a="1"/>
  <c r="J64" i="4"/>
  <c r="A63" i="4" a="1"/>
  <c r="A63" i="4" s="1"/>
  <c r="A62" i="4" a="1"/>
  <c r="A62" i="4" s="1"/>
  <c r="A4" i="4" a="1"/>
  <c r="A4" i="4" s="1"/>
  <c r="A2" i="4" a="1"/>
  <c r="A2" i="4" s="1"/>
  <c r="D3" i="3"/>
  <c r="C3" i="3"/>
  <c r="D4" i="3"/>
  <c r="D5" i="3"/>
  <c r="D6" i="3"/>
  <c r="D7" i="3"/>
  <c r="D8" i="3"/>
  <c r="D9" i="3"/>
  <c r="D10" i="3"/>
  <c r="D11" i="3"/>
  <c r="D12" i="3"/>
  <c r="D13" i="3"/>
  <c r="D14" i="3"/>
  <c r="E3" i="3"/>
  <c r="H3" i="3"/>
  <c r="G3" i="3"/>
  <c r="H4" i="3"/>
  <c r="H5" i="3"/>
  <c r="H6" i="3"/>
  <c r="H7" i="3"/>
  <c r="H8" i="3"/>
  <c r="H9" i="3"/>
  <c r="H10" i="3"/>
  <c r="H11" i="3"/>
  <c r="H12" i="3"/>
  <c r="H13" i="3"/>
  <c r="H14" i="3"/>
  <c r="G4" i="3"/>
  <c r="G5" i="3"/>
  <c r="G6" i="3"/>
  <c r="G7" i="3"/>
  <c r="G8" i="3"/>
  <c r="G9" i="3"/>
  <c r="G10" i="3"/>
  <c r="G11" i="3"/>
  <c r="G12" i="3"/>
  <c r="G13" i="3"/>
  <c r="G14" i="3"/>
  <c r="F3" i="3"/>
  <c r="F4" i="3"/>
  <c r="F5" i="3"/>
  <c r="F6" i="3"/>
  <c r="F7" i="3"/>
  <c r="F8" i="3"/>
  <c r="F9" i="3"/>
  <c r="F10" i="3"/>
  <c r="F11" i="3"/>
  <c r="F12" i="3"/>
  <c r="F13" i="3"/>
  <c r="F14" i="3"/>
  <c r="E14" i="3"/>
  <c r="E13" i="3"/>
  <c r="E12" i="3"/>
  <c r="E11" i="3"/>
  <c r="E10" i="3"/>
  <c r="E9" i="3"/>
  <c r="E8" i="3"/>
  <c r="E7" i="3"/>
  <c r="E6" i="3"/>
  <c r="E5" i="3"/>
  <c r="E4" i="3"/>
  <c r="C4" i="3"/>
  <c r="C5" i="3"/>
  <c r="C6" i="3"/>
  <c r="C7" i="3"/>
  <c r="C8" i="3"/>
  <c r="C9" i="3"/>
  <c r="C10" i="3"/>
  <c r="C11" i="3"/>
  <c r="C12" i="3"/>
  <c r="C13" i="3"/>
  <c r="C14" i="3"/>
  <c r="I18" i="10" l="1" a="1"/>
  <c r="I18" i="10" s="1"/>
  <c r="L11" i="10" a="1"/>
  <c r="L11" i="10" s="1"/>
  <c r="J11" i="10" a="1"/>
  <c r="J11" i="10" s="1"/>
  <c r="I11" i="10" a="1"/>
  <c r="I11" i="10" s="1"/>
  <c r="I16" i="10" a="1"/>
  <c r="I16" i="10" s="1"/>
  <c r="I17" i="10" a="1"/>
  <c r="I17" i="10" s="1"/>
  <c r="I23" i="10" a="1"/>
  <c r="I23" i="10" s="1"/>
  <c r="I15" i="10" a="1"/>
  <c r="I15" i="10" s="1"/>
  <c r="I22" i="10" a="1"/>
  <c r="I22" i="10" s="1"/>
  <c r="I14" i="10" a="1"/>
  <c r="I14" i="10" s="1"/>
  <c r="I21" i="10" a="1"/>
  <c r="I21" i="10" s="1"/>
  <c r="I13" i="10" a="1"/>
  <c r="I13" i="10" s="1"/>
  <c r="I19" i="10" a="1"/>
  <c r="I19" i="10" s="1"/>
  <c r="H11" i="10" a="1"/>
  <c r="H11" i="10" s="1"/>
  <c r="K11" i="10" a="1"/>
  <c r="K11" i="10" s="1"/>
  <c r="E11" i="10" a="1"/>
  <c r="E11" i="10" s="1"/>
  <c r="I20" i="10" a="1"/>
  <c r="I20" i="10" s="1"/>
  <c r="I12" i="10" a="1"/>
  <c r="I1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<sst xmlns="http://schemas.openxmlformats.org/spreadsheetml/2006/main" count="2464" uniqueCount="823">
  <si>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</si>
  <si>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</si>
  <si>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</si>
  <si>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</si>
  <si>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</si>
  <si>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</si>
  <si>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</si>
  <si>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</si>
  <si>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</si>
  <si>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</si>
  <si>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</si>
  <si>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</si>
  <si>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</si>
  <si>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</si>
  <si>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</si>
  <si>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</si>
  <si>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</si>
  <si>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</si>
  <si>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</si>
  <si>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</si>
  <si>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</si>
  <si>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</si>
  <si>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</si>
  <si>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</si>
  <si>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</si>
  <si>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</si>
  <si>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</si>
  <si>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</si>
  <si>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</si>
  <si>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</si>
  <si>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</si>
  <si>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</si>
  <si>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</si>
  <si>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</si>
  <si>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</si>
  <si>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</si>
  <si>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</si>
  <si>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</si>
  <si>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</si>
  <si>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</si>
  <si>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</si>
  <si>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</si>
  <si>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</si>
  <si>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</si>
  <si>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</si>
  <si>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</si>
  <si>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</si>
  <si>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</si>
  <si>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</si>
  <si>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</si>
  <si>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</si>
  <si>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</si>
  <si>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</si>
  <si>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</si>
  <si>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</si>
  <si>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</si>
  <si>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</si>
  <si>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</si>
  <si>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</si>
  <si>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</si>
  <si>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</si>
  <si>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</si>
  <si>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</si>
  <si>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</si>
  <si>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</si>
  <si>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</si>
  <si>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</si>
  <si>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</si>
  <si>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</si>
  <si>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</si>
  <si>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</si>
  <si>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</si>
  <si>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</si>
  <si>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</si>
  <si>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</si>
  <si>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</si>
  <si>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</si>
  <si>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</si>
  <si>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</si>
  <si>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</si>
  <si>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</si>
  <si>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</si>
  <si>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</si>
  <si>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</si>
  <si>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</si>
  <si>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</si>
  <si>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</si>
  <si>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</si>
  <si>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</si>
  <si>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</si>
  <si>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</si>
  <si>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</si>
  <si>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</si>
  <si>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</si>
  <si>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</si>
  <si>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</si>
  <si>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</si>
  <si>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</si>
  <si>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</si>
  <si>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</si>
  <si>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</si>
  <si>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</si>
  <si>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</si>
  <si>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</si>
  <si>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</si>
  <si>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</si>
  <si>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</si>
  <si>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</si>
  <si>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</si>
  <si>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</si>
  <si>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</si>
  <si>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</si>
  <si>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</si>
  <si>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</si>
  <si>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</si>
  <si>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</si>
  <si>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</si>
  <si>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</si>
  <si>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</si>
  <si>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</si>
  <si>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</si>
  <si>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</si>
  <si>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</si>
  <si>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</si>
  <si>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</si>
  <si>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</si>
  <si>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</si>
  <si>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</si>
  <si>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</si>
  <si>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</si>
  <si>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</si>
  <si>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</si>
  <si>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</si>
  <si>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</si>
  <si>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</si>
  <si>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</si>
  <si>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</si>
  <si>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</si>
  <si>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</si>
  <si>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</si>
  <si>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</si>
  <si>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</si>
  <si>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</si>
  <si>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</si>
  <si>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</si>
  <si>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</si>
  <si>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</si>
  <si>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</si>
  <si>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</si>
  <si>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</si>
  <si>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</si>
  <si>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</si>
  <si>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</si>
  <si>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</si>
  <si>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</si>
  <si>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</si>
  <si>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</si>
  <si>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</si>
  <si>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</si>
  <si>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</si>
  <si>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</si>
  <si>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</si>
  <si>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</si>
  <si>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</si>
  <si>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</si>
  <si>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</si>
  <si>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</si>
  <si>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</si>
  <si>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</si>
  <si>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</si>
  <si>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</si>
  <si>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</si>
  <si>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</si>
  <si>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</si>
  <si>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</si>
  <si>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</si>
  <si>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</si>
  <si>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</si>
  <si>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</si>
  <si>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</si>
  <si>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</si>
  <si>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</si>
  <si>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</si>
  <si>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</si>
  <si>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</si>
  <si>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</si>
  <si>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</si>
  <si>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</si>
  <si>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</si>
  <si>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</si>
  <si>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</si>
  <si>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</si>
  <si>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</si>
  <si>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</si>
  <si>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</si>
  <si>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</si>
  <si>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</si>
  <si>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</si>
  <si>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</si>
  <si>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</si>
  <si>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</si>
  <si>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</si>
  <si>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</si>
  <si>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</si>
  <si>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</si>
  <si>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</si>
  <si>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</si>
  <si>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</si>
  <si>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</si>
  <si>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</si>
  <si>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</si>
  <si>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</si>
  <si>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</si>
  <si>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</si>
  <si>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</si>
  <si>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</si>
  <si>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</si>
  <si>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</si>
  <si>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</si>
  <si>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</si>
  <si>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</si>
  <si>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</si>
  <si>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</si>
  <si>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</si>
  <si>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</si>
  <si>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</si>
  <si>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</si>
  <si>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</si>
  <si>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</si>
  <si>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</si>
  <si>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</si>
  <si>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</si>
  <si>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</si>
  <si>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</si>
  <si>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</si>
  <si>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</si>
  <si>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</si>
  <si>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</si>
  <si>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</si>
  <si>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</si>
  <si>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</si>
  <si>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</si>
  <si>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</si>
  <si>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</si>
  <si>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</si>
  <si>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</si>
  <si>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</si>
  <si>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</si>
  <si>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</si>
  <si>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</si>
  <si>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</si>
  <si>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</si>
  <si>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</si>
  <si>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</si>
  <si>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</si>
  <si>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</si>
  <si>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</si>
  <si>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</si>
  <si>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</si>
  <si>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</si>
  <si>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</si>
  <si>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</si>
  <si>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</si>
  <si>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</si>
  <si>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</si>
  <si>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</si>
  <si>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</si>
  <si>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</si>
  <si>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</si>
  <si>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</si>
  <si>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</si>
  <si>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</si>
  <si>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</si>
  <si>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</si>
  <si>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</si>
  <si>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</si>
  <si>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</si>
  <si>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</si>
  <si>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</si>
  <si>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</si>
  <si>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</si>
  <si>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</si>
  <si>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</si>
  <si>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</si>
  <si>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</si>
  <si>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</si>
  <si>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</si>
  <si>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</si>
  <si>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</si>
  <si>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</si>
  <si>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</si>
  <si>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</si>
  <si>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</si>
  <si>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</si>
  <si>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</si>
  <si>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</si>
  <si>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</si>
  <si>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</si>
  <si>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</si>
  <si>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</si>
  <si>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</si>
  <si>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</si>
  <si>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</si>
  <si>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</si>
  <si>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</si>
  <si>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</si>
  <si>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</si>
  <si>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</si>
  <si>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</si>
  <si>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</si>
  <si>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</si>
  <si>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</si>
  <si>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</si>
  <si>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</si>
  <si>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</si>
  <si>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</si>
  <si>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</si>
  <si>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</si>
  <si>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</si>
  <si>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</si>
  <si>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</si>
  <si>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</si>
  <si>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</si>
  <si>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</si>
  <si>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</si>
  <si>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</si>
  <si>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</si>
  <si>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</si>
  <si>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</si>
  <si>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</si>
  <si>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</si>
  <si>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</si>
  <si>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</si>
  <si>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</si>
  <si>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</si>
  <si>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</si>
  <si>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</si>
  <si>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</si>
  <si>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</si>
  <si>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</si>
  <si>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</si>
  <si>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</si>
  <si>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</si>
  <si>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</si>
  <si>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</si>
  <si>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</si>
  <si>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</si>
  <si>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</si>
  <si>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</si>
  <si>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</si>
  <si>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</si>
  <si>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</si>
  <si>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</si>
  <si>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</si>
  <si>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</si>
  <si>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</si>
  <si>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</si>
  <si>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</si>
  <si>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</si>
  <si>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</si>
  <si>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</si>
  <si>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</si>
  <si>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</si>
  <si>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</si>
  <si>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</si>
  <si>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</si>
  <si>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</si>
  <si>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</si>
  <si>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</si>
  <si>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</si>
  <si>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</si>
  <si>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</si>
  <si>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</si>
  <si>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</si>
  <si>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</si>
  <si>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</si>
  <si>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</si>
  <si>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</si>
  <si>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</si>
  <si>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</si>
  <si>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</si>
  <si>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</si>
  <si>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</si>
  <si>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</si>
  <si>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</si>
  <si>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</si>
  <si>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</si>
  <si>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</si>
  <si>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</si>
  <si>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</si>
  <si>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</si>
  <si>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</si>
  <si>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</si>
  <si>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</si>
  <si>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</si>
  <si>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</si>
  <si>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</si>
  <si>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</si>
  <si>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</si>
  <si>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</si>
  <si>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</si>
  <si>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</si>
  <si>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</si>
  <si>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</si>
  <si>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</si>
  <si>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</si>
  <si>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</si>
  <si>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</si>
  <si>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</si>
  <si>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</si>
  <si>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</si>
  <si>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</si>
  <si>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</si>
  <si>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</si>
  <si>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</si>
  <si>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</si>
  <si>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</si>
  <si>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</si>
  <si>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</si>
  <si>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</si>
  <si>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</si>
  <si>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</si>
  <si>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</si>
  <si>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</si>
  <si>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</si>
  <si>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</si>
  <si>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</si>
  <si>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</si>
  <si>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</si>
  <si>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</si>
  <si>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</si>
  <si>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</si>
  <si>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</si>
  <si>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</si>
  <si>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</si>
  <si>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</si>
  <si>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</si>
  <si>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</si>
  <si>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</si>
  <si>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</si>
  <si>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</si>
  <si>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</si>
  <si>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</si>
  <si>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</si>
  <si>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</si>
  <si>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</si>
  <si>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</si>
  <si>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</si>
  <si>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</si>
  <si>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</si>
  <si>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</si>
  <si>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</si>
  <si>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</si>
  <si>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</si>
  <si>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</si>
  <si>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</si>
  <si>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</si>
  <si>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</si>
  <si>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</si>
  <si>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</si>
  <si>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</si>
  <si>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</si>
  <si>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</si>
  <si>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</si>
  <si>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</si>
  <si>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</si>
  <si>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</si>
  <si>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</si>
  <si>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</si>
  <si>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</si>
  <si>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</si>
  <si>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</si>
  <si>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</si>
  <si>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</si>
  <si>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</si>
  <si>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</si>
  <si>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</si>
  <si>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</si>
  <si>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</si>
  <si>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</si>
  <si>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</si>
  <si>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</si>
  <si>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</si>
  <si>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</si>
  <si>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</si>
  <si>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</si>
  <si>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</si>
  <si>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</si>
  <si>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</si>
  <si>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</si>
  <si>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</si>
  <si>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</si>
  <si>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</si>
  <si>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</si>
  <si>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</si>
  <si>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</si>
  <si>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</si>
  <si>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</si>
  <si>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</si>
  <si>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</si>
  <si>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</si>
  <si>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</si>
  <si>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</si>
  <si>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</si>
  <si>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</si>
  <si>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</si>
  <si>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</si>
  <si>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</si>
  <si>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</si>
  <si>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</si>
  <si>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</si>
  <si>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</si>
  <si>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</si>
  <si>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</si>
  <si>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</si>
  <si>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</si>
  <si>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</si>
  <si>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</si>
  <si>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</si>
  <si>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</si>
  <si>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</si>
  <si>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</si>
  <si>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</si>
  <si>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</si>
  <si>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</si>
  <si>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</si>
  <si>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</si>
  <si>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</si>
  <si>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</si>
  <si>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</si>
  <si>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</si>
  <si>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</si>
  <si>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</si>
  <si>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</si>
  <si>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</si>
  <si>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</si>
  <si>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</si>
  <si>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</si>
  <si>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</si>
  <si>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</si>
  <si>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</si>
  <si>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</si>
  <si>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</si>
  <si>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</si>
  <si>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</si>
  <si>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</si>
  <si>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</si>
  <si>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</si>
  <si>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</si>
  <si>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</si>
  <si>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</si>
  <si>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</si>
  <si>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</si>
  <si>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</si>
  <si>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</si>
  <si>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</si>
  <si>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</si>
  <si>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</si>
  <si>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</si>
  <si>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</si>
  <si>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</si>
  <si>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</si>
  <si>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</si>
  <si>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</si>
  <si>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</si>
  <si>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</si>
  <si>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</si>
  <si>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</si>
  <si>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</si>
  <si>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</si>
  <si>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</si>
  <si>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</si>
  <si>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</si>
  <si>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</si>
  <si>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</si>
  <si>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</si>
  <si>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</si>
  <si>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</si>
  <si>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</si>
  <si>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</si>
  <si>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</si>
  <si>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</si>
  <si>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</si>
  <si>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</si>
  <si>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</si>
  <si>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</si>
  <si>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</si>
  <si>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</si>
  <si>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</si>
  <si>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</si>
  <si>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</si>
  <si>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</si>
  <si>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</si>
  <si>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</si>
  <si>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</si>
  <si>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</si>
  <si>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</si>
  <si>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</si>
  <si>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</si>
  <si>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</si>
  <si>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</si>
  <si>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</si>
  <si>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</si>
  <si>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</si>
  <si>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</si>
  <si>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</si>
  <si>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</si>
  <si>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</si>
  <si>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</si>
  <si>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</si>
  <si>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</si>
  <si>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</si>
  <si>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</si>
  <si>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</si>
  <si>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</si>
  <si>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</si>
  <si>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</si>
  <si>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</si>
  <si>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</si>
  <si>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</si>
  <si>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</si>
  <si>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</si>
  <si>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</si>
  <si>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</si>
  <si>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</si>
  <si>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</si>
  <si>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</si>
  <si>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</si>
  <si>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</si>
  <si>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</si>
  <si>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</si>
  <si>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</si>
  <si>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</si>
  <si>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</si>
  <si>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</si>
  <si>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</si>
  <si>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</si>
  <si>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</si>
  <si>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</si>
  <si>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</si>
  <si>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</si>
  <si>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</si>
  <si>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</si>
  <si>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</si>
  <si>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</si>
  <si>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</si>
  <si>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</si>
  <si>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</si>
  <si>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</si>
  <si>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</si>
  <si>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</si>
  <si>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</si>
  <si>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</si>
  <si>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</si>
  <si>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</si>
  <si>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</si>
  <si>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</si>
  <si>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</si>
  <si>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</si>
  <si>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</si>
  <si>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</si>
  <si>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</si>
  <si>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</si>
  <si>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</si>
  <si>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</si>
  <si>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</si>
  <si>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</si>
  <si>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</si>
  <si>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</si>
  <si>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</si>
  <si>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</si>
  <si>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</si>
  <si>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</si>
  <si>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</si>
  <si>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</si>
  <si>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</si>
  <si>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</si>
  <si>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</si>
  <si>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</si>
  <si>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</si>
  <si>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</si>
  <si>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</si>
  <si>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</si>
  <si>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</si>
  <si>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</si>
  <si>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</si>
  <si>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</si>
  <si>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</si>
  <si>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</si>
  <si>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</si>
  <si>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</si>
  <si>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</si>
  <si>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</si>
  <si>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</si>
  <si>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</si>
  <si>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</si>
  <si>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</si>
  <si>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</si>
  <si>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</si>
  <si>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</si>
  <si>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</si>
  <si>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</si>
  <si>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</si>
  <si>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</si>
  <si>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</si>
  <si>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</si>
  <si>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</si>
  <si>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</si>
  <si>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</si>
  <si>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</si>
  <si>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</si>
  <si>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</si>
  <si>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</si>
  <si>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</si>
  <si>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</si>
  <si>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</si>
  <si>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</si>
  <si>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</si>
  <si>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</si>
  <si>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</si>
  <si>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</si>
  <si>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</si>
  <si>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</si>
  <si>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</si>
  <si>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</si>
  <si>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</si>
  <si>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</si>
  <si>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</si>
  <si>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</si>
  <si>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</si>
  <si>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</si>
  <si>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</si>
  <si>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</si>
  <si>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</si>
  <si>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</si>
  <si>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</si>
  <si>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</si>
  <si>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</si>
  <si>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</si>
  <si>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</si>
  <si>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</si>
  <si>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</si>
  <si>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</si>
  <si>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</si>
  <si>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</si>
  <si>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</si>
  <si>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</si>
  <si>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</si>
  <si>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</si>
  <si>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</si>
  <si>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</si>
  <si>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</si>
  <si>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</si>
  <si>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</si>
  <si>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</si>
  <si>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</si>
  <si>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</si>
  <si>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</si>
  <si>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</si>
  <si>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</si>
  <si>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</si>
  <si>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Challenge for you…</t>
  </si>
  <si>
    <t>Permanent headcount</t>
  </si>
  <si>
    <t>who joined in 2020 or after…</t>
  </si>
  <si>
    <t>All depts in one cell, comma seperated</t>
  </si>
  <si>
    <t>Find all employees with 120,000 salary</t>
  </si>
  <si>
    <t>Female employees with Monday start</t>
  </si>
  <si>
    <t>Calculate Median Salary and Female Ratio</t>
  </si>
  <si>
    <t xml:space="preserve">DEPARTMENT </t>
  </si>
  <si>
    <t>HEAD COUNT</t>
  </si>
  <si>
    <t>SALARY</t>
  </si>
  <si>
    <t>AVERAGE SALARY</t>
  </si>
  <si>
    <t>PERMANENT HEADCOUNT</t>
  </si>
  <si>
    <t>Employee more than 100k</t>
  </si>
  <si>
    <t>Using  Choose columns</t>
  </si>
  <si>
    <t>all salary above &gt; 100000</t>
  </si>
  <si>
    <t>coloumns 1,2,3,5,6</t>
  </si>
  <si>
    <t>Female employee above 100k</t>
  </si>
  <si>
    <t>Using both filter and choosecolumn</t>
  </si>
  <si>
    <t>Employee joined in 21</t>
  </si>
  <si>
    <t>Lowest, highest and top5 salary values</t>
  </si>
  <si>
    <t>All employees</t>
  </si>
  <si>
    <t>Lowest salary(MIN)</t>
  </si>
  <si>
    <t>Highest salary(MAX)</t>
  </si>
  <si>
    <t>TOP 5 salary(LARGE)</t>
  </si>
  <si>
    <t xml:space="preserve">TOP 5 salary </t>
  </si>
  <si>
    <t>Using Sort + Take function</t>
  </si>
  <si>
    <t>Using Unique and Counta, # function</t>
  </si>
  <si>
    <t>Department :</t>
  </si>
  <si>
    <t>Count:</t>
  </si>
  <si>
    <t>Business Growth</t>
  </si>
  <si>
    <t>Using TEXT JOIN + UNIQUE function</t>
  </si>
  <si>
    <t xml:space="preserve"> Employee id:</t>
  </si>
  <si>
    <t>First name</t>
  </si>
  <si>
    <t>Last name</t>
  </si>
  <si>
    <t>Last Name:</t>
  </si>
  <si>
    <t>Employee lookup(VLOOKUP)</t>
  </si>
  <si>
    <t xml:space="preserve">Using MATCH and INDEX </t>
  </si>
  <si>
    <t>Using Both Index + Match</t>
  </si>
  <si>
    <t>Employee look up (XLOOKUP)</t>
  </si>
  <si>
    <t>Fetching all data (with xlookup)</t>
  </si>
  <si>
    <t>Using Transpose Function</t>
  </si>
  <si>
    <t>Find all employee with 120,000 salary</t>
  </si>
  <si>
    <t>Complex highest salary person</t>
  </si>
  <si>
    <t>One Person :</t>
  </si>
  <si>
    <t>Using max:</t>
  </si>
  <si>
    <t>This shows the max value but not the details of them</t>
  </si>
  <si>
    <t xml:space="preserve">Using Max with Xlookup </t>
  </si>
  <si>
    <t>Multiple Person</t>
  </si>
  <si>
    <t>Using TEXT JOIN</t>
  </si>
  <si>
    <t>Filtering only the C Name employee</t>
  </si>
  <si>
    <t>All Employee who joined in March</t>
  </si>
  <si>
    <t>All female employee with Monday start</t>
  </si>
  <si>
    <t>Final Report</t>
  </si>
  <si>
    <t>All Department</t>
  </si>
  <si>
    <t>HeadCount</t>
  </si>
  <si>
    <t>Avg.salary</t>
  </si>
  <si>
    <t>% Differ from overall avg</t>
  </si>
  <si>
    <t>Higest Salary</t>
  </si>
  <si>
    <t>Median salary</t>
  </si>
  <si>
    <t>Female Ratio</t>
  </si>
  <si>
    <t>Male Ratio</t>
  </si>
  <si>
    <t>Lowest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</si>
</sst>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&quot;$&quot;#,##0_);[Red]\(&quot;$&quot;#,##0\)"/>
    <numFmt numFmtId="165" formatCode="_-[$$-409]* #,##0_ ;_-[$$-409]* \-#,##0\ ;_-[$$-409]* &quot;-&quot;??_ ;_-@_ "/>
    <numFmt numFmtId="166" formatCode="_-&quot;$&quot;* #,##0_-;\-&quot;$&quot;* #,##0_-;_-&quot;$&quot;* &quot;-&quot;??_-;_-@_-"/>
    <numFmt numFmtId="167" formatCode="&quot;$&quot;#,##0.00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164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6" borderId="0" xfId="0" applyFill="1"/>
    <xf numFmtId="165" fontId="0" fillId="0" borderId="0" xfId="1" applyNumberFormat="1" applyFont="1"/>
    <xf numFmtId="165" fontId="0" fillId="0" borderId="0" xfId="0" applyNumberFormat="1"/>
    <xf numFmtId="14" fontId="0" fillId="0" borderId="0" xfId="0" applyNumberFormat="1"/>
    <xf numFmtId="166" fontId="0" fillId="0" borderId="0" xfId="1" applyNumberFormat="1" applyFont="1"/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14" fontId="0" fillId="6" borderId="0" xfId="0" applyNumberFormat="1" applyFill="1"/>
    <xf numFmtId="0" fontId="2" fillId="0" borderId="0" xfId="0" applyFont="1"/>
    <xf numFmtId="0" fontId="0" fillId="7" borderId="0" xfId="0" applyFill="1"/>
    <xf numFmtId="0" fontId="0" fillId="8" borderId="0" xfId="0" applyFill="1"/>
    <xf numFmtId="167" fontId="0" fillId="10" borderId="0" xfId="0" applyNumberFormat="1" applyFill="1"/>
    <xf numFmtId="167" fontId="0" fillId="9" borderId="0" xfId="0" applyNumberFormat="1" applyFill="1"/>
    <xf numFmtId="167" fontId="0" fillId="0" borderId="0" xfId="0" applyNumberFormat="1"/>
    <xf numFmtId="167" fontId="0" fillId="11" borderId="0" xfId="0" applyNumberFormat="1" applyFill="1"/>
    <xf numFmtId="167" fontId="0" fillId="12" borderId="0" xfId="0" applyNumberFormat="1" applyFill="1"/>
    <xf numFmtId="0" fontId="0" fillId="13" borderId="0" xfId="0" applyFill="1"/>
    <xf numFmtId="0" fontId="2" fillId="14" borderId="0" xfId="0" applyFont="1" applyFill="1"/>
    <xf numFmtId="0" fontId="0" fillId="4" borderId="0" xfId="0" applyFill="1"/>
    <xf numFmtId="44" fontId="0" fillId="0" borderId="0" xfId="1" applyFont="1"/>
    <xf numFmtId="0" fontId="0" fillId="15" borderId="0" xfId="0" applyFill="1"/>
    <xf numFmtId="0" fontId="0" fillId="15" borderId="0" xfId="0" applyFill="1" applyAlignment="1">
      <alignment horizontal="left"/>
    </xf>
    <xf numFmtId="0" fontId="0" fillId="14" borderId="0" xfId="0" applyFill="1"/>
    <xf numFmtId="0" fontId="0" fillId="16" borderId="0" xfId="0" applyFill="1"/>
    <xf numFmtId="44" fontId="0" fillId="0" borderId="0" xfId="1" applyFont="1" applyAlignment="1">
      <alignment horizontal="center"/>
    </xf>
    <xf numFmtId="0" fontId="0" fillId="11" borderId="0" xfId="0" applyFill="1"/>
    <xf numFmtId="0" fontId="0" fillId="9" borderId="0" xfId="0" applyFill="1"/>
    <xf numFmtId="0" fontId="0" fillId="17" borderId="0" xfId="0" applyFill="1"/>
    <xf numFmtId="166" fontId="0" fillId="7" borderId="0" xfId="1" applyNumberFormat="1" applyFont="1" applyFill="1"/>
    <xf numFmtId="166" fontId="0" fillId="0" borderId="0" xfId="1" applyNumberFormat="1" applyFont="1" applyFill="1"/>
    <xf numFmtId="166" fontId="6" fillId="0" borderId="0" xfId="1" applyNumberFormat="1" applyFont="1" applyFill="1"/>
    <xf numFmtId="0" fontId="0" fillId="8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168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opLeftCell="A2" zoomScale="115" zoomScaleNormal="115" workbookViewId="0">
      <selection activeCell="D15" sqref="D15"/>
    </sheetView>
  </sheetViews>
  <sheetFormatPr defaultRowHeight="14.4" x14ac:dyDescent="0.3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6.1093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 x14ac:dyDescent="0.3">
      <c r="A1" s="1"/>
      <c r="C1" s="3" t="s">
        <v>739</v>
      </c>
    </row>
    <row r="5" spans="1:14" ht="21" customHeight="1" x14ac:dyDescent="0.3">
      <c r="C5" s="16"/>
      <c r="D5" s="17" t="s">
        <v>758</v>
      </c>
      <c r="E5" s="16"/>
      <c r="F5" s="17" t="s">
        <v>759</v>
      </c>
      <c r="G5" s="17" t="s">
        <v>761</v>
      </c>
    </row>
    <row r="6" spans="1:14" ht="21" customHeight="1" x14ac:dyDescent="0.3">
      <c r="C6" s="10">
        <v>1</v>
      </c>
      <c r="D6" s="11" t="s">
        <v>740</v>
      </c>
      <c r="E6" s="11"/>
      <c r="F6" s="14" t="s">
        <v>741</v>
      </c>
      <c r="G6" s="11" t="s">
        <v>762</v>
      </c>
      <c r="H6" s="5"/>
      <c r="J6" s="6"/>
      <c r="N6" s="4"/>
    </row>
    <row r="7" spans="1:14" ht="21" customHeight="1" x14ac:dyDescent="0.3">
      <c r="C7" s="12">
        <v>2</v>
      </c>
      <c r="D7" s="13" t="s">
        <v>742</v>
      </c>
      <c r="E7" s="13"/>
      <c r="F7" s="15" t="s">
        <v>743</v>
      </c>
      <c r="G7" s="13"/>
      <c r="H7" s="5"/>
      <c r="J7" s="6"/>
      <c r="N7" s="4"/>
    </row>
    <row r="8" spans="1:14" ht="21" customHeight="1" x14ac:dyDescent="0.3">
      <c r="C8" s="12">
        <v>3</v>
      </c>
      <c r="D8" s="13" t="s">
        <v>744</v>
      </c>
      <c r="E8" s="13"/>
      <c r="F8" s="15" t="s">
        <v>745</v>
      </c>
      <c r="G8" s="13" t="s">
        <v>763</v>
      </c>
      <c r="H8" s="5"/>
      <c r="J8" s="6"/>
      <c r="N8" s="4"/>
    </row>
    <row r="9" spans="1:14" ht="21" customHeight="1" x14ac:dyDescent="0.3">
      <c r="C9" s="12">
        <v>4</v>
      </c>
      <c r="D9" s="13" t="s">
        <v>746</v>
      </c>
      <c r="E9" s="13"/>
      <c r="F9" s="15" t="s">
        <v>747</v>
      </c>
      <c r="G9" s="13"/>
      <c r="H9" s="5"/>
      <c r="J9" s="6"/>
      <c r="N9" s="4"/>
    </row>
    <row r="10" spans="1:14" ht="21" customHeight="1" x14ac:dyDescent="0.3">
      <c r="C10" s="12">
        <v>5</v>
      </c>
      <c r="D10" s="13" t="s">
        <v>748</v>
      </c>
      <c r="E10" s="13"/>
      <c r="F10" s="15" t="s">
        <v>751</v>
      </c>
      <c r="G10" s="25" t="s">
        <v>764</v>
      </c>
      <c r="H10" s="5"/>
      <c r="J10" s="6"/>
      <c r="N10" s="4"/>
    </row>
    <row r="11" spans="1:14" ht="21" customHeight="1" x14ac:dyDescent="0.3">
      <c r="C11" s="12">
        <v>6</v>
      </c>
      <c r="D11" s="13" t="s">
        <v>749</v>
      </c>
      <c r="E11" s="13"/>
      <c r="F11" s="15" t="s">
        <v>750</v>
      </c>
      <c r="G11" s="13"/>
      <c r="H11" s="5"/>
      <c r="J11" s="6"/>
      <c r="N11" s="4"/>
    </row>
    <row r="12" spans="1:14" ht="21" customHeight="1" x14ac:dyDescent="0.3">
      <c r="C12" s="12">
        <v>7</v>
      </c>
      <c r="D12" s="13" t="s">
        <v>749</v>
      </c>
      <c r="E12" s="13"/>
      <c r="F12" s="15" t="s">
        <v>760</v>
      </c>
      <c r="G12" s="25" t="s">
        <v>765</v>
      </c>
      <c r="H12" s="5"/>
      <c r="J12" s="6"/>
      <c r="N12" s="4"/>
    </row>
    <row r="13" spans="1:14" ht="21" customHeight="1" x14ac:dyDescent="0.3">
      <c r="C13" s="18">
        <v>8</v>
      </c>
      <c r="D13" s="19" t="s">
        <v>752</v>
      </c>
      <c r="E13" s="19"/>
      <c r="F13" s="20" t="s">
        <v>753</v>
      </c>
      <c r="G13" s="19"/>
      <c r="H13" s="5"/>
      <c r="J13" s="6"/>
      <c r="N13" s="4"/>
    </row>
    <row r="14" spans="1:14" ht="21" customHeight="1" x14ac:dyDescent="0.3">
      <c r="C14" s="18">
        <v>9</v>
      </c>
      <c r="D14" s="19" t="s">
        <v>754</v>
      </c>
      <c r="E14" s="19"/>
      <c r="F14" s="20" t="s">
        <v>755</v>
      </c>
      <c r="G14" s="19" t="s">
        <v>766</v>
      </c>
      <c r="H14" s="5"/>
      <c r="J14" s="6"/>
      <c r="N14" s="4"/>
    </row>
    <row r="15" spans="1:14" ht="28.8" x14ac:dyDescent="0.3">
      <c r="C15" s="21">
        <v>10</v>
      </c>
      <c r="D15" s="22" t="s">
        <v>756</v>
      </c>
      <c r="E15" s="23"/>
      <c r="F15" s="24" t="s">
        <v>757</v>
      </c>
      <c r="G15" s="22" t="s">
        <v>767</v>
      </c>
      <c r="H15" s="5"/>
      <c r="J15" s="6"/>
      <c r="N15" s="4"/>
    </row>
    <row r="16" spans="1:14" x14ac:dyDescent="0.3">
      <c r="H16" s="5"/>
      <c r="J16" s="6"/>
      <c r="N16" s="4"/>
    </row>
    <row r="17" spans="8:14" x14ac:dyDescent="0.3">
      <c r="H17" s="5"/>
      <c r="J17" s="6"/>
      <c r="N17" s="4"/>
    </row>
    <row r="18" spans="8:14" x14ac:dyDescent="0.3">
      <c r="H18" s="5"/>
      <c r="J18" s="6"/>
      <c r="N18" s="4"/>
    </row>
    <row r="19" spans="8:14" x14ac:dyDescent="0.3">
      <c r="H19" s="5"/>
      <c r="J19" s="6"/>
      <c r="N19" s="4"/>
    </row>
    <row r="20" spans="8:14" x14ac:dyDescent="0.3">
      <c r="H20" s="5"/>
      <c r="J20" s="6"/>
      <c r="N20" s="4"/>
    </row>
    <row r="21" spans="8:14" x14ac:dyDescent="0.3">
      <c r="H21" s="5"/>
      <c r="J21" s="6"/>
      <c r="N21" s="4"/>
    </row>
    <row r="22" spans="8:14" x14ac:dyDescent="0.3">
      <c r="H22" s="5"/>
      <c r="J22" s="6"/>
      <c r="N22" s="4"/>
    </row>
    <row r="23" spans="8:14" x14ac:dyDescent="0.3">
      <c r="H23" s="5"/>
      <c r="J23" s="6"/>
      <c r="N23" s="4"/>
    </row>
    <row r="24" spans="8:14" x14ac:dyDescent="0.3">
      <c r="H24" s="5"/>
      <c r="J24" s="6"/>
      <c r="N24" s="4"/>
    </row>
    <row r="25" spans="8:14" x14ac:dyDescent="0.3">
      <c r="H25" s="5"/>
      <c r="J25" s="6"/>
      <c r="N25" s="4"/>
    </row>
    <row r="26" spans="8:14" x14ac:dyDescent="0.3">
      <c r="H26" s="5"/>
      <c r="J26" s="6"/>
      <c r="N26" s="4"/>
    </row>
    <row r="27" spans="8:14" x14ac:dyDescent="0.3">
      <c r="H27" s="5"/>
      <c r="J27" s="6"/>
      <c r="N27" s="4"/>
    </row>
    <row r="28" spans="8:14" x14ac:dyDescent="0.3">
      <c r="H28" s="5"/>
      <c r="J28" s="6"/>
      <c r="N28" s="4"/>
    </row>
    <row r="29" spans="8:14" x14ac:dyDescent="0.3">
      <c r="H29" s="5"/>
      <c r="J29" s="6"/>
      <c r="N29" s="4"/>
    </row>
    <row r="30" spans="8:14" x14ac:dyDescent="0.3">
      <c r="H30" s="5"/>
      <c r="J30" s="6"/>
      <c r="N30" s="4"/>
    </row>
    <row r="31" spans="8:14" x14ac:dyDescent="0.3">
      <c r="H31" s="5"/>
      <c r="J31" s="6"/>
      <c r="N31" s="4"/>
    </row>
    <row r="32" spans="8:14" x14ac:dyDescent="0.3">
      <c r="H32" s="5"/>
      <c r="J32" s="6"/>
      <c r="N32" s="4"/>
    </row>
    <row r="33" spans="8:14" x14ac:dyDescent="0.3">
      <c r="H33" s="5"/>
      <c r="J33" s="6"/>
      <c r="N33" s="4"/>
    </row>
    <row r="34" spans="8:14" x14ac:dyDescent="0.3">
      <c r="H34" s="5"/>
      <c r="J34" s="6"/>
      <c r="N34" s="4"/>
    </row>
    <row r="35" spans="8:14" x14ac:dyDescent="0.3">
      <c r="H35" s="5"/>
      <c r="J35" s="6"/>
      <c r="N35" s="4"/>
    </row>
    <row r="36" spans="8:14" x14ac:dyDescent="0.3">
      <c r="H36" s="5"/>
      <c r="J36" s="6"/>
      <c r="N36" s="4"/>
    </row>
    <row r="37" spans="8:14" x14ac:dyDescent="0.3">
      <c r="H37" s="5"/>
      <c r="J37" s="6"/>
      <c r="N37" s="4"/>
    </row>
    <row r="38" spans="8:14" x14ac:dyDescent="0.3">
      <c r="H38" s="5"/>
      <c r="J38" s="6"/>
      <c r="N38" s="4"/>
    </row>
    <row r="39" spans="8:14" x14ac:dyDescent="0.3">
      <c r="H39" s="5"/>
      <c r="J39" s="6"/>
      <c r="N39" s="4"/>
    </row>
    <row r="40" spans="8:14" x14ac:dyDescent="0.3">
      <c r="H40" s="5"/>
      <c r="J40" s="6"/>
      <c r="N40" s="4"/>
    </row>
    <row r="41" spans="8:14" x14ac:dyDescent="0.3">
      <c r="H41" s="5"/>
      <c r="J41" s="6"/>
      <c r="N41" s="4"/>
    </row>
    <row r="42" spans="8:14" x14ac:dyDescent="0.3">
      <c r="H42" s="5"/>
      <c r="J42" s="6"/>
      <c r="N42" s="4"/>
    </row>
    <row r="43" spans="8:14" x14ac:dyDescent="0.3">
      <c r="H43" s="5"/>
      <c r="J43" s="6"/>
      <c r="N43" s="4"/>
    </row>
    <row r="44" spans="8:14" x14ac:dyDescent="0.3">
      <c r="H44" s="5"/>
      <c r="J44" s="6"/>
      <c r="N44" s="4"/>
    </row>
    <row r="45" spans="8:14" x14ac:dyDescent="0.3">
      <c r="H45" s="5"/>
      <c r="J45" s="6"/>
      <c r="N45" s="4"/>
    </row>
    <row r="46" spans="8:14" x14ac:dyDescent="0.3">
      <c r="H46" s="5"/>
      <c r="J46" s="6"/>
      <c r="N46" s="4"/>
    </row>
    <row r="47" spans="8:14" x14ac:dyDescent="0.3">
      <c r="H47" s="5"/>
      <c r="J47" s="6"/>
      <c r="N47" s="4"/>
    </row>
    <row r="48" spans="8:14" x14ac:dyDescent="0.3">
      <c r="H48" s="5"/>
      <c r="J48" s="6"/>
      <c r="N48" s="4"/>
    </row>
    <row r="49" spans="8:14" x14ac:dyDescent="0.3">
      <c r="H49" s="5"/>
      <c r="J49" s="6"/>
      <c r="N49" s="4"/>
    </row>
    <row r="50" spans="8:14" x14ac:dyDescent="0.3">
      <c r="H50" s="5"/>
      <c r="J50" s="6"/>
      <c r="N50" s="4"/>
    </row>
    <row r="51" spans="8:14" x14ac:dyDescent="0.3">
      <c r="H51" s="5"/>
      <c r="J51" s="6"/>
      <c r="N51" s="4"/>
    </row>
    <row r="52" spans="8:14" x14ac:dyDescent="0.3">
      <c r="H52" s="5"/>
      <c r="J52" s="6"/>
      <c r="N52" s="4"/>
    </row>
    <row r="53" spans="8:14" x14ac:dyDescent="0.3">
      <c r="H53" s="5"/>
      <c r="J53" s="6"/>
      <c r="N53" s="4"/>
    </row>
    <row r="54" spans="8:14" x14ac:dyDescent="0.3">
      <c r="H54" s="5"/>
      <c r="J54" s="6"/>
      <c r="N54" s="4"/>
    </row>
    <row r="55" spans="8:14" x14ac:dyDescent="0.3">
      <c r="H55" s="5"/>
      <c r="J55" s="6"/>
      <c r="N55" s="4"/>
    </row>
    <row r="56" spans="8:14" x14ac:dyDescent="0.3">
      <c r="H56" s="5"/>
      <c r="J56" s="6"/>
      <c r="N56" s="4"/>
    </row>
    <row r="57" spans="8:14" x14ac:dyDescent="0.3">
      <c r="H57" s="5"/>
      <c r="J57" s="6"/>
      <c r="N57" s="4"/>
    </row>
    <row r="58" spans="8:14" x14ac:dyDescent="0.3">
      <c r="H58" s="5"/>
      <c r="J58" s="6"/>
      <c r="N58" s="4"/>
    </row>
    <row r="59" spans="8:14" x14ac:dyDescent="0.3">
      <c r="H59" s="5"/>
      <c r="J59" s="6"/>
      <c r="N59" s="4"/>
    </row>
    <row r="60" spans="8:14" x14ac:dyDescent="0.3">
      <c r="H60" s="5"/>
      <c r="J60" s="6"/>
      <c r="N60" s="4"/>
    </row>
    <row r="61" spans="8:14" x14ac:dyDescent="0.3">
      <c r="H61" s="5"/>
      <c r="J61" s="6"/>
      <c r="N61" s="4"/>
    </row>
    <row r="62" spans="8:14" x14ac:dyDescent="0.3">
      <c r="H62" s="5"/>
      <c r="J62" s="6"/>
      <c r="N62" s="4"/>
    </row>
    <row r="63" spans="8:14" x14ac:dyDescent="0.3">
      <c r="H63" s="5"/>
      <c r="J63" s="6"/>
      <c r="N63" s="4"/>
    </row>
    <row r="64" spans="8:14" x14ac:dyDescent="0.3">
      <c r="H64" s="5"/>
      <c r="J64" s="6"/>
      <c r="N64" s="4"/>
    </row>
    <row r="65" spans="8:14" x14ac:dyDescent="0.3">
      <c r="H65" s="5"/>
      <c r="J65" s="6"/>
      <c r="N65" s="4"/>
    </row>
    <row r="66" spans="8:14" x14ac:dyDescent="0.3">
      <c r="H66" s="5"/>
      <c r="J66" s="6"/>
      <c r="N66" s="4"/>
    </row>
    <row r="67" spans="8:14" x14ac:dyDescent="0.3">
      <c r="H67" s="5"/>
      <c r="J67" s="6"/>
      <c r="N67" s="4"/>
    </row>
    <row r="68" spans="8:14" x14ac:dyDescent="0.3">
      <c r="H68" s="5"/>
      <c r="J68" s="6"/>
      <c r="N68" s="4"/>
    </row>
    <row r="69" spans="8:14" x14ac:dyDescent="0.3">
      <c r="H69" s="5"/>
      <c r="J69" s="6"/>
      <c r="N69" s="4"/>
    </row>
    <row r="70" spans="8:14" x14ac:dyDescent="0.3">
      <c r="H70" s="5"/>
      <c r="J70" s="6"/>
      <c r="N70" s="4"/>
    </row>
    <row r="71" spans="8:14" x14ac:dyDescent="0.3">
      <c r="H71" s="5"/>
      <c r="J71" s="6"/>
      <c r="N71" s="4"/>
    </row>
    <row r="72" spans="8:14" x14ac:dyDescent="0.3">
      <c r="H72" s="5"/>
      <c r="J72" s="6"/>
      <c r="N72" s="4"/>
    </row>
    <row r="73" spans="8:14" x14ac:dyDescent="0.3">
      <c r="H73" s="5"/>
      <c r="J73" s="6"/>
      <c r="N73" s="4"/>
    </row>
    <row r="74" spans="8:14" x14ac:dyDescent="0.3">
      <c r="H74" s="5"/>
      <c r="J74" s="6"/>
      <c r="N74" s="4"/>
    </row>
    <row r="75" spans="8:14" x14ac:dyDescent="0.3">
      <c r="H75" s="5"/>
      <c r="J75" s="6"/>
      <c r="N75" s="4"/>
    </row>
    <row r="76" spans="8:14" x14ac:dyDescent="0.3">
      <c r="H76" s="5"/>
      <c r="J76" s="6"/>
      <c r="N76" s="4"/>
    </row>
    <row r="77" spans="8:14" x14ac:dyDescent="0.3">
      <c r="H77" s="5"/>
      <c r="J77" s="6"/>
      <c r="N77" s="4"/>
    </row>
    <row r="78" spans="8:14" x14ac:dyDescent="0.3">
      <c r="H78" s="5"/>
      <c r="J78" s="6"/>
      <c r="N78" s="4"/>
    </row>
    <row r="79" spans="8:14" x14ac:dyDescent="0.3">
      <c r="H79" s="5"/>
      <c r="J79" s="6"/>
      <c r="N79" s="4"/>
    </row>
    <row r="80" spans="8:14" x14ac:dyDescent="0.3">
      <c r="H80" s="5"/>
      <c r="J80" s="6"/>
      <c r="N80" s="4"/>
    </row>
    <row r="81" spans="8:14" x14ac:dyDescent="0.3">
      <c r="H81" s="5"/>
      <c r="J81" s="6"/>
      <c r="N81" s="4"/>
    </row>
    <row r="82" spans="8:14" x14ac:dyDescent="0.3">
      <c r="H82" s="5"/>
      <c r="J82" s="6"/>
      <c r="N82" s="4"/>
    </row>
    <row r="83" spans="8:14" x14ac:dyDescent="0.3">
      <c r="H83" s="5"/>
      <c r="J83" s="6"/>
      <c r="N83" s="4"/>
    </row>
    <row r="84" spans="8:14" x14ac:dyDescent="0.3">
      <c r="H84" s="5"/>
      <c r="J84" s="6"/>
      <c r="N84" s="4"/>
    </row>
    <row r="85" spans="8:14" x14ac:dyDescent="0.3">
      <c r="H85" s="5"/>
      <c r="J85" s="6"/>
      <c r="N85" s="4"/>
    </row>
    <row r="86" spans="8:14" x14ac:dyDescent="0.3">
      <c r="H86" s="5"/>
      <c r="J86" s="6"/>
      <c r="N86" s="4"/>
    </row>
    <row r="87" spans="8:14" x14ac:dyDescent="0.3">
      <c r="H87" s="5"/>
      <c r="J87" s="6"/>
      <c r="N87" s="4"/>
    </row>
    <row r="88" spans="8:14" x14ac:dyDescent="0.3">
      <c r="H88" s="5"/>
      <c r="J88" s="6"/>
      <c r="N88" s="4"/>
    </row>
    <row r="89" spans="8:14" x14ac:dyDescent="0.3">
      <c r="H89" s="5"/>
      <c r="J89" s="6"/>
      <c r="N89" s="4"/>
    </row>
    <row r="90" spans="8:14" x14ac:dyDescent="0.3">
      <c r="H90" s="5"/>
      <c r="J90" s="6"/>
      <c r="N90" s="4"/>
    </row>
    <row r="91" spans="8:14" x14ac:dyDescent="0.3">
      <c r="H91" s="5"/>
      <c r="J91" s="6"/>
      <c r="N91" s="4"/>
    </row>
    <row r="92" spans="8:14" x14ac:dyDescent="0.3">
      <c r="H92" s="5"/>
      <c r="J92" s="6"/>
      <c r="N92" s="4"/>
    </row>
    <row r="93" spans="8:14" x14ac:dyDescent="0.3">
      <c r="H93" s="5"/>
      <c r="J93" s="6"/>
      <c r="N93" s="4"/>
    </row>
    <row r="94" spans="8:14" x14ac:dyDescent="0.3">
      <c r="H94" s="5"/>
      <c r="J94" s="6"/>
      <c r="N94" s="4"/>
    </row>
    <row r="95" spans="8:14" x14ac:dyDescent="0.3">
      <c r="H95" s="5"/>
      <c r="J95" s="6"/>
      <c r="N95" s="4"/>
    </row>
    <row r="96" spans="8:14" x14ac:dyDescent="0.3">
      <c r="H96" s="5"/>
      <c r="J96" s="6"/>
      <c r="N96" s="4"/>
    </row>
    <row r="97" spans="8:14" x14ac:dyDescent="0.3">
      <c r="H97" s="5"/>
      <c r="J97" s="6"/>
      <c r="N97" s="4"/>
    </row>
    <row r="98" spans="8:14" x14ac:dyDescent="0.3">
      <c r="H98" s="5"/>
      <c r="J98" s="6"/>
      <c r="N98" s="4"/>
    </row>
    <row r="99" spans="8:14" x14ac:dyDescent="0.3">
      <c r="H99" s="5"/>
      <c r="J99" s="6"/>
      <c r="N99" s="4"/>
    </row>
    <row r="100" spans="8:14" x14ac:dyDescent="0.3">
      <c r="H100" s="5"/>
      <c r="J100" s="6"/>
      <c r="N100" s="4"/>
    </row>
    <row r="101" spans="8:14" x14ac:dyDescent="0.3">
      <c r="H101" s="5"/>
      <c r="J101" s="6"/>
      <c r="N101" s="4"/>
    </row>
    <row r="102" spans="8:14" x14ac:dyDescent="0.3">
      <c r="H102" s="5"/>
      <c r="J102" s="6"/>
      <c r="N102" s="4"/>
    </row>
    <row r="103" spans="8:14" x14ac:dyDescent="0.3">
      <c r="H103" s="5"/>
      <c r="J103" s="6"/>
      <c r="N103" s="4"/>
    </row>
    <row r="104" spans="8:14" x14ac:dyDescent="0.3">
      <c r="H104" s="5"/>
      <c r="J104" s="6"/>
      <c r="N104" s="4"/>
    </row>
    <row r="105" spans="8:14" x14ac:dyDescent="0.3">
      <c r="H105" s="5"/>
      <c r="J105" s="6"/>
      <c r="N105" s="4"/>
    </row>
    <row r="106" spans="8:14" x14ac:dyDescent="0.3">
      <c r="H106" s="5"/>
      <c r="J106" s="6"/>
      <c r="N106" s="4"/>
    </row>
    <row r="107" spans="8:14" x14ac:dyDescent="0.3">
      <c r="H107" s="5"/>
      <c r="J107" s="6"/>
      <c r="N107" s="4"/>
    </row>
    <row r="108" spans="8:14" x14ac:dyDescent="0.3">
      <c r="H108" s="5"/>
      <c r="J108" s="6"/>
      <c r="N108" s="4"/>
    </row>
    <row r="109" spans="8:14" x14ac:dyDescent="0.3">
      <c r="H109" s="5"/>
      <c r="J109" s="6"/>
      <c r="N109" s="4"/>
    </row>
    <row r="110" spans="8:14" x14ac:dyDescent="0.3">
      <c r="H110" s="5"/>
      <c r="J110" s="6"/>
      <c r="N110" s="4"/>
    </row>
    <row r="111" spans="8:14" x14ac:dyDescent="0.3">
      <c r="H111" s="5"/>
      <c r="J111" s="6"/>
      <c r="N111" s="4"/>
    </row>
    <row r="112" spans="8:14" x14ac:dyDescent="0.3">
      <c r="H112" s="5"/>
      <c r="J112" s="6"/>
      <c r="N112" s="4"/>
    </row>
    <row r="113" spans="8:14" x14ac:dyDescent="0.3">
      <c r="H113" s="5"/>
      <c r="J113" s="6"/>
      <c r="N113" s="4"/>
    </row>
    <row r="114" spans="8:14" x14ac:dyDescent="0.3">
      <c r="H114" s="5"/>
      <c r="J114" s="6"/>
      <c r="N114" s="4"/>
    </row>
    <row r="115" spans="8:14" x14ac:dyDescent="0.3">
      <c r="H115" s="5"/>
      <c r="J115" s="6"/>
      <c r="N115" s="4"/>
    </row>
    <row r="116" spans="8:14" x14ac:dyDescent="0.3">
      <c r="H116" s="5"/>
      <c r="J116" s="6"/>
      <c r="N116" s="4"/>
    </row>
    <row r="117" spans="8:14" x14ac:dyDescent="0.3">
      <c r="H117" s="5"/>
      <c r="J117" s="6"/>
      <c r="N117" s="4"/>
    </row>
    <row r="118" spans="8:14" x14ac:dyDescent="0.3">
      <c r="H118" s="5"/>
      <c r="J118" s="6"/>
      <c r="N118" s="4"/>
    </row>
    <row r="119" spans="8:14" x14ac:dyDescent="0.3">
      <c r="H119" s="5"/>
      <c r="J119" s="6"/>
      <c r="N119" s="4"/>
    </row>
    <row r="120" spans="8:14" x14ac:dyDescent="0.3">
      <c r="H120" s="5"/>
      <c r="J120" s="6"/>
      <c r="N120" s="4"/>
    </row>
    <row r="121" spans="8:14" x14ac:dyDescent="0.3">
      <c r="H121" s="5"/>
      <c r="J121" s="6"/>
      <c r="N121" s="4"/>
    </row>
    <row r="122" spans="8:14" x14ac:dyDescent="0.3">
      <c r="H122" s="5"/>
      <c r="J122" s="6"/>
      <c r="N122" s="4"/>
    </row>
    <row r="123" spans="8:14" x14ac:dyDescent="0.3">
      <c r="H123" s="5"/>
      <c r="J123" s="6"/>
      <c r="N123" s="4"/>
    </row>
    <row r="124" spans="8:14" x14ac:dyDescent="0.3">
      <c r="H124" s="5"/>
      <c r="J124" s="6"/>
      <c r="N124" s="4"/>
    </row>
    <row r="125" spans="8:14" x14ac:dyDescent="0.3">
      <c r="H125" s="5"/>
      <c r="J125" s="6"/>
      <c r="N125" s="4"/>
    </row>
    <row r="126" spans="8:14" x14ac:dyDescent="0.3">
      <c r="H126" s="5"/>
      <c r="J126" s="6"/>
      <c r="N126" s="4"/>
    </row>
    <row r="127" spans="8:14" x14ac:dyDescent="0.3">
      <c r="H127" s="5"/>
      <c r="J127" s="6"/>
      <c r="N127" s="4"/>
    </row>
    <row r="128" spans="8:14" x14ac:dyDescent="0.3">
      <c r="H128" s="5"/>
      <c r="J128" s="6"/>
      <c r="N128" s="4"/>
    </row>
    <row r="129" spans="8:14" x14ac:dyDescent="0.3">
      <c r="H129" s="5"/>
      <c r="J129" s="6"/>
      <c r="N129" s="4"/>
    </row>
    <row r="130" spans="8:14" x14ac:dyDescent="0.3">
      <c r="H130" s="5"/>
      <c r="J130" s="6"/>
      <c r="N130" s="4"/>
    </row>
    <row r="131" spans="8:14" x14ac:dyDescent="0.3">
      <c r="H131" s="5"/>
      <c r="J131" s="6"/>
      <c r="N131" s="4"/>
    </row>
    <row r="132" spans="8:14" x14ac:dyDescent="0.3">
      <c r="H132" s="5"/>
      <c r="J132" s="6"/>
      <c r="N132" s="4"/>
    </row>
    <row r="133" spans="8:14" x14ac:dyDescent="0.3">
      <c r="H133" s="5"/>
      <c r="J133" s="6"/>
      <c r="N133" s="4"/>
    </row>
    <row r="134" spans="8:14" x14ac:dyDescent="0.3">
      <c r="H134" s="5"/>
      <c r="J134" s="6"/>
      <c r="N134" s="4"/>
    </row>
    <row r="135" spans="8:14" x14ac:dyDescent="0.3">
      <c r="H135" s="5"/>
      <c r="J135" s="6"/>
      <c r="N135" s="4"/>
    </row>
    <row r="136" spans="8:14" x14ac:dyDescent="0.3">
      <c r="H136" s="5"/>
      <c r="J136" s="6"/>
      <c r="N136" s="4"/>
    </row>
    <row r="137" spans="8:14" x14ac:dyDescent="0.3">
      <c r="H137" s="5"/>
      <c r="J137" s="6"/>
      <c r="N137" s="4"/>
    </row>
    <row r="138" spans="8:14" x14ac:dyDescent="0.3">
      <c r="H138" s="5"/>
      <c r="J138" s="6"/>
      <c r="N138" s="4"/>
    </row>
    <row r="139" spans="8:14" x14ac:dyDescent="0.3">
      <c r="H139" s="5"/>
      <c r="J139" s="6"/>
      <c r="N139" s="4"/>
    </row>
    <row r="140" spans="8:14" x14ac:dyDescent="0.3">
      <c r="H140" s="5"/>
      <c r="J140" s="6"/>
      <c r="N140" s="4"/>
    </row>
    <row r="141" spans="8:14" x14ac:dyDescent="0.3">
      <c r="H141" s="5"/>
      <c r="J141" s="6"/>
      <c r="N141" s="4"/>
    </row>
    <row r="142" spans="8:14" x14ac:dyDescent="0.3">
      <c r="H142" s="5"/>
      <c r="J142" s="6"/>
      <c r="N142" s="4"/>
    </row>
    <row r="143" spans="8:14" x14ac:dyDescent="0.3">
      <c r="H143" s="5"/>
      <c r="J143" s="6"/>
      <c r="N143" s="4"/>
    </row>
    <row r="144" spans="8:14" x14ac:dyDescent="0.3">
      <c r="H144" s="5"/>
      <c r="J144" s="6"/>
      <c r="N144" s="4"/>
    </row>
    <row r="145" spans="8:14" x14ac:dyDescent="0.3">
      <c r="H145" s="5"/>
      <c r="J145" s="6"/>
      <c r="N145" s="4"/>
    </row>
    <row r="146" spans="8:14" x14ac:dyDescent="0.3">
      <c r="H146" s="5"/>
      <c r="J146" s="6"/>
      <c r="N146" s="4"/>
    </row>
    <row r="147" spans="8:14" x14ac:dyDescent="0.3">
      <c r="H147" s="5"/>
      <c r="J147" s="6"/>
      <c r="N147" s="4"/>
    </row>
    <row r="148" spans="8:14" x14ac:dyDescent="0.3">
      <c r="H148" s="5"/>
      <c r="J148" s="6"/>
      <c r="N148" s="4"/>
    </row>
    <row r="149" spans="8:14" x14ac:dyDescent="0.3">
      <c r="H149" s="5"/>
      <c r="J149" s="6"/>
      <c r="N149" s="4"/>
    </row>
    <row r="150" spans="8:14" x14ac:dyDescent="0.3">
      <c r="H150" s="5"/>
      <c r="J150" s="6"/>
      <c r="N150" s="4"/>
    </row>
    <row r="151" spans="8:14" x14ac:dyDescent="0.3">
      <c r="H151" s="5"/>
      <c r="J151" s="6"/>
      <c r="N151" s="4"/>
    </row>
    <row r="152" spans="8:14" x14ac:dyDescent="0.3">
      <c r="H152" s="5"/>
      <c r="J152" s="6"/>
      <c r="N152" s="4"/>
    </row>
    <row r="153" spans="8:14" x14ac:dyDescent="0.3">
      <c r="H153" s="5"/>
      <c r="J153" s="6"/>
      <c r="N153" s="4"/>
    </row>
    <row r="154" spans="8:14" x14ac:dyDescent="0.3">
      <c r="H154" s="5"/>
      <c r="J154" s="6"/>
      <c r="N154" s="4"/>
    </row>
    <row r="155" spans="8:14" x14ac:dyDescent="0.3">
      <c r="H155" s="5"/>
      <c r="J155" s="6"/>
      <c r="N155" s="4"/>
    </row>
    <row r="156" spans="8:14" x14ac:dyDescent="0.3">
      <c r="H156" s="5"/>
      <c r="J156" s="6"/>
      <c r="N156" s="4"/>
    </row>
    <row r="157" spans="8:14" x14ac:dyDescent="0.3">
      <c r="H157" s="5"/>
      <c r="J157" s="6"/>
      <c r="N157" s="4"/>
    </row>
    <row r="158" spans="8:14" x14ac:dyDescent="0.3">
      <c r="H158" s="5"/>
      <c r="J158" s="6"/>
      <c r="N158" s="4"/>
    </row>
    <row r="159" spans="8:14" x14ac:dyDescent="0.3">
      <c r="H159" s="5"/>
      <c r="J159" s="6"/>
      <c r="N159" s="4"/>
    </row>
    <row r="160" spans="8:14" x14ac:dyDescent="0.3">
      <c r="H160" s="5"/>
      <c r="J160" s="6"/>
      <c r="N160" s="4"/>
    </row>
    <row r="161" spans="8:14" x14ac:dyDescent="0.3">
      <c r="H161" s="5"/>
      <c r="J161" s="6"/>
      <c r="N161" s="4"/>
    </row>
    <row r="162" spans="8:14" x14ac:dyDescent="0.3">
      <c r="H162" s="5"/>
      <c r="J162" s="6"/>
      <c r="N162" s="4"/>
    </row>
    <row r="163" spans="8:14" x14ac:dyDescent="0.3">
      <c r="H163" s="5"/>
      <c r="J163" s="6"/>
      <c r="N163" s="4"/>
    </row>
    <row r="164" spans="8:14" x14ac:dyDescent="0.3">
      <c r="H164" s="5"/>
      <c r="J164" s="6"/>
      <c r="N164" s="4"/>
    </row>
    <row r="165" spans="8:14" x14ac:dyDescent="0.3">
      <c r="H165" s="5"/>
      <c r="J165" s="6"/>
      <c r="N165" s="4"/>
    </row>
    <row r="166" spans="8:14" x14ac:dyDescent="0.3">
      <c r="H166" s="5"/>
      <c r="J166" s="6"/>
      <c r="N166" s="4"/>
    </row>
    <row r="167" spans="8:14" x14ac:dyDescent="0.3">
      <c r="H167" s="5"/>
      <c r="J167" s="6"/>
      <c r="N167" s="4"/>
    </row>
    <row r="168" spans="8:14" x14ac:dyDescent="0.3">
      <c r="H168" s="5"/>
      <c r="J168" s="6"/>
      <c r="N168" s="4"/>
    </row>
    <row r="169" spans="8:14" x14ac:dyDescent="0.3">
      <c r="H169" s="5"/>
      <c r="J169" s="6"/>
      <c r="N169" s="4"/>
    </row>
    <row r="170" spans="8:14" x14ac:dyDescent="0.3">
      <c r="H170" s="5"/>
      <c r="J170" s="6"/>
      <c r="N170" s="4"/>
    </row>
    <row r="171" spans="8:14" x14ac:dyDescent="0.3">
      <c r="H171" s="5"/>
      <c r="J171" s="6"/>
      <c r="N171" s="4"/>
    </row>
    <row r="172" spans="8:14" x14ac:dyDescent="0.3">
      <c r="H172" s="5"/>
      <c r="J172" s="6"/>
      <c r="N172" s="4"/>
    </row>
    <row r="173" spans="8:14" x14ac:dyDescent="0.3">
      <c r="H173" s="5"/>
      <c r="J173" s="6"/>
      <c r="N173" s="4"/>
    </row>
    <row r="174" spans="8:14" x14ac:dyDescent="0.3">
      <c r="H174" s="5"/>
      <c r="J174" s="6"/>
      <c r="N174" s="4"/>
    </row>
    <row r="175" spans="8:14" x14ac:dyDescent="0.3">
      <c r="H175" s="5"/>
      <c r="J175" s="6"/>
      <c r="N175" s="4"/>
    </row>
    <row r="176" spans="8:14" x14ac:dyDescent="0.3">
      <c r="H176" s="5"/>
      <c r="J176" s="6"/>
      <c r="N176" s="4"/>
    </row>
    <row r="177" spans="8:14" x14ac:dyDescent="0.3">
      <c r="H177" s="5"/>
      <c r="J177" s="6"/>
      <c r="N177" s="4"/>
    </row>
    <row r="178" spans="8:14" x14ac:dyDescent="0.3">
      <c r="H178" s="5"/>
      <c r="J178" s="6"/>
      <c r="N178" s="4"/>
    </row>
    <row r="179" spans="8:14" x14ac:dyDescent="0.3">
      <c r="H179" s="5"/>
      <c r="J179" s="6"/>
      <c r="N179" s="4"/>
    </row>
    <row r="180" spans="8:14" x14ac:dyDescent="0.3">
      <c r="H180" s="5"/>
      <c r="J180" s="6"/>
      <c r="N180" s="4"/>
    </row>
    <row r="181" spans="8:14" x14ac:dyDescent="0.3">
      <c r="H181" s="5"/>
      <c r="J181" s="6"/>
      <c r="N181" s="4"/>
    </row>
    <row r="182" spans="8:14" x14ac:dyDescent="0.3">
      <c r="H182" s="5"/>
      <c r="J182" s="6"/>
      <c r="N182" s="4"/>
    </row>
    <row r="183" spans="8:14" x14ac:dyDescent="0.3">
      <c r="H183" s="5"/>
      <c r="J183" s="6"/>
      <c r="N183" s="4"/>
    </row>
    <row r="184" spans="8:14" x14ac:dyDescent="0.3">
      <c r="H184" s="5"/>
      <c r="J184" s="6"/>
      <c r="N184" s="4"/>
    </row>
    <row r="185" spans="8:14" x14ac:dyDescent="0.3">
      <c r="H185" s="5"/>
      <c r="J185" s="6"/>
      <c r="N185" s="4"/>
    </row>
    <row r="186" spans="8:14" x14ac:dyDescent="0.3">
      <c r="H186" s="5"/>
      <c r="J186" s="6"/>
      <c r="N186" s="4"/>
    </row>
    <row r="187" spans="8:14" x14ac:dyDescent="0.3">
      <c r="H187" s="5"/>
      <c r="J187" s="6"/>
      <c r="N187" s="4"/>
    </row>
    <row r="188" spans="8:14" x14ac:dyDescent="0.3">
      <c r="H188" s="5"/>
      <c r="J188" s="6"/>
      <c r="N188" s="4"/>
    </row>
    <row r="189" spans="8:14" x14ac:dyDescent="0.3">
      <c r="H189" s="5"/>
      <c r="J189" s="6"/>
      <c r="N189" s="4"/>
    </row>
    <row r="190" spans="8:14" x14ac:dyDescent="0.3">
      <c r="H190" s="5"/>
      <c r="J190" s="6"/>
      <c r="N190" s="4"/>
    </row>
    <row r="191" spans="8:14" x14ac:dyDescent="0.3">
      <c r="H191" s="5"/>
      <c r="J191" s="6"/>
      <c r="N191" s="4"/>
    </row>
    <row r="192" spans="8:14" x14ac:dyDescent="0.3">
      <c r="H192" s="5"/>
      <c r="J192" s="6"/>
      <c r="N192" s="4"/>
    </row>
    <row r="193" spans="8:14" x14ac:dyDescent="0.3">
      <c r="H193" s="5"/>
      <c r="J193" s="6"/>
      <c r="N193" s="4"/>
    </row>
    <row r="194" spans="8:14" x14ac:dyDescent="0.3">
      <c r="H194" s="5"/>
      <c r="J194" s="6"/>
      <c r="N194" s="4"/>
    </row>
    <row r="195" spans="8:14" x14ac:dyDescent="0.3">
      <c r="H195" s="5"/>
      <c r="J195" s="6"/>
      <c r="N195" s="4"/>
    </row>
    <row r="196" spans="8:14" x14ac:dyDescent="0.3">
      <c r="H196" s="5"/>
      <c r="J196" s="6"/>
      <c r="N196" s="4"/>
    </row>
    <row r="197" spans="8:14" x14ac:dyDescent="0.3">
      <c r="H197" s="5"/>
      <c r="J197" s="6"/>
      <c r="N197" s="4"/>
    </row>
    <row r="198" spans="8:14" x14ac:dyDescent="0.3">
      <c r="H198" s="5"/>
      <c r="J198" s="6"/>
      <c r="N198" s="4"/>
    </row>
    <row r="199" spans="8:14" x14ac:dyDescent="0.3">
      <c r="H199" s="5"/>
      <c r="J199" s="6"/>
      <c r="N199" s="4"/>
    </row>
    <row r="200" spans="8:14" x14ac:dyDescent="0.3">
      <c r="H200" s="5"/>
      <c r="J200" s="6"/>
      <c r="N200" s="4"/>
    </row>
    <row r="201" spans="8:14" x14ac:dyDescent="0.3">
      <c r="H201" s="5"/>
      <c r="J201" s="6"/>
      <c r="N201" s="4"/>
    </row>
    <row r="202" spans="8:14" x14ac:dyDescent="0.3">
      <c r="H202" s="5"/>
      <c r="J202" s="6"/>
      <c r="N202" s="4"/>
    </row>
    <row r="203" spans="8:14" x14ac:dyDescent="0.3">
      <c r="H203" s="5"/>
      <c r="J203" s="6"/>
      <c r="N203" s="4"/>
    </row>
    <row r="204" spans="8:14" x14ac:dyDescent="0.3">
      <c r="H204" s="5"/>
      <c r="J204" s="6"/>
      <c r="N204" s="4"/>
    </row>
    <row r="205" spans="8:14" x14ac:dyDescent="0.3">
      <c r="H205" s="5"/>
      <c r="J205" s="6"/>
      <c r="N205" s="4"/>
    </row>
    <row r="206" spans="8:14" x14ac:dyDescent="0.3">
      <c r="H206" s="5"/>
      <c r="J206" s="6"/>
      <c r="N206" s="4"/>
    </row>
    <row r="207" spans="8:14" x14ac:dyDescent="0.3">
      <c r="H207" s="5"/>
      <c r="J207" s="6"/>
      <c r="N207" s="4"/>
    </row>
    <row r="208" spans="8:14" x14ac:dyDescent="0.3">
      <c r="H208" s="5"/>
      <c r="J208" s="6"/>
      <c r="N208" s="4"/>
    </row>
    <row r="209" spans="8:14" x14ac:dyDescent="0.3">
      <c r="H209" s="5"/>
      <c r="J209" s="6"/>
      <c r="N209" s="4"/>
    </row>
    <row r="210" spans="8:14" x14ac:dyDescent="0.3">
      <c r="H210" s="5"/>
      <c r="J210" s="6"/>
      <c r="N210" s="4"/>
    </row>
    <row r="211" spans="8:14" x14ac:dyDescent="0.3">
      <c r="H211" s="5"/>
      <c r="J211" s="6"/>
      <c r="N211" s="4"/>
    </row>
    <row r="212" spans="8:14" x14ac:dyDescent="0.3">
      <c r="H212" s="5"/>
      <c r="J212" s="6"/>
      <c r="N212" s="4"/>
    </row>
    <row r="213" spans="8:14" x14ac:dyDescent="0.3">
      <c r="H213" s="5"/>
      <c r="J213" s="6"/>
      <c r="N213" s="4"/>
    </row>
    <row r="214" spans="8:14" x14ac:dyDescent="0.3">
      <c r="H214" s="5"/>
      <c r="J214" s="6"/>
      <c r="N214" s="4"/>
    </row>
    <row r="215" spans="8:14" x14ac:dyDescent="0.3">
      <c r="H215" s="5"/>
      <c r="J215" s="6"/>
      <c r="N215" s="4"/>
    </row>
    <row r="216" spans="8:14" x14ac:dyDescent="0.3">
      <c r="H216" s="5"/>
      <c r="J216" s="6"/>
      <c r="N216" s="4"/>
    </row>
    <row r="217" spans="8:14" x14ac:dyDescent="0.3">
      <c r="H217" s="5"/>
      <c r="J217" s="6"/>
      <c r="N217" s="4"/>
    </row>
    <row r="218" spans="8:14" x14ac:dyDescent="0.3">
      <c r="H218" s="5"/>
      <c r="J218" s="6"/>
      <c r="N218" s="4"/>
    </row>
    <row r="219" spans="8:14" x14ac:dyDescent="0.3">
      <c r="H219" s="5"/>
      <c r="J219" s="6"/>
      <c r="N219" s="4"/>
    </row>
    <row r="220" spans="8:14" x14ac:dyDescent="0.3">
      <c r="H220" s="5"/>
      <c r="J220" s="6"/>
      <c r="N220" s="4"/>
    </row>
    <row r="221" spans="8:14" x14ac:dyDescent="0.3">
      <c r="H221" s="5"/>
      <c r="J221" s="6"/>
      <c r="N221" s="4"/>
    </row>
    <row r="222" spans="8:14" x14ac:dyDescent="0.3">
      <c r="H222" s="5"/>
      <c r="J222" s="6"/>
      <c r="N222" s="4"/>
    </row>
    <row r="223" spans="8:14" x14ac:dyDescent="0.3">
      <c r="H223" s="5"/>
      <c r="J223" s="6"/>
      <c r="N223" s="4"/>
    </row>
    <row r="224" spans="8:14" x14ac:dyDescent="0.3">
      <c r="H224" s="5"/>
      <c r="J224" s="6"/>
      <c r="N224" s="4"/>
    </row>
    <row r="225" spans="8:14" x14ac:dyDescent="0.3">
      <c r="H225" s="5"/>
      <c r="J225" s="6"/>
      <c r="N225" s="4"/>
    </row>
    <row r="226" spans="8:14" x14ac:dyDescent="0.3">
      <c r="H226" s="5"/>
      <c r="J226" s="6"/>
      <c r="N226" s="4"/>
    </row>
    <row r="227" spans="8:14" x14ac:dyDescent="0.3">
      <c r="H227" s="5"/>
      <c r="J227" s="6"/>
      <c r="N227" s="4"/>
    </row>
    <row r="228" spans="8:14" x14ac:dyDescent="0.3">
      <c r="H228" s="5"/>
      <c r="J228" s="6"/>
      <c r="N228" s="4"/>
    </row>
    <row r="229" spans="8:14" x14ac:dyDescent="0.3">
      <c r="H229" s="5"/>
      <c r="J229" s="6"/>
      <c r="N229" s="4"/>
    </row>
    <row r="230" spans="8:14" x14ac:dyDescent="0.3">
      <c r="H230" s="5"/>
      <c r="J230" s="6"/>
      <c r="N230" s="4"/>
    </row>
    <row r="231" spans="8:14" x14ac:dyDescent="0.3">
      <c r="H231" s="5"/>
      <c r="J231" s="6"/>
      <c r="N231" s="4"/>
    </row>
    <row r="232" spans="8:14" x14ac:dyDescent="0.3">
      <c r="H232" s="5"/>
      <c r="J232" s="6"/>
      <c r="N232" s="4"/>
    </row>
    <row r="233" spans="8:14" x14ac:dyDescent="0.3">
      <c r="H233" s="5"/>
      <c r="J233" s="6"/>
      <c r="N233" s="4"/>
    </row>
    <row r="234" spans="8:14" x14ac:dyDescent="0.3">
      <c r="H234" s="5"/>
      <c r="J234" s="6"/>
      <c r="N234" s="4"/>
    </row>
    <row r="235" spans="8:14" x14ac:dyDescent="0.3">
      <c r="H235" s="5"/>
      <c r="J235" s="6"/>
      <c r="N235" s="4"/>
    </row>
    <row r="236" spans="8:14" x14ac:dyDescent="0.3">
      <c r="H236" s="5"/>
      <c r="J236" s="6"/>
      <c r="N236" s="4"/>
    </row>
    <row r="237" spans="8:14" x14ac:dyDescent="0.3">
      <c r="H237" s="5"/>
      <c r="J237" s="6"/>
      <c r="N237" s="4"/>
    </row>
    <row r="238" spans="8:14" x14ac:dyDescent="0.3">
      <c r="H238" s="5"/>
      <c r="J238" s="6"/>
      <c r="N238" s="4"/>
    </row>
    <row r="239" spans="8:14" x14ac:dyDescent="0.3">
      <c r="H239" s="5"/>
      <c r="J239" s="6"/>
      <c r="N239" s="4"/>
    </row>
    <row r="240" spans="8:14" x14ac:dyDescent="0.3">
      <c r="H240" s="5"/>
      <c r="J240" s="6"/>
      <c r="N240" s="4"/>
    </row>
    <row r="241" spans="8:14" x14ac:dyDescent="0.3">
      <c r="H241" s="5"/>
      <c r="J241" s="6"/>
      <c r="N241" s="4"/>
    </row>
    <row r="242" spans="8:14" x14ac:dyDescent="0.3">
      <c r="H242" s="5"/>
      <c r="J242" s="6"/>
      <c r="N242" s="4"/>
    </row>
    <row r="243" spans="8:14" x14ac:dyDescent="0.3">
      <c r="H243" s="5"/>
      <c r="J243" s="6"/>
      <c r="N243" s="4"/>
    </row>
    <row r="244" spans="8:14" x14ac:dyDescent="0.3">
      <c r="H244" s="5"/>
      <c r="J244" s="6"/>
      <c r="N244" s="4"/>
    </row>
    <row r="245" spans="8:14" x14ac:dyDescent="0.3">
      <c r="H245" s="5"/>
      <c r="J245" s="6"/>
      <c r="N245" s="4"/>
    </row>
    <row r="246" spans="8:14" x14ac:dyDescent="0.3">
      <c r="H246" s="5"/>
      <c r="J246" s="6"/>
      <c r="N246" s="4"/>
    </row>
    <row r="247" spans="8:14" x14ac:dyDescent="0.3">
      <c r="H247" s="5"/>
      <c r="J247" s="6"/>
      <c r="N247" s="4"/>
    </row>
    <row r="248" spans="8:14" x14ac:dyDescent="0.3">
      <c r="H248" s="5"/>
      <c r="J248" s="6"/>
      <c r="N248" s="4"/>
    </row>
    <row r="249" spans="8:14" x14ac:dyDescent="0.3">
      <c r="H249" s="5"/>
      <c r="J249" s="6"/>
      <c r="N249" s="4"/>
    </row>
    <row r="250" spans="8:14" x14ac:dyDescent="0.3">
      <c r="H250" s="5"/>
      <c r="J250" s="6"/>
      <c r="N250" s="4"/>
    </row>
    <row r="251" spans="8:14" x14ac:dyDescent="0.3">
      <c r="H251" s="5"/>
      <c r="J251" s="6"/>
      <c r="N251" s="4"/>
    </row>
    <row r="252" spans="8:14" x14ac:dyDescent="0.3">
      <c r="H252" s="5"/>
      <c r="J252" s="6"/>
      <c r="N252" s="4"/>
    </row>
    <row r="253" spans="8:14" x14ac:dyDescent="0.3">
      <c r="H253" s="5"/>
      <c r="J253" s="6"/>
      <c r="N253" s="4"/>
    </row>
    <row r="254" spans="8:14" x14ac:dyDescent="0.3">
      <c r="H254" s="5"/>
      <c r="J254" s="6"/>
      <c r="N254" s="4"/>
    </row>
    <row r="255" spans="8:14" x14ac:dyDescent="0.3">
      <c r="H255" s="5"/>
      <c r="J255" s="6"/>
      <c r="N255" s="4"/>
    </row>
    <row r="256" spans="8:14" x14ac:dyDescent="0.3">
      <c r="H256" s="5"/>
      <c r="J256" s="6"/>
      <c r="N256" s="4"/>
    </row>
    <row r="257" spans="8:14" x14ac:dyDescent="0.3">
      <c r="H257" s="5"/>
      <c r="J257" s="6"/>
      <c r="N257" s="4"/>
    </row>
    <row r="258" spans="8:14" x14ac:dyDescent="0.3">
      <c r="H258" s="5"/>
      <c r="J258" s="6"/>
      <c r="N258" s="4"/>
    </row>
    <row r="259" spans="8:14" x14ac:dyDescent="0.3">
      <c r="H259" s="5"/>
      <c r="J259" s="6"/>
      <c r="N259" s="4"/>
    </row>
    <row r="260" spans="8:14" x14ac:dyDescent="0.3">
      <c r="H260" s="5"/>
      <c r="J260" s="6"/>
      <c r="N260" s="4"/>
    </row>
    <row r="261" spans="8:14" x14ac:dyDescent="0.3">
      <c r="H261" s="5"/>
      <c r="J261" s="6"/>
      <c r="N261" s="4"/>
    </row>
    <row r="262" spans="8:14" x14ac:dyDescent="0.3">
      <c r="H262" s="5"/>
      <c r="J262" s="6"/>
      <c r="N262" s="4"/>
    </row>
    <row r="263" spans="8:14" x14ac:dyDescent="0.3">
      <c r="H263" s="5"/>
      <c r="J263" s="6"/>
      <c r="N263" s="4"/>
    </row>
    <row r="264" spans="8:14" x14ac:dyDescent="0.3">
      <c r="H264" s="5"/>
      <c r="J264" s="6"/>
      <c r="N264" s="4"/>
    </row>
    <row r="265" spans="8:14" x14ac:dyDescent="0.3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tabSelected="1" zoomScale="70" zoomScaleNormal="70" workbookViewId="0">
      <selection activeCell="A2" sqref="A2:XFD2"/>
    </sheetView>
  </sheetViews>
  <sheetFormatPr defaultRowHeight="14.4" x14ac:dyDescent="0.3"/>
  <cols>
    <col min="1" max="1" width="1.6640625" customWidth="1"/>
    <col min="2" max="2" width="3.6640625" customWidth="1"/>
    <col min="3" max="3" width="12.5546875" customWidth="1"/>
    <col min="4" max="4" width="13.88671875" bestFit="1" customWidth="1"/>
    <col min="5" max="5" width="14.88671875" bestFit="1" customWidth="1"/>
    <col min="6" max="6" width="13.6640625" bestFit="1" customWidth="1"/>
    <col min="7" max="7" width="25.886718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23.88671875" bestFit="1" customWidth="1"/>
    <col min="14" max="14" width="13.44140625" bestFit="1" customWidth="1"/>
    <col min="15" max="15" width="12.6640625" customWidth="1"/>
  </cols>
  <sheetData>
    <row r="1" spans="1:15" s="2" customFormat="1" ht="52.5" customHeight="1" x14ac:dyDescent="0.3">
      <c r="A1" s="1"/>
      <c r="C1" s="3" t="s">
        <v>739</v>
      </c>
    </row>
    <row r="7" spans="1:15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 x14ac:dyDescent="0.3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 x14ac:dyDescent="0.3">
      <c r="C9" t="s">
        <v>309</v>
      </c>
      <c r="D9" t="s">
        <v>310</v>
      </c>
      <c r="E9" t="s">
        <v>311</v>
      </c>
      <c r="F9" t="s">
        <v>24</v>
      </c>
      <c r="G9" t="s">
        <v>790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 x14ac:dyDescent="0.3">
      <c r="C10" t="s">
        <v>608</v>
      </c>
      <c r="D10" t="s">
        <v>283</v>
      </c>
      <c r="E10" t="s">
        <v>284</v>
      </c>
      <c r="F10" t="s">
        <v>24</v>
      </c>
      <c r="G10" t="s">
        <v>25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 x14ac:dyDescent="0.3">
      <c r="C11" t="s">
        <v>608</v>
      </c>
      <c r="D11" t="s">
        <v>283</v>
      </c>
      <c r="E11" t="s">
        <v>284</v>
      </c>
      <c r="F11" t="s">
        <v>24</v>
      </c>
      <c r="G11" t="s">
        <v>25</v>
      </c>
      <c r="H11" s="5">
        <v>80695.740000000005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 x14ac:dyDescent="0.3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 x14ac:dyDescent="0.3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 x14ac:dyDescent="0.3">
      <c r="C14" t="s">
        <v>59</v>
      </c>
      <c r="D14" t="s">
        <v>60</v>
      </c>
      <c r="E14" t="s">
        <v>61</v>
      </c>
      <c r="F14" t="s">
        <v>24</v>
      </c>
      <c r="G14" t="s">
        <v>25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 x14ac:dyDescent="0.3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 x14ac:dyDescent="0.3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 x14ac:dyDescent="0.3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 x14ac:dyDescent="0.3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 x14ac:dyDescent="0.3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 x14ac:dyDescent="0.3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 x14ac:dyDescent="0.3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 x14ac:dyDescent="0.3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 x14ac:dyDescent="0.3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 x14ac:dyDescent="0.3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 x14ac:dyDescent="0.3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 x14ac:dyDescent="0.3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 x14ac:dyDescent="0.3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 x14ac:dyDescent="0.3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 x14ac:dyDescent="0.3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 x14ac:dyDescent="0.3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 x14ac:dyDescent="0.3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 x14ac:dyDescent="0.3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 x14ac:dyDescent="0.3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 x14ac:dyDescent="0.3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 x14ac:dyDescent="0.3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 x14ac:dyDescent="0.3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 x14ac:dyDescent="0.3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 x14ac:dyDescent="0.3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 x14ac:dyDescent="0.3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 x14ac:dyDescent="0.3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 x14ac:dyDescent="0.3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 x14ac:dyDescent="0.3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 x14ac:dyDescent="0.3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 x14ac:dyDescent="0.3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 x14ac:dyDescent="0.3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 x14ac:dyDescent="0.3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 x14ac:dyDescent="0.3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 x14ac:dyDescent="0.3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 x14ac:dyDescent="0.3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 x14ac:dyDescent="0.3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 x14ac:dyDescent="0.3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 x14ac:dyDescent="0.3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 x14ac:dyDescent="0.3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 x14ac:dyDescent="0.3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 x14ac:dyDescent="0.3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 x14ac:dyDescent="0.3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 x14ac:dyDescent="0.3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 x14ac:dyDescent="0.3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 x14ac:dyDescent="0.3">
      <c r="C59" t="s">
        <v>69</v>
      </c>
      <c r="D59" t="s">
        <v>70</v>
      </c>
      <c r="E59" t="s">
        <v>71</v>
      </c>
      <c r="F59" t="s">
        <v>24</v>
      </c>
      <c r="G59" t="s">
        <v>25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 x14ac:dyDescent="0.3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 x14ac:dyDescent="0.3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 x14ac:dyDescent="0.3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 x14ac:dyDescent="0.3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 x14ac:dyDescent="0.3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 x14ac:dyDescent="0.3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 x14ac:dyDescent="0.3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 x14ac:dyDescent="0.3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 x14ac:dyDescent="0.3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 x14ac:dyDescent="0.3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 x14ac:dyDescent="0.3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 x14ac:dyDescent="0.3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 x14ac:dyDescent="0.3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 x14ac:dyDescent="0.3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 x14ac:dyDescent="0.3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 x14ac:dyDescent="0.3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 x14ac:dyDescent="0.3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 x14ac:dyDescent="0.3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 x14ac:dyDescent="0.3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 x14ac:dyDescent="0.3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 x14ac:dyDescent="0.3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 x14ac:dyDescent="0.3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 x14ac:dyDescent="0.3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 x14ac:dyDescent="0.3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 x14ac:dyDescent="0.3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 x14ac:dyDescent="0.3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 x14ac:dyDescent="0.3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 x14ac:dyDescent="0.3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 x14ac:dyDescent="0.3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 x14ac:dyDescent="0.3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 x14ac:dyDescent="0.3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 x14ac:dyDescent="0.3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 x14ac:dyDescent="0.3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 x14ac:dyDescent="0.3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 x14ac:dyDescent="0.3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 x14ac:dyDescent="0.3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 x14ac:dyDescent="0.3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 x14ac:dyDescent="0.3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 x14ac:dyDescent="0.3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 x14ac:dyDescent="0.3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 x14ac:dyDescent="0.3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 x14ac:dyDescent="0.3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 x14ac:dyDescent="0.3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 x14ac:dyDescent="0.3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 x14ac:dyDescent="0.3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 x14ac:dyDescent="0.3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 x14ac:dyDescent="0.3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 x14ac:dyDescent="0.3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 x14ac:dyDescent="0.3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 x14ac:dyDescent="0.3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 x14ac:dyDescent="0.3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 x14ac:dyDescent="0.3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 x14ac:dyDescent="0.3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 x14ac:dyDescent="0.3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 x14ac:dyDescent="0.3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 x14ac:dyDescent="0.3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 x14ac:dyDescent="0.3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 x14ac:dyDescent="0.3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 x14ac:dyDescent="0.3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 x14ac:dyDescent="0.3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 x14ac:dyDescent="0.3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 x14ac:dyDescent="0.3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 x14ac:dyDescent="0.3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 x14ac:dyDescent="0.3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 x14ac:dyDescent="0.3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 x14ac:dyDescent="0.3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 x14ac:dyDescent="0.3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 x14ac:dyDescent="0.3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 x14ac:dyDescent="0.3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 x14ac:dyDescent="0.3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 x14ac:dyDescent="0.3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 x14ac:dyDescent="0.3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 x14ac:dyDescent="0.3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 x14ac:dyDescent="0.3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 x14ac:dyDescent="0.3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 x14ac:dyDescent="0.3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 x14ac:dyDescent="0.3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 x14ac:dyDescent="0.3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 x14ac:dyDescent="0.3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 x14ac:dyDescent="0.3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 x14ac:dyDescent="0.3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 x14ac:dyDescent="0.3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 x14ac:dyDescent="0.3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 x14ac:dyDescent="0.3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 x14ac:dyDescent="0.3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 x14ac:dyDescent="0.3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 x14ac:dyDescent="0.3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 x14ac:dyDescent="0.3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 x14ac:dyDescent="0.3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 x14ac:dyDescent="0.3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 x14ac:dyDescent="0.3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 x14ac:dyDescent="0.3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 x14ac:dyDescent="0.3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 x14ac:dyDescent="0.3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 x14ac:dyDescent="0.3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 x14ac:dyDescent="0.3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 x14ac:dyDescent="0.3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 x14ac:dyDescent="0.3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 x14ac:dyDescent="0.3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 x14ac:dyDescent="0.3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 x14ac:dyDescent="0.3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 x14ac:dyDescent="0.3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 x14ac:dyDescent="0.3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 x14ac:dyDescent="0.3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 x14ac:dyDescent="0.3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 x14ac:dyDescent="0.3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 x14ac:dyDescent="0.3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 x14ac:dyDescent="0.3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 x14ac:dyDescent="0.3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 x14ac:dyDescent="0.3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 x14ac:dyDescent="0.3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 x14ac:dyDescent="0.3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 x14ac:dyDescent="0.3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 x14ac:dyDescent="0.3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 x14ac:dyDescent="0.3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 x14ac:dyDescent="0.3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 x14ac:dyDescent="0.3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 x14ac:dyDescent="0.3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 x14ac:dyDescent="0.3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 x14ac:dyDescent="0.3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 x14ac:dyDescent="0.3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 x14ac:dyDescent="0.3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 x14ac:dyDescent="0.3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 x14ac:dyDescent="0.3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 x14ac:dyDescent="0.3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 x14ac:dyDescent="0.3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 x14ac:dyDescent="0.3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 x14ac:dyDescent="0.3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 x14ac:dyDescent="0.3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 x14ac:dyDescent="0.3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 x14ac:dyDescent="0.3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 x14ac:dyDescent="0.3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 x14ac:dyDescent="0.3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 x14ac:dyDescent="0.3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 x14ac:dyDescent="0.3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 x14ac:dyDescent="0.3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 x14ac:dyDescent="0.3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 x14ac:dyDescent="0.3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 x14ac:dyDescent="0.3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 x14ac:dyDescent="0.3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 x14ac:dyDescent="0.3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 x14ac:dyDescent="0.3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 x14ac:dyDescent="0.3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 x14ac:dyDescent="0.3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 x14ac:dyDescent="0.3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 x14ac:dyDescent="0.3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 x14ac:dyDescent="0.3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 x14ac:dyDescent="0.3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 x14ac:dyDescent="0.3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 x14ac:dyDescent="0.3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 x14ac:dyDescent="0.3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 x14ac:dyDescent="0.3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 x14ac:dyDescent="0.3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 x14ac:dyDescent="0.3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 x14ac:dyDescent="0.3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 x14ac:dyDescent="0.3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 x14ac:dyDescent="0.3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 x14ac:dyDescent="0.3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 x14ac:dyDescent="0.3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 x14ac:dyDescent="0.3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 x14ac:dyDescent="0.3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 x14ac:dyDescent="0.3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 x14ac:dyDescent="0.3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 x14ac:dyDescent="0.3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 x14ac:dyDescent="0.3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 x14ac:dyDescent="0.3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 x14ac:dyDescent="0.3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 x14ac:dyDescent="0.3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 x14ac:dyDescent="0.3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 x14ac:dyDescent="0.3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 x14ac:dyDescent="0.3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 x14ac:dyDescent="0.3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 x14ac:dyDescent="0.3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 x14ac:dyDescent="0.3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 x14ac:dyDescent="0.3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 x14ac:dyDescent="0.3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 x14ac:dyDescent="0.3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 x14ac:dyDescent="0.3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 x14ac:dyDescent="0.3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 x14ac:dyDescent="0.3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 x14ac:dyDescent="0.3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 x14ac:dyDescent="0.3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 x14ac:dyDescent="0.3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 x14ac:dyDescent="0.3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 x14ac:dyDescent="0.3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 x14ac:dyDescent="0.3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 x14ac:dyDescent="0.3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 x14ac:dyDescent="0.3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 x14ac:dyDescent="0.3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 x14ac:dyDescent="0.3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 x14ac:dyDescent="0.3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 x14ac:dyDescent="0.3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 x14ac:dyDescent="0.3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 x14ac:dyDescent="0.3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 x14ac:dyDescent="0.3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 x14ac:dyDescent="0.3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 x14ac:dyDescent="0.3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 x14ac:dyDescent="0.3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 x14ac:dyDescent="0.3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 x14ac:dyDescent="0.3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 x14ac:dyDescent="0.3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 x14ac:dyDescent="0.3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 x14ac:dyDescent="0.3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 x14ac:dyDescent="0.3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 x14ac:dyDescent="0.3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 x14ac:dyDescent="0.3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 x14ac:dyDescent="0.3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 x14ac:dyDescent="0.3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FC14-EDDE-40B8-B466-B72BE3BDE837}">
  <dimension ref="B2:O233"/>
  <sheetViews>
    <sheetView zoomScale="70" zoomScaleNormal="70" workbookViewId="0">
      <selection activeCell="E2" sqref="E2"/>
    </sheetView>
  </sheetViews>
  <sheetFormatPr defaultRowHeight="14.4" x14ac:dyDescent="0.3"/>
  <cols>
    <col min="2" max="2" width="35.109375" customWidth="1"/>
    <col min="3" max="3" width="18.77734375" customWidth="1"/>
    <col min="4" max="4" width="18.21875" customWidth="1"/>
    <col min="5" max="5" width="19.5546875" customWidth="1"/>
    <col min="6" max="6" width="22.6640625" customWidth="1"/>
    <col min="7" max="7" width="14.21875" customWidth="1"/>
    <col min="8" max="8" width="34.44140625" customWidth="1"/>
    <col min="9" max="9" width="14.77734375" customWidth="1"/>
    <col min="11" max="11" width="13.33203125" customWidth="1"/>
    <col min="12" max="12" width="28.88671875" customWidth="1"/>
    <col min="13" max="13" width="22.33203125" customWidth="1"/>
    <col min="14" max="14" width="16.77734375" customWidth="1"/>
    <col min="15" max="15" width="11.5546875" bestFit="1" customWidth="1"/>
    <col min="18" max="18" width="16.5546875" customWidth="1"/>
    <col min="19" max="19" width="18.21875" customWidth="1"/>
  </cols>
  <sheetData>
    <row r="2" spans="2:8" x14ac:dyDescent="0.3">
      <c r="B2" s="26" t="s">
        <v>768</v>
      </c>
      <c r="C2" s="26" t="s">
        <v>769</v>
      </c>
      <c r="D2" s="26" t="s">
        <v>770</v>
      </c>
      <c r="E2" s="26" t="s">
        <v>771</v>
      </c>
      <c r="F2" s="26" t="s">
        <v>772</v>
      </c>
      <c r="G2" s="26" t="s">
        <v>37</v>
      </c>
      <c r="H2" s="26" t="s">
        <v>76</v>
      </c>
    </row>
    <row r="3" spans="2:8" x14ac:dyDescent="0.3">
      <c r="B3" t="s">
        <v>36</v>
      </c>
      <c r="C3">
        <f>COUNTIFS(staff[Department],B3)</f>
        <v>24</v>
      </c>
      <c r="D3" s="27">
        <f>SUMIFS(staff[Salary],staff[Department],B3)</f>
        <v>2013215.1600000001</v>
      </c>
      <c r="E3" s="28">
        <f>AVERAGEIFS(staff[Salary],staff[Department],B3)</f>
        <v>83883.965000000011</v>
      </c>
      <c r="F3">
        <f>COUNTIFS(staff[Department],'1'!B3,staff[Employee type],"Permanent")</f>
        <v>11</v>
      </c>
      <c r="G3">
        <f>COUNTIFS(staff[Department],B3,staff[Employee type],"Fixed Term")</f>
        <v>6</v>
      </c>
      <c r="H3">
        <f>COUNTIFS(staff[Department],B3,staff[Employee type],"Temporary")</f>
        <v>7</v>
      </c>
    </row>
    <row r="4" spans="2:8" x14ac:dyDescent="0.3">
      <c r="B4" t="s">
        <v>25</v>
      </c>
      <c r="C4">
        <f>COUNTIFS(staff[Department],B4)</f>
        <v>25</v>
      </c>
      <c r="D4" s="27">
        <f>SUMIFS(staff[Salary],staff[Department],B4)</f>
        <v>2003677.4900000002</v>
      </c>
      <c r="E4" s="28">
        <f>AVERAGEIFS(staff[Salary],staff[Department],B4)</f>
        <v>80147.099600000016</v>
      </c>
      <c r="F4">
        <f>COUNTIFS(staff[Department],'1'!B4,staff[Employee type],"Permanent")</f>
        <v>17</v>
      </c>
      <c r="G4">
        <f>COUNTIFS(staff[Department],B4,staff[Employee type],"Fixed Term")</f>
        <v>4</v>
      </c>
      <c r="H4">
        <f>COUNTIFS(staff[Department],B4,staff[Employee type],"temporary")</f>
        <v>4</v>
      </c>
    </row>
    <row r="5" spans="2:8" x14ac:dyDescent="0.3">
      <c r="B5" t="s">
        <v>16</v>
      </c>
      <c r="C5">
        <f>COUNTIFS(staff[Department],B5)</f>
        <v>26</v>
      </c>
      <c r="D5" s="27">
        <f>SUMIFS(staff[Salary],staff[Department],B5)</f>
        <v>2131387.4899999998</v>
      </c>
      <c r="E5" s="28">
        <f>AVERAGEIFS(staff[Salary],staff[Department],B5)</f>
        <v>81976.441923076913</v>
      </c>
      <c r="F5">
        <f>COUNTIFS(staff[Department],'1'!B5,staff[Employee type],"Permanent")</f>
        <v>16</v>
      </c>
      <c r="G5">
        <f>COUNTIFS(staff[Department],B5,staff[Employee type],"Fixed Term")</f>
        <v>5</v>
      </c>
      <c r="H5">
        <f>COUNTIFS(staff[Department],B5,staff[Employee type],"temporary")</f>
        <v>5</v>
      </c>
    </row>
    <row r="6" spans="2:8" x14ac:dyDescent="0.3">
      <c r="B6" t="s">
        <v>54</v>
      </c>
      <c r="C6">
        <f>COUNTIFS(staff[Department],B6)</f>
        <v>12</v>
      </c>
      <c r="D6" s="27">
        <f>SUMIFS(staff[Salary],staff[Department],B6)</f>
        <v>773295.6</v>
      </c>
      <c r="E6" s="28">
        <f>AVERAGEIFS(staff[Salary],staff[Department],B6)</f>
        <v>64441.299999999996</v>
      </c>
      <c r="F6">
        <f>COUNTIFS(staff[Department],'1'!B6,staff[Employee type],"Permanent")</f>
        <v>9</v>
      </c>
      <c r="G6">
        <f>COUNTIFS(staff[Department],B6,staff[Employee type],"Fixed Term")</f>
        <v>2</v>
      </c>
      <c r="H6">
        <f>COUNTIFS(staff[Department],B6,staff[Employee type],"temporary")</f>
        <v>1</v>
      </c>
    </row>
    <row r="7" spans="2:8" x14ac:dyDescent="0.3">
      <c r="B7" t="s">
        <v>131</v>
      </c>
      <c r="C7">
        <f>COUNTIFS(staff[Department],B7)</f>
        <v>21</v>
      </c>
      <c r="D7" s="27">
        <f>SUMIFS(staff[Salary],staff[Department],B7)</f>
        <v>1412092.87</v>
      </c>
      <c r="E7" s="28">
        <f>AVERAGEIFS(staff[Salary],staff[Department],B7)</f>
        <v>67242.51761904762</v>
      </c>
      <c r="F7">
        <f>COUNTIFS(staff[Department],'1'!B7,staff[Employee type],"Permanent")</f>
        <v>13</v>
      </c>
      <c r="G7">
        <f>COUNTIFS(staff[Department],B7,staff[Employee type],"Fixed Term")</f>
        <v>3</v>
      </c>
      <c r="H7">
        <f>COUNTIFS(staff[Department],B7,staff[Employee type],"temporary")</f>
        <v>5</v>
      </c>
    </row>
    <row r="8" spans="2:8" x14ac:dyDescent="0.3">
      <c r="B8" t="s">
        <v>101</v>
      </c>
      <c r="C8">
        <f>COUNTIFS(staff[Department],B8)</f>
        <v>26</v>
      </c>
      <c r="D8" s="27">
        <f>SUMIFS(staff[Salary],staff[Department],B8)</f>
        <v>1814980.59</v>
      </c>
      <c r="E8" s="28">
        <f>AVERAGEIFS(staff[Salary],staff[Department],B8)</f>
        <v>69806.945769230777</v>
      </c>
      <c r="F8">
        <f>COUNTIFS(staff[Department],'1'!B8,staff[Employee type],"Permanent")</f>
        <v>18</v>
      </c>
      <c r="G8">
        <f>COUNTIFS(staff[Department],B8,staff[Employee type],"Fixed Term")</f>
        <v>4</v>
      </c>
      <c r="H8">
        <f>COUNTIFS(staff[Department],B8,staff[Employee type],"temporary")</f>
        <v>4</v>
      </c>
    </row>
    <row r="9" spans="2:8" x14ac:dyDescent="0.3">
      <c r="B9" t="s">
        <v>97</v>
      </c>
      <c r="C9">
        <f>COUNTIFS(staff[Department],B9)</f>
        <v>22</v>
      </c>
      <c r="D9" s="27">
        <f>SUMIFS(staff[Salary],staff[Department],B9)</f>
        <v>1608406.3100000003</v>
      </c>
      <c r="E9" s="28">
        <f>AVERAGEIFS(staff[Salary],staff[Department],B9)</f>
        <v>73109.377727272746</v>
      </c>
      <c r="F9">
        <f>COUNTIFS(staff[Department],'1'!B9,staff[Employee type],"Permanent")</f>
        <v>13</v>
      </c>
      <c r="G9">
        <f>COUNTIFS(staff[Department],B9,staff[Employee type],"Fixed Term")</f>
        <v>6</v>
      </c>
      <c r="H9">
        <f>COUNTIFS(staff[Department],B9,staff[Employee type],"temporary")</f>
        <v>3</v>
      </c>
    </row>
    <row r="10" spans="2:8" x14ac:dyDescent="0.3">
      <c r="B10" t="s">
        <v>58</v>
      </c>
      <c r="C10">
        <f>COUNTIFS(staff[Department],B10)</f>
        <v>18</v>
      </c>
      <c r="D10" s="27">
        <f>SUMIFS(staff[Salary],staff[Department],B10)</f>
        <v>1204393.78</v>
      </c>
      <c r="E10" s="28">
        <f>AVERAGEIFS(staff[Salary],staff[Department],B10)</f>
        <v>66910.765555555554</v>
      </c>
      <c r="F10">
        <f>COUNTIFS(staff[Department],'1'!B10,staff[Employee type],"Permanent")</f>
        <v>11</v>
      </c>
      <c r="G10">
        <f>COUNTIFS(staff[Department],B10,staff[Employee type],"Fixed Term")</f>
        <v>4</v>
      </c>
      <c r="H10">
        <f>COUNTIFS(staff[Department],B10,staff[Employee type],"temporary")</f>
        <v>3</v>
      </c>
    </row>
    <row r="11" spans="2:8" x14ac:dyDescent="0.3">
      <c r="B11" t="s">
        <v>32</v>
      </c>
      <c r="C11">
        <f>COUNTIFS(staff[Department],B11)</f>
        <v>21</v>
      </c>
      <c r="D11" s="27">
        <f>SUMIFS(staff[Salary],staff[Department],B11)</f>
        <v>1568153.47</v>
      </c>
      <c r="E11" s="28">
        <f>AVERAGEIFS(staff[Salary],staff[Department],B11)</f>
        <v>74673.974761904756</v>
      </c>
      <c r="F11">
        <f>COUNTIFS(staff[Department],'1'!B11,staff[Employee type],"Permanent")</f>
        <v>16</v>
      </c>
      <c r="G11">
        <f>COUNTIFS(staff[Department],B11,staff[Employee type],"Fixed Term")</f>
        <v>3</v>
      </c>
      <c r="H11">
        <f>COUNTIFS(staff[Department],B11,staff[Employee type],"temporary")</f>
        <v>2</v>
      </c>
    </row>
    <row r="12" spans="2:8" x14ac:dyDescent="0.3">
      <c r="B12" t="s">
        <v>124</v>
      </c>
      <c r="C12">
        <f>COUNTIFS(staff[Department],B12)</f>
        <v>29</v>
      </c>
      <c r="D12" s="27">
        <f>SUMIFS(staff[Salary],staff[Department],B12)</f>
        <v>2180192.8699999992</v>
      </c>
      <c r="E12" s="28">
        <f>AVERAGEIFS(staff[Salary],staff[Department],B12)</f>
        <v>75179.064482758593</v>
      </c>
      <c r="F12">
        <f>COUNTIFS(staff[Department],'1'!B12,staff[Employee type],"Permanent")</f>
        <v>19</v>
      </c>
      <c r="G12">
        <f>COUNTIFS(staff[Department],B12,staff[Employee type],"Fixed Term")</f>
        <v>7</v>
      </c>
      <c r="H12">
        <f>COUNTIFS(staff[Department],B12,staff[Employee type],"temporary")</f>
        <v>3</v>
      </c>
    </row>
    <row r="13" spans="2:8" x14ac:dyDescent="0.3">
      <c r="B13" t="s">
        <v>50</v>
      </c>
      <c r="C13">
        <f>COUNTIFS(staff[Department],B13)</f>
        <v>17</v>
      </c>
      <c r="D13" s="27">
        <f>SUMIFS(staff[Salary],staff[Department],B13)</f>
        <v>1129351.75</v>
      </c>
      <c r="E13" s="28">
        <f>AVERAGEIFS(staff[Salary],staff[Department],B13)</f>
        <v>66432.455882352937</v>
      </c>
      <c r="F13">
        <f>COUNTIFS(staff[Department],'1'!B13,staff[Employee type],"Permanent")</f>
        <v>11</v>
      </c>
      <c r="G13">
        <f>COUNTIFS(staff[Department],B13,staff[Employee type],"Fixed Term")</f>
        <v>3</v>
      </c>
      <c r="H13">
        <f>COUNTIFS(staff[Department],B13,staff[Employee type],"temporary")</f>
        <v>3</v>
      </c>
    </row>
    <row r="14" spans="2:8" x14ac:dyDescent="0.3">
      <c r="B14" t="s">
        <v>105</v>
      </c>
      <c r="C14">
        <f>COUNTIFS(staff[Department],B14)</f>
        <v>18</v>
      </c>
      <c r="D14" s="27">
        <f>SUMIFS(staff[Salary],staff[Department],B14)</f>
        <v>1294147.72</v>
      </c>
      <c r="E14" s="28">
        <f>AVERAGEIFS(staff[Salary],staff[Department],B14)</f>
        <v>71897.095555555556</v>
      </c>
      <c r="F14">
        <f>COUNTIFS(staff[Department],'1'!B14,staff[Employee type],"Permanent")</f>
        <v>13</v>
      </c>
      <c r="G14">
        <f>COUNTIFS(staff[Department],B14,staff[Employee type],"Fixed Term")</f>
        <v>3</v>
      </c>
      <c r="H14">
        <f>COUNTIFS(staff[Department],B14,staff[Employee type],"temporary")</f>
        <v>2</v>
      </c>
    </row>
    <row r="69" spans="7:9" x14ac:dyDescent="0.3">
      <c r="G69" s="30"/>
      <c r="H69" s="32"/>
      <c r="I69" s="29"/>
    </row>
    <row r="70" spans="7:9" x14ac:dyDescent="0.3">
      <c r="G70" s="30"/>
      <c r="H70" s="32"/>
      <c r="I70" s="29"/>
    </row>
    <row r="71" spans="7:9" x14ac:dyDescent="0.3">
      <c r="G71" s="30"/>
      <c r="H71" s="32"/>
      <c r="I71" s="29"/>
    </row>
    <row r="72" spans="7:9" x14ac:dyDescent="0.3">
      <c r="G72" s="30"/>
    </row>
    <row r="73" spans="7:9" x14ac:dyDescent="0.3">
      <c r="G73" s="30"/>
    </row>
    <row r="74" spans="7:9" x14ac:dyDescent="0.3">
      <c r="G74" s="30"/>
    </row>
    <row r="75" spans="7:9" x14ac:dyDescent="0.3">
      <c r="G75" s="30"/>
    </row>
    <row r="76" spans="7:9" x14ac:dyDescent="0.3">
      <c r="G76" s="30"/>
    </row>
    <row r="77" spans="7:9" x14ac:dyDescent="0.3">
      <c r="G77" s="30"/>
    </row>
    <row r="78" spans="7:9" x14ac:dyDescent="0.3">
      <c r="G78" s="30"/>
    </row>
    <row r="79" spans="7:9" x14ac:dyDescent="0.3">
      <c r="G79" s="30"/>
    </row>
    <row r="80" spans="7:9" x14ac:dyDescent="0.3">
      <c r="G80" s="30"/>
    </row>
    <row r="81" spans="7:9" x14ac:dyDescent="0.3">
      <c r="G81" s="30"/>
    </row>
    <row r="82" spans="7:9" x14ac:dyDescent="0.3">
      <c r="G82" s="30"/>
    </row>
    <row r="83" spans="7:9" x14ac:dyDescent="0.3">
      <c r="G83" s="30"/>
    </row>
    <row r="84" spans="7:9" x14ac:dyDescent="0.3">
      <c r="G84" s="30"/>
    </row>
    <row r="85" spans="7:9" x14ac:dyDescent="0.3">
      <c r="G85" s="30"/>
    </row>
    <row r="86" spans="7:9" x14ac:dyDescent="0.3">
      <c r="G86" s="30"/>
    </row>
    <row r="87" spans="7:9" x14ac:dyDescent="0.3">
      <c r="G87" s="30"/>
    </row>
    <row r="88" spans="7:9" x14ac:dyDescent="0.3">
      <c r="G88" s="30"/>
    </row>
    <row r="89" spans="7:9" x14ac:dyDescent="0.3">
      <c r="G89" s="30"/>
    </row>
    <row r="90" spans="7:9" x14ac:dyDescent="0.3">
      <c r="G90" s="30"/>
    </row>
    <row r="91" spans="7:9" x14ac:dyDescent="0.3">
      <c r="G91" s="30"/>
    </row>
    <row r="92" spans="7:9" x14ac:dyDescent="0.3">
      <c r="G92" s="30"/>
    </row>
    <row r="93" spans="7:9" x14ac:dyDescent="0.3">
      <c r="G93" s="30"/>
    </row>
    <row r="94" spans="7:9" x14ac:dyDescent="0.3">
      <c r="G94" s="30"/>
    </row>
    <row r="95" spans="7:9" x14ac:dyDescent="0.3">
      <c r="G95" s="30"/>
      <c r="H95" s="32"/>
      <c r="I95" s="29"/>
    </row>
    <row r="96" spans="7:9" x14ac:dyDescent="0.3">
      <c r="G96" s="30"/>
      <c r="H96" s="32"/>
      <c r="I96" s="29"/>
    </row>
    <row r="97" spans="7:9" x14ac:dyDescent="0.3">
      <c r="G97" s="30"/>
      <c r="H97" s="32"/>
      <c r="I97" s="29"/>
    </row>
    <row r="98" spans="7:9" x14ac:dyDescent="0.3">
      <c r="G98" s="30"/>
    </row>
    <row r="99" spans="7:9" x14ac:dyDescent="0.3">
      <c r="G99" s="30"/>
    </row>
    <row r="100" spans="7:9" x14ac:dyDescent="0.3">
      <c r="G100" s="30"/>
    </row>
    <row r="101" spans="7:9" x14ac:dyDescent="0.3">
      <c r="G101" s="30"/>
    </row>
    <row r="102" spans="7:9" x14ac:dyDescent="0.3">
      <c r="G102" s="30"/>
    </row>
    <row r="103" spans="7:9" x14ac:dyDescent="0.3">
      <c r="G103" s="30"/>
    </row>
    <row r="104" spans="7:9" x14ac:dyDescent="0.3">
      <c r="G104" s="30"/>
    </row>
    <row r="105" spans="7:9" x14ac:dyDescent="0.3">
      <c r="G105" s="30"/>
    </row>
    <row r="106" spans="7:9" x14ac:dyDescent="0.3">
      <c r="G106" s="30"/>
    </row>
    <row r="107" spans="7:9" x14ac:dyDescent="0.3">
      <c r="G107" s="30"/>
    </row>
    <row r="108" spans="7:9" x14ac:dyDescent="0.3">
      <c r="G108" s="30"/>
    </row>
    <row r="109" spans="7:9" x14ac:dyDescent="0.3">
      <c r="G109" s="30"/>
    </row>
    <row r="110" spans="7:9" x14ac:dyDescent="0.3">
      <c r="G110" s="30"/>
    </row>
    <row r="111" spans="7:9" x14ac:dyDescent="0.3">
      <c r="G111" s="30"/>
    </row>
    <row r="112" spans="7:9" x14ac:dyDescent="0.3">
      <c r="G112" s="30"/>
    </row>
    <row r="113" spans="7:7" x14ac:dyDescent="0.3">
      <c r="G113" s="30"/>
    </row>
    <row r="114" spans="7:7" x14ac:dyDescent="0.3">
      <c r="G114" s="30"/>
    </row>
    <row r="115" spans="7:7" x14ac:dyDescent="0.3">
      <c r="G115" s="30"/>
    </row>
    <row r="116" spans="7:7" x14ac:dyDescent="0.3">
      <c r="G116" s="30"/>
    </row>
    <row r="117" spans="7:7" x14ac:dyDescent="0.3">
      <c r="G117" s="30"/>
    </row>
    <row r="118" spans="7:7" x14ac:dyDescent="0.3">
      <c r="G118" s="30"/>
    </row>
    <row r="119" spans="7:7" x14ac:dyDescent="0.3">
      <c r="G119" s="30"/>
    </row>
    <row r="120" spans="7:7" x14ac:dyDescent="0.3">
      <c r="G120" s="30"/>
    </row>
    <row r="121" spans="7:7" x14ac:dyDescent="0.3">
      <c r="G121" s="30"/>
    </row>
    <row r="122" spans="7:7" x14ac:dyDescent="0.3">
      <c r="G122" s="30"/>
    </row>
    <row r="123" spans="7:7" x14ac:dyDescent="0.3">
      <c r="G123" s="30"/>
    </row>
    <row r="124" spans="7:7" x14ac:dyDescent="0.3">
      <c r="G124" s="30"/>
    </row>
    <row r="125" spans="7:7" x14ac:dyDescent="0.3">
      <c r="G125" s="30"/>
    </row>
    <row r="126" spans="7:7" x14ac:dyDescent="0.3">
      <c r="G126" s="30"/>
    </row>
    <row r="127" spans="7:7" x14ac:dyDescent="0.3">
      <c r="G127" s="30"/>
    </row>
    <row r="128" spans="7:7" x14ac:dyDescent="0.3">
      <c r="G128" s="30"/>
    </row>
    <row r="129" spans="7:7" x14ac:dyDescent="0.3">
      <c r="G129" s="30"/>
    </row>
    <row r="130" spans="7:7" x14ac:dyDescent="0.3">
      <c r="G130" s="30"/>
    </row>
    <row r="131" spans="7:7" x14ac:dyDescent="0.3">
      <c r="G131" s="30"/>
    </row>
    <row r="132" spans="7:7" x14ac:dyDescent="0.3">
      <c r="G132" s="30"/>
    </row>
    <row r="133" spans="7:7" x14ac:dyDescent="0.3">
      <c r="G133" s="30"/>
    </row>
    <row r="134" spans="7:7" x14ac:dyDescent="0.3">
      <c r="G134" s="30"/>
    </row>
    <row r="135" spans="7:7" x14ac:dyDescent="0.3">
      <c r="G135" s="30"/>
    </row>
    <row r="136" spans="7:7" x14ac:dyDescent="0.3">
      <c r="G136" s="30"/>
    </row>
    <row r="137" spans="7:7" x14ac:dyDescent="0.3">
      <c r="G137" s="30"/>
    </row>
    <row r="138" spans="7:7" x14ac:dyDescent="0.3">
      <c r="G138" s="30"/>
    </row>
    <row r="139" spans="7:7" x14ac:dyDescent="0.3">
      <c r="G139" s="30"/>
    </row>
    <row r="140" spans="7:7" x14ac:dyDescent="0.3">
      <c r="G140" s="30"/>
    </row>
    <row r="141" spans="7:7" x14ac:dyDescent="0.3">
      <c r="G141" s="30"/>
    </row>
    <row r="142" spans="7:7" x14ac:dyDescent="0.3">
      <c r="G142" s="30"/>
    </row>
    <row r="143" spans="7:7" x14ac:dyDescent="0.3">
      <c r="G143" s="30"/>
    </row>
    <row r="144" spans="7:7" x14ac:dyDescent="0.3">
      <c r="G144" s="30"/>
    </row>
    <row r="145" spans="7:15" x14ac:dyDescent="0.3">
      <c r="G145" s="30"/>
      <c r="H145" s="32"/>
      <c r="I145" s="29"/>
      <c r="O145" s="29"/>
    </row>
    <row r="146" spans="7:15" x14ac:dyDescent="0.3">
      <c r="G146" s="30"/>
      <c r="H146" s="32"/>
      <c r="I146" s="29"/>
      <c r="O146" s="29"/>
    </row>
    <row r="147" spans="7:15" x14ac:dyDescent="0.3">
      <c r="G147" s="30"/>
      <c r="H147" s="32"/>
      <c r="I147" s="29"/>
      <c r="O147" s="29"/>
    </row>
    <row r="148" spans="7:15" x14ac:dyDescent="0.3">
      <c r="G148" s="30"/>
      <c r="H148" s="32"/>
      <c r="I148" s="29"/>
      <c r="O148" s="29"/>
    </row>
    <row r="149" spans="7:15" x14ac:dyDescent="0.3">
      <c r="G149" s="30"/>
      <c r="H149" s="32"/>
      <c r="I149" s="29"/>
      <c r="O149" s="29"/>
    </row>
    <row r="150" spans="7:15" x14ac:dyDescent="0.3">
      <c r="G150" s="30"/>
      <c r="H150" s="32"/>
      <c r="I150" s="29"/>
      <c r="O150" s="29"/>
    </row>
    <row r="151" spans="7:15" x14ac:dyDescent="0.3">
      <c r="G151" s="30"/>
      <c r="H151" s="32"/>
      <c r="I151" s="29"/>
      <c r="O151" s="29"/>
    </row>
    <row r="152" spans="7:15" x14ac:dyDescent="0.3">
      <c r="G152" s="30"/>
      <c r="H152" s="32"/>
      <c r="I152" s="29"/>
      <c r="O152" s="29"/>
    </row>
    <row r="153" spans="7:15" x14ac:dyDescent="0.3">
      <c r="G153" s="30"/>
      <c r="H153" s="32"/>
      <c r="I153" s="29"/>
      <c r="O153" s="29"/>
    </row>
    <row r="154" spans="7:15" x14ac:dyDescent="0.3">
      <c r="G154" s="30"/>
      <c r="H154" s="32"/>
      <c r="I154" s="29"/>
      <c r="O154" s="29"/>
    </row>
    <row r="155" spans="7:15" x14ac:dyDescent="0.3">
      <c r="G155" s="30"/>
      <c r="H155" s="32"/>
      <c r="I155" s="29"/>
      <c r="O155" s="29"/>
    </row>
    <row r="156" spans="7:15" x14ac:dyDescent="0.3">
      <c r="G156" s="30"/>
      <c r="H156" s="32"/>
      <c r="I156" s="29"/>
      <c r="O156" s="29"/>
    </row>
    <row r="157" spans="7:15" x14ac:dyDescent="0.3">
      <c r="G157" s="30"/>
      <c r="H157" s="32"/>
      <c r="I157" s="29"/>
      <c r="O157" s="29"/>
    </row>
    <row r="158" spans="7:15" x14ac:dyDescent="0.3">
      <c r="G158" s="30"/>
      <c r="H158" s="32"/>
      <c r="I158" s="29"/>
      <c r="O158" s="29"/>
    </row>
    <row r="159" spans="7:15" x14ac:dyDescent="0.3">
      <c r="G159" s="30"/>
      <c r="H159" s="32"/>
      <c r="I159" s="29"/>
      <c r="O159" s="29"/>
    </row>
    <row r="160" spans="7:15" x14ac:dyDescent="0.3">
      <c r="G160" s="30"/>
      <c r="H160" s="32"/>
      <c r="I160" s="29"/>
      <c r="O160" s="29"/>
    </row>
    <row r="161" spans="7:15" x14ac:dyDescent="0.3">
      <c r="G161" s="30"/>
      <c r="H161" s="32"/>
      <c r="I161" s="29"/>
      <c r="O161" s="29"/>
    </row>
    <row r="162" spans="7:15" x14ac:dyDescent="0.3">
      <c r="G162" s="30"/>
      <c r="H162" s="32"/>
      <c r="I162" s="29"/>
      <c r="O162" s="29"/>
    </row>
    <row r="163" spans="7:15" x14ac:dyDescent="0.3">
      <c r="G163" s="30"/>
      <c r="H163" s="32"/>
      <c r="I163" s="29"/>
      <c r="O163" s="29"/>
    </row>
    <row r="164" spans="7:15" x14ac:dyDescent="0.3">
      <c r="G164" s="30"/>
      <c r="H164" s="32"/>
      <c r="I164" s="29"/>
      <c r="O164" s="29"/>
    </row>
    <row r="165" spans="7:15" x14ac:dyDescent="0.3">
      <c r="G165" s="30"/>
      <c r="H165" s="32"/>
      <c r="I165" s="29"/>
      <c r="O165" s="29"/>
    </row>
    <row r="166" spans="7:15" x14ac:dyDescent="0.3">
      <c r="G166" s="30"/>
      <c r="H166" s="32"/>
      <c r="I166" s="29"/>
      <c r="O166" s="29"/>
    </row>
    <row r="167" spans="7:15" x14ac:dyDescent="0.3">
      <c r="G167" s="30"/>
      <c r="H167" s="32"/>
      <c r="I167" s="29"/>
      <c r="O167" s="29"/>
    </row>
    <row r="168" spans="7:15" x14ac:dyDescent="0.3">
      <c r="G168" s="30"/>
      <c r="H168" s="32"/>
      <c r="I168" s="29"/>
      <c r="O168" s="29"/>
    </row>
    <row r="169" spans="7:15" x14ac:dyDescent="0.3">
      <c r="G169" s="30"/>
      <c r="H169" s="32"/>
      <c r="I169" s="29"/>
      <c r="O169" s="29"/>
    </row>
    <row r="170" spans="7:15" x14ac:dyDescent="0.3">
      <c r="G170" s="30"/>
      <c r="H170" s="32"/>
      <c r="I170" s="29"/>
      <c r="O170" s="29"/>
    </row>
    <row r="171" spans="7:15" x14ac:dyDescent="0.3">
      <c r="G171" s="30"/>
      <c r="H171" s="32"/>
      <c r="I171" s="29"/>
      <c r="O171" s="29"/>
    </row>
    <row r="172" spans="7:15" x14ac:dyDescent="0.3">
      <c r="G172" s="30"/>
      <c r="H172" s="32"/>
      <c r="I172" s="29"/>
      <c r="O172" s="29"/>
    </row>
    <row r="173" spans="7:15" x14ac:dyDescent="0.3">
      <c r="G173" s="30"/>
      <c r="H173" s="32"/>
      <c r="I173" s="29"/>
      <c r="O173" s="29"/>
    </row>
    <row r="174" spans="7:15" x14ac:dyDescent="0.3">
      <c r="G174" s="30"/>
      <c r="H174" s="32"/>
      <c r="I174" s="29"/>
      <c r="O174" s="29"/>
    </row>
    <row r="175" spans="7:15" x14ac:dyDescent="0.3">
      <c r="G175" s="30"/>
      <c r="H175" s="32"/>
      <c r="I175" s="29"/>
      <c r="O175" s="29"/>
    </row>
    <row r="176" spans="7:15" x14ac:dyDescent="0.3">
      <c r="G176" s="30"/>
      <c r="H176" s="32"/>
      <c r="I176" s="29"/>
      <c r="O176" s="29"/>
    </row>
    <row r="177" spans="7:15" x14ac:dyDescent="0.3">
      <c r="G177" s="30"/>
      <c r="H177" s="32"/>
      <c r="I177" s="29"/>
      <c r="O177" s="29"/>
    </row>
    <row r="178" spans="7:15" x14ac:dyDescent="0.3">
      <c r="G178" s="30"/>
      <c r="H178" s="32"/>
      <c r="I178" s="29"/>
      <c r="O178" s="29"/>
    </row>
    <row r="179" spans="7:15" x14ac:dyDescent="0.3">
      <c r="G179" s="30"/>
      <c r="H179" s="32"/>
      <c r="I179" s="29"/>
      <c r="O179" s="29"/>
    </row>
    <row r="180" spans="7:15" x14ac:dyDescent="0.3">
      <c r="G180" s="30"/>
      <c r="H180" s="32"/>
      <c r="I180" s="29"/>
      <c r="O180" s="29"/>
    </row>
    <row r="181" spans="7:15" x14ac:dyDescent="0.3">
      <c r="G181" s="30"/>
      <c r="H181" s="32"/>
      <c r="I181" s="29"/>
      <c r="O181" s="29"/>
    </row>
    <row r="182" spans="7:15" x14ac:dyDescent="0.3">
      <c r="G182" s="30"/>
      <c r="H182" s="32"/>
      <c r="I182" s="29"/>
      <c r="O182" s="29"/>
    </row>
    <row r="183" spans="7:15" x14ac:dyDescent="0.3">
      <c r="G183" s="30"/>
      <c r="H183" s="32"/>
      <c r="I183" s="29"/>
      <c r="O183" s="29"/>
    </row>
    <row r="184" spans="7:15" x14ac:dyDescent="0.3">
      <c r="G184" s="30"/>
      <c r="H184" s="32"/>
      <c r="I184" s="29"/>
      <c r="O184" s="29"/>
    </row>
    <row r="185" spans="7:15" x14ac:dyDescent="0.3">
      <c r="G185" s="30"/>
      <c r="H185" s="32"/>
      <c r="I185" s="29"/>
      <c r="O185" s="29"/>
    </row>
    <row r="186" spans="7:15" x14ac:dyDescent="0.3">
      <c r="G186" s="30"/>
      <c r="H186" s="32"/>
      <c r="I186" s="29"/>
      <c r="O186" s="29"/>
    </row>
    <row r="187" spans="7:15" x14ac:dyDescent="0.3">
      <c r="G187" s="30"/>
      <c r="H187" s="32"/>
      <c r="I187" s="29"/>
      <c r="O187" s="29"/>
    </row>
    <row r="188" spans="7:15" x14ac:dyDescent="0.3">
      <c r="G188" s="30"/>
      <c r="H188" s="32"/>
      <c r="I188" s="29"/>
      <c r="O188" s="29"/>
    </row>
    <row r="189" spans="7:15" x14ac:dyDescent="0.3">
      <c r="G189" s="30"/>
      <c r="H189" s="32"/>
      <c r="I189" s="29"/>
      <c r="O189" s="29"/>
    </row>
    <row r="190" spans="7:15" x14ac:dyDescent="0.3">
      <c r="G190" s="30"/>
      <c r="H190" s="32"/>
      <c r="I190" s="29"/>
      <c r="O190" s="29"/>
    </row>
    <row r="191" spans="7:15" x14ac:dyDescent="0.3">
      <c r="G191" s="30"/>
      <c r="H191" s="32"/>
      <c r="I191" s="29"/>
      <c r="O191" s="29"/>
    </row>
    <row r="192" spans="7:15" x14ac:dyDescent="0.3">
      <c r="G192" s="30"/>
      <c r="H192" s="32"/>
      <c r="I192" s="29"/>
      <c r="O192" s="29"/>
    </row>
    <row r="193" spans="7:15" x14ac:dyDescent="0.3">
      <c r="G193" s="30"/>
      <c r="H193" s="32"/>
      <c r="I193" s="29"/>
      <c r="O193" s="29"/>
    </row>
    <row r="194" spans="7:15" x14ac:dyDescent="0.3">
      <c r="G194" s="30"/>
      <c r="H194" s="32"/>
      <c r="I194" s="29"/>
      <c r="O194" s="29"/>
    </row>
    <row r="195" spans="7:15" x14ac:dyDescent="0.3">
      <c r="G195" s="30"/>
      <c r="H195" s="32"/>
      <c r="I195" s="29"/>
      <c r="O195" s="29"/>
    </row>
    <row r="196" spans="7:15" x14ac:dyDescent="0.3">
      <c r="G196" s="30"/>
      <c r="H196" s="32"/>
      <c r="I196" s="29"/>
      <c r="O196" s="29"/>
    </row>
    <row r="197" spans="7:15" x14ac:dyDescent="0.3">
      <c r="G197" s="30"/>
      <c r="H197" s="32"/>
      <c r="I197" s="29"/>
      <c r="O197" s="29"/>
    </row>
    <row r="198" spans="7:15" x14ac:dyDescent="0.3">
      <c r="G198" s="30"/>
      <c r="H198" s="32"/>
      <c r="I198" s="29"/>
      <c r="O198" s="29"/>
    </row>
    <row r="199" spans="7:15" x14ac:dyDescent="0.3">
      <c r="G199" s="30"/>
      <c r="H199" s="32"/>
      <c r="I199" s="29"/>
      <c r="O199" s="29"/>
    </row>
    <row r="200" spans="7:15" x14ac:dyDescent="0.3">
      <c r="G200" s="30"/>
      <c r="H200" s="32"/>
      <c r="I200" s="29"/>
      <c r="O200" s="29"/>
    </row>
    <row r="201" spans="7:15" x14ac:dyDescent="0.3">
      <c r="G201" s="30"/>
      <c r="H201" s="32"/>
      <c r="I201" s="29"/>
      <c r="O201" s="29"/>
    </row>
    <row r="202" spans="7:15" x14ac:dyDescent="0.3">
      <c r="G202" s="30"/>
      <c r="H202" s="32"/>
      <c r="I202" s="29"/>
      <c r="O202" s="29"/>
    </row>
    <row r="203" spans="7:15" x14ac:dyDescent="0.3">
      <c r="G203" s="30"/>
      <c r="H203" s="32"/>
      <c r="I203" s="29"/>
      <c r="O203" s="29"/>
    </row>
    <row r="204" spans="7:15" x14ac:dyDescent="0.3">
      <c r="G204" s="30"/>
      <c r="H204" s="32"/>
      <c r="I204" s="29"/>
      <c r="O204" s="29"/>
    </row>
    <row r="205" spans="7:15" x14ac:dyDescent="0.3">
      <c r="G205" s="30"/>
      <c r="H205" s="32"/>
      <c r="I205" s="29"/>
      <c r="O205" s="29"/>
    </row>
    <row r="206" spans="7:15" x14ac:dyDescent="0.3">
      <c r="G206" s="30"/>
      <c r="H206" s="32"/>
      <c r="I206" s="29"/>
      <c r="O206" s="29"/>
    </row>
    <row r="207" spans="7:15" x14ac:dyDescent="0.3">
      <c r="G207" s="30"/>
      <c r="H207" s="32"/>
      <c r="I207" s="29"/>
      <c r="O207" s="29"/>
    </row>
    <row r="208" spans="7:15" x14ac:dyDescent="0.3">
      <c r="G208" s="30"/>
      <c r="H208" s="32"/>
      <c r="I208" s="29"/>
      <c r="O208" s="29"/>
    </row>
    <row r="209" spans="7:15" x14ac:dyDescent="0.3">
      <c r="G209" s="30"/>
      <c r="H209" s="32"/>
      <c r="I209" s="29"/>
      <c r="O209" s="29"/>
    </row>
    <row r="210" spans="7:15" x14ac:dyDescent="0.3">
      <c r="G210" s="30"/>
      <c r="H210" s="32"/>
      <c r="I210" s="29"/>
      <c r="O210" s="29"/>
    </row>
    <row r="211" spans="7:15" x14ac:dyDescent="0.3">
      <c r="G211" s="30"/>
      <c r="H211" s="32"/>
      <c r="I211" s="29"/>
      <c r="O211" s="29"/>
    </row>
    <row r="212" spans="7:15" x14ac:dyDescent="0.3">
      <c r="G212" s="30"/>
      <c r="H212" s="32"/>
      <c r="I212" s="29"/>
      <c r="O212" s="29"/>
    </row>
    <row r="213" spans="7:15" x14ac:dyDescent="0.3">
      <c r="G213" s="30"/>
      <c r="H213" s="32"/>
      <c r="I213" s="29"/>
      <c r="O213" s="29"/>
    </row>
    <row r="214" spans="7:15" x14ac:dyDescent="0.3">
      <c r="G214" s="30"/>
      <c r="H214" s="32"/>
      <c r="I214" s="29"/>
    </row>
    <row r="215" spans="7:15" x14ac:dyDescent="0.3">
      <c r="G215" s="30"/>
      <c r="H215" s="32"/>
      <c r="I215" s="29"/>
    </row>
    <row r="216" spans="7:15" x14ac:dyDescent="0.3">
      <c r="G216" s="30"/>
      <c r="H216" s="32"/>
      <c r="I216" s="29"/>
    </row>
    <row r="217" spans="7:15" x14ac:dyDescent="0.3">
      <c r="G217" s="30"/>
      <c r="H217" s="32"/>
      <c r="I217" s="29"/>
    </row>
    <row r="218" spans="7:15" x14ac:dyDescent="0.3">
      <c r="G218" s="30"/>
      <c r="H218" s="32"/>
      <c r="I218" s="29"/>
    </row>
    <row r="219" spans="7:15" x14ac:dyDescent="0.3">
      <c r="G219" s="30"/>
      <c r="H219" s="32"/>
      <c r="I219" s="29"/>
    </row>
    <row r="220" spans="7:15" x14ac:dyDescent="0.3">
      <c r="G220" s="30"/>
      <c r="H220" s="32"/>
      <c r="I220" s="29"/>
    </row>
    <row r="221" spans="7:15" x14ac:dyDescent="0.3">
      <c r="G221" s="30"/>
      <c r="H221" s="32"/>
      <c r="I221" s="29"/>
    </row>
    <row r="222" spans="7:15" x14ac:dyDescent="0.3">
      <c r="G222" s="30"/>
      <c r="H222" s="32"/>
      <c r="I222" s="29"/>
    </row>
    <row r="223" spans="7:15" x14ac:dyDescent="0.3">
      <c r="G223" s="30"/>
      <c r="H223" s="32"/>
      <c r="I223" s="29"/>
    </row>
    <row r="224" spans="7:15" x14ac:dyDescent="0.3">
      <c r="G224" s="30"/>
      <c r="H224" s="32"/>
      <c r="I224" s="29"/>
    </row>
    <row r="225" spans="7:9" x14ac:dyDescent="0.3">
      <c r="G225" s="30"/>
      <c r="H225" s="32"/>
      <c r="I225" s="29"/>
    </row>
    <row r="226" spans="7:9" x14ac:dyDescent="0.3">
      <c r="G226" s="30"/>
      <c r="H226" s="32"/>
      <c r="I226" s="29"/>
    </row>
    <row r="227" spans="7:9" x14ac:dyDescent="0.3">
      <c r="G227" s="30"/>
      <c r="H227" s="32"/>
      <c r="I227" s="29"/>
    </row>
    <row r="228" spans="7:9" x14ac:dyDescent="0.3">
      <c r="G228" s="30"/>
      <c r="H228" s="32"/>
      <c r="I228" s="29"/>
    </row>
    <row r="229" spans="7:9" x14ac:dyDescent="0.3">
      <c r="G229" s="30"/>
      <c r="H229" s="32"/>
      <c r="I229" s="29"/>
    </row>
    <row r="230" spans="7:9" x14ac:dyDescent="0.3">
      <c r="G230" s="30"/>
      <c r="H230" s="32"/>
      <c r="I230" s="29"/>
    </row>
    <row r="231" spans="7:9" x14ac:dyDescent="0.3">
      <c r="G231" s="30"/>
      <c r="H231" s="32"/>
      <c r="I231" s="29"/>
    </row>
    <row r="232" spans="7:9" x14ac:dyDescent="0.3">
      <c r="G232" s="30"/>
      <c r="H232" s="32"/>
      <c r="I232" s="29"/>
    </row>
    <row r="233" spans="7:9" x14ac:dyDescent="0.3">
      <c r="G233" s="30"/>
      <c r="H233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9D5E-4505-486B-8001-69A70097B7D7}">
  <dimension ref="A1:N109"/>
  <sheetViews>
    <sheetView zoomScale="70" zoomScaleNormal="70" workbookViewId="0">
      <selection activeCell="B2" sqref="B2"/>
    </sheetView>
  </sheetViews>
  <sheetFormatPr defaultRowHeight="14.4" x14ac:dyDescent="0.3"/>
  <cols>
    <col min="1" max="1" width="22.109375" customWidth="1"/>
    <col min="2" max="2" width="11.77734375" customWidth="1"/>
    <col min="3" max="3" width="15.21875" customWidth="1"/>
    <col min="4" max="4" width="12.88671875" customWidth="1"/>
    <col min="5" max="5" width="13.6640625" customWidth="1"/>
    <col min="6" max="6" width="12.109375" customWidth="1"/>
    <col min="7" max="7" width="12.5546875" customWidth="1"/>
    <col min="8" max="8" width="13.77734375" customWidth="1"/>
    <col min="10" max="10" width="11.88671875" customWidth="1"/>
    <col min="11" max="11" width="25.6640625" customWidth="1"/>
    <col min="12" max="12" width="21" customWidth="1"/>
    <col min="13" max="13" width="20.77734375" customWidth="1"/>
  </cols>
  <sheetData>
    <row r="1" spans="1:13" x14ac:dyDescent="0.3">
      <c r="A1" s="26" t="s">
        <v>773</v>
      </c>
    </row>
    <row r="2" spans="1:13" x14ac:dyDescent="0.3">
      <c r="A2" s="26" t="str" cm="1">
        <f t="array" ref="A2:M2">staff[#Headers]</f>
        <v>Emp ID</v>
      </c>
      <c r="B2" s="26" t="str">
        <v>First Name</v>
      </c>
      <c r="C2" s="26" t="str">
        <v>Last Name</v>
      </c>
      <c r="D2" s="26" t="str">
        <v>Gender</v>
      </c>
      <c r="E2" s="26" t="str">
        <v>Department</v>
      </c>
      <c r="F2" s="26" t="str">
        <v>Salary</v>
      </c>
      <c r="G2" s="31" t="str">
        <v>Salary Bucket</v>
      </c>
      <c r="H2" s="26" t="str">
        <v>Start Date</v>
      </c>
      <c r="I2" s="26" t="str">
        <v>FTE</v>
      </c>
      <c r="J2" s="26" t="str">
        <v>Employee type</v>
      </c>
      <c r="K2" s="26" t="str">
        <v>Work location</v>
      </c>
      <c r="L2" s="26" t="str">
        <v>Tenure</v>
      </c>
      <c r="M2" s="26" t="str">
        <v>Work Type</v>
      </c>
    </row>
    <row r="3" spans="1:13" x14ac:dyDescent="0.3">
      <c r="F3" s="30"/>
      <c r="G3" s="32"/>
      <c r="H3" s="29"/>
    </row>
    <row r="4" spans="1:13" x14ac:dyDescent="0.3">
      <c r="A4" t="str" cm="1">
        <f t="array" ref="A4:M50">_xlfn._xlws.FILTER(staff[],staff[Salary]&gt;100000)</f>
        <v>PR00147</v>
      </c>
      <c r="B4" t="str">
        <v>Minerva</v>
      </c>
      <c r="C4" t="str">
        <v>Ricardot</v>
      </c>
      <c r="D4" t="str">
        <v>Male</v>
      </c>
      <c r="E4" t="str">
        <v>Engineering</v>
      </c>
      <c r="F4" s="30">
        <v>120000</v>
      </c>
      <c r="G4" s="32" t="str">
        <v>Above 100k</v>
      </c>
      <c r="H4" s="29">
        <v>43416</v>
      </c>
      <c r="I4">
        <v>1</v>
      </c>
      <c r="J4" t="str">
        <v>Permanent</v>
      </c>
      <c r="K4" t="str">
        <v>Remote</v>
      </c>
      <c r="L4">
        <v>5.6109589041095891</v>
      </c>
      <c r="M4" t="str">
        <v>Full time</v>
      </c>
    </row>
    <row r="5" spans="1:13" x14ac:dyDescent="0.3">
      <c r="A5" t="str">
        <v>PR00746</v>
      </c>
      <c r="B5" t="str">
        <v>Hogan</v>
      </c>
      <c r="C5" t="str">
        <v>Iles</v>
      </c>
      <c r="D5" t="str">
        <v>Female</v>
      </c>
      <c r="E5" t="str">
        <v>Accounting</v>
      </c>
      <c r="F5" s="30">
        <v>114177.23</v>
      </c>
      <c r="G5" s="32" t="str">
        <v>Above 100k</v>
      </c>
      <c r="H5" s="29">
        <v>43908</v>
      </c>
      <c r="I5">
        <v>1</v>
      </c>
      <c r="J5" t="str">
        <v>Permanent</v>
      </c>
      <c r="K5" t="str">
        <v>Wellington, New Zealand</v>
      </c>
      <c r="L5">
        <v>4.2630136986301368</v>
      </c>
      <c r="M5" t="str">
        <v>Full time</v>
      </c>
    </row>
    <row r="6" spans="1:13" x14ac:dyDescent="0.3">
      <c r="A6" t="str">
        <v>PR01159</v>
      </c>
      <c r="B6" t="str">
        <v>Mollie</v>
      </c>
      <c r="C6" t="str">
        <v>Hanway</v>
      </c>
      <c r="D6" t="str">
        <v>Male</v>
      </c>
      <c r="E6" t="str">
        <v>Engineering</v>
      </c>
      <c r="F6" s="30">
        <v>112645.99</v>
      </c>
      <c r="G6" s="32" t="str">
        <v>Above 100k</v>
      </c>
      <c r="H6" s="29">
        <v>43759</v>
      </c>
      <c r="I6">
        <v>0.6</v>
      </c>
      <c r="J6" t="str">
        <v>Permanent</v>
      </c>
      <c r="K6" t="str">
        <v>Seattle, USA</v>
      </c>
      <c r="L6">
        <v>4.6712328767123283</v>
      </c>
      <c r="M6" t="str">
        <v>Part time</v>
      </c>
    </row>
    <row r="7" spans="1:13" x14ac:dyDescent="0.3">
      <c r="A7" t="str">
        <v>PR02010</v>
      </c>
      <c r="B7" t="str">
        <v>Prerana</v>
      </c>
      <c r="C7" t="str">
        <v>Nishita</v>
      </c>
      <c r="D7" t="str">
        <v>Male</v>
      </c>
      <c r="E7" t="str">
        <v>Product Management</v>
      </c>
      <c r="F7" s="30">
        <v>115191.38</v>
      </c>
      <c r="G7" s="32" t="str">
        <v>Above 100k</v>
      </c>
      <c r="H7" s="29">
        <v>44004</v>
      </c>
      <c r="I7">
        <v>1</v>
      </c>
      <c r="J7" t="str">
        <v>Permanent</v>
      </c>
      <c r="K7" t="str">
        <v>Hyderabad, India</v>
      </c>
      <c r="L7">
        <v>4</v>
      </c>
      <c r="M7" t="str">
        <v>Full time</v>
      </c>
    </row>
    <row r="8" spans="1:13" x14ac:dyDescent="0.3">
      <c r="A8" t="str">
        <v>PR02208</v>
      </c>
      <c r="B8" t="str">
        <v>Gowri</v>
      </c>
      <c r="C8" t="str">
        <v>Sankar</v>
      </c>
      <c r="D8" t="str">
        <v>Female</v>
      </c>
      <c r="E8" t="str">
        <v>Training</v>
      </c>
      <c r="F8" s="30">
        <v>102934.09</v>
      </c>
      <c r="G8" s="32" t="str">
        <v>Above 100k</v>
      </c>
      <c r="H8" s="29">
        <v>44315</v>
      </c>
      <c r="I8">
        <v>1</v>
      </c>
      <c r="J8" t="str">
        <v>Permanent</v>
      </c>
      <c r="K8" t="str">
        <v>Hyderabad, India</v>
      </c>
      <c r="L8">
        <v>3.1479452054794521</v>
      </c>
      <c r="M8" t="str">
        <v>Full time</v>
      </c>
    </row>
    <row r="9" spans="1:13" x14ac:dyDescent="0.3">
      <c r="A9" t="str">
        <v>PR02288</v>
      </c>
      <c r="B9" t="str">
        <v>Althea</v>
      </c>
      <c r="C9" t="str">
        <v>Bronger</v>
      </c>
      <c r="D9" t="str">
        <v>Male</v>
      </c>
      <c r="E9" t="str">
        <v>Product Management</v>
      </c>
      <c r="F9" s="30">
        <v>104335.03999999999</v>
      </c>
      <c r="G9" s="32" t="str">
        <v>Above 100k</v>
      </c>
      <c r="H9" s="29">
        <v>43874</v>
      </c>
      <c r="I9">
        <v>1</v>
      </c>
      <c r="J9" t="str">
        <v>Permanent</v>
      </c>
      <c r="K9" t="str">
        <v>Columbus, USA</v>
      </c>
      <c r="L9">
        <v>4.3561643835616435</v>
      </c>
      <c r="M9" t="str">
        <v>Full time</v>
      </c>
    </row>
    <row r="10" spans="1:13" x14ac:dyDescent="0.3">
      <c r="A10" t="str">
        <v>PR03886</v>
      </c>
      <c r="B10" t="str">
        <v>Edd</v>
      </c>
      <c r="C10" t="str">
        <v>MacKnockiter</v>
      </c>
      <c r="D10" t="str">
        <v>Male</v>
      </c>
      <c r="E10" t="str">
        <v>Accounting</v>
      </c>
      <c r="F10" s="30">
        <v>119022.49</v>
      </c>
      <c r="G10" s="32" t="str">
        <v>Above 100k</v>
      </c>
      <c r="H10" s="29">
        <v>44431</v>
      </c>
      <c r="I10">
        <v>1</v>
      </c>
      <c r="J10" t="str">
        <v>Permanent</v>
      </c>
      <c r="K10" t="str">
        <v>Auckland, New Zealand</v>
      </c>
      <c r="L10">
        <v>2.8301369863013699</v>
      </c>
      <c r="M10" t="str">
        <v>Full time</v>
      </c>
    </row>
    <row r="11" spans="1:13" x14ac:dyDescent="0.3">
      <c r="A11" t="str">
        <v>PR04601</v>
      </c>
      <c r="B11" t="str">
        <v>Yedukondalu</v>
      </c>
      <c r="C11" t="str">
        <v>Panditula</v>
      </c>
      <c r="D11" t="str">
        <v>Need to check</v>
      </c>
      <c r="E11" t="str">
        <v>Support</v>
      </c>
      <c r="F11" s="30">
        <v>104802.63</v>
      </c>
      <c r="G11" s="32" t="str">
        <v>Above 100k</v>
      </c>
      <c r="H11" s="29">
        <v>44502</v>
      </c>
      <c r="I11">
        <v>1</v>
      </c>
      <c r="J11" t="str">
        <v>Permanent</v>
      </c>
      <c r="K11" t="str">
        <v>Hyderabad, India</v>
      </c>
      <c r="L11">
        <v>2.6356164383561644</v>
      </c>
      <c r="M11" t="str">
        <v>Full time</v>
      </c>
    </row>
    <row r="12" spans="1:13" x14ac:dyDescent="0.3">
      <c r="A12" t="str">
        <v>SQ00022</v>
      </c>
      <c r="B12" t="str">
        <v>Carlin</v>
      </c>
      <c r="C12" t="str">
        <v>Demke</v>
      </c>
      <c r="D12" t="str">
        <v>Male</v>
      </c>
      <c r="E12" t="str">
        <v>Business Development</v>
      </c>
      <c r="F12" s="30">
        <v>110042.37</v>
      </c>
      <c r="G12" s="32" t="str">
        <v>Above 100k</v>
      </c>
      <c r="H12" s="29">
        <v>43914</v>
      </c>
      <c r="I12">
        <v>1</v>
      </c>
      <c r="J12" t="str">
        <v>Permanent</v>
      </c>
      <c r="K12" t="str">
        <v>Columbus, USA</v>
      </c>
      <c r="L12">
        <v>4.2465753424657535</v>
      </c>
      <c r="M12" t="str">
        <v>Full time</v>
      </c>
    </row>
    <row r="13" spans="1:13" x14ac:dyDescent="0.3">
      <c r="A13" t="str">
        <v>SQ00144</v>
      </c>
      <c r="B13" t="str">
        <v>Collen</v>
      </c>
      <c r="C13" t="str">
        <v>Dunbleton</v>
      </c>
      <c r="D13" t="str">
        <v>Male</v>
      </c>
      <c r="E13" t="str">
        <v>Engineering</v>
      </c>
      <c r="F13" s="30">
        <v>118976.16</v>
      </c>
      <c r="G13" s="32" t="str">
        <v>Above 100k</v>
      </c>
      <c r="H13" s="29">
        <v>44120</v>
      </c>
      <c r="I13">
        <v>1</v>
      </c>
      <c r="J13" t="str">
        <v>Permanent</v>
      </c>
      <c r="K13" t="str">
        <v>Wellington, New Zealand</v>
      </c>
      <c r="L13">
        <v>3.6821917808219178</v>
      </c>
      <c r="M13" t="str">
        <v>Full time</v>
      </c>
    </row>
    <row r="14" spans="1:13" x14ac:dyDescent="0.3">
      <c r="A14" t="str">
        <v>SQ00498</v>
      </c>
      <c r="B14" t="str">
        <v>Amery</v>
      </c>
      <c r="C14" t="str">
        <v>Ofer</v>
      </c>
      <c r="D14" t="str">
        <v>Female</v>
      </c>
      <c r="E14" t="str">
        <v>Legal</v>
      </c>
      <c r="F14" s="30">
        <v>111049.84</v>
      </c>
      <c r="G14" s="32" t="str">
        <v>Above 100k</v>
      </c>
      <c r="H14" s="29">
        <v>44393</v>
      </c>
      <c r="I14">
        <v>1</v>
      </c>
      <c r="J14" t="str">
        <v>Permanent</v>
      </c>
      <c r="K14" t="str">
        <v>Wellington, New Zealand</v>
      </c>
      <c r="L14">
        <v>2.9342465753424656</v>
      </c>
      <c r="M14" t="str">
        <v>Full time</v>
      </c>
    </row>
    <row r="15" spans="1:13" x14ac:dyDescent="0.3">
      <c r="A15" t="str">
        <v>SQ01620</v>
      </c>
      <c r="B15" t="str">
        <v>Westbrook</v>
      </c>
      <c r="C15" t="str">
        <v>Brandino</v>
      </c>
      <c r="D15" t="str">
        <v>Male</v>
      </c>
      <c r="E15" t="str">
        <v>Legal</v>
      </c>
      <c r="F15" s="30">
        <v>113616.23</v>
      </c>
      <c r="G15" s="32" t="str">
        <v>Above 100k</v>
      </c>
      <c r="H15" s="29">
        <v>43255</v>
      </c>
      <c r="I15">
        <v>1</v>
      </c>
      <c r="J15" t="str">
        <v>Permanent</v>
      </c>
      <c r="K15" t="str">
        <v>Remote</v>
      </c>
      <c r="L15">
        <v>6.0520547945205481</v>
      </c>
      <c r="M15" t="str">
        <v>Full time</v>
      </c>
    </row>
    <row r="16" spans="1:13" x14ac:dyDescent="0.3">
      <c r="A16" t="str">
        <v>SQ02035</v>
      </c>
      <c r="B16" t="str">
        <v>Anni</v>
      </c>
      <c r="C16" t="str">
        <v>Izzard</v>
      </c>
      <c r="D16" t="str">
        <v>Male</v>
      </c>
      <c r="E16" t="str">
        <v>Human Resources</v>
      </c>
      <c r="F16" s="30">
        <v>103494.94</v>
      </c>
      <c r="G16" s="32" t="str">
        <v>Above 100k</v>
      </c>
      <c r="H16" s="29">
        <v>43256</v>
      </c>
      <c r="I16">
        <v>1</v>
      </c>
      <c r="J16" t="str">
        <v>Permanent</v>
      </c>
      <c r="K16" t="str">
        <v>Remote</v>
      </c>
      <c r="L16">
        <v>6.0493150684931507</v>
      </c>
      <c r="M16" t="str">
        <v>Full time</v>
      </c>
    </row>
    <row r="17" spans="1:13" x14ac:dyDescent="0.3">
      <c r="A17" t="str">
        <v>SQ02035</v>
      </c>
      <c r="B17" t="str">
        <v>Anni</v>
      </c>
      <c r="C17" t="str">
        <v>Izzard</v>
      </c>
      <c r="D17" t="str">
        <v>Male</v>
      </c>
      <c r="E17" t="str">
        <v>Human Resources</v>
      </c>
      <c r="F17" s="30">
        <v>103494.94</v>
      </c>
      <c r="G17" s="32" t="str">
        <v>Above 100k</v>
      </c>
      <c r="H17" s="29">
        <v>43256</v>
      </c>
      <c r="I17">
        <v>1</v>
      </c>
      <c r="J17" t="str">
        <v>Permanent</v>
      </c>
      <c r="K17" t="str">
        <v>Remote</v>
      </c>
      <c r="L17">
        <v>6.0493150684931507</v>
      </c>
      <c r="M17" t="str">
        <v>Full time</v>
      </c>
    </row>
    <row r="18" spans="1:13" x14ac:dyDescent="0.3">
      <c r="A18" t="str">
        <v>SQ02174</v>
      </c>
      <c r="B18" t="str">
        <v>Sidoney</v>
      </c>
      <c r="C18" t="str">
        <v>Yitzhok</v>
      </c>
      <c r="D18" t="str">
        <v>Female</v>
      </c>
      <c r="E18" t="str">
        <v>Engineering</v>
      </c>
      <c r="F18" s="30">
        <v>118442.54</v>
      </c>
      <c r="G18" s="32" t="str">
        <v>Above 100k</v>
      </c>
      <c r="H18" s="29">
        <v>44193</v>
      </c>
      <c r="I18">
        <v>1</v>
      </c>
      <c r="J18" t="str">
        <v>Permanent</v>
      </c>
      <c r="K18" t="str">
        <v>Auckland, New Zealand</v>
      </c>
      <c r="L18">
        <v>3.4821917808219176</v>
      </c>
      <c r="M18" t="str">
        <v>Full time</v>
      </c>
    </row>
    <row r="19" spans="1:13" x14ac:dyDescent="0.3">
      <c r="A19" t="str">
        <v>SQ02624</v>
      </c>
      <c r="B19" t="str">
        <v>Gwenneth</v>
      </c>
      <c r="C19" t="str">
        <v>Fealey</v>
      </c>
      <c r="D19" t="str">
        <v>Female</v>
      </c>
      <c r="E19" t="str">
        <v>Engineering</v>
      </c>
      <c r="F19" s="30">
        <v>114772.32</v>
      </c>
      <c r="G19" s="32" t="str">
        <v>Above 100k</v>
      </c>
      <c r="H19" s="29">
        <v>44251</v>
      </c>
      <c r="I19">
        <v>1</v>
      </c>
      <c r="J19" t="str">
        <v>Permanent</v>
      </c>
      <c r="K19" t="str">
        <v>Columbus, USA</v>
      </c>
      <c r="L19">
        <v>3.3232876712328765</v>
      </c>
      <c r="M19" t="str">
        <v>Full time</v>
      </c>
    </row>
    <row r="20" spans="1:13" x14ac:dyDescent="0.3">
      <c r="A20" t="str">
        <v>SQ02703</v>
      </c>
      <c r="B20" t="str">
        <v>Deepit</v>
      </c>
      <c r="C20" t="str">
        <v>Ranjana</v>
      </c>
      <c r="D20" t="str">
        <v>Female</v>
      </c>
      <c r="E20" t="str">
        <v>Marketing</v>
      </c>
      <c r="F20" s="30">
        <v>104903.79</v>
      </c>
      <c r="G20" s="32" t="str">
        <v>Above 100k</v>
      </c>
      <c r="H20" s="29">
        <v>43649</v>
      </c>
      <c r="I20">
        <v>1</v>
      </c>
      <c r="J20" t="str">
        <v>Permanent</v>
      </c>
      <c r="K20" t="str">
        <v>Chennai, India</v>
      </c>
      <c r="L20">
        <v>4.9726027397260273</v>
      </c>
      <c r="M20" t="str">
        <v>Full time</v>
      </c>
    </row>
    <row r="21" spans="1:13" x14ac:dyDescent="0.3">
      <c r="A21" t="str">
        <v>SQ03116</v>
      </c>
      <c r="B21" t="str">
        <v>Syd</v>
      </c>
      <c r="C21" t="str">
        <v>Fearn</v>
      </c>
      <c r="D21" t="str">
        <v>Male</v>
      </c>
      <c r="E21" t="str">
        <v>Engineering</v>
      </c>
      <c r="F21" s="30">
        <v>108872.77</v>
      </c>
      <c r="G21" s="32" t="str">
        <v>Above 100k</v>
      </c>
      <c r="H21" s="29">
        <v>43521</v>
      </c>
      <c r="I21">
        <v>1</v>
      </c>
      <c r="J21" t="str">
        <v>Permanent</v>
      </c>
      <c r="K21" t="str">
        <v>Remote</v>
      </c>
      <c r="L21">
        <v>5.3232876712328769</v>
      </c>
      <c r="M21" t="str">
        <v>Full time</v>
      </c>
    </row>
    <row r="22" spans="1:13" x14ac:dyDescent="0.3">
      <c r="A22" t="str">
        <v>SQ03387</v>
      </c>
      <c r="B22" t="str">
        <v>Robinia</v>
      </c>
      <c r="C22" t="str">
        <v>Scholling</v>
      </c>
      <c r="D22" t="str">
        <v>Female</v>
      </c>
      <c r="E22" t="str">
        <v>Human Resources</v>
      </c>
      <c r="F22" s="30">
        <v>100731.95</v>
      </c>
      <c r="G22" s="32" t="str">
        <v>Above 100k</v>
      </c>
      <c r="H22" s="29">
        <v>43936</v>
      </c>
      <c r="I22">
        <v>1</v>
      </c>
      <c r="J22" t="str">
        <v>Permanent</v>
      </c>
      <c r="K22" t="str">
        <v>Auckland, New Zealand</v>
      </c>
      <c r="L22">
        <v>4.1863013698630134</v>
      </c>
      <c r="M22" t="str">
        <v>Full time</v>
      </c>
    </row>
    <row r="23" spans="1:13" x14ac:dyDescent="0.3">
      <c r="A23" t="str">
        <v>SQ03476</v>
      </c>
      <c r="B23" t="str">
        <v>Ramalingam</v>
      </c>
      <c r="C23" t="str">
        <v>Kothapeta</v>
      </c>
      <c r="D23" t="str">
        <v>Need to check</v>
      </c>
      <c r="E23" t="str">
        <v>Accounting</v>
      </c>
      <c r="F23" s="30">
        <v>107107.6</v>
      </c>
      <c r="G23" s="32" t="str">
        <v>Above 100k</v>
      </c>
      <c r="H23" s="29">
        <v>43325</v>
      </c>
      <c r="I23">
        <v>0.9</v>
      </c>
      <c r="J23" t="str">
        <v>Permanent</v>
      </c>
      <c r="K23" t="str">
        <v>Chennai, India</v>
      </c>
      <c r="L23">
        <v>5.86027397260274</v>
      </c>
      <c r="M23" t="str">
        <v>Part time</v>
      </c>
    </row>
    <row r="24" spans="1:13" x14ac:dyDescent="0.3">
      <c r="A24" t="str">
        <v>SQ03491</v>
      </c>
      <c r="B24" t="str">
        <v>Freda</v>
      </c>
      <c r="C24" t="str">
        <v>Legan</v>
      </c>
      <c r="D24" t="str">
        <v>Female</v>
      </c>
      <c r="E24" t="str">
        <v>Sales</v>
      </c>
      <c r="F24" s="30">
        <v>102129.37</v>
      </c>
      <c r="G24" s="32" t="str">
        <v>Above 100k</v>
      </c>
      <c r="H24" s="29">
        <v>44396</v>
      </c>
      <c r="I24">
        <v>1</v>
      </c>
      <c r="J24" t="str">
        <v>Permanent</v>
      </c>
      <c r="K24" t="str">
        <v>Columbus, USA</v>
      </c>
      <c r="L24">
        <v>2.9260273972602739</v>
      </c>
      <c r="M24" t="str">
        <v>Full time</v>
      </c>
    </row>
    <row r="25" spans="1:13" x14ac:dyDescent="0.3">
      <c r="A25" t="str">
        <v>SQ03733</v>
      </c>
      <c r="B25" t="str">
        <v>Revkah</v>
      </c>
      <c r="C25" t="str">
        <v>Antonacci</v>
      </c>
      <c r="D25" t="str">
        <v>Male</v>
      </c>
      <c r="E25" t="str">
        <v>Engineering</v>
      </c>
      <c r="F25" s="30">
        <v>109143.17</v>
      </c>
      <c r="G25" s="32" t="str">
        <v>Above 100k</v>
      </c>
      <c r="H25" s="29">
        <v>43945</v>
      </c>
      <c r="I25">
        <v>1</v>
      </c>
      <c r="J25" t="str">
        <v>Permanent</v>
      </c>
      <c r="K25" t="str">
        <v>Wellington, New Zealand</v>
      </c>
      <c r="L25">
        <v>4.161643835616438</v>
      </c>
      <c r="M25" t="str">
        <v>Full time</v>
      </c>
    </row>
    <row r="26" spans="1:13" x14ac:dyDescent="0.3">
      <c r="A26" t="str">
        <v>SQ04603</v>
      </c>
      <c r="B26" t="str">
        <v>Natalee</v>
      </c>
      <c r="C26" t="str">
        <v>Craiker</v>
      </c>
      <c r="D26" t="str">
        <v>Male</v>
      </c>
      <c r="E26" t="str">
        <v>Product Management</v>
      </c>
      <c r="F26" s="30">
        <v>111229.47</v>
      </c>
      <c r="G26" s="32" t="str">
        <v>Above 100k</v>
      </c>
      <c r="H26" s="29">
        <v>43402</v>
      </c>
      <c r="I26">
        <v>1</v>
      </c>
      <c r="J26" t="str">
        <v>Permanent</v>
      </c>
      <c r="K26" t="str">
        <v>Remote</v>
      </c>
      <c r="L26">
        <v>5.6493150684931503</v>
      </c>
      <c r="M26" t="str">
        <v>Full time</v>
      </c>
    </row>
    <row r="27" spans="1:13" x14ac:dyDescent="0.3">
      <c r="A27" t="str">
        <v>SQ04612</v>
      </c>
      <c r="B27" t="str">
        <v>Mick</v>
      </c>
      <c r="C27" t="str">
        <v>Spraberry</v>
      </c>
      <c r="D27" t="str">
        <v>Female</v>
      </c>
      <c r="E27" t="str">
        <v>Services</v>
      </c>
      <c r="F27" s="30">
        <v>120000</v>
      </c>
      <c r="G27" s="32" t="str">
        <v>Above 100k</v>
      </c>
      <c r="H27" s="29">
        <v>43902</v>
      </c>
      <c r="I27">
        <v>0.9</v>
      </c>
      <c r="J27" t="str">
        <v>Permanent</v>
      </c>
      <c r="K27" t="str">
        <v>Remote</v>
      </c>
      <c r="L27">
        <v>4.279452054794521</v>
      </c>
      <c r="M27" t="str">
        <v>Part time</v>
      </c>
    </row>
    <row r="28" spans="1:13" x14ac:dyDescent="0.3">
      <c r="A28" t="str">
        <v>SQ04665</v>
      </c>
      <c r="B28" t="str">
        <v>Collin</v>
      </c>
      <c r="C28" t="str">
        <v>Jagson</v>
      </c>
      <c r="D28" t="str">
        <v>Male</v>
      </c>
      <c r="E28" t="str">
        <v>Services</v>
      </c>
      <c r="F28" s="30">
        <v>100424.23</v>
      </c>
      <c r="G28" s="32" t="str">
        <v>Above 100k</v>
      </c>
      <c r="H28" s="29">
        <v>43801</v>
      </c>
      <c r="I28">
        <v>1</v>
      </c>
      <c r="J28" t="str">
        <v>Permanent</v>
      </c>
      <c r="K28" t="str">
        <v>Auckland, New Zealand</v>
      </c>
      <c r="L28">
        <v>4.5561643835616437</v>
      </c>
      <c r="M28" t="str">
        <v>Full time</v>
      </c>
    </row>
    <row r="29" spans="1:13" x14ac:dyDescent="0.3">
      <c r="A29" t="str">
        <v>TN00579</v>
      </c>
      <c r="B29" t="str">
        <v>Rafaelita</v>
      </c>
      <c r="C29" t="str">
        <v>Blaksland</v>
      </c>
      <c r="D29" t="str">
        <v>Female</v>
      </c>
      <c r="E29" t="str">
        <v>Services</v>
      </c>
      <c r="F29" s="30">
        <v>109163.39</v>
      </c>
      <c r="G29" s="32" t="str">
        <v>Above 100k</v>
      </c>
      <c r="H29" s="29">
        <v>44019</v>
      </c>
      <c r="I29">
        <v>0.8</v>
      </c>
      <c r="J29" t="str">
        <v>Permanent</v>
      </c>
      <c r="K29" t="str">
        <v>Seattle, USA</v>
      </c>
      <c r="L29">
        <v>3.9589041095890409</v>
      </c>
      <c r="M29" t="str">
        <v>Part time</v>
      </c>
    </row>
    <row r="30" spans="1:13" x14ac:dyDescent="0.3">
      <c r="A30" t="str">
        <v>TN01281</v>
      </c>
      <c r="B30" t="str">
        <v>Cletus</v>
      </c>
      <c r="C30" t="str">
        <v>McGarahan</v>
      </c>
      <c r="D30" t="str">
        <v>Female</v>
      </c>
      <c r="E30" t="str">
        <v>Engineering</v>
      </c>
      <c r="F30" s="30">
        <v>114425.19</v>
      </c>
      <c r="G30" s="32" t="str">
        <v>Above 100k</v>
      </c>
      <c r="H30" s="29">
        <v>43857</v>
      </c>
      <c r="I30">
        <v>1</v>
      </c>
      <c r="J30" t="str">
        <v>Permanent</v>
      </c>
      <c r="K30" t="str">
        <v>Wellington, New Zealand</v>
      </c>
      <c r="L30">
        <v>4.4027397260273968</v>
      </c>
      <c r="M30" t="str">
        <v>Full time</v>
      </c>
    </row>
    <row r="31" spans="1:13" x14ac:dyDescent="0.3">
      <c r="A31" t="str">
        <v>TN04058</v>
      </c>
      <c r="B31" t="str">
        <v>Subbarao</v>
      </c>
      <c r="C31" t="str">
        <v>Malladi</v>
      </c>
      <c r="D31" t="str">
        <v>Male</v>
      </c>
      <c r="E31" t="str">
        <v>Product Management</v>
      </c>
      <c r="F31" s="30">
        <v>106775.14</v>
      </c>
      <c r="G31" s="32" t="str">
        <v>Above 100k</v>
      </c>
      <c r="H31" s="29">
        <v>43563</v>
      </c>
      <c r="I31">
        <v>1</v>
      </c>
      <c r="J31" t="str">
        <v>Fixed Term</v>
      </c>
      <c r="K31" t="str">
        <v>Hyderabad, India</v>
      </c>
      <c r="L31">
        <v>5.2082191780821914</v>
      </c>
      <c r="M31" t="str">
        <v>Full time</v>
      </c>
    </row>
    <row r="32" spans="1:13" x14ac:dyDescent="0.3">
      <c r="A32" t="str">
        <v>TN04058</v>
      </c>
      <c r="B32" t="str">
        <v>Vasu</v>
      </c>
      <c r="C32" t="str">
        <v>Nandin</v>
      </c>
      <c r="D32" t="str">
        <v>Male</v>
      </c>
      <c r="E32" t="str">
        <v>Product Management</v>
      </c>
      <c r="F32" s="30">
        <v>106775.14</v>
      </c>
      <c r="G32" s="32" t="str">
        <v>Above 100k</v>
      </c>
      <c r="H32" s="29">
        <v>43563</v>
      </c>
      <c r="I32">
        <v>1</v>
      </c>
      <c r="J32" t="str">
        <v>Fixed Term</v>
      </c>
      <c r="K32" t="str">
        <v>Hyderabad, India</v>
      </c>
      <c r="L32">
        <v>5.2082191780821914</v>
      </c>
      <c r="M32" t="str">
        <v>Full time</v>
      </c>
    </row>
    <row r="33" spans="1:13" x14ac:dyDescent="0.3">
      <c r="A33" t="str">
        <v>TN04246</v>
      </c>
      <c r="B33" t="str">
        <v>Shaylyn</v>
      </c>
      <c r="C33" t="str">
        <v>Ransbury</v>
      </c>
      <c r="D33" t="str">
        <v>Female</v>
      </c>
      <c r="E33" t="str">
        <v>Support</v>
      </c>
      <c r="F33" s="30">
        <v>100371.31</v>
      </c>
      <c r="G33" s="32" t="str">
        <v>Above 100k</v>
      </c>
      <c r="H33" s="29">
        <v>44067</v>
      </c>
      <c r="I33">
        <v>0.8</v>
      </c>
      <c r="J33" t="str">
        <v>Fixed Term</v>
      </c>
      <c r="K33" t="str">
        <v>Auckland, New Zealand</v>
      </c>
      <c r="L33">
        <v>3.8273972602739725</v>
      </c>
      <c r="M33" t="str">
        <v>Part time</v>
      </c>
    </row>
    <row r="34" spans="1:13" x14ac:dyDescent="0.3">
      <c r="A34" t="str">
        <v>TN04740</v>
      </c>
      <c r="B34" t="str">
        <v>Tristam</v>
      </c>
      <c r="C34" t="str">
        <v>Cuming</v>
      </c>
      <c r="D34" t="str">
        <v>Female</v>
      </c>
      <c r="E34" t="str">
        <v>Support</v>
      </c>
      <c r="F34" s="30">
        <v>104038.9</v>
      </c>
      <c r="G34" s="32" t="str">
        <v>Above 100k</v>
      </c>
      <c r="H34" s="29">
        <v>43815</v>
      </c>
      <c r="I34">
        <v>1</v>
      </c>
      <c r="J34" t="str">
        <v>Fixed Term</v>
      </c>
      <c r="K34" t="str">
        <v>Remote</v>
      </c>
      <c r="L34">
        <v>4.5178082191780824</v>
      </c>
      <c r="M34" t="str">
        <v>Full time</v>
      </c>
    </row>
    <row r="35" spans="1:13" x14ac:dyDescent="0.3">
      <c r="A35" t="str">
        <v>VT01684</v>
      </c>
      <c r="B35" t="str">
        <v>Audry</v>
      </c>
      <c r="C35" t="str">
        <v>Yu</v>
      </c>
      <c r="D35" t="str">
        <v>Female</v>
      </c>
      <c r="E35" t="str">
        <v>Training</v>
      </c>
      <c r="F35" s="30">
        <v>101187.36</v>
      </c>
      <c r="G35" s="32" t="str">
        <v>Above 100k</v>
      </c>
      <c r="H35" s="29">
        <v>43258</v>
      </c>
      <c r="I35">
        <v>1</v>
      </c>
      <c r="J35" t="str">
        <v>Fixed Term</v>
      </c>
      <c r="K35" t="str">
        <v>Columbus, USA</v>
      </c>
      <c r="L35">
        <v>6.043835616438356</v>
      </c>
      <c r="M35" t="str">
        <v>Full time</v>
      </c>
    </row>
    <row r="36" spans="1:13" x14ac:dyDescent="0.3">
      <c r="A36" t="str">
        <v>VT01762</v>
      </c>
      <c r="B36" t="str">
        <v>Geena</v>
      </c>
      <c r="C36" t="str">
        <v>Raghavanpillai</v>
      </c>
      <c r="D36" t="str">
        <v>Male</v>
      </c>
      <c r="E36" t="str">
        <v>Accounting</v>
      </c>
      <c r="F36" s="30">
        <v>102515.81</v>
      </c>
      <c r="G36" s="32" t="str">
        <v>Above 100k</v>
      </c>
      <c r="H36" s="29">
        <v>43902</v>
      </c>
      <c r="I36">
        <v>1</v>
      </c>
      <c r="J36" t="str">
        <v>Fixed Term</v>
      </c>
      <c r="K36" t="str">
        <v>Chennai, India</v>
      </c>
      <c r="L36">
        <v>4.279452054794521</v>
      </c>
      <c r="M36" t="str">
        <v>Full time</v>
      </c>
    </row>
    <row r="37" spans="1:13" x14ac:dyDescent="0.3">
      <c r="A37" t="str">
        <v>VT01893</v>
      </c>
      <c r="B37" t="str">
        <v>Lindy</v>
      </c>
      <c r="C37" t="str">
        <v>Guillet</v>
      </c>
      <c r="D37" t="str">
        <v>Male</v>
      </c>
      <c r="E37" t="str">
        <v>Training</v>
      </c>
      <c r="F37" s="30">
        <v>112778.28</v>
      </c>
      <c r="G37" s="32" t="str">
        <v>Above 100k</v>
      </c>
      <c r="H37" s="29">
        <v>43250</v>
      </c>
      <c r="I37">
        <v>1</v>
      </c>
      <c r="J37" t="str">
        <v>Fixed Term</v>
      </c>
      <c r="K37" t="str">
        <v>Remote</v>
      </c>
      <c r="L37">
        <v>6.065753424657534</v>
      </c>
      <c r="M37" t="str">
        <v>Full time</v>
      </c>
    </row>
    <row r="38" spans="1:13" x14ac:dyDescent="0.3">
      <c r="A38" t="str">
        <v>VT01893</v>
      </c>
      <c r="B38" t="str">
        <v>Lindy</v>
      </c>
      <c r="C38" t="str">
        <v>Guillet</v>
      </c>
      <c r="D38" t="str">
        <v>Male</v>
      </c>
      <c r="E38" t="str">
        <v>Training</v>
      </c>
      <c r="F38" s="30">
        <v>112778.28</v>
      </c>
      <c r="G38" s="32" t="str">
        <v>Above 100k</v>
      </c>
      <c r="H38" s="29">
        <v>43250</v>
      </c>
      <c r="I38">
        <v>1</v>
      </c>
      <c r="J38" t="str">
        <v>Fixed Term</v>
      </c>
      <c r="K38" t="str">
        <v>Remote</v>
      </c>
      <c r="L38">
        <v>6.065753424657534</v>
      </c>
      <c r="M38" t="str">
        <v>Full time</v>
      </c>
    </row>
    <row r="39" spans="1:13" x14ac:dyDescent="0.3">
      <c r="A39" t="str">
        <v>VT02491</v>
      </c>
      <c r="B39" t="str">
        <v>Alexis</v>
      </c>
      <c r="C39" t="str">
        <v>Gotfrey</v>
      </c>
      <c r="D39" t="str">
        <v>Male</v>
      </c>
      <c r="E39" t="str">
        <v>Engineering</v>
      </c>
      <c r="F39" s="30">
        <v>114465.93</v>
      </c>
      <c r="G39" s="32" t="str">
        <v>Above 100k</v>
      </c>
      <c r="H39" s="29">
        <v>43291</v>
      </c>
      <c r="I39">
        <v>1</v>
      </c>
      <c r="J39" t="str">
        <v>Temporary</v>
      </c>
      <c r="K39" t="str">
        <v>Wellington, New Zealand</v>
      </c>
      <c r="L39">
        <v>5.9534246575342467</v>
      </c>
      <c r="M39" t="str">
        <v>Full time</v>
      </c>
    </row>
    <row r="40" spans="1:13" x14ac:dyDescent="0.3">
      <c r="A40" t="str">
        <v>VT02801</v>
      </c>
      <c r="B40" t="str">
        <v>Shellysheldon</v>
      </c>
      <c r="C40" t="str">
        <v>Mahady</v>
      </c>
      <c r="D40" t="str">
        <v>Male</v>
      </c>
      <c r="E40" t="str">
        <v>Training</v>
      </c>
      <c r="F40" s="30">
        <v>114691.03</v>
      </c>
      <c r="G40" s="32" t="str">
        <v>Above 100k</v>
      </c>
      <c r="H40" s="29">
        <v>44039</v>
      </c>
      <c r="I40">
        <v>1</v>
      </c>
      <c r="J40" t="str">
        <v>Temporary</v>
      </c>
      <c r="K40" t="str">
        <v>Wellington, New Zealand</v>
      </c>
      <c r="L40">
        <v>3.904109589041096</v>
      </c>
      <c r="M40" t="str">
        <v>Full time</v>
      </c>
    </row>
    <row r="41" spans="1:13" x14ac:dyDescent="0.3">
      <c r="A41" t="str">
        <v>VT03421</v>
      </c>
      <c r="B41" t="str">
        <v>Alic</v>
      </c>
      <c r="C41" t="str">
        <v>Bagg</v>
      </c>
      <c r="D41" t="str">
        <v>Male</v>
      </c>
      <c r="E41" t="str">
        <v>Legal</v>
      </c>
      <c r="F41" s="30">
        <v>113747.56</v>
      </c>
      <c r="G41" s="32" t="str">
        <v>Above 100k</v>
      </c>
      <c r="H41" s="29">
        <v>44270</v>
      </c>
      <c r="I41">
        <v>0.7</v>
      </c>
      <c r="J41" t="str">
        <v>Temporary</v>
      </c>
      <c r="K41" t="str">
        <v>Columbus, USA</v>
      </c>
      <c r="L41">
        <v>3.2712328767123289</v>
      </c>
      <c r="M41" t="str">
        <v>Part time</v>
      </c>
    </row>
    <row r="42" spans="1:13" x14ac:dyDescent="0.3">
      <c r="A42" t="str">
        <v>VT03421</v>
      </c>
      <c r="B42" t="str">
        <v>Alic</v>
      </c>
      <c r="C42" t="str">
        <v>Bagg</v>
      </c>
      <c r="D42" t="str">
        <v>Male</v>
      </c>
      <c r="E42" t="str">
        <v>Legal</v>
      </c>
      <c r="F42" s="30">
        <v>113747.56</v>
      </c>
      <c r="G42" s="32" t="str">
        <v>Above 100k</v>
      </c>
      <c r="H42" s="29">
        <v>44270</v>
      </c>
      <c r="I42">
        <v>0.7</v>
      </c>
      <c r="J42" t="str">
        <v>Temporary</v>
      </c>
      <c r="K42" t="str">
        <v>Columbus, USA</v>
      </c>
      <c r="L42">
        <v>3.2712328767123289</v>
      </c>
      <c r="M42" t="str">
        <v>Part time</v>
      </c>
    </row>
    <row r="43" spans="1:13" x14ac:dyDescent="0.3">
      <c r="A43" t="str">
        <v>VT04028</v>
      </c>
      <c r="B43" t="str">
        <v>Michale</v>
      </c>
      <c r="C43" t="str">
        <v>Rolf</v>
      </c>
      <c r="D43" t="str">
        <v>Male</v>
      </c>
      <c r="E43" t="str">
        <v>Services</v>
      </c>
      <c r="F43" s="30">
        <v>111815.49</v>
      </c>
      <c r="G43" s="32" t="str">
        <v>Above 100k</v>
      </c>
      <c r="H43" s="29">
        <v>43895</v>
      </c>
      <c r="I43">
        <v>0.7</v>
      </c>
      <c r="J43" t="str">
        <v>Temporary</v>
      </c>
      <c r="K43" t="str">
        <v>Remote</v>
      </c>
      <c r="L43">
        <v>4.2986301369863016</v>
      </c>
      <c r="M43" t="str">
        <v>Part time</v>
      </c>
    </row>
    <row r="44" spans="1:13" x14ac:dyDescent="0.3">
      <c r="A44" t="str">
        <v>VT04028</v>
      </c>
      <c r="B44" t="str">
        <v>Michale</v>
      </c>
      <c r="C44" t="str">
        <v>Rolf</v>
      </c>
      <c r="D44" t="str">
        <v>Male</v>
      </c>
      <c r="E44" t="str">
        <v>Services</v>
      </c>
      <c r="F44" s="30">
        <v>111815.49</v>
      </c>
      <c r="G44" s="32" t="str">
        <v>Above 100k</v>
      </c>
      <c r="H44" s="29">
        <v>43895</v>
      </c>
      <c r="I44">
        <v>0.7</v>
      </c>
      <c r="J44" t="str">
        <v>Temporary</v>
      </c>
      <c r="K44" t="str">
        <v>Remote</v>
      </c>
      <c r="L44">
        <v>4.2986301369863016</v>
      </c>
      <c r="M44" t="str">
        <v>Part time</v>
      </c>
    </row>
    <row r="45" spans="1:13" x14ac:dyDescent="0.3">
      <c r="A45" t="str">
        <v>VT04093</v>
      </c>
      <c r="B45" t="str">
        <v>Prasanna</v>
      </c>
      <c r="C45" t="str">
        <v>Lakshmi</v>
      </c>
      <c r="D45" t="str">
        <v>Female</v>
      </c>
      <c r="E45" t="str">
        <v>Training</v>
      </c>
      <c r="F45" s="30">
        <v>116767.63</v>
      </c>
      <c r="G45" s="32" t="str">
        <v>Above 100k</v>
      </c>
      <c r="H45" s="29">
        <v>43949</v>
      </c>
      <c r="I45">
        <v>0.4</v>
      </c>
      <c r="J45" t="str">
        <v>Temporary</v>
      </c>
      <c r="K45" t="str">
        <v>Chennai, India</v>
      </c>
      <c r="L45">
        <v>4.1506849315068495</v>
      </c>
      <c r="M45" t="str">
        <v>Part time</v>
      </c>
    </row>
    <row r="46" spans="1:13" x14ac:dyDescent="0.3">
      <c r="A46" t="str">
        <v>VT04093</v>
      </c>
      <c r="B46" t="str">
        <v>Baruna</v>
      </c>
      <c r="C46" t="str">
        <v>Ogale</v>
      </c>
      <c r="D46" t="str">
        <v>Female</v>
      </c>
      <c r="E46" t="str">
        <v>Training</v>
      </c>
      <c r="F46" s="30">
        <v>116767.63</v>
      </c>
      <c r="G46" s="32" t="str">
        <v>Above 100k</v>
      </c>
      <c r="H46" s="29">
        <v>43949</v>
      </c>
      <c r="I46">
        <v>0.4</v>
      </c>
      <c r="J46" t="str">
        <v>Temporary</v>
      </c>
      <c r="K46" t="str">
        <v>Chennai, India</v>
      </c>
      <c r="L46">
        <v>4.1506849315068495</v>
      </c>
      <c r="M46" t="str">
        <v>Part time</v>
      </c>
    </row>
    <row r="47" spans="1:13" x14ac:dyDescent="0.3">
      <c r="A47" t="str">
        <v>VT04350</v>
      </c>
      <c r="B47" t="str">
        <v>Kulbhushan</v>
      </c>
      <c r="C47" t="str">
        <v>Moorthy</v>
      </c>
      <c r="D47" t="str">
        <v>Male</v>
      </c>
      <c r="E47" t="str">
        <v>Business Development</v>
      </c>
      <c r="F47" s="30">
        <v>106400.02</v>
      </c>
      <c r="G47" s="32" t="str">
        <v>Above 100k</v>
      </c>
      <c r="H47" s="29">
        <v>44021</v>
      </c>
      <c r="I47">
        <v>1</v>
      </c>
      <c r="J47" t="str">
        <v>Temporary</v>
      </c>
      <c r="K47" t="str">
        <v>Chennai, India</v>
      </c>
      <c r="L47">
        <v>3.9534246575342467</v>
      </c>
      <c r="M47" t="str">
        <v>Full time</v>
      </c>
    </row>
    <row r="48" spans="1:13" x14ac:dyDescent="0.3">
      <c r="A48" t="str">
        <v>VT04350</v>
      </c>
      <c r="B48" t="str">
        <v>Lalit</v>
      </c>
      <c r="C48" t="str">
        <v>Kothari</v>
      </c>
      <c r="D48" t="str">
        <v>Male</v>
      </c>
      <c r="E48" t="str">
        <v>Business Development</v>
      </c>
      <c r="F48" s="30">
        <v>106400.02</v>
      </c>
      <c r="G48" s="32" t="str">
        <v>Above 100k</v>
      </c>
      <c r="H48" s="29">
        <v>44021</v>
      </c>
      <c r="I48">
        <v>1</v>
      </c>
      <c r="J48" t="str">
        <v>Temporary</v>
      </c>
      <c r="K48" t="str">
        <v>Chennai, India</v>
      </c>
      <c r="L48">
        <v>3.9534246575342467</v>
      </c>
      <c r="M48" t="str">
        <v>Full time</v>
      </c>
    </row>
    <row r="49" spans="1:14" x14ac:dyDescent="0.3">
      <c r="A49" t="str">
        <v>VT04552</v>
      </c>
      <c r="B49" t="str">
        <v>Theresita</v>
      </c>
      <c r="C49" t="str">
        <v>Chasmer</v>
      </c>
      <c r="D49" t="str">
        <v>Female</v>
      </c>
      <c r="E49" t="str">
        <v>Product Management</v>
      </c>
      <c r="F49" s="30">
        <v>106665.67</v>
      </c>
      <c r="G49" s="32" t="str">
        <v>Above 100k</v>
      </c>
      <c r="H49" s="29">
        <v>43311</v>
      </c>
      <c r="I49">
        <v>1</v>
      </c>
      <c r="J49" t="str">
        <v>Temporary</v>
      </c>
      <c r="K49" t="str">
        <v>Columbus, USA</v>
      </c>
      <c r="L49">
        <v>5.8986301369863012</v>
      </c>
      <c r="M49" t="str">
        <v>Full time</v>
      </c>
    </row>
    <row r="50" spans="1:14" x14ac:dyDescent="0.3">
      <c r="A50" t="str">
        <v>VT04681</v>
      </c>
      <c r="B50" t="str">
        <v>Nickolai</v>
      </c>
      <c r="C50" t="str">
        <v>Artin</v>
      </c>
      <c r="D50" t="str">
        <v>Female</v>
      </c>
      <c r="E50" t="str">
        <v>Product Management</v>
      </c>
      <c r="F50" s="30">
        <v>110906.35</v>
      </c>
      <c r="G50" s="32" t="str">
        <v>Above 100k</v>
      </c>
      <c r="H50" s="29">
        <v>43434</v>
      </c>
      <c r="I50">
        <v>1</v>
      </c>
      <c r="J50" t="str">
        <v>Temporary</v>
      </c>
      <c r="K50" t="str">
        <v>Wellington, New Zealand</v>
      </c>
      <c r="L50">
        <v>5.5616438356164384</v>
      </c>
      <c r="M50" t="str">
        <v>Full time</v>
      </c>
    </row>
    <row r="59" spans="1:14" x14ac:dyDescent="0.3">
      <c r="A59" s="26" t="s">
        <v>774</v>
      </c>
    </row>
    <row r="60" spans="1:14" x14ac:dyDescent="0.3">
      <c r="A60" s="26" t="s">
        <v>775</v>
      </c>
      <c r="J60" s="32"/>
      <c r="K60" s="29"/>
    </row>
    <row r="61" spans="1:14" x14ac:dyDescent="0.3">
      <c r="A61" t="s">
        <v>776</v>
      </c>
      <c r="J61" s="31" t="s">
        <v>777</v>
      </c>
      <c r="K61" s="29"/>
    </row>
    <row r="62" spans="1:14" x14ac:dyDescent="0.3">
      <c r="A62" s="26" t="str" cm="1">
        <f t="array" ref="A62:E62">_xlfn.CHOOSECOLS(staff[#Headers],1,2,3,5,6)</f>
        <v>Emp ID</v>
      </c>
      <c r="B62" s="26" t="str">
        <v>First Name</v>
      </c>
      <c r="C62" s="26" t="str">
        <v>Last Name</v>
      </c>
      <c r="D62" s="26" t="str">
        <v>Department</v>
      </c>
      <c r="E62" s="26" t="str">
        <v>Salary</v>
      </c>
      <c r="J62" s="31" t="s">
        <v>778</v>
      </c>
      <c r="K62" s="29"/>
    </row>
    <row r="63" spans="1:14" x14ac:dyDescent="0.3">
      <c r="A63" t="str" cm="1">
        <f t="array" ref="A63:E109">_xlfn.CHOOSECOLS(_xlfn._xlws.FILTER(staff[],staff[Salary]&gt;100000),1,2,3,5,6)</f>
        <v>PR00147</v>
      </c>
      <c r="B63" t="str">
        <v>Minerva</v>
      </c>
      <c r="C63" t="str">
        <v>Ricardot</v>
      </c>
      <c r="D63" t="str">
        <v>Engineering</v>
      </c>
      <c r="E63">
        <v>120000</v>
      </c>
      <c r="J63" s="32"/>
      <c r="K63" s="29"/>
    </row>
    <row r="64" spans="1:14" x14ac:dyDescent="0.3">
      <c r="A64" t="str">
        <v>PR00746</v>
      </c>
      <c r="B64" t="str">
        <v>Hogan</v>
      </c>
      <c r="C64" t="str">
        <v>Iles</v>
      </c>
      <c r="D64" t="str">
        <v>Accounting</v>
      </c>
      <c r="E64">
        <v>114177.23</v>
      </c>
      <c r="J64" s="31" t="str" cm="1">
        <f t="array" ref="J64:N64">_xlfn.CHOOSECOLS(staff[#Headers],1,2,3,5,6)</f>
        <v>Emp ID</v>
      </c>
      <c r="K64" s="33" t="str">
        <v>First Name</v>
      </c>
      <c r="L64" s="33" t="str">
        <v>Last Name</v>
      </c>
      <c r="M64" s="33" t="str">
        <v>Department</v>
      </c>
      <c r="N64" s="33" t="str">
        <v>Salary</v>
      </c>
    </row>
    <row r="65" spans="1:14" x14ac:dyDescent="0.3">
      <c r="A65" t="str">
        <v>PR01159</v>
      </c>
      <c r="B65" t="str">
        <v>Mollie</v>
      </c>
      <c r="C65" t="str">
        <v>Hanway</v>
      </c>
      <c r="D65" t="str">
        <v>Engineering</v>
      </c>
      <c r="E65">
        <v>112645.99</v>
      </c>
      <c r="J65" s="32" t="str" cm="1">
        <f t="array" ref="J65:N82">_xlfn.CHOOSECOLS(_xlfn._xlws.FILTER(staff[],(staff[Salary]&gt;100000)*(staff[Gender]="female")),1,2,3,5,6)</f>
        <v>PR00746</v>
      </c>
      <c r="K65" s="29" t="str">
        <v>Hogan</v>
      </c>
      <c r="L65" t="str">
        <v>Iles</v>
      </c>
      <c r="M65" t="str">
        <v>Accounting</v>
      </c>
      <c r="N65">
        <v>114177.23</v>
      </c>
    </row>
    <row r="66" spans="1:14" x14ac:dyDescent="0.3">
      <c r="A66" t="str">
        <v>PR02010</v>
      </c>
      <c r="B66" t="str">
        <v>Prerana</v>
      </c>
      <c r="C66" t="str">
        <v>Nishita</v>
      </c>
      <c r="D66" t="str">
        <v>Product Management</v>
      </c>
      <c r="E66">
        <v>115191.38</v>
      </c>
      <c r="J66" s="32" t="str">
        <v>PR02208</v>
      </c>
      <c r="K66" s="29" t="str">
        <v>Gowri</v>
      </c>
      <c r="L66" t="str">
        <v>Sankar</v>
      </c>
      <c r="M66" t="str">
        <v>Training</v>
      </c>
      <c r="N66">
        <v>102934.09</v>
      </c>
    </row>
    <row r="67" spans="1:14" x14ac:dyDescent="0.3">
      <c r="A67" t="str">
        <v>PR02208</v>
      </c>
      <c r="B67" t="str">
        <v>Gowri</v>
      </c>
      <c r="C67" t="str">
        <v>Sankar</v>
      </c>
      <c r="D67" t="str">
        <v>Training</v>
      </c>
      <c r="E67">
        <v>102934.09</v>
      </c>
      <c r="J67" s="32" t="str">
        <v>SQ00498</v>
      </c>
      <c r="K67" s="29" t="str">
        <v>Amery</v>
      </c>
      <c r="L67" t="str">
        <v>Ofer</v>
      </c>
      <c r="M67" t="str">
        <v>Legal</v>
      </c>
      <c r="N67">
        <v>111049.84</v>
      </c>
    </row>
    <row r="68" spans="1:14" x14ac:dyDescent="0.3">
      <c r="A68" t="str">
        <v>PR02288</v>
      </c>
      <c r="B68" t="str">
        <v>Althea</v>
      </c>
      <c r="C68" t="str">
        <v>Bronger</v>
      </c>
      <c r="D68" t="str">
        <v>Product Management</v>
      </c>
      <c r="E68">
        <v>104335.03999999999</v>
      </c>
      <c r="J68" s="32" t="str">
        <v>SQ02174</v>
      </c>
      <c r="K68" s="29" t="str">
        <v>Sidoney</v>
      </c>
      <c r="L68" t="str">
        <v>Yitzhok</v>
      </c>
      <c r="M68" t="str">
        <v>Engineering</v>
      </c>
      <c r="N68">
        <v>118442.54</v>
      </c>
    </row>
    <row r="69" spans="1:14" x14ac:dyDescent="0.3">
      <c r="A69" t="str">
        <v>PR03886</v>
      </c>
      <c r="B69" t="str">
        <v>Edd</v>
      </c>
      <c r="C69" t="str">
        <v>MacKnockiter</v>
      </c>
      <c r="D69" t="str">
        <v>Accounting</v>
      </c>
      <c r="E69">
        <v>119022.49</v>
      </c>
      <c r="J69" s="32" t="str">
        <v>SQ02624</v>
      </c>
      <c r="K69" s="29" t="str">
        <v>Gwenneth</v>
      </c>
      <c r="L69" t="str">
        <v>Fealey</v>
      </c>
      <c r="M69" t="str">
        <v>Engineering</v>
      </c>
      <c r="N69">
        <v>114772.32</v>
      </c>
    </row>
    <row r="70" spans="1:14" x14ac:dyDescent="0.3">
      <c r="A70" t="str">
        <v>PR04601</v>
      </c>
      <c r="B70" t="str">
        <v>Yedukondalu</v>
      </c>
      <c r="C70" t="str">
        <v>Panditula</v>
      </c>
      <c r="D70" t="str">
        <v>Support</v>
      </c>
      <c r="E70">
        <v>104802.63</v>
      </c>
      <c r="J70" s="32" t="str">
        <v>SQ02703</v>
      </c>
      <c r="K70" s="29" t="str">
        <v>Deepit</v>
      </c>
      <c r="L70" t="str">
        <v>Ranjana</v>
      </c>
      <c r="M70" t="str">
        <v>Marketing</v>
      </c>
      <c r="N70">
        <v>104903.79</v>
      </c>
    </row>
    <row r="71" spans="1:14" x14ac:dyDescent="0.3">
      <c r="A71" t="str">
        <v>SQ00022</v>
      </c>
      <c r="B71" t="str">
        <v>Carlin</v>
      </c>
      <c r="C71" t="str">
        <v>Demke</v>
      </c>
      <c r="D71" t="str">
        <v>Business Development</v>
      </c>
      <c r="E71">
        <v>110042.37</v>
      </c>
      <c r="J71" s="32" t="str">
        <v>SQ03387</v>
      </c>
      <c r="K71" s="29" t="str">
        <v>Robinia</v>
      </c>
      <c r="L71" t="str">
        <v>Scholling</v>
      </c>
      <c r="M71" t="str">
        <v>Human Resources</v>
      </c>
      <c r="N71">
        <v>100731.95</v>
      </c>
    </row>
    <row r="72" spans="1:14" x14ac:dyDescent="0.3">
      <c r="A72" t="str">
        <v>SQ00144</v>
      </c>
      <c r="B72" t="str">
        <v>Collen</v>
      </c>
      <c r="C72" t="str">
        <v>Dunbleton</v>
      </c>
      <c r="D72" t="str">
        <v>Engineering</v>
      </c>
      <c r="E72">
        <v>118976.16</v>
      </c>
      <c r="J72" s="32" t="str">
        <v>SQ03491</v>
      </c>
      <c r="K72" s="29" t="str">
        <v>Freda</v>
      </c>
      <c r="L72" t="str">
        <v>Legan</v>
      </c>
      <c r="M72" t="str">
        <v>Sales</v>
      </c>
      <c r="N72">
        <v>102129.37</v>
      </c>
    </row>
    <row r="73" spans="1:14" x14ac:dyDescent="0.3">
      <c r="A73" t="str">
        <v>SQ00498</v>
      </c>
      <c r="B73" t="str">
        <v>Amery</v>
      </c>
      <c r="C73" t="str">
        <v>Ofer</v>
      </c>
      <c r="D73" t="str">
        <v>Legal</v>
      </c>
      <c r="E73">
        <v>111049.84</v>
      </c>
      <c r="J73" s="32" t="str">
        <v>SQ04612</v>
      </c>
      <c r="K73" s="29" t="str">
        <v>Mick</v>
      </c>
      <c r="L73" t="str">
        <v>Spraberry</v>
      </c>
      <c r="M73" t="str">
        <v>Services</v>
      </c>
      <c r="N73">
        <v>120000</v>
      </c>
    </row>
    <row r="74" spans="1:14" x14ac:dyDescent="0.3">
      <c r="A74" t="str">
        <v>SQ01620</v>
      </c>
      <c r="B74" t="str">
        <v>Westbrook</v>
      </c>
      <c r="C74" t="str">
        <v>Brandino</v>
      </c>
      <c r="D74" t="str">
        <v>Legal</v>
      </c>
      <c r="E74">
        <v>113616.23</v>
      </c>
      <c r="J74" s="32" t="str">
        <v>TN00579</v>
      </c>
      <c r="K74" s="29" t="str">
        <v>Rafaelita</v>
      </c>
      <c r="L74" t="str">
        <v>Blaksland</v>
      </c>
      <c r="M74" t="str">
        <v>Services</v>
      </c>
      <c r="N74">
        <v>109163.39</v>
      </c>
    </row>
    <row r="75" spans="1:14" x14ac:dyDescent="0.3">
      <c r="A75" t="str">
        <v>SQ02035</v>
      </c>
      <c r="B75" t="str">
        <v>Anni</v>
      </c>
      <c r="C75" t="str">
        <v>Izzard</v>
      </c>
      <c r="D75" t="str">
        <v>Human Resources</v>
      </c>
      <c r="E75">
        <v>103494.94</v>
      </c>
      <c r="J75" s="32" t="str">
        <v>TN01281</v>
      </c>
      <c r="K75" s="29" t="str">
        <v>Cletus</v>
      </c>
      <c r="L75" t="str">
        <v>McGarahan</v>
      </c>
      <c r="M75" t="str">
        <v>Engineering</v>
      </c>
      <c r="N75">
        <v>114425.19</v>
      </c>
    </row>
    <row r="76" spans="1:14" x14ac:dyDescent="0.3">
      <c r="A76" t="str">
        <v>SQ02035</v>
      </c>
      <c r="B76" t="str">
        <v>Anni</v>
      </c>
      <c r="C76" t="str">
        <v>Izzard</v>
      </c>
      <c r="D76" t="str">
        <v>Human Resources</v>
      </c>
      <c r="E76">
        <v>103494.94</v>
      </c>
      <c r="J76" s="32" t="str">
        <v>TN04246</v>
      </c>
      <c r="K76" s="29" t="str">
        <v>Shaylyn</v>
      </c>
      <c r="L76" t="str">
        <v>Ransbury</v>
      </c>
      <c r="M76" t="str">
        <v>Support</v>
      </c>
      <c r="N76">
        <v>100371.31</v>
      </c>
    </row>
    <row r="77" spans="1:14" x14ac:dyDescent="0.3">
      <c r="A77" t="str">
        <v>SQ02174</v>
      </c>
      <c r="B77" t="str">
        <v>Sidoney</v>
      </c>
      <c r="C77" t="str">
        <v>Yitzhok</v>
      </c>
      <c r="D77" t="str">
        <v>Engineering</v>
      </c>
      <c r="E77">
        <v>118442.54</v>
      </c>
      <c r="J77" s="32" t="str">
        <v>TN04740</v>
      </c>
      <c r="K77" s="29" t="str">
        <v>Tristam</v>
      </c>
      <c r="L77" t="str">
        <v>Cuming</v>
      </c>
      <c r="M77" t="str">
        <v>Support</v>
      </c>
      <c r="N77">
        <v>104038.9</v>
      </c>
    </row>
    <row r="78" spans="1:14" x14ac:dyDescent="0.3">
      <c r="A78" t="str">
        <v>SQ02624</v>
      </c>
      <c r="B78" t="str">
        <v>Gwenneth</v>
      </c>
      <c r="C78" t="str">
        <v>Fealey</v>
      </c>
      <c r="D78" t="str">
        <v>Engineering</v>
      </c>
      <c r="E78">
        <v>114772.32</v>
      </c>
      <c r="J78" s="32" t="str">
        <v>VT01684</v>
      </c>
      <c r="K78" s="29" t="str">
        <v>Audry</v>
      </c>
      <c r="L78" t="str">
        <v>Yu</v>
      </c>
      <c r="M78" t="str">
        <v>Training</v>
      </c>
      <c r="N78">
        <v>101187.36</v>
      </c>
    </row>
    <row r="79" spans="1:14" x14ac:dyDescent="0.3">
      <c r="A79" t="str">
        <v>SQ02703</v>
      </c>
      <c r="B79" t="str">
        <v>Deepit</v>
      </c>
      <c r="C79" t="str">
        <v>Ranjana</v>
      </c>
      <c r="D79" t="str">
        <v>Marketing</v>
      </c>
      <c r="E79">
        <v>104903.79</v>
      </c>
      <c r="J79" s="32" t="str">
        <v>VT04093</v>
      </c>
      <c r="K79" s="29" t="str">
        <v>Prasanna</v>
      </c>
      <c r="L79" t="str">
        <v>Lakshmi</v>
      </c>
      <c r="M79" t="str">
        <v>Training</v>
      </c>
      <c r="N79">
        <v>116767.63</v>
      </c>
    </row>
    <row r="80" spans="1:14" x14ac:dyDescent="0.3">
      <c r="A80" t="str">
        <v>SQ03116</v>
      </c>
      <c r="B80" t="str">
        <v>Syd</v>
      </c>
      <c r="C80" t="str">
        <v>Fearn</v>
      </c>
      <c r="D80" t="str">
        <v>Engineering</v>
      </c>
      <c r="E80">
        <v>108872.77</v>
      </c>
      <c r="J80" s="32" t="str">
        <v>VT04093</v>
      </c>
      <c r="K80" s="29" t="str">
        <v>Baruna</v>
      </c>
      <c r="L80" t="str">
        <v>Ogale</v>
      </c>
      <c r="M80" t="str">
        <v>Training</v>
      </c>
      <c r="N80">
        <v>116767.63</v>
      </c>
    </row>
    <row r="81" spans="1:14" x14ac:dyDescent="0.3">
      <c r="A81" t="str">
        <v>SQ03387</v>
      </c>
      <c r="B81" t="str">
        <v>Robinia</v>
      </c>
      <c r="C81" t="str">
        <v>Scholling</v>
      </c>
      <c r="D81" t="str">
        <v>Human Resources</v>
      </c>
      <c r="E81">
        <v>100731.95</v>
      </c>
      <c r="J81" s="32" t="str">
        <v>VT04552</v>
      </c>
      <c r="K81" s="29" t="str">
        <v>Theresita</v>
      </c>
      <c r="L81" t="str">
        <v>Chasmer</v>
      </c>
      <c r="M81" t="str">
        <v>Product Management</v>
      </c>
      <c r="N81">
        <v>106665.67</v>
      </c>
    </row>
    <row r="82" spans="1:14" x14ac:dyDescent="0.3">
      <c r="A82" t="str">
        <v>SQ03476</v>
      </c>
      <c r="B82" t="str">
        <v>Ramalingam</v>
      </c>
      <c r="C82" t="str">
        <v>Kothapeta</v>
      </c>
      <c r="D82" t="str">
        <v>Accounting</v>
      </c>
      <c r="E82">
        <v>107107.6</v>
      </c>
      <c r="J82" s="32" t="str">
        <v>VT04681</v>
      </c>
      <c r="K82" s="29" t="str">
        <v>Nickolai</v>
      </c>
      <c r="L82" t="str">
        <v>Artin</v>
      </c>
      <c r="M82" t="str">
        <v>Product Management</v>
      </c>
      <c r="N82">
        <v>110906.35</v>
      </c>
    </row>
    <row r="83" spans="1:14" x14ac:dyDescent="0.3">
      <c r="A83" t="str">
        <v>SQ03491</v>
      </c>
      <c r="B83" t="str">
        <v>Freda</v>
      </c>
      <c r="C83" t="str">
        <v>Legan</v>
      </c>
      <c r="D83" t="str">
        <v>Sales</v>
      </c>
      <c r="E83">
        <v>102129.37</v>
      </c>
    </row>
    <row r="84" spans="1:14" x14ac:dyDescent="0.3">
      <c r="A84" t="str">
        <v>SQ03733</v>
      </c>
      <c r="B84" t="str">
        <v>Revkah</v>
      </c>
      <c r="C84" t="str">
        <v>Antonacci</v>
      </c>
      <c r="D84" t="str">
        <v>Engineering</v>
      </c>
      <c r="E84">
        <v>109143.17</v>
      </c>
    </row>
    <row r="85" spans="1:14" x14ac:dyDescent="0.3">
      <c r="A85" t="str">
        <v>SQ04603</v>
      </c>
      <c r="B85" t="str">
        <v>Natalee</v>
      </c>
      <c r="C85" t="str">
        <v>Craiker</v>
      </c>
      <c r="D85" t="str">
        <v>Product Management</v>
      </c>
      <c r="E85">
        <v>111229.47</v>
      </c>
    </row>
    <row r="86" spans="1:14" x14ac:dyDescent="0.3">
      <c r="A86" t="str">
        <v>SQ04612</v>
      </c>
      <c r="B86" t="str">
        <v>Mick</v>
      </c>
      <c r="C86" t="str">
        <v>Spraberry</v>
      </c>
      <c r="D86" t="str">
        <v>Services</v>
      </c>
      <c r="E86">
        <v>120000</v>
      </c>
    </row>
    <row r="87" spans="1:14" x14ac:dyDescent="0.3">
      <c r="A87" t="str">
        <v>SQ04665</v>
      </c>
      <c r="B87" t="str">
        <v>Collin</v>
      </c>
      <c r="C87" t="str">
        <v>Jagson</v>
      </c>
      <c r="D87" t="str">
        <v>Services</v>
      </c>
      <c r="E87">
        <v>100424.23</v>
      </c>
    </row>
    <row r="88" spans="1:14" x14ac:dyDescent="0.3">
      <c r="A88" t="str">
        <v>TN00579</v>
      </c>
      <c r="B88" t="str">
        <v>Rafaelita</v>
      </c>
      <c r="C88" t="str">
        <v>Blaksland</v>
      </c>
      <c r="D88" t="str">
        <v>Services</v>
      </c>
      <c r="E88">
        <v>109163.39</v>
      </c>
    </row>
    <row r="89" spans="1:14" x14ac:dyDescent="0.3">
      <c r="A89" t="str">
        <v>TN01281</v>
      </c>
      <c r="B89" t="str">
        <v>Cletus</v>
      </c>
      <c r="C89" t="str">
        <v>McGarahan</v>
      </c>
      <c r="D89" t="str">
        <v>Engineering</v>
      </c>
      <c r="E89">
        <v>114425.19</v>
      </c>
    </row>
    <row r="90" spans="1:14" x14ac:dyDescent="0.3">
      <c r="A90" t="str">
        <v>TN04058</v>
      </c>
      <c r="B90" t="str">
        <v>Subbarao</v>
      </c>
      <c r="C90" t="str">
        <v>Malladi</v>
      </c>
      <c r="D90" t="str">
        <v>Product Management</v>
      </c>
      <c r="E90">
        <v>106775.14</v>
      </c>
    </row>
    <row r="91" spans="1:14" x14ac:dyDescent="0.3">
      <c r="A91" t="str">
        <v>TN04058</v>
      </c>
      <c r="B91" t="str">
        <v>Vasu</v>
      </c>
      <c r="C91" t="str">
        <v>Nandin</v>
      </c>
      <c r="D91" t="str">
        <v>Product Management</v>
      </c>
      <c r="E91">
        <v>106775.14</v>
      </c>
    </row>
    <row r="92" spans="1:14" x14ac:dyDescent="0.3">
      <c r="A92" t="str">
        <v>TN04246</v>
      </c>
      <c r="B92" t="str">
        <v>Shaylyn</v>
      </c>
      <c r="C92" t="str">
        <v>Ransbury</v>
      </c>
      <c r="D92" t="str">
        <v>Support</v>
      </c>
      <c r="E92">
        <v>100371.31</v>
      </c>
    </row>
    <row r="93" spans="1:14" x14ac:dyDescent="0.3">
      <c r="A93" t="str">
        <v>TN04740</v>
      </c>
      <c r="B93" t="str">
        <v>Tristam</v>
      </c>
      <c r="C93" t="str">
        <v>Cuming</v>
      </c>
      <c r="D93" t="str">
        <v>Support</v>
      </c>
      <c r="E93">
        <v>104038.9</v>
      </c>
    </row>
    <row r="94" spans="1:14" x14ac:dyDescent="0.3">
      <c r="A94" t="str">
        <v>VT01684</v>
      </c>
      <c r="B94" t="str">
        <v>Audry</v>
      </c>
      <c r="C94" t="str">
        <v>Yu</v>
      </c>
      <c r="D94" t="str">
        <v>Training</v>
      </c>
      <c r="E94">
        <v>101187.36</v>
      </c>
    </row>
    <row r="95" spans="1:14" x14ac:dyDescent="0.3">
      <c r="A95" t="str">
        <v>VT01762</v>
      </c>
      <c r="B95" t="str">
        <v>Geena</v>
      </c>
      <c r="C95" t="str">
        <v>Raghavanpillai</v>
      </c>
      <c r="D95" t="str">
        <v>Accounting</v>
      </c>
      <c r="E95">
        <v>102515.81</v>
      </c>
    </row>
    <row r="96" spans="1:14" x14ac:dyDescent="0.3">
      <c r="A96" t="str">
        <v>VT01893</v>
      </c>
      <c r="B96" t="str">
        <v>Lindy</v>
      </c>
      <c r="C96" t="str">
        <v>Guillet</v>
      </c>
      <c r="D96" t="str">
        <v>Training</v>
      </c>
      <c r="E96">
        <v>112778.28</v>
      </c>
    </row>
    <row r="97" spans="1:5" x14ac:dyDescent="0.3">
      <c r="A97" t="str">
        <v>VT01893</v>
      </c>
      <c r="B97" t="str">
        <v>Lindy</v>
      </c>
      <c r="C97" t="str">
        <v>Guillet</v>
      </c>
      <c r="D97" t="str">
        <v>Training</v>
      </c>
      <c r="E97">
        <v>112778.28</v>
      </c>
    </row>
    <row r="98" spans="1:5" x14ac:dyDescent="0.3">
      <c r="A98" t="str">
        <v>VT02491</v>
      </c>
      <c r="B98" t="str">
        <v>Alexis</v>
      </c>
      <c r="C98" t="str">
        <v>Gotfrey</v>
      </c>
      <c r="D98" t="str">
        <v>Engineering</v>
      </c>
      <c r="E98">
        <v>114465.93</v>
      </c>
    </row>
    <row r="99" spans="1:5" x14ac:dyDescent="0.3">
      <c r="A99" t="str">
        <v>VT02801</v>
      </c>
      <c r="B99" t="str">
        <v>Shellysheldon</v>
      </c>
      <c r="C99" t="str">
        <v>Mahady</v>
      </c>
      <c r="D99" t="str">
        <v>Training</v>
      </c>
      <c r="E99">
        <v>114691.03</v>
      </c>
    </row>
    <row r="100" spans="1:5" x14ac:dyDescent="0.3">
      <c r="A100" t="str">
        <v>VT03421</v>
      </c>
      <c r="B100" t="str">
        <v>Alic</v>
      </c>
      <c r="C100" t="str">
        <v>Bagg</v>
      </c>
      <c r="D100" t="str">
        <v>Legal</v>
      </c>
      <c r="E100">
        <v>113747.56</v>
      </c>
    </row>
    <row r="101" spans="1:5" x14ac:dyDescent="0.3">
      <c r="A101" t="str">
        <v>VT03421</v>
      </c>
      <c r="B101" t="str">
        <v>Alic</v>
      </c>
      <c r="C101" t="str">
        <v>Bagg</v>
      </c>
      <c r="D101" t="str">
        <v>Legal</v>
      </c>
      <c r="E101">
        <v>113747.56</v>
      </c>
    </row>
    <row r="102" spans="1:5" x14ac:dyDescent="0.3">
      <c r="A102" t="str">
        <v>VT04028</v>
      </c>
      <c r="B102" t="str">
        <v>Michale</v>
      </c>
      <c r="C102" t="str">
        <v>Rolf</v>
      </c>
      <c r="D102" t="str">
        <v>Services</v>
      </c>
      <c r="E102">
        <v>111815.49</v>
      </c>
    </row>
    <row r="103" spans="1:5" x14ac:dyDescent="0.3">
      <c r="A103" t="str">
        <v>VT04028</v>
      </c>
      <c r="B103" t="str">
        <v>Michale</v>
      </c>
      <c r="C103" t="str">
        <v>Rolf</v>
      </c>
      <c r="D103" t="str">
        <v>Services</v>
      </c>
      <c r="E103">
        <v>111815.49</v>
      </c>
    </row>
    <row r="104" spans="1:5" x14ac:dyDescent="0.3">
      <c r="A104" t="str">
        <v>VT04093</v>
      </c>
      <c r="B104" t="str">
        <v>Prasanna</v>
      </c>
      <c r="C104" t="str">
        <v>Lakshmi</v>
      </c>
      <c r="D104" t="str">
        <v>Training</v>
      </c>
      <c r="E104">
        <v>116767.63</v>
      </c>
    </row>
    <row r="105" spans="1:5" x14ac:dyDescent="0.3">
      <c r="A105" t="str">
        <v>VT04093</v>
      </c>
      <c r="B105" t="str">
        <v>Baruna</v>
      </c>
      <c r="C105" t="str">
        <v>Ogale</v>
      </c>
      <c r="D105" t="str">
        <v>Training</v>
      </c>
      <c r="E105">
        <v>116767.63</v>
      </c>
    </row>
    <row r="106" spans="1:5" x14ac:dyDescent="0.3">
      <c r="A106" t="str">
        <v>VT04350</v>
      </c>
      <c r="B106" t="str">
        <v>Kulbhushan</v>
      </c>
      <c r="C106" t="str">
        <v>Moorthy</v>
      </c>
      <c r="D106" t="str">
        <v>Business Development</v>
      </c>
      <c r="E106">
        <v>106400.02</v>
      </c>
    </row>
    <row r="107" spans="1:5" x14ac:dyDescent="0.3">
      <c r="A107" t="str">
        <v>VT04350</v>
      </c>
      <c r="B107" t="str">
        <v>Lalit</v>
      </c>
      <c r="C107" t="str">
        <v>Kothari</v>
      </c>
      <c r="D107" t="str">
        <v>Business Development</v>
      </c>
      <c r="E107">
        <v>106400.02</v>
      </c>
    </row>
    <row r="108" spans="1:5" x14ac:dyDescent="0.3">
      <c r="A108" t="str">
        <v>VT04552</v>
      </c>
      <c r="B108" t="str">
        <v>Theresita</v>
      </c>
      <c r="C108" t="str">
        <v>Chasmer</v>
      </c>
      <c r="D108" t="str">
        <v>Product Management</v>
      </c>
      <c r="E108">
        <v>106665.67</v>
      </c>
    </row>
    <row r="109" spans="1:5" x14ac:dyDescent="0.3">
      <c r="A109" t="str">
        <v>VT04681</v>
      </c>
      <c r="B109" t="str">
        <v>Nickolai</v>
      </c>
      <c r="C109" t="str">
        <v>Artin</v>
      </c>
      <c r="D109" t="str">
        <v>Product Management</v>
      </c>
      <c r="E109">
        <v>110906.35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8462-2DED-4DAB-821F-7C119199C2F2}">
  <dimension ref="A1:M47"/>
  <sheetViews>
    <sheetView zoomScale="55" zoomScaleNormal="55" workbookViewId="0">
      <selection activeCell="A2" sqref="A2"/>
    </sheetView>
  </sheetViews>
  <sheetFormatPr defaultRowHeight="14.4" x14ac:dyDescent="0.3"/>
  <cols>
    <col min="1" max="1" width="30.109375" customWidth="1"/>
    <col min="2" max="2" width="17.109375" customWidth="1"/>
    <col min="3" max="3" width="13.6640625" customWidth="1"/>
    <col min="4" max="4" width="13.33203125" customWidth="1"/>
    <col min="5" max="5" width="19.5546875" customWidth="1"/>
    <col min="6" max="6" width="24" customWidth="1"/>
    <col min="7" max="7" width="17" customWidth="1"/>
    <col min="8" max="8" width="26" customWidth="1"/>
    <col min="10" max="10" width="17.109375" customWidth="1"/>
    <col min="11" max="11" width="15.21875" customWidth="1"/>
    <col min="12" max="12" width="15.44140625" customWidth="1"/>
    <col min="13" max="13" width="12.109375" customWidth="1"/>
  </cols>
  <sheetData>
    <row r="1" spans="1:13" x14ac:dyDescent="0.3">
      <c r="A1" s="31" t="s">
        <v>779</v>
      </c>
      <c r="B1" s="29"/>
    </row>
    <row r="2" spans="1:13" x14ac:dyDescent="0.3">
      <c r="A2" s="31" t="str" cm="1">
        <f t="array" ref="A2:M2">staff[#Headers]</f>
        <v>Emp ID</v>
      </c>
      <c r="B2" s="33" t="str">
        <v>First Name</v>
      </c>
      <c r="C2" s="26" t="str">
        <v>Last Name</v>
      </c>
      <c r="D2" s="26" t="str">
        <v>Gender</v>
      </c>
      <c r="E2" s="26" t="str">
        <v>Department</v>
      </c>
      <c r="F2" s="26" t="str">
        <v>Salary</v>
      </c>
      <c r="G2" s="26" t="str">
        <v>Salary Bucket</v>
      </c>
      <c r="H2" s="26" t="str">
        <v>Start Date</v>
      </c>
      <c r="I2" s="26" t="str">
        <v>FTE</v>
      </c>
      <c r="J2" s="26" t="str">
        <v>Employee type</v>
      </c>
      <c r="K2" s="26" t="str">
        <v>Work location</v>
      </c>
      <c r="L2" s="26" t="str">
        <v>Tenure</v>
      </c>
      <c r="M2" s="26" t="str">
        <v>Work Type</v>
      </c>
    </row>
    <row r="3" spans="1:13" x14ac:dyDescent="0.3">
      <c r="A3" s="32" t="str" cm="1">
        <f t="array" ref="A3:M47">_xlfn._xlws.FILTER(staff[], YEAR(staff[Start Date]) &gt; 2020)</f>
        <v>PR00882</v>
      </c>
      <c r="B3" s="29" t="str">
        <v>Jill</v>
      </c>
      <c r="C3" t="str">
        <v>Shipsey</v>
      </c>
      <c r="D3" t="str">
        <v>Male</v>
      </c>
      <c r="E3" t="str">
        <v>Accounting</v>
      </c>
      <c r="F3">
        <v>52963.65</v>
      </c>
      <c r="G3" t="str">
        <v>50k to 100k</v>
      </c>
      <c r="H3" s="29">
        <v>44288</v>
      </c>
      <c r="I3">
        <v>0.3</v>
      </c>
      <c r="J3" t="str">
        <v>Permanent</v>
      </c>
      <c r="K3" t="str">
        <v>Columbus, USA</v>
      </c>
      <c r="L3">
        <v>3.2219178082191782</v>
      </c>
      <c r="M3" t="str">
        <v>Part time</v>
      </c>
    </row>
    <row r="4" spans="1:13" x14ac:dyDescent="0.3">
      <c r="A4" s="32" t="str">
        <v>PR00893</v>
      </c>
      <c r="B4" s="29" t="str">
        <v>Vasavi</v>
      </c>
      <c r="C4" t="str">
        <v>Veeravasarapu</v>
      </c>
      <c r="D4" t="str">
        <v>Male</v>
      </c>
      <c r="E4" t="str">
        <v>Human Resources</v>
      </c>
      <c r="F4">
        <v>50310.09</v>
      </c>
      <c r="G4" t="str">
        <v>50k to 100k</v>
      </c>
      <c r="H4" s="29">
        <v>44285</v>
      </c>
      <c r="I4">
        <v>0.4</v>
      </c>
      <c r="J4" t="str">
        <v>Permanent</v>
      </c>
      <c r="K4" t="str">
        <v>Hyderabad, India</v>
      </c>
      <c r="L4">
        <v>3.2301369863013698</v>
      </c>
      <c r="M4" t="str">
        <v>Part time</v>
      </c>
    </row>
    <row r="5" spans="1:13" x14ac:dyDescent="0.3">
      <c r="A5" s="32" t="str">
        <v>PR00916</v>
      </c>
      <c r="B5" s="29" t="str">
        <v>Inger</v>
      </c>
      <c r="C5" t="str">
        <v>Chapelhow</v>
      </c>
      <c r="D5" t="str">
        <v>Female</v>
      </c>
      <c r="E5" t="str">
        <v>Research and Development</v>
      </c>
      <c r="F5">
        <v>84309.95</v>
      </c>
      <c r="G5" t="str">
        <v>50k to 100k</v>
      </c>
      <c r="H5" s="29">
        <v>44501</v>
      </c>
      <c r="I5">
        <v>1</v>
      </c>
      <c r="J5" t="str">
        <v>Permanent</v>
      </c>
      <c r="K5" t="str">
        <v>Remote</v>
      </c>
      <c r="L5">
        <v>2.6383561643835618</v>
      </c>
      <c r="M5" t="str">
        <v>Full time</v>
      </c>
    </row>
    <row r="6" spans="1:13" x14ac:dyDescent="0.3">
      <c r="A6" s="32" t="str">
        <v>PR01211</v>
      </c>
      <c r="B6" s="29" t="str">
        <v>Enoch</v>
      </c>
      <c r="C6" t="str">
        <v>Dowrey</v>
      </c>
      <c r="D6" t="str">
        <v>Male</v>
      </c>
      <c r="E6" t="str">
        <v>Accounting</v>
      </c>
      <c r="F6">
        <v>91645.04</v>
      </c>
      <c r="G6" t="str">
        <v>50k to 100k</v>
      </c>
      <c r="H6" s="29">
        <v>44223</v>
      </c>
      <c r="I6">
        <v>1</v>
      </c>
      <c r="J6" t="str">
        <v>Permanent</v>
      </c>
      <c r="K6" t="str">
        <v>Auckland, New Zealand</v>
      </c>
      <c r="L6">
        <v>3.4</v>
      </c>
      <c r="M6" t="str">
        <v>Full time</v>
      </c>
    </row>
    <row r="7" spans="1:13" x14ac:dyDescent="0.3">
      <c r="A7" s="32" t="str">
        <v>PR01269</v>
      </c>
      <c r="B7" s="29" t="str">
        <v>Eleonore</v>
      </c>
      <c r="C7" t="str">
        <v>Airdrie</v>
      </c>
      <c r="D7" t="str">
        <v>Female</v>
      </c>
      <c r="E7" t="str">
        <v>Engineering</v>
      </c>
      <c r="F7">
        <v>97105.19</v>
      </c>
      <c r="G7" t="str">
        <v>50k to 100k</v>
      </c>
      <c r="H7" s="29">
        <v>44425</v>
      </c>
      <c r="I7">
        <v>1</v>
      </c>
      <c r="J7" t="str">
        <v>Permanent</v>
      </c>
      <c r="K7" t="str">
        <v>Columbus, USA</v>
      </c>
      <c r="L7">
        <v>2.8465753424657536</v>
      </c>
      <c r="M7" t="str">
        <v>Full time</v>
      </c>
    </row>
    <row r="8" spans="1:13" x14ac:dyDescent="0.3">
      <c r="A8" s="32" t="str">
        <v>PR01383</v>
      </c>
      <c r="B8" s="29" t="str">
        <v>Addi</v>
      </c>
      <c r="C8" t="str">
        <v>Studdeard</v>
      </c>
      <c r="D8" t="str">
        <v>Female</v>
      </c>
      <c r="E8" t="str">
        <v>Product Management</v>
      </c>
      <c r="F8">
        <v>72502.61</v>
      </c>
      <c r="G8" t="str">
        <v>50k to 100k</v>
      </c>
      <c r="H8" s="29">
        <v>44235</v>
      </c>
      <c r="I8">
        <v>1</v>
      </c>
      <c r="J8" t="str">
        <v>Permanent</v>
      </c>
      <c r="K8" t="str">
        <v>Wellington, New Zealand</v>
      </c>
      <c r="L8">
        <v>3.3671232876712329</v>
      </c>
      <c r="M8" t="str">
        <v>Full time</v>
      </c>
    </row>
    <row r="9" spans="1:13" x14ac:dyDescent="0.3">
      <c r="A9" s="32" t="str">
        <v>PR02208</v>
      </c>
      <c r="B9" s="29" t="str">
        <v>Gowri</v>
      </c>
      <c r="C9" t="str">
        <v>Sankar</v>
      </c>
      <c r="D9" t="str">
        <v>Female</v>
      </c>
      <c r="E9" t="str">
        <v>Training</v>
      </c>
      <c r="F9">
        <v>102934.09</v>
      </c>
      <c r="G9" t="str">
        <v>Above 100k</v>
      </c>
      <c r="H9" s="29">
        <v>44315</v>
      </c>
      <c r="I9">
        <v>1</v>
      </c>
      <c r="J9" t="str">
        <v>Permanent</v>
      </c>
      <c r="K9" t="str">
        <v>Hyderabad, India</v>
      </c>
      <c r="L9">
        <v>3.1479452054794521</v>
      </c>
      <c r="M9" t="str">
        <v>Full time</v>
      </c>
    </row>
    <row r="10" spans="1:13" x14ac:dyDescent="0.3">
      <c r="A10" s="32" t="str">
        <v>PR03034</v>
      </c>
      <c r="B10" s="29" t="str">
        <v>Sreenivasa</v>
      </c>
      <c r="C10" t="str">
        <v>Naik</v>
      </c>
      <c r="D10" t="str">
        <v>Male</v>
      </c>
      <c r="E10" t="str">
        <v>Sales</v>
      </c>
      <c r="F10">
        <v>32192.15</v>
      </c>
      <c r="G10" t="str">
        <v>Under 50k</v>
      </c>
      <c r="H10" s="29">
        <v>44473</v>
      </c>
      <c r="I10">
        <v>1</v>
      </c>
      <c r="J10" t="str">
        <v>Permanent</v>
      </c>
      <c r="K10" t="str">
        <v>Hyderabad, India</v>
      </c>
      <c r="L10">
        <v>2.7150684931506848</v>
      </c>
      <c r="M10" t="str">
        <v>Full time</v>
      </c>
    </row>
    <row r="11" spans="1:13" x14ac:dyDescent="0.3">
      <c r="A11" s="32" t="str">
        <v>PR03445</v>
      </c>
      <c r="B11" s="29" t="str">
        <v>Myrle</v>
      </c>
      <c r="C11" t="str">
        <v>Prandoni</v>
      </c>
      <c r="D11" t="str">
        <v>Male</v>
      </c>
      <c r="E11" t="str">
        <v>Sales</v>
      </c>
      <c r="F11">
        <v>62195.47</v>
      </c>
      <c r="G11" t="str">
        <v>50k to 100k</v>
      </c>
      <c r="H11" s="29">
        <v>44434</v>
      </c>
      <c r="I11">
        <v>1</v>
      </c>
      <c r="J11" t="str">
        <v>Permanent</v>
      </c>
      <c r="K11" t="str">
        <v>Remote</v>
      </c>
      <c r="L11">
        <v>2.8219178082191783</v>
      </c>
      <c r="M11" t="str">
        <v>Full time</v>
      </c>
    </row>
    <row r="12" spans="1:13" x14ac:dyDescent="0.3">
      <c r="A12" s="32" t="str">
        <v>PR03886</v>
      </c>
      <c r="B12" s="29" t="str">
        <v>Edd</v>
      </c>
      <c r="C12" t="str">
        <v>MacKnockiter</v>
      </c>
      <c r="D12" t="str">
        <v>Male</v>
      </c>
      <c r="E12" t="str">
        <v>Accounting</v>
      </c>
      <c r="F12">
        <v>119022.49</v>
      </c>
      <c r="G12" t="str">
        <v>Above 100k</v>
      </c>
      <c r="H12" s="29">
        <v>44431</v>
      </c>
      <c r="I12">
        <v>1</v>
      </c>
      <c r="J12" t="str">
        <v>Permanent</v>
      </c>
      <c r="K12" t="str">
        <v>Auckland, New Zealand</v>
      </c>
      <c r="L12">
        <v>2.8301369863013699</v>
      </c>
      <c r="M12" t="str">
        <v>Full time</v>
      </c>
    </row>
    <row r="13" spans="1:13" x14ac:dyDescent="0.3">
      <c r="A13" s="32" t="str">
        <v>PR04446</v>
      </c>
      <c r="B13" s="29" t="str">
        <v>Sameer</v>
      </c>
      <c r="C13" t="str">
        <v>Shashank</v>
      </c>
      <c r="D13" t="str">
        <v>Female</v>
      </c>
      <c r="E13" t="str">
        <v>Research and Development</v>
      </c>
      <c r="F13">
        <v>92336.08</v>
      </c>
      <c r="G13" t="str">
        <v>50k to 100k</v>
      </c>
      <c r="H13" s="29">
        <v>44431</v>
      </c>
      <c r="I13">
        <v>1</v>
      </c>
      <c r="J13" t="str">
        <v>Permanent</v>
      </c>
      <c r="K13" t="str">
        <v>Hyderabad, India</v>
      </c>
      <c r="L13">
        <v>2.8301369863013699</v>
      </c>
      <c r="M13" t="str">
        <v>Full time</v>
      </c>
    </row>
    <row r="14" spans="1:13" x14ac:dyDescent="0.3">
      <c r="A14" s="32" t="str">
        <v>PR04473</v>
      </c>
      <c r="B14" s="29" t="str">
        <v>Wyn</v>
      </c>
      <c r="C14" t="str">
        <v>Treadger</v>
      </c>
      <c r="D14" t="str">
        <v>Female</v>
      </c>
      <c r="E14" t="str">
        <v>Business Development</v>
      </c>
      <c r="F14">
        <v>69192.850000000006</v>
      </c>
      <c r="G14" t="str">
        <v>50k to 100k</v>
      </c>
      <c r="H14" s="29">
        <v>44305</v>
      </c>
      <c r="I14">
        <v>1</v>
      </c>
      <c r="J14" t="str">
        <v>Permanent</v>
      </c>
      <c r="K14" t="str">
        <v>Columbus, USA</v>
      </c>
      <c r="L14">
        <v>3.1753424657534248</v>
      </c>
      <c r="M14" t="str">
        <v>Full time</v>
      </c>
    </row>
    <row r="15" spans="1:13" x14ac:dyDescent="0.3">
      <c r="A15" s="32" t="str">
        <v>PR04601</v>
      </c>
      <c r="B15" s="29" t="str">
        <v>Yedukondalu</v>
      </c>
      <c r="C15" t="str">
        <v>Panditula</v>
      </c>
      <c r="D15" t="str">
        <v>Need to check</v>
      </c>
      <c r="E15" t="str">
        <v>Support</v>
      </c>
      <c r="F15">
        <v>104802.63</v>
      </c>
      <c r="G15" t="str">
        <v>Above 100k</v>
      </c>
      <c r="H15" s="29">
        <v>44502</v>
      </c>
      <c r="I15">
        <v>1</v>
      </c>
      <c r="J15" t="str">
        <v>Permanent</v>
      </c>
      <c r="K15" t="str">
        <v>Hyderabad, India</v>
      </c>
      <c r="L15">
        <v>2.6356164383561644</v>
      </c>
      <c r="M15" t="str">
        <v>Full time</v>
      </c>
    </row>
    <row r="16" spans="1:13" x14ac:dyDescent="0.3">
      <c r="A16" s="32" t="str">
        <v>SQ00286</v>
      </c>
      <c r="B16" s="29" t="str">
        <v>Ilesh</v>
      </c>
      <c r="C16" t="str">
        <v>Dasgupta</v>
      </c>
      <c r="D16" t="str">
        <v>Female</v>
      </c>
      <c r="E16" t="str">
        <v>Legal</v>
      </c>
      <c r="F16">
        <v>61213.01</v>
      </c>
      <c r="G16" t="str">
        <v>50k to 100k</v>
      </c>
      <c r="H16" s="29">
        <v>44365</v>
      </c>
      <c r="I16">
        <v>1</v>
      </c>
      <c r="J16" t="str">
        <v>Permanent</v>
      </c>
      <c r="K16" t="str">
        <v>Chennai, India</v>
      </c>
      <c r="L16">
        <v>3.010958904109589</v>
      </c>
      <c r="M16" t="str">
        <v>Full time</v>
      </c>
    </row>
    <row r="17" spans="1:13" x14ac:dyDescent="0.3">
      <c r="A17" s="32" t="str">
        <v>SQ00498</v>
      </c>
      <c r="B17" s="29" t="str">
        <v>Amery</v>
      </c>
      <c r="C17" t="str">
        <v>Ofer</v>
      </c>
      <c r="D17" t="str">
        <v>Female</v>
      </c>
      <c r="E17" t="str">
        <v>Legal</v>
      </c>
      <c r="F17">
        <v>111049.84</v>
      </c>
      <c r="G17" t="str">
        <v>Above 100k</v>
      </c>
      <c r="H17" s="29">
        <v>44393</v>
      </c>
      <c r="I17">
        <v>1</v>
      </c>
      <c r="J17" t="str">
        <v>Permanent</v>
      </c>
      <c r="K17" t="str">
        <v>Wellington, New Zealand</v>
      </c>
      <c r="L17">
        <v>2.9342465753424656</v>
      </c>
      <c r="M17" t="str">
        <v>Full time</v>
      </c>
    </row>
    <row r="18" spans="1:13" x14ac:dyDescent="0.3">
      <c r="A18" s="32" t="str">
        <v>SQ01026</v>
      </c>
      <c r="B18" s="29" t="str">
        <v>Anumati</v>
      </c>
      <c r="C18" t="str">
        <v>Shyamari</v>
      </c>
      <c r="D18" t="str">
        <v>Male</v>
      </c>
      <c r="E18" t="str">
        <v>Product Management</v>
      </c>
      <c r="F18">
        <v>74924.649999999994</v>
      </c>
      <c r="G18" t="str">
        <v>50k to 100k</v>
      </c>
      <c r="H18" s="29">
        <v>44239</v>
      </c>
      <c r="I18">
        <v>1</v>
      </c>
      <c r="J18" t="str">
        <v>Permanent</v>
      </c>
      <c r="K18" t="str">
        <v>Hyderabad, India</v>
      </c>
      <c r="L18">
        <v>3.3561643835616439</v>
      </c>
      <c r="M18" t="str">
        <v>Full time</v>
      </c>
    </row>
    <row r="19" spans="1:13" x14ac:dyDescent="0.3">
      <c r="A19" s="32" t="str">
        <v>SQ01395</v>
      </c>
      <c r="B19" s="29" t="str">
        <v>Dennison</v>
      </c>
      <c r="C19" t="str">
        <v>Crosswaite</v>
      </c>
      <c r="D19" t="str">
        <v>Male</v>
      </c>
      <c r="E19" t="str">
        <v>Legal</v>
      </c>
      <c r="F19">
        <v>90697.67</v>
      </c>
      <c r="G19" t="str">
        <v>50k to 100k</v>
      </c>
      <c r="H19" s="29">
        <v>44221</v>
      </c>
      <c r="I19">
        <v>0.8</v>
      </c>
      <c r="J19" t="str">
        <v>Permanent</v>
      </c>
      <c r="K19" t="str">
        <v>Seattle, USA</v>
      </c>
      <c r="L19">
        <v>3.4054794520547946</v>
      </c>
      <c r="M19" t="str">
        <v>Part time</v>
      </c>
    </row>
    <row r="20" spans="1:13" x14ac:dyDescent="0.3">
      <c r="A20" s="32" t="str">
        <v>SQ01998</v>
      </c>
      <c r="B20" s="29" t="str">
        <v>Vanmala</v>
      </c>
      <c r="C20" t="str">
        <v>Shriharsha</v>
      </c>
      <c r="D20" t="str">
        <v>Male</v>
      </c>
      <c r="E20" t="str">
        <v>Product Management</v>
      </c>
      <c r="F20">
        <v>40445.29</v>
      </c>
      <c r="G20" t="str">
        <v>Under 50k</v>
      </c>
      <c r="H20" s="29">
        <v>44393</v>
      </c>
      <c r="I20">
        <v>1</v>
      </c>
      <c r="J20" t="str">
        <v>Permanent</v>
      </c>
      <c r="K20" t="str">
        <v>Chennai, India</v>
      </c>
      <c r="L20">
        <v>2.9342465753424656</v>
      </c>
      <c r="M20" t="str">
        <v>Full time</v>
      </c>
    </row>
    <row r="21" spans="1:13" x14ac:dyDescent="0.3">
      <c r="A21" s="32" t="str">
        <v>SQ01998</v>
      </c>
      <c r="B21" s="29" t="str">
        <v>Sahas</v>
      </c>
      <c r="C21" t="str">
        <v>Sanabhi</v>
      </c>
      <c r="D21" t="str">
        <v>Male</v>
      </c>
      <c r="E21" t="str">
        <v>Product Management</v>
      </c>
      <c r="F21">
        <v>40445.29</v>
      </c>
      <c r="G21" t="str">
        <v>Under 50k</v>
      </c>
      <c r="H21" s="29">
        <v>44393</v>
      </c>
      <c r="I21">
        <v>1</v>
      </c>
      <c r="J21" t="str">
        <v>Permanent</v>
      </c>
      <c r="K21" t="str">
        <v>Chennai, India</v>
      </c>
      <c r="L21">
        <v>2.9342465753424656</v>
      </c>
      <c r="M21" t="str">
        <v>Full time</v>
      </c>
    </row>
    <row r="22" spans="1:13" x14ac:dyDescent="0.3">
      <c r="A22" s="32" t="str">
        <v>SQ02525</v>
      </c>
      <c r="B22" s="29" t="str">
        <v>Mickie</v>
      </c>
      <c r="C22" t="str">
        <v>Dagwell</v>
      </c>
      <c r="D22" t="str">
        <v>Male</v>
      </c>
      <c r="E22" t="str">
        <v>Engineering</v>
      </c>
      <c r="F22">
        <v>50855.53</v>
      </c>
      <c r="G22" t="str">
        <v>50k to 100k</v>
      </c>
      <c r="H22" s="29">
        <v>44221</v>
      </c>
      <c r="I22">
        <v>1</v>
      </c>
      <c r="J22" t="str">
        <v>Permanent</v>
      </c>
      <c r="K22" t="str">
        <v>Wellington, New Zealand</v>
      </c>
      <c r="L22">
        <v>3.4054794520547946</v>
      </c>
      <c r="M22" t="str">
        <v>Full time</v>
      </c>
    </row>
    <row r="23" spans="1:13" x14ac:dyDescent="0.3">
      <c r="A23" s="32" t="str">
        <v>SQ02565</v>
      </c>
      <c r="B23" s="29" t="str">
        <v>Konstantin</v>
      </c>
      <c r="C23" t="str">
        <v>Timblett</v>
      </c>
      <c r="D23" t="str">
        <v>Female</v>
      </c>
      <c r="E23" t="str">
        <v>Training</v>
      </c>
      <c r="F23">
        <v>56253.81</v>
      </c>
      <c r="G23" t="str">
        <v>50k to 100k</v>
      </c>
      <c r="H23" s="29">
        <v>44421</v>
      </c>
      <c r="I23">
        <v>1</v>
      </c>
      <c r="J23" t="str">
        <v>Permanent</v>
      </c>
      <c r="K23" t="str">
        <v>Auckland, New Zealand</v>
      </c>
      <c r="L23">
        <v>2.8575342465753426</v>
      </c>
      <c r="M23" t="str">
        <v>Full time</v>
      </c>
    </row>
    <row r="24" spans="1:13" x14ac:dyDescent="0.3">
      <c r="A24" s="32" t="str">
        <v>SQ02624</v>
      </c>
      <c r="B24" s="29" t="str">
        <v>Gwenneth</v>
      </c>
      <c r="C24" t="str">
        <v>Fealey</v>
      </c>
      <c r="D24" t="str">
        <v>Female</v>
      </c>
      <c r="E24" t="str">
        <v>Engineering</v>
      </c>
      <c r="F24">
        <v>114772.32</v>
      </c>
      <c r="G24" t="str">
        <v>Above 100k</v>
      </c>
      <c r="H24" s="29">
        <v>44251</v>
      </c>
      <c r="I24">
        <v>1</v>
      </c>
      <c r="J24" t="str">
        <v>Permanent</v>
      </c>
      <c r="K24" t="str">
        <v>Columbus, USA</v>
      </c>
      <c r="L24">
        <v>3.3232876712328765</v>
      </c>
      <c r="M24" t="str">
        <v>Full time</v>
      </c>
    </row>
    <row r="25" spans="1:13" x14ac:dyDescent="0.3">
      <c r="A25" s="32" t="str">
        <v>SQ03491</v>
      </c>
      <c r="B25" s="29" t="str">
        <v>Freda</v>
      </c>
      <c r="C25" t="str">
        <v>Legan</v>
      </c>
      <c r="D25" t="str">
        <v>Female</v>
      </c>
      <c r="E25" t="str">
        <v>Sales</v>
      </c>
      <c r="F25">
        <v>102129.37</v>
      </c>
      <c r="G25" t="str">
        <v>Above 100k</v>
      </c>
      <c r="H25" s="29">
        <v>44396</v>
      </c>
      <c r="I25">
        <v>1</v>
      </c>
      <c r="J25" t="str">
        <v>Permanent</v>
      </c>
      <c r="K25" t="str">
        <v>Columbus, USA</v>
      </c>
      <c r="L25">
        <v>2.9260273972602739</v>
      </c>
      <c r="M25" t="str">
        <v>Full time</v>
      </c>
    </row>
    <row r="26" spans="1:13" x14ac:dyDescent="0.3">
      <c r="A26" s="32" t="str">
        <v>SQ03546</v>
      </c>
      <c r="B26" s="29" t="str">
        <v>Amlankusum</v>
      </c>
      <c r="C26" t="str">
        <v>Rajabhushan</v>
      </c>
      <c r="D26" t="str">
        <v>Female</v>
      </c>
      <c r="E26" t="str">
        <v>Legal</v>
      </c>
      <c r="F26">
        <v>75733.740000000005</v>
      </c>
      <c r="G26" t="str">
        <v>50k to 100k</v>
      </c>
      <c r="H26" s="29">
        <v>44382</v>
      </c>
      <c r="I26">
        <v>1</v>
      </c>
      <c r="J26" t="str">
        <v>Permanent</v>
      </c>
      <c r="K26" t="str">
        <v>Hyderabad, India</v>
      </c>
      <c r="L26">
        <v>2.9643835616438357</v>
      </c>
      <c r="M26" t="str">
        <v>Full time</v>
      </c>
    </row>
    <row r="27" spans="1:13" x14ac:dyDescent="0.3">
      <c r="A27" s="32" t="str">
        <v>SQ03626</v>
      </c>
      <c r="B27" s="29" t="str">
        <v>Krishnakanta</v>
      </c>
      <c r="C27" t="str">
        <v>Vellanki</v>
      </c>
      <c r="D27" t="str">
        <v>Female</v>
      </c>
      <c r="E27" t="str">
        <v>Training</v>
      </c>
      <c r="F27">
        <v>95677.9</v>
      </c>
      <c r="G27" t="str">
        <v>50k to 100k</v>
      </c>
      <c r="H27" s="29">
        <v>44396</v>
      </c>
      <c r="I27">
        <v>0.3</v>
      </c>
      <c r="J27" t="str">
        <v>Permanent</v>
      </c>
      <c r="K27" t="str">
        <v>Chennai, India</v>
      </c>
      <c r="L27">
        <v>2.9260273972602739</v>
      </c>
      <c r="M27" t="str">
        <v>Part time</v>
      </c>
    </row>
    <row r="28" spans="1:13" x14ac:dyDescent="0.3">
      <c r="A28" s="32" t="str">
        <v>TN00890</v>
      </c>
      <c r="B28" s="29" t="str">
        <v>Mayur</v>
      </c>
      <c r="C28" t="str">
        <v>Kousika</v>
      </c>
      <c r="D28" t="str">
        <v>Female</v>
      </c>
      <c r="E28" t="str">
        <v>Training</v>
      </c>
      <c r="F28">
        <v>71570.990000000005</v>
      </c>
      <c r="G28" t="str">
        <v>50k to 100k</v>
      </c>
      <c r="H28" s="29">
        <v>44249</v>
      </c>
      <c r="I28">
        <v>0.5</v>
      </c>
      <c r="J28" t="str">
        <v>Permanent</v>
      </c>
      <c r="K28" t="str">
        <v>Hyderabad, India</v>
      </c>
      <c r="L28">
        <v>3.3287671232876712</v>
      </c>
      <c r="M28" t="str">
        <v>Part time</v>
      </c>
    </row>
    <row r="29" spans="1:13" x14ac:dyDescent="0.3">
      <c r="A29" s="32" t="str">
        <v>TN01601</v>
      </c>
      <c r="B29" s="29" t="str">
        <v>Melva</v>
      </c>
      <c r="C29" t="str">
        <v>Jickells</v>
      </c>
      <c r="D29" t="str">
        <v>Female</v>
      </c>
      <c r="E29" t="str">
        <v>Product Management</v>
      </c>
      <c r="F29">
        <v>68795.48</v>
      </c>
      <c r="G29" t="str">
        <v>50k to 100k</v>
      </c>
      <c r="H29" s="29">
        <v>44277</v>
      </c>
      <c r="I29">
        <v>0.2</v>
      </c>
      <c r="J29" t="str">
        <v>Permanent</v>
      </c>
      <c r="K29" t="str">
        <v>Remote</v>
      </c>
      <c r="L29">
        <v>3.2520547945205478</v>
      </c>
      <c r="M29" t="str">
        <v>Part time</v>
      </c>
    </row>
    <row r="30" spans="1:13" x14ac:dyDescent="0.3">
      <c r="A30" s="32" t="str">
        <v>TN01601</v>
      </c>
      <c r="B30" s="29" t="str">
        <v>Melva</v>
      </c>
      <c r="C30" t="str">
        <v>Jickells</v>
      </c>
      <c r="D30" t="str">
        <v>Female</v>
      </c>
      <c r="E30" t="str">
        <v>Product Management</v>
      </c>
      <c r="F30">
        <v>68795.48</v>
      </c>
      <c r="G30" t="str">
        <v>50k to 100k</v>
      </c>
      <c r="H30" s="29">
        <v>44277</v>
      </c>
      <c r="I30">
        <v>0.2</v>
      </c>
      <c r="J30" t="str">
        <v>Permanent</v>
      </c>
      <c r="K30" t="str">
        <v>Remote</v>
      </c>
      <c r="L30">
        <v>3.2520547945205478</v>
      </c>
      <c r="M30" t="str">
        <v>Part time</v>
      </c>
    </row>
    <row r="31" spans="1:13" x14ac:dyDescent="0.3">
      <c r="A31" s="32" t="str">
        <v>TN02674</v>
      </c>
      <c r="B31" s="29" t="str">
        <v>Antonetta</v>
      </c>
      <c r="C31" t="str">
        <v>Coggeshall</v>
      </c>
      <c r="D31" t="str">
        <v>Male</v>
      </c>
      <c r="E31" t="str">
        <v>Sales</v>
      </c>
      <c r="F31">
        <v>96753.78</v>
      </c>
      <c r="G31" t="str">
        <v>50k to 100k</v>
      </c>
      <c r="H31" s="29">
        <v>44494</v>
      </c>
      <c r="I31">
        <v>1</v>
      </c>
      <c r="J31" t="str">
        <v>Permanent</v>
      </c>
      <c r="K31" t="str">
        <v>Auckland, New Zealand</v>
      </c>
      <c r="L31">
        <v>2.6575342465753424</v>
      </c>
      <c r="M31" t="str">
        <v>Full time</v>
      </c>
    </row>
    <row r="32" spans="1:13" x14ac:dyDescent="0.3">
      <c r="A32" s="32" t="str">
        <v>TN02674</v>
      </c>
      <c r="B32" s="29" t="str">
        <v>Antonetta</v>
      </c>
      <c r="C32" t="str">
        <v>Coggeshall</v>
      </c>
      <c r="D32" t="str">
        <v>Male</v>
      </c>
      <c r="E32" t="str">
        <v>Sales</v>
      </c>
      <c r="F32">
        <v>96753.78</v>
      </c>
      <c r="G32" t="str">
        <v>50k to 100k</v>
      </c>
      <c r="H32" s="29">
        <v>44494</v>
      </c>
      <c r="I32">
        <v>1</v>
      </c>
      <c r="J32" t="str">
        <v>Permanent</v>
      </c>
      <c r="K32" t="str">
        <v>Auckland, New Zealand</v>
      </c>
      <c r="L32">
        <v>2.6575342465753424</v>
      </c>
      <c r="M32" t="str">
        <v>Full time</v>
      </c>
    </row>
    <row r="33" spans="1:13" x14ac:dyDescent="0.3">
      <c r="A33" s="32" t="str">
        <v>TN02988</v>
      </c>
      <c r="B33" s="29" t="str">
        <v>Mahindra</v>
      </c>
      <c r="C33" t="str">
        <v>Sreedharan</v>
      </c>
      <c r="D33" t="str">
        <v>Male</v>
      </c>
      <c r="E33" t="str">
        <v>Engineering</v>
      </c>
      <c r="F33">
        <v>92943.89</v>
      </c>
      <c r="G33" t="str">
        <v>50k to 100k</v>
      </c>
      <c r="H33" s="29">
        <v>44510</v>
      </c>
      <c r="I33">
        <v>1</v>
      </c>
      <c r="J33" t="str">
        <v>Permanent</v>
      </c>
      <c r="K33" t="str">
        <v>Hyderabad, India</v>
      </c>
      <c r="L33">
        <v>2.6136986301369864</v>
      </c>
      <c r="M33" t="str">
        <v>Full time</v>
      </c>
    </row>
    <row r="34" spans="1:13" x14ac:dyDescent="0.3">
      <c r="A34" s="32" t="str">
        <v>TN03032</v>
      </c>
      <c r="B34" s="29" t="str">
        <v>Jaipal</v>
      </c>
      <c r="C34" t="str">
        <v>Potanapudi</v>
      </c>
      <c r="D34" t="str">
        <v>Female</v>
      </c>
      <c r="E34" t="str">
        <v>Research and Development</v>
      </c>
      <c r="F34">
        <v>39700.82</v>
      </c>
      <c r="G34" t="str">
        <v>Under 50k</v>
      </c>
      <c r="H34" s="29">
        <v>44203</v>
      </c>
      <c r="I34">
        <v>0.8</v>
      </c>
      <c r="J34" t="str">
        <v>Permanent</v>
      </c>
      <c r="K34" t="str">
        <v>Chennai, India</v>
      </c>
      <c r="L34">
        <v>3.4547945205479453</v>
      </c>
      <c r="M34" t="str">
        <v>Part time</v>
      </c>
    </row>
    <row r="35" spans="1:13" x14ac:dyDescent="0.3">
      <c r="A35" s="32" t="str">
        <v>TN03032</v>
      </c>
      <c r="B35" s="29" t="str">
        <v>Fullara</v>
      </c>
      <c r="C35" t="str">
        <v>Sushanti</v>
      </c>
      <c r="D35" t="str">
        <v>Female</v>
      </c>
      <c r="E35" t="str">
        <v>Research and Development</v>
      </c>
      <c r="F35">
        <v>39700.82</v>
      </c>
      <c r="G35" t="str">
        <v>Under 50k</v>
      </c>
      <c r="H35" s="29">
        <v>44203</v>
      </c>
      <c r="I35">
        <v>0.8</v>
      </c>
      <c r="J35" t="str">
        <v>Permanent</v>
      </c>
      <c r="K35" t="str">
        <v>Chennai, India</v>
      </c>
      <c r="L35">
        <v>3.4547945205479453</v>
      </c>
      <c r="M35" t="str">
        <v>Part time</v>
      </c>
    </row>
    <row r="36" spans="1:13" x14ac:dyDescent="0.3">
      <c r="A36" s="32" t="str">
        <v>TN04265</v>
      </c>
      <c r="B36" s="29" t="str">
        <v>Rushil</v>
      </c>
      <c r="C36" t="str">
        <v>Kripa</v>
      </c>
      <c r="D36" t="str">
        <v>Female</v>
      </c>
      <c r="E36" t="str">
        <v>Training</v>
      </c>
      <c r="F36">
        <v>93964.3</v>
      </c>
      <c r="G36" t="str">
        <v>50k to 100k</v>
      </c>
      <c r="H36" s="29">
        <v>44454</v>
      </c>
      <c r="I36">
        <v>0.4</v>
      </c>
      <c r="J36" t="str">
        <v>Fixed Term</v>
      </c>
      <c r="K36" t="str">
        <v>Hyderabad, India</v>
      </c>
      <c r="L36">
        <v>2.7671232876712328</v>
      </c>
      <c r="M36" t="str">
        <v>Part time</v>
      </c>
    </row>
    <row r="37" spans="1:13" x14ac:dyDescent="0.3">
      <c r="A37" s="32" t="str">
        <v>VT00194</v>
      </c>
      <c r="B37" s="29" t="str">
        <v>Violante</v>
      </c>
      <c r="C37" t="str">
        <v>Courtonne</v>
      </c>
      <c r="D37" t="str">
        <v>Female</v>
      </c>
      <c r="E37" t="str">
        <v>Product Management</v>
      </c>
      <c r="F37">
        <v>49625.64</v>
      </c>
      <c r="G37" t="str">
        <v>Under 50k</v>
      </c>
      <c r="H37" s="29">
        <v>44384</v>
      </c>
      <c r="I37">
        <v>0.5</v>
      </c>
      <c r="J37" t="str">
        <v>Fixed Term</v>
      </c>
      <c r="K37" t="str">
        <v>Remote</v>
      </c>
      <c r="L37">
        <v>2.9589041095890409</v>
      </c>
      <c r="M37" t="str">
        <v>Part time</v>
      </c>
    </row>
    <row r="38" spans="1:13" x14ac:dyDescent="0.3">
      <c r="A38" s="32" t="str">
        <v>VT00578</v>
      </c>
      <c r="B38" s="29" t="str">
        <v>Magnum</v>
      </c>
      <c r="C38" t="str">
        <v>Locksley</v>
      </c>
      <c r="D38" t="str">
        <v>Female</v>
      </c>
      <c r="E38" t="str">
        <v>Services</v>
      </c>
      <c r="F38">
        <v>42314.39</v>
      </c>
      <c r="G38" t="str">
        <v>Under 50k</v>
      </c>
      <c r="H38" s="29">
        <v>44487</v>
      </c>
      <c r="I38">
        <v>1</v>
      </c>
      <c r="J38" t="str">
        <v>Fixed Term</v>
      </c>
      <c r="K38" t="str">
        <v>Remote</v>
      </c>
      <c r="L38">
        <v>2.6767123287671235</v>
      </c>
      <c r="M38" t="str">
        <v>Full time</v>
      </c>
    </row>
    <row r="39" spans="1:13" x14ac:dyDescent="0.3">
      <c r="A39" s="32" t="str">
        <v>VT01249</v>
      </c>
      <c r="B39" s="29" t="str">
        <v>Brendan</v>
      </c>
      <c r="C39" t="str">
        <v>Edgeller</v>
      </c>
      <c r="D39" t="str">
        <v>Female</v>
      </c>
      <c r="E39" t="str">
        <v>Legal</v>
      </c>
      <c r="F39">
        <v>31042.51</v>
      </c>
      <c r="G39" t="str">
        <v>Under 50k</v>
      </c>
      <c r="H39" s="29">
        <v>44473</v>
      </c>
      <c r="I39">
        <v>0.3</v>
      </c>
      <c r="J39" t="str">
        <v>Fixed Term</v>
      </c>
      <c r="K39" t="str">
        <v>Remote</v>
      </c>
      <c r="L39">
        <v>2.7150684931506848</v>
      </c>
      <c r="M39" t="str">
        <v>Part time</v>
      </c>
    </row>
    <row r="40" spans="1:13" x14ac:dyDescent="0.3">
      <c r="A40" s="32" t="str">
        <v>VT02118</v>
      </c>
      <c r="B40" s="29" t="str">
        <v>Oorjit</v>
      </c>
      <c r="C40" t="str">
        <v>Nandanavanam</v>
      </c>
      <c r="D40" t="str">
        <v>Female</v>
      </c>
      <c r="E40" t="str">
        <v>Engineering</v>
      </c>
      <c r="F40">
        <v>51165.37</v>
      </c>
      <c r="G40" t="str">
        <v>50k to 100k</v>
      </c>
      <c r="H40" s="29">
        <v>44237</v>
      </c>
      <c r="I40">
        <v>1</v>
      </c>
      <c r="J40" t="str">
        <v>Fixed Term</v>
      </c>
      <c r="K40" t="str">
        <v>Hyderabad, India</v>
      </c>
      <c r="L40">
        <v>3.3616438356164382</v>
      </c>
      <c r="M40" t="str">
        <v>Full time</v>
      </c>
    </row>
    <row r="41" spans="1:13" x14ac:dyDescent="0.3">
      <c r="A41" s="32" t="str">
        <v>VT02663</v>
      </c>
      <c r="B41" s="29" t="str">
        <v>Sravanthi</v>
      </c>
      <c r="C41" t="str">
        <v>Chalaki</v>
      </c>
      <c r="D41" t="str">
        <v>Male</v>
      </c>
      <c r="E41" t="str">
        <v>Legal</v>
      </c>
      <c r="F41">
        <v>28481.16</v>
      </c>
      <c r="G41" t="str">
        <v>Under 50k</v>
      </c>
      <c r="H41" s="29">
        <v>44228</v>
      </c>
      <c r="I41">
        <v>1</v>
      </c>
      <c r="J41" t="str">
        <v>Temporary</v>
      </c>
      <c r="K41" t="str">
        <v>Chennai, India</v>
      </c>
      <c r="L41">
        <v>3.3863013698630136</v>
      </c>
      <c r="M41" t="str">
        <v>Full time</v>
      </c>
    </row>
    <row r="42" spans="1:13" x14ac:dyDescent="0.3">
      <c r="A42" s="32" t="str">
        <v>VT03421</v>
      </c>
      <c r="B42" s="29" t="str">
        <v>Alic</v>
      </c>
      <c r="C42" t="str">
        <v>Bagg</v>
      </c>
      <c r="D42" t="str">
        <v>Male</v>
      </c>
      <c r="E42" t="str">
        <v>Legal</v>
      </c>
      <c r="F42">
        <v>113747.56</v>
      </c>
      <c r="G42" t="str">
        <v>Above 100k</v>
      </c>
      <c r="H42" s="29">
        <v>44270</v>
      </c>
      <c r="I42">
        <v>0.7</v>
      </c>
      <c r="J42" t="str">
        <v>Temporary</v>
      </c>
      <c r="K42" t="str">
        <v>Columbus, USA</v>
      </c>
      <c r="L42">
        <v>3.2712328767123289</v>
      </c>
      <c r="M42" t="str">
        <v>Part time</v>
      </c>
    </row>
    <row r="43" spans="1:13" x14ac:dyDescent="0.3">
      <c r="A43" s="32" t="str">
        <v>VT03421</v>
      </c>
      <c r="B43" s="29" t="str">
        <v>Alic</v>
      </c>
      <c r="C43" t="str">
        <v>Bagg</v>
      </c>
      <c r="D43" t="str">
        <v>Male</v>
      </c>
      <c r="E43" t="str">
        <v>Legal</v>
      </c>
      <c r="F43">
        <v>113747.56</v>
      </c>
      <c r="G43" t="str">
        <v>Above 100k</v>
      </c>
      <c r="H43" s="29">
        <v>44270</v>
      </c>
      <c r="I43">
        <v>0.7</v>
      </c>
      <c r="J43" t="str">
        <v>Temporary</v>
      </c>
      <c r="K43" t="str">
        <v>Columbus, USA</v>
      </c>
      <c r="L43">
        <v>3.2712328767123289</v>
      </c>
      <c r="M43" t="str">
        <v>Part time</v>
      </c>
    </row>
    <row r="44" spans="1:13" x14ac:dyDescent="0.3">
      <c r="A44" s="32" t="str">
        <v>VT03500</v>
      </c>
      <c r="B44" s="29" t="str">
        <v>Shiuli</v>
      </c>
      <c r="C44" t="str">
        <v>Sapna</v>
      </c>
      <c r="D44" t="str">
        <v>Male</v>
      </c>
      <c r="E44" t="str">
        <v>Support</v>
      </c>
      <c r="F44">
        <v>37062.1</v>
      </c>
      <c r="G44" t="str">
        <v>Under 50k</v>
      </c>
      <c r="H44" s="29">
        <v>44357</v>
      </c>
      <c r="I44">
        <v>1</v>
      </c>
      <c r="J44" t="str">
        <v>Temporary</v>
      </c>
      <c r="K44" t="str">
        <v>Chennai, India</v>
      </c>
      <c r="L44">
        <v>3.032876712328767</v>
      </c>
      <c r="M44" t="str">
        <v>Full time</v>
      </c>
    </row>
    <row r="45" spans="1:13" x14ac:dyDescent="0.3">
      <c r="A45" s="32" t="str">
        <v>VT03552</v>
      </c>
      <c r="B45" s="29" t="str">
        <v>Kamalakshi</v>
      </c>
      <c r="C45" t="str">
        <v>Mukundan</v>
      </c>
      <c r="D45" t="str">
        <v>Male</v>
      </c>
      <c r="E45" t="str">
        <v>Engineering</v>
      </c>
      <c r="F45">
        <v>36536.26</v>
      </c>
      <c r="G45" t="str">
        <v>Under 50k</v>
      </c>
      <c r="H45" s="29">
        <v>44358</v>
      </c>
      <c r="I45">
        <v>1</v>
      </c>
      <c r="J45" t="str">
        <v>Temporary</v>
      </c>
      <c r="K45" t="str">
        <v>Hyderabad, India</v>
      </c>
      <c r="L45">
        <v>3.0301369863013701</v>
      </c>
      <c r="M45" t="str">
        <v>Full time</v>
      </c>
    </row>
    <row r="46" spans="1:13" x14ac:dyDescent="0.3">
      <c r="A46" s="32" t="str">
        <v>VT03993</v>
      </c>
      <c r="B46" s="29" t="str">
        <v>Dulce</v>
      </c>
      <c r="C46" t="str">
        <v>Colbeck</v>
      </c>
      <c r="D46" t="str">
        <v>Male</v>
      </c>
      <c r="E46" t="str">
        <v>Human Resources</v>
      </c>
      <c r="F46">
        <v>83396.5</v>
      </c>
      <c r="G46" t="str">
        <v>50k to 100k</v>
      </c>
      <c r="H46" s="29">
        <v>44285</v>
      </c>
      <c r="I46">
        <v>1</v>
      </c>
      <c r="J46" t="str">
        <v>Temporary</v>
      </c>
      <c r="K46" t="str">
        <v>Auckland, New Zealand</v>
      </c>
      <c r="L46">
        <v>3.2301369863013698</v>
      </c>
      <c r="M46" t="str">
        <v>Full time</v>
      </c>
    </row>
    <row r="47" spans="1:13" x14ac:dyDescent="0.3">
      <c r="A47" s="32" t="str">
        <v>VT04627</v>
      </c>
      <c r="B47" s="29" t="str">
        <v>Yvette</v>
      </c>
      <c r="C47" t="str">
        <v>Bett</v>
      </c>
      <c r="D47" t="str">
        <v>Male</v>
      </c>
      <c r="E47" t="str">
        <v>Human Resources</v>
      </c>
      <c r="F47">
        <v>76320.44</v>
      </c>
      <c r="G47" t="str">
        <v>50k to 100k</v>
      </c>
      <c r="H47" s="29">
        <v>44383</v>
      </c>
      <c r="I47">
        <v>0.8</v>
      </c>
      <c r="J47" t="str">
        <v>Temporary</v>
      </c>
      <c r="K47" t="str">
        <v>Remote</v>
      </c>
      <c r="L47">
        <v>2.9616438356164383</v>
      </c>
      <c r="M47" t="str">
        <v>Part time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7858-8D5E-419E-90A2-18B332A5213E}">
  <dimension ref="A1:D40"/>
  <sheetViews>
    <sheetView zoomScale="85" zoomScaleNormal="85" workbookViewId="0">
      <selection activeCell="B4" sqref="B4"/>
    </sheetView>
  </sheetViews>
  <sheetFormatPr defaultRowHeight="14.4" x14ac:dyDescent="0.3"/>
  <cols>
    <col min="1" max="1" width="47.109375" customWidth="1"/>
    <col min="2" max="2" width="17.6640625" customWidth="1"/>
    <col min="3" max="3" width="19.109375" customWidth="1"/>
    <col min="4" max="4" width="12.5546875" customWidth="1"/>
  </cols>
  <sheetData>
    <row r="1" spans="1:4" x14ac:dyDescent="0.3">
      <c r="A1" s="34" t="s">
        <v>780</v>
      </c>
    </row>
    <row r="4" spans="1:4" x14ac:dyDescent="0.3">
      <c r="B4" s="35" t="s">
        <v>781</v>
      </c>
      <c r="C4" s="35" t="s">
        <v>15</v>
      </c>
      <c r="D4" s="35" t="s">
        <v>24</v>
      </c>
    </row>
    <row r="5" spans="1:4" x14ac:dyDescent="0.3">
      <c r="A5" s="36" t="s">
        <v>782</v>
      </c>
      <c r="B5" s="37">
        <f>MIN(staff[Salary])</f>
        <v>28160.79</v>
      </c>
      <c r="C5" s="41">
        <f>_xlfn.MINIFS(staff[Salary],staff[Gender],C4)</f>
        <v>28160.79</v>
      </c>
      <c r="D5" s="41">
        <f>_xlfn.MINIFS(staff[Salary],staff[Gender],"Female")</f>
        <v>28305.08</v>
      </c>
    </row>
    <row r="6" spans="1:4" x14ac:dyDescent="0.3">
      <c r="A6" s="36" t="s">
        <v>783</v>
      </c>
      <c r="B6" s="37">
        <f>MAX(staff[Salary])</f>
        <v>120000</v>
      </c>
      <c r="C6" s="41">
        <f>_xlfn.MAXIFS(staff[Salary],staff[Gender],C4)</f>
        <v>120000</v>
      </c>
      <c r="D6" s="41">
        <f>_xlfn.MAXIFS(staff[Salary],staff[Gender],D4)</f>
        <v>120000</v>
      </c>
    </row>
    <row r="7" spans="1:4" x14ac:dyDescent="0.3">
      <c r="A7" s="36" t="s">
        <v>784</v>
      </c>
      <c r="B7" s="38">
        <f>LARGE(staff[Salary],1)</f>
        <v>120000</v>
      </c>
      <c r="C7" s="41" cm="1">
        <f t="array" ref="C7">LARGE(_xlfn._xlws.FILTER(staff[],staff[Gender]="Male"),'4'!A8)</f>
        <v>120000</v>
      </c>
      <c r="D7" s="41" cm="1">
        <f t="array" ref="D7">LARGE(_xlfn._xlws.FILTER(staff[],staff[Gender]="Female"),'4'!A8)</f>
        <v>120000</v>
      </c>
    </row>
    <row r="8" spans="1:4" x14ac:dyDescent="0.3">
      <c r="A8">
        <v>1</v>
      </c>
      <c r="B8" s="38">
        <f>LARGE(staff[Salary],2)</f>
        <v>120000</v>
      </c>
      <c r="C8" s="41" cm="1">
        <f t="array" ref="C8">LARGE(_xlfn._xlws.FILTER(staff[],staff[Gender]="Male"),'4'!A9)</f>
        <v>119022.49</v>
      </c>
      <c r="D8" s="41" cm="1">
        <f t="array" ref="D8">LARGE(_xlfn._xlws.FILTER(staff[],staff[Gender]="Female"),'4'!A9)</f>
        <v>118442.54</v>
      </c>
    </row>
    <row r="9" spans="1:4" x14ac:dyDescent="0.3">
      <c r="A9">
        <v>2</v>
      </c>
      <c r="B9" s="38">
        <f>LARGE(staff[Salary],3)</f>
        <v>119022.49</v>
      </c>
      <c r="C9" s="41" cm="1">
        <f t="array" ref="C9">LARGE(_xlfn._xlws.FILTER(staff[],staff[Gender]="Male"),'4'!A10)</f>
        <v>118976.16</v>
      </c>
      <c r="D9" s="41" cm="1">
        <f t="array" ref="D9">LARGE(_xlfn._xlws.FILTER(staff[],staff[Gender]="Female"),'4'!A10)</f>
        <v>116767.63</v>
      </c>
    </row>
    <row r="10" spans="1:4" x14ac:dyDescent="0.3">
      <c r="A10">
        <v>3</v>
      </c>
      <c r="B10" s="38">
        <f>LARGE(staff[Salary],4)</f>
        <v>118976.16</v>
      </c>
      <c r="C10" s="41" cm="1">
        <f t="array" ref="C10">LARGE(_xlfn._xlws.FILTER(staff[],staff[Gender]="Male"),'4'!A11)</f>
        <v>115191.38</v>
      </c>
      <c r="D10" s="41" cm="1">
        <f t="array" ref="D10">LARGE(_xlfn._xlws.FILTER(staff[],staff[Gender]="Female"),'4'!A11)</f>
        <v>116767.63</v>
      </c>
    </row>
    <row r="11" spans="1:4" x14ac:dyDescent="0.3">
      <c r="A11">
        <v>4</v>
      </c>
      <c r="B11" s="38">
        <f>LARGE(staff[Salary],5)</f>
        <v>118442.54</v>
      </c>
      <c r="C11" s="41" cm="1">
        <f t="array" ref="C11">LARGE(_xlfn._xlws.FILTER(staff[],staff[Gender]="Male"),'4'!A12)</f>
        <v>114691.03</v>
      </c>
      <c r="D11" s="41" cm="1">
        <f t="array" ref="D11">LARGE(_xlfn._xlws.FILTER(staff[],staff[Gender]="Female"),'4'!A12)</f>
        <v>114772.32</v>
      </c>
    </row>
    <row r="12" spans="1:4" x14ac:dyDescent="0.3">
      <c r="A12">
        <v>5</v>
      </c>
      <c r="B12" s="39"/>
    </row>
    <row r="13" spans="1:4" x14ac:dyDescent="0.3">
      <c r="B13" s="39"/>
    </row>
    <row r="14" spans="1:4" x14ac:dyDescent="0.3">
      <c r="B14" s="39"/>
    </row>
    <row r="15" spans="1:4" x14ac:dyDescent="0.3">
      <c r="A15" s="36" t="s">
        <v>785</v>
      </c>
      <c r="B15" s="40" cm="1">
        <f t="array" ref="B15:B19">_xlfn.TAKE(_xlfn._xlws.SORT(staff[Salary],,-1),5)</f>
        <v>120000</v>
      </c>
    </row>
    <row r="16" spans="1:4" x14ac:dyDescent="0.3">
      <c r="A16" s="36" t="s">
        <v>786</v>
      </c>
      <c r="B16" s="40">
        <v>120000</v>
      </c>
    </row>
    <row r="17" spans="1:3" x14ac:dyDescent="0.3">
      <c r="B17" s="40">
        <v>119022.49</v>
      </c>
    </row>
    <row r="18" spans="1:3" x14ac:dyDescent="0.3">
      <c r="B18" s="40">
        <v>118976.16</v>
      </c>
    </row>
    <row r="19" spans="1:3" x14ac:dyDescent="0.3">
      <c r="B19" s="40">
        <v>118442.54</v>
      </c>
    </row>
    <row r="25" spans="1:3" x14ac:dyDescent="0.3">
      <c r="A25" s="42" t="s">
        <v>787</v>
      </c>
    </row>
    <row r="27" spans="1:3" x14ac:dyDescent="0.3">
      <c r="A27" s="34" t="s">
        <v>788</v>
      </c>
      <c r="B27" s="34" t="s">
        <v>789</v>
      </c>
      <c r="C27">
        <f>COUNTA(_xlfn.ANCHORARRAY(A$28))</f>
        <v>13</v>
      </c>
    </row>
    <row r="28" spans="1:3" x14ac:dyDescent="0.3">
      <c r="A28" t="str" cm="1">
        <f t="array" ref="A28:A40">_xlfn.UNIQUE(staff[Department])</f>
        <v>Training</v>
      </c>
    </row>
    <row r="29" spans="1:3" x14ac:dyDescent="0.3">
      <c r="A29" t="str">
        <v>Business Growth</v>
      </c>
    </row>
    <row r="30" spans="1:3" x14ac:dyDescent="0.3">
      <c r="A30" t="str">
        <v>Business Development</v>
      </c>
      <c r="C30" s="43" t="s">
        <v>791</v>
      </c>
    </row>
    <row r="31" spans="1:3" x14ac:dyDescent="0.3">
      <c r="A31" t="str">
        <v>Engineering</v>
      </c>
      <c r="C31" t="str">
        <f>_xlfn.TEXTJOIN(", ", TRUE, _xlfn.UNIQUE(staff[Department]))</f>
        <v>Training, Business Growth, Business Development, Engineering, Marketing, Legal, Accounting, Human Resources, Research and Development, Services, Product Management, Support, Sales</v>
      </c>
    </row>
    <row r="32" spans="1:3" x14ac:dyDescent="0.3">
      <c r="A32" t="str">
        <v>Marketing</v>
      </c>
    </row>
    <row r="33" spans="1:1" x14ac:dyDescent="0.3">
      <c r="A33" t="str">
        <v>Legal</v>
      </c>
    </row>
    <row r="34" spans="1:1" x14ac:dyDescent="0.3">
      <c r="A34" t="str">
        <v>Accounting</v>
      </c>
    </row>
    <row r="35" spans="1:1" x14ac:dyDescent="0.3">
      <c r="A35" t="str">
        <v>Human Resources</v>
      </c>
    </row>
    <row r="36" spans="1:1" x14ac:dyDescent="0.3">
      <c r="A36" t="str">
        <v>Research and Development</v>
      </c>
    </row>
    <row r="37" spans="1:1" x14ac:dyDescent="0.3">
      <c r="A37" t="str">
        <v>Services</v>
      </c>
    </row>
    <row r="38" spans="1:1" x14ac:dyDescent="0.3">
      <c r="A38" t="str">
        <v>Product Management</v>
      </c>
    </row>
    <row r="39" spans="1:1" x14ac:dyDescent="0.3">
      <c r="A39" t="str">
        <v>Support</v>
      </c>
    </row>
    <row r="40" spans="1:1" x14ac:dyDescent="0.3">
      <c r="A40" t="str">
        <v>Sales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FF0C-50E7-4E4C-BC90-9756D850C572}">
  <dimension ref="A5:R46"/>
  <sheetViews>
    <sheetView zoomScale="40" zoomScaleNormal="40" workbookViewId="0">
      <selection activeCell="D51" sqref="D51"/>
    </sheetView>
  </sheetViews>
  <sheetFormatPr defaultRowHeight="14.4" x14ac:dyDescent="0.3"/>
  <cols>
    <col min="1" max="1" width="2.109375" customWidth="1"/>
    <col min="3" max="3" width="34.88671875" customWidth="1"/>
    <col min="4" max="4" width="24" customWidth="1"/>
    <col min="5" max="5" width="21.5546875" customWidth="1"/>
    <col min="6" max="6" width="35.21875" customWidth="1"/>
  </cols>
  <sheetData>
    <row r="5" spans="1:6" x14ac:dyDescent="0.3">
      <c r="C5" s="47" t="s">
        <v>796</v>
      </c>
      <c r="F5" s="46" t="s">
        <v>799</v>
      </c>
    </row>
    <row r="6" spans="1:6" x14ac:dyDescent="0.3">
      <c r="C6" s="32"/>
    </row>
    <row r="7" spans="1:6" x14ac:dyDescent="0.3">
      <c r="C7" t="s">
        <v>792</v>
      </c>
      <c r="D7" s="44" t="s">
        <v>501</v>
      </c>
    </row>
    <row r="9" spans="1:6" x14ac:dyDescent="0.3">
      <c r="A9">
        <v>2</v>
      </c>
      <c r="C9" t="s">
        <v>793</v>
      </c>
      <c r="D9" t="str">
        <f>VLOOKUP($D$7,staff[],A9,FALSE)</f>
        <v>Edd</v>
      </c>
      <c r="F9" t="str">
        <f>_xlfn.XLOOKUP($D$7,staff[Emp ID],staff[First Name])</f>
        <v>Edd</v>
      </c>
    </row>
    <row r="10" spans="1:6" x14ac:dyDescent="0.3">
      <c r="A10">
        <v>3</v>
      </c>
      <c r="C10" t="s">
        <v>794</v>
      </c>
      <c r="D10" t="str">
        <f>VLOOKUP($D$7,staff[],A10,FALSE)</f>
        <v>MacKnockiter</v>
      </c>
      <c r="F10" t="str">
        <f>_xlfn.XLOOKUP($D$7,staff[Emp ID],staff[Last Name])</f>
        <v>MacKnockiter</v>
      </c>
    </row>
    <row r="11" spans="1:6" x14ac:dyDescent="0.3">
      <c r="A11">
        <v>5</v>
      </c>
      <c r="C11" t="s">
        <v>4</v>
      </c>
      <c r="D11" t="str">
        <f>VLOOKUP($D$7,staff[],A11,FALSE)</f>
        <v>Accounting</v>
      </c>
      <c r="F11" t="str">
        <f>_xlfn.XLOOKUP($D$7,staff[Emp ID],staff[Department])</f>
        <v>Accounting</v>
      </c>
    </row>
    <row r="12" spans="1:6" x14ac:dyDescent="0.3">
      <c r="A12">
        <v>6</v>
      </c>
      <c r="C12" t="s">
        <v>5</v>
      </c>
      <c r="D12" s="45">
        <f>VLOOKUP($D$7,staff[],A12,FALSE)</f>
        <v>119022.49</v>
      </c>
      <c r="F12" s="45">
        <f>_xlfn.XLOOKUP($D$7,staff[Emp ID],staff[Salary])</f>
        <v>119022.49</v>
      </c>
    </row>
    <row r="15" spans="1:6" x14ac:dyDescent="0.3">
      <c r="C15" s="46" t="s">
        <v>797</v>
      </c>
      <c r="D15" s="44" t="s">
        <v>90</v>
      </c>
    </row>
    <row r="16" spans="1:6" x14ac:dyDescent="0.3">
      <c r="C16" t="s">
        <v>795</v>
      </c>
    </row>
    <row r="17" spans="3:18" x14ac:dyDescent="0.3">
      <c r="D17">
        <f>MATCH(D15,staff[Last Name],0)</f>
        <v>118</v>
      </c>
    </row>
    <row r="18" spans="3:18" x14ac:dyDescent="0.3">
      <c r="C18" t="s">
        <v>793</v>
      </c>
      <c r="D18" t="str" cm="1">
        <f t="array" ref="D18">INDEX(staff[First Name],D17)</f>
        <v>Pearla</v>
      </c>
    </row>
    <row r="19" spans="3:18" x14ac:dyDescent="0.3">
      <c r="F19" s="46" t="s">
        <v>800</v>
      </c>
    </row>
    <row r="20" spans="3:18" x14ac:dyDescent="0.3">
      <c r="D20" s="44" t="s">
        <v>798</v>
      </c>
    </row>
    <row r="21" spans="3:18" x14ac:dyDescent="0.3">
      <c r="C21" t="s">
        <v>794</v>
      </c>
      <c r="D21" t="str">
        <f>INDEX(staff[Last Name],MATCH(D15,staff[Last Name],))</f>
        <v>Beteriss</v>
      </c>
      <c r="F21" t="str" cm="1">
        <f t="array" ref="F21:R21">_xlfn.XLOOKUP(D15,staff[Last Name],staff[])</f>
        <v>SQ04598</v>
      </c>
      <c r="G21" t="str">
        <v>Pearla</v>
      </c>
      <c r="H21" t="str">
        <v>Beteriss</v>
      </c>
      <c r="I21" t="str">
        <v>Male</v>
      </c>
      <c r="J21" t="str">
        <v>Services</v>
      </c>
      <c r="K21">
        <v>69913.39</v>
      </c>
      <c r="L21" t="str">
        <v>50k to 100k</v>
      </c>
      <c r="M21">
        <v>43584</v>
      </c>
      <c r="N21">
        <v>1</v>
      </c>
      <c r="O21" t="str">
        <v>Permanent</v>
      </c>
      <c r="P21" t="str">
        <v>Remote</v>
      </c>
      <c r="Q21">
        <v>5.1506849315068495</v>
      </c>
      <c r="R21" t="str">
        <v>Full time</v>
      </c>
    </row>
    <row r="22" spans="3:18" x14ac:dyDescent="0.3">
      <c r="C22" t="s">
        <v>4</v>
      </c>
      <c r="D22" t="str">
        <f>INDEX(staff[Department],MATCH(D15,staff[Last Name],))</f>
        <v>Services</v>
      </c>
    </row>
    <row r="23" spans="3:18" x14ac:dyDescent="0.3">
      <c r="C23" t="s">
        <v>5</v>
      </c>
      <c r="D23" s="45">
        <f>INDEX(staff[Salary],MATCH(D15,staff[Last Name],))</f>
        <v>69913.39</v>
      </c>
    </row>
    <row r="24" spans="3:18" x14ac:dyDescent="0.3">
      <c r="F24" s="46" t="s">
        <v>801</v>
      </c>
    </row>
    <row r="26" spans="3:18" x14ac:dyDescent="0.3">
      <c r="F26" t="str" cm="1">
        <f t="array" ref="F26:F38">TRANSPOSE((_xlfn.XLOOKUP(F21,staff[Emp ID],staff[])))</f>
        <v>SQ04598</v>
      </c>
    </row>
    <row r="27" spans="3:18" x14ac:dyDescent="0.3">
      <c r="F27" t="str">
        <v>Pearla</v>
      </c>
    </row>
    <row r="28" spans="3:18" x14ac:dyDescent="0.3">
      <c r="F28" t="str">
        <v>Beteriss</v>
      </c>
    </row>
    <row r="29" spans="3:18" x14ac:dyDescent="0.3">
      <c r="F29" t="str">
        <v>Male</v>
      </c>
    </row>
    <row r="30" spans="3:18" x14ac:dyDescent="0.3">
      <c r="F30" t="str">
        <v>Services</v>
      </c>
    </row>
    <row r="31" spans="3:18" x14ac:dyDescent="0.3">
      <c r="F31" s="45">
        <v>69913.39</v>
      </c>
    </row>
    <row r="32" spans="3:18" x14ac:dyDescent="0.3">
      <c r="F32" t="str">
        <v>50k to 100k</v>
      </c>
    </row>
    <row r="33" spans="3:15" x14ac:dyDescent="0.3">
      <c r="F33" s="29">
        <v>43584</v>
      </c>
    </row>
    <row r="34" spans="3:15" x14ac:dyDescent="0.3">
      <c r="F34">
        <v>1</v>
      </c>
    </row>
    <row r="35" spans="3:15" x14ac:dyDescent="0.3">
      <c r="F35" t="str">
        <v>Permanent</v>
      </c>
    </row>
    <row r="36" spans="3:15" x14ac:dyDescent="0.3">
      <c r="F36" t="str">
        <v>Remote</v>
      </c>
    </row>
    <row r="37" spans="3:15" x14ac:dyDescent="0.3">
      <c r="F37">
        <v>5.1506849315068495</v>
      </c>
    </row>
    <row r="38" spans="3:15" x14ac:dyDescent="0.3">
      <c r="F38" t="str">
        <v>Full time</v>
      </c>
    </row>
    <row r="42" spans="3:15" x14ac:dyDescent="0.3">
      <c r="C42" s="46" t="s">
        <v>802</v>
      </c>
    </row>
    <row r="44" spans="3:15" x14ac:dyDescent="0.3">
      <c r="C44" s="44" t="str" cm="1">
        <f t="array" ref="C44:O44">staff[#Headers]</f>
        <v>Emp ID</v>
      </c>
      <c r="D44" s="44" t="str">
        <v>First Name</v>
      </c>
      <c r="E44" s="44" t="str">
        <v>Last Name</v>
      </c>
      <c r="F44" s="44" t="str">
        <v>Gender</v>
      </c>
      <c r="G44" s="44" t="str">
        <v>Department</v>
      </c>
      <c r="H44" s="44" t="str">
        <v>Salary</v>
      </c>
      <c r="I44" s="44" t="str">
        <v>Salary Bucket</v>
      </c>
      <c r="J44" s="44" t="str">
        <v>Start Date</v>
      </c>
      <c r="K44" s="44" t="str">
        <v>FTE</v>
      </c>
      <c r="L44" s="44" t="str">
        <v>Employee type</v>
      </c>
      <c r="M44" s="44" t="str">
        <v>Work location</v>
      </c>
      <c r="N44" s="44" t="str">
        <v>Tenure</v>
      </c>
      <c r="O44" s="44" t="str">
        <v>Work Type</v>
      </c>
    </row>
    <row r="45" spans="3:15" x14ac:dyDescent="0.3">
      <c r="C45" t="str" cm="1">
        <f t="array" ref="C45:O46">_xlfn._xlws.FILTER(staff[],staff[Salary]&gt;=120000)</f>
        <v>PR00147</v>
      </c>
      <c r="D45" t="str">
        <v>Minerva</v>
      </c>
      <c r="E45" t="str">
        <v>Ricardot</v>
      </c>
      <c r="F45" t="str">
        <v>Male</v>
      </c>
      <c r="G45" t="str">
        <v>Engineering</v>
      </c>
      <c r="H45">
        <v>120000</v>
      </c>
      <c r="I45" t="str">
        <v>Above 100k</v>
      </c>
      <c r="J45">
        <v>43416</v>
      </c>
      <c r="K45">
        <v>1</v>
      </c>
      <c r="L45" t="str">
        <v>Permanent</v>
      </c>
      <c r="M45" t="str">
        <v>Remote</v>
      </c>
      <c r="N45">
        <v>5.6109589041095891</v>
      </c>
      <c r="O45" t="str">
        <v>Full time</v>
      </c>
    </row>
    <row r="46" spans="3:15" x14ac:dyDescent="0.3">
      <c r="C46" t="str">
        <v>SQ04612</v>
      </c>
      <c r="D46" t="str">
        <v>Mick</v>
      </c>
      <c r="E46" t="str">
        <v>Spraberry</v>
      </c>
      <c r="F46" t="str">
        <v>Female</v>
      </c>
      <c r="G46" t="str">
        <v>Services</v>
      </c>
      <c r="H46">
        <v>120000</v>
      </c>
      <c r="I46" t="str">
        <v>Above 100k</v>
      </c>
      <c r="J46">
        <v>43902</v>
      </c>
      <c r="K46">
        <v>0.9</v>
      </c>
      <c r="L46" t="str">
        <v>Permanent</v>
      </c>
      <c r="M46" t="str">
        <v>Remote</v>
      </c>
      <c r="N46">
        <v>4.279452054794521</v>
      </c>
      <c r="O46" t="str">
        <v>Part time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EA2E-DA7C-4E1C-9F1D-15B4E5E60B00}">
  <dimension ref="B1:C16"/>
  <sheetViews>
    <sheetView zoomScale="70" zoomScaleNormal="70" workbookViewId="0">
      <selection activeCell="B27" sqref="B27"/>
    </sheetView>
  </sheetViews>
  <sheetFormatPr defaultRowHeight="14.4" x14ac:dyDescent="0.3"/>
  <cols>
    <col min="2" max="2" width="46.88671875" customWidth="1"/>
    <col min="3" max="3" width="28.6640625" customWidth="1"/>
    <col min="4" max="4" width="29.44140625" customWidth="1"/>
  </cols>
  <sheetData>
    <row r="1" spans="2:3" x14ac:dyDescent="0.3">
      <c r="B1" s="48" t="s">
        <v>803</v>
      </c>
    </row>
    <row r="4" spans="2:3" x14ac:dyDescent="0.3">
      <c r="B4" s="35" t="s">
        <v>804</v>
      </c>
    </row>
    <row r="6" spans="2:3" x14ac:dyDescent="0.3">
      <c r="B6" s="49" t="s">
        <v>805</v>
      </c>
      <c r="C6" s="50">
        <f>MAX(staff[Salary])</f>
        <v>120000</v>
      </c>
    </row>
    <row r="7" spans="2:3" x14ac:dyDescent="0.3">
      <c r="B7" t="s">
        <v>806</v>
      </c>
    </row>
    <row r="9" spans="2:3" x14ac:dyDescent="0.3">
      <c r="B9" s="49" t="s">
        <v>807</v>
      </c>
      <c r="C9" t="str" cm="1">
        <f t="array" ref="C9">_xlfn.XLOOKUP(MAX(staff[Salary]),staff[Salary],staff[First Name]&amp;" "&amp;staff[Last Name])</f>
        <v>Minerva Ricardot</v>
      </c>
    </row>
    <row r="12" spans="2:3" x14ac:dyDescent="0.3">
      <c r="B12" s="35" t="s">
        <v>808</v>
      </c>
      <c r="C12" t="str" cm="1">
        <f t="array" ref="C12:C13">_xlfn._xlws.FILTER(staff[First Name]&amp;" "&amp;staff[Last Name],staff[Salary] &gt;=$C$6)</f>
        <v>Minerva Ricardot</v>
      </c>
    </row>
    <row r="13" spans="2:3" x14ac:dyDescent="0.3">
      <c r="C13" t="str">
        <v>Mick Spraberry</v>
      </c>
    </row>
    <row r="16" spans="2:3" x14ac:dyDescent="0.3">
      <c r="B16" s="35" t="s">
        <v>809</v>
      </c>
      <c r="C16" t="str" cm="1">
        <f t="array" ref="C16">_xlfn.TEXTJOIN(",",,_xlfn._xlws.FILTER(staff[First Name]&amp;" "&amp;staff[Last Name],staff[Salary] &gt;=C6))</f>
        <v>Minerva Ricardot,Mick Spraberry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110B-0CE4-469F-B0D3-16161A1DEEB9}">
  <dimension ref="B4:N288"/>
  <sheetViews>
    <sheetView topLeftCell="A38" zoomScale="85" zoomScaleNormal="85" workbookViewId="0">
      <selection activeCell="B56" sqref="B56"/>
    </sheetView>
  </sheetViews>
  <sheetFormatPr defaultRowHeight="14.4" x14ac:dyDescent="0.3"/>
  <cols>
    <col min="2" max="2" width="33.44140625" bestFit="1" customWidth="1"/>
    <col min="3" max="3" width="9.88671875" bestFit="1" customWidth="1"/>
    <col min="4" max="4" width="13.21875" bestFit="1" customWidth="1"/>
    <col min="6" max="6" width="23.5546875" bestFit="1" customWidth="1"/>
    <col min="7" max="7" width="10.44140625" bestFit="1" customWidth="1"/>
    <col min="8" max="8" width="12" bestFit="1" customWidth="1"/>
    <col min="9" max="9" width="10.5546875" bestFit="1" customWidth="1"/>
    <col min="10" max="10" width="4.109375" bestFit="1" customWidth="1"/>
    <col min="11" max="11" width="13.109375" bestFit="1" customWidth="1"/>
    <col min="12" max="12" width="21.88671875" bestFit="1" customWidth="1"/>
    <col min="13" max="13" width="12.5546875" bestFit="1" customWidth="1"/>
    <col min="14" max="14" width="9.88671875" bestFit="1" customWidth="1"/>
  </cols>
  <sheetData>
    <row r="4" spans="2:14" x14ac:dyDescent="0.3">
      <c r="B4" s="51" t="s">
        <v>810</v>
      </c>
    </row>
    <row r="6" spans="2:14" x14ac:dyDescent="0.3">
      <c r="B6" s="52" t="str" cm="1">
        <f t="array" ref="B6:N6">staff[#Headers]</f>
        <v>Emp ID</v>
      </c>
      <c r="C6" s="52" t="str">
        <v>First Name</v>
      </c>
      <c r="D6" s="52" t="str">
        <v>Last Name</v>
      </c>
      <c r="E6" s="52" t="str">
        <v>Gender</v>
      </c>
      <c r="F6" s="52" t="str">
        <v>Department</v>
      </c>
      <c r="G6" s="52" t="str">
        <v>Salary</v>
      </c>
      <c r="H6" s="52" t="str">
        <v>Salary Bucket</v>
      </c>
      <c r="I6" s="52" t="str">
        <v>Start Date</v>
      </c>
      <c r="J6" s="52" t="str">
        <v>FTE</v>
      </c>
      <c r="K6" s="52" t="str">
        <v>Employee type</v>
      </c>
      <c r="L6" s="52" t="str">
        <v>Work location</v>
      </c>
      <c r="M6" s="52" t="str">
        <v>Tenure</v>
      </c>
      <c r="N6" s="52" t="str">
        <v>Work Type</v>
      </c>
    </row>
    <row r="7" spans="2:14" x14ac:dyDescent="0.3">
      <c r="B7" t="str" cm="1">
        <f t="array" ref="B7:N22">_xlfn._xlws.FILTER(staff[],LEFT(staff[First Name],1)="C")</f>
        <v>PR03532</v>
      </c>
      <c r="C7" t="str">
        <v>Crawford</v>
      </c>
      <c r="D7" t="str">
        <v>Scad</v>
      </c>
      <c r="E7" t="str">
        <v>Male</v>
      </c>
      <c r="F7" t="str">
        <v>Human Resources</v>
      </c>
      <c r="G7">
        <v>72876.91</v>
      </c>
      <c r="H7" t="str">
        <v>50k to 100k</v>
      </c>
      <c r="I7">
        <v>43837</v>
      </c>
      <c r="J7">
        <v>1</v>
      </c>
      <c r="K7" t="str">
        <v>Permanent</v>
      </c>
      <c r="L7" t="str">
        <v>Remote</v>
      </c>
      <c r="M7">
        <v>4.4575342465753423</v>
      </c>
      <c r="N7" t="str">
        <v>Full time</v>
      </c>
    </row>
    <row r="8" spans="2:14" x14ac:dyDescent="0.3">
      <c r="B8" t="str">
        <v>PR04366</v>
      </c>
      <c r="C8" t="str">
        <v>Carry</v>
      </c>
      <c r="D8" t="str">
        <v>Loblie</v>
      </c>
      <c r="E8" t="str">
        <v>Female</v>
      </c>
      <c r="F8" t="str">
        <v>Sales</v>
      </c>
      <c r="G8">
        <v>47551.89</v>
      </c>
      <c r="H8" t="str">
        <v>Under 50k</v>
      </c>
      <c r="I8">
        <v>43468</v>
      </c>
      <c r="J8">
        <v>1</v>
      </c>
      <c r="K8" t="str">
        <v>Permanent</v>
      </c>
      <c r="L8" t="str">
        <v>Auckland, New Zealand</v>
      </c>
      <c r="M8">
        <v>5.4684931506849317</v>
      </c>
      <c r="N8" t="str">
        <v>Full time</v>
      </c>
    </row>
    <row r="9" spans="2:14" x14ac:dyDescent="0.3">
      <c r="B9" t="str">
        <v>SQ00022</v>
      </c>
      <c r="C9" t="str">
        <v>Carlin</v>
      </c>
      <c r="D9" t="str">
        <v>Demke</v>
      </c>
      <c r="E9" t="str">
        <v>Male</v>
      </c>
      <c r="F9" t="str">
        <v>Business Development</v>
      </c>
      <c r="G9">
        <v>110042.37</v>
      </c>
      <c r="H9" t="str">
        <v>Above 100k</v>
      </c>
      <c r="I9">
        <v>43914</v>
      </c>
      <c r="J9">
        <v>1</v>
      </c>
      <c r="K9" t="str">
        <v>Permanent</v>
      </c>
      <c r="L9" t="str">
        <v>Columbus, USA</v>
      </c>
      <c r="M9">
        <v>4.2465753424657535</v>
      </c>
      <c r="N9" t="str">
        <v>Full time</v>
      </c>
    </row>
    <row r="10" spans="2:14" x14ac:dyDescent="0.3">
      <c r="B10" t="str">
        <v>SQ00144</v>
      </c>
      <c r="C10" t="str">
        <v>Collen</v>
      </c>
      <c r="D10" t="str">
        <v>Dunbleton</v>
      </c>
      <c r="E10" t="str">
        <v>Male</v>
      </c>
      <c r="F10" t="str">
        <v>Engineering</v>
      </c>
      <c r="G10">
        <v>118976.16</v>
      </c>
      <c r="H10" t="str">
        <v>Above 100k</v>
      </c>
      <c r="I10">
        <v>44120</v>
      </c>
      <c r="J10">
        <v>1</v>
      </c>
      <c r="K10" t="str">
        <v>Permanent</v>
      </c>
      <c r="L10" t="str">
        <v>Wellington, New Zealand</v>
      </c>
      <c r="M10">
        <v>3.6821917808219178</v>
      </c>
      <c r="N10" t="str">
        <v>Full time</v>
      </c>
    </row>
    <row r="11" spans="2:14" x14ac:dyDescent="0.3">
      <c r="B11" t="str">
        <v>SQ00960</v>
      </c>
      <c r="C11" t="str">
        <v>Calvin</v>
      </c>
      <c r="D11" t="str">
        <v>O'Carroll</v>
      </c>
      <c r="E11" t="str">
        <v>Female</v>
      </c>
      <c r="F11" t="str">
        <v>Research and Development</v>
      </c>
      <c r="G11">
        <v>44447.26</v>
      </c>
      <c r="H11" t="str">
        <v>Under 50k</v>
      </c>
      <c r="I11">
        <v>43846</v>
      </c>
      <c r="J11">
        <v>0.4</v>
      </c>
      <c r="K11" t="str">
        <v>Permanent</v>
      </c>
      <c r="L11" t="str">
        <v>Seattle, USA</v>
      </c>
      <c r="M11">
        <v>4.4328767123287669</v>
      </c>
      <c r="N11" t="str">
        <v>Part time</v>
      </c>
    </row>
    <row r="12" spans="2:14" x14ac:dyDescent="0.3">
      <c r="B12" t="str">
        <v>SQ01519</v>
      </c>
      <c r="C12" t="str">
        <v>Caron</v>
      </c>
      <c r="D12" t="str">
        <v>Kolakovic</v>
      </c>
      <c r="E12" t="str">
        <v>Male</v>
      </c>
      <c r="F12" t="str">
        <v>Accounting</v>
      </c>
      <c r="G12">
        <v>49915.14</v>
      </c>
      <c r="H12" t="str">
        <v>Under 50k</v>
      </c>
      <c r="I12">
        <v>43550</v>
      </c>
      <c r="J12">
        <v>1</v>
      </c>
      <c r="K12" t="str">
        <v>Permanent</v>
      </c>
      <c r="L12" t="str">
        <v>Remote</v>
      </c>
      <c r="M12">
        <v>5.2438356164383562</v>
      </c>
      <c r="N12" t="str">
        <v>Full time</v>
      </c>
    </row>
    <row r="13" spans="2:14" x14ac:dyDescent="0.3">
      <c r="B13" t="str">
        <v>SQ02638</v>
      </c>
      <c r="C13" t="str">
        <v>Cara</v>
      </c>
      <c r="D13" t="str">
        <v>Havers</v>
      </c>
      <c r="E13" t="str">
        <v>Male</v>
      </c>
      <c r="F13" t="str">
        <v>Marketing</v>
      </c>
      <c r="G13">
        <v>89605.13</v>
      </c>
      <c r="H13" t="str">
        <v>50k to 100k</v>
      </c>
      <c r="I13">
        <v>43258</v>
      </c>
      <c r="J13">
        <v>1</v>
      </c>
      <c r="K13" t="str">
        <v>Permanent</v>
      </c>
      <c r="L13" t="str">
        <v>Seattle, USA</v>
      </c>
      <c r="M13">
        <v>6.043835616438356</v>
      </c>
      <c r="N13" t="str">
        <v>Full time</v>
      </c>
    </row>
    <row r="14" spans="2:14" x14ac:dyDescent="0.3">
      <c r="B14" t="str">
        <v>SQ04665</v>
      </c>
      <c r="C14" t="str">
        <v>Collin</v>
      </c>
      <c r="D14" t="str">
        <v>Jagson</v>
      </c>
      <c r="E14" t="str">
        <v>Male</v>
      </c>
      <c r="F14" t="str">
        <v>Services</v>
      </c>
      <c r="G14">
        <v>100424.23</v>
      </c>
      <c r="H14" t="str">
        <v>Above 100k</v>
      </c>
      <c r="I14">
        <v>43801</v>
      </c>
      <c r="J14">
        <v>1</v>
      </c>
      <c r="K14" t="str">
        <v>Permanent</v>
      </c>
      <c r="L14" t="str">
        <v>Auckland, New Zealand</v>
      </c>
      <c r="M14">
        <v>4.5561643835616437</v>
      </c>
      <c r="N14" t="str">
        <v>Full time</v>
      </c>
    </row>
    <row r="15" spans="2:14" x14ac:dyDescent="0.3">
      <c r="B15" t="str">
        <v>TN00083</v>
      </c>
      <c r="C15" t="str">
        <v>Chandana</v>
      </c>
      <c r="D15" t="str">
        <v>Sannidhi</v>
      </c>
      <c r="E15" t="str">
        <v>Female</v>
      </c>
      <c r="F15" t="str">
        <v>Business Development</v>
      </c>
      <c r="G15">
        <v>61688.77</v>
      </c>
      <c r="H15" t="str">
        <v>50k to 100k</v>
      </c>
      <c r="I15">
        <v>43346</v>
      </c>
      <c r="J15">
        <v>0.9</v>
      </c>
      <c r="K15" t="str">
        <v>Permanent</v>
      </c>
      <c r="L15" t="str">
        <v>Chennai, India</v>
      </c>
      <c r="M15">
        <v>5.8027397260273972</v>
      </c>
      <c r="N15" t="str">
        <v>Part time</v>
      </c>
    </row>
    <row r="16" spans="2:14" x14ac:dyDescent="0.3">
      <c r="B16" t="str">
        <v>TN00182</v>
      </c>
      <c r="C16" t="str">
        <v>Camilla</v>
      </c>
      <c r="D16" t="str">
        <v>Castle</v>
      </c>
      <c r="E16" t="str">
        <v>Female</v>
      </c>
      <c r="F16" t="str">
        <v>Product Management</v>
      </c>
      <c r="G16">
        <v>75475.929999999993</v>
      </c>
      <c r="H16" t="str">
        <v>50k to 100k</v>
      </c>
      <c r="I16">
        <v>43794</v>
      </c>
      <c r="J16">
        <v>1</v>
      </c>
      <c r="K16" t="str">
        <v>Permanent</v>
      </c>
      <c r="L16" t="str">
        <v>Remote</v>
      </c>
      <c r="M16">
        <v>4.5753424657534243</v>
      </c>
      <c r="N16" t="str">
        <v>Full time</v>
      </c>
    </row>
    <row r="17" spans="2:14" x14ac:dyDescent="0.3">
      <c r="B17" t="str">
        <v>TN00735</v>
      </c>
      <c r="C17" t="str">
        <v>Caresa</v>
      </c>
      <c r="D17" t="str">
        <v>Christer</v>
      </c>
      <c r="E17" t="str">
        <v>Male</v>
      </c>
      <c r="F17" t="str">
        <v>Support</v>
      </c>
      <c r="G17">
        <v>59258.19</v>
      </c>
      <c r="H17" t="str">
        <v>50k to 100k</v>
      </c>
      <c r="I17">
        <v>43452</v>
      </c>
      <c r="J17">
        <v>0.8</v>
      </c>
      <c r="K17" t="str">
        <v>Permanent</v>
      </c>
      <c r="L17" t="str">
        <v>Seattle, USA</v>
      </c>
      <c r="M17">
        <v>5.5123287671232877</v>
      </c>
      <c r="N17" t="str">
        <v>Part time</v>
      </c>
    </row>
    <row r="18" spans="2:14" x14ac:dyDescent="0.3">
      <c r="B18" t="str">
        <v>TN00735</v>
      </c>
      <c r="C18" t="str">
        <v>Caresa</v>
      </c>
      <c r="D18" t="str">
        <v>Christer</v>
      </c>
      <c r="E18" t="str">
        <v>Male</v>
      </c>
      <c r="F18" t="str">
        <v>Support</v>
      </c>
      <c r="G18">
        <v>59258.19</v>
      </c>
      <c r="H18" t="str">
        <v>50k to 100k</v>
      </c>
      <c r="I18">
        <v>43452</v>
      </c>
      <c r="J18">
        <v>0.8</v>
      </c>
      <c r="K18" t="str">
        <v>Permanent</v>
      </c>
      <c r="L18" t="str">
        <v>Seattle, USA</v>
      </c>
      <c r="M18">
        <v>5.5123287671232877</v>
      </c>
      <c r="N18" t="str">
        <v>Part time</v>
      </c>
    </row>
    <row r="19" spans="2:14" x14ac:dyDescent="0.3">
      <c r="B19" t="str">
        <v>TN01281</v>
      </c>
      <c r="C19" t="str">
        <v>Cletus</v>
      </c>
      <c r="D19" t="str">
        <v>McGarahan</v>
      </c>
      <c r="E19" t="str">
        <v>Female</v>
      </c>
      <c r="F19" t="str">
        <v>Engineering</v>
      </c>
      <c r="G19">
        <v>114425.19</v>
      </c>
      <c r="H19" t="str">
        <v>Above 100k</v>
      </c>
      <c r="I19">
        <v>43857</v>
      </c>
      <c r="J19">
        <v>1</v>
      </c>
      <c r="K19" t="str">
        <v>Permanent</v>
      </c>
      <c r="L19" t="str">
        <v>Wellington, New Zealand</v>
      </c>
      <c r="M19">
        <v>4.4027397260273968</v>
      </c>
      <c r="N19" t="str">
        <v>Full time</v>
      </c>
    </row>
    <row r="20" spans="2:14" x14ac:dyDescent="0.3">
      <c r="B20" t="str">
        <v>TN03331</v>
      </c>
      <c r="C20" t="str">
        <v>Crawford</v>
      </c>
      <c r="D20" t="str">
        <v>Scad</v>
      </c>
      <c r="E20" t="str">
        <v>Male</v>
      </c>
      <c r="F20" t="str">
        <v>Human Resources</v>
      </c>
      <c r="G20">
        <v>72876.91</v>
      </c>
      <c r="H20" t="str">
        <v>50k to 100k</v>
      </c>
      <c r="I20">
        <v>43612</v>
      </c>
      <c r="J20">
        <v>0.4</v>
      </c>
      <c r="K20" t="str">
        <v>Fixed Term</v>
      </c>
      <c r="L20" t="str">
        <v>Auckland, New Zealand</v>
      </c>
      <c r="M20">
        <v>5.0739726027397261</v>
      </c>
      <c r="N20" t="str">
        <v>Part time</v>
      </c>
    </row>
    <row r="21" spans="2:14" x14ac:dyDescent="0.3">
      <c r="B21" t="str">
        <v>VT00740</v>
      </c>
      <c r="C21" t="str">
        <v>Chitrasen</v>
      </c>
      <c r="D21" t="str">
        <v>Laul</v>
      </c>
      <c r="E21" t="str">
        <v>Female</v>
      </c>
      <c r="F21" t="str">
        <v>Research and Development</v>
      </c>
      <c r="G21">
        <v>46751.7</v>
      </c>
      <c r="H21" t="str">
        <v>Under 50k</v>
      </c>
      <c r="I21">
        <v>43843</v>
      </c>
      <c r="J21">
        <v>1</v>
      </c>
      <c r="K21" t="str">
        <v>Fixed Term</v>
      </c>
      <c r="L21" t="str">
        <v>Hyderabad, India</v>
      </c>
      <c r="M21">
        <v>4.441095890410959</v>
      </c>
      <c r="N21" t="str">
        <v>Full time</v>
      </c>
    </row>
    <row r="22" spans="2:14" x14ac:dyDescent="0.3">
      <c r="B22" t="str">
        <v>VT01523</v>
      </c>
      <c r="C22" t="str">
        <v>Charmane</v>
      </c>
      <c r="D22" t="str">
        <v>Heistermann</v>
      </c>
      <c r="E22" t="str">
        <v>Female</v>
      </c>
      <c r="F22" t="str">
        <v>Business Development</v>
      </c>
      <c r="G22">
        <v>86558.58</v>
      </c>
      <c r="H22" t="str">
        <v>50k to 100k</v>
      </c>
      <c r="I22">
        <v>43887</v>
      </c>
      <c r="J22">
        <v>1</v>
      </c>
      <c r="K22" t="str">
        <v>Fixed Term</v>
      </c>
      <c r="L22" t="str">
        <v>Remote</v>
      </c>
      <c r="M22">
        <v>4.3205479452054796</v>
      </c>
      <c r="N22" t="str">
        <v>Full time</v>
      </c>
    </row>
    <row r="26" spans="2:14" x14ac:dyDescent="0.3">
      <c r="B26" s="1" t="s">
        <v>811</v>
      </c>
    </row>
    <row r="28" spans="2:14" x14ac:dyDescent="0.3">
      <c r="B28" s="51" t="str" cm="1">
        <f t="array" ref="B28:D28">CHOOSE({1,2,3}, INDEX(staff[#Headers],1,1), INDEX(staff[#Headers],1,3), INDEX(staff[#Headers],1,4))</f>
        <v>Emp ID</v>
      </c>
      <c r="C28" s="51" t="str">
        <v>Last Name</v>
      </c>
      <c r="D28" s="51" t="str">
        <v>Gender</v>
      </c>
    </row>
    <row r="29" spans="2:14" x14ac:dyDescent="0.3">
      <c r="B29" t="str" cm="1">
        <f t="array" ref="B29:D50">_xlfn._xlws.FILTER(staff[Emp ID]:staff[Last Name],MONTH(staff[Start Date])=3)</f>
        <v>PR00746</v>
      </c>
      <c r="C29" t="str">
        <v>Hogan</v>
      </c>
      <c r="D29" t="str">
        <v>Iles</v>
      </c>
      <c r="I29" s="29"/>
    </row>
    <row r="30" spans="2:14" x14ac:dyDescent="0.3">
      <c r="B30" t="str">
        <v>PR00893</v>
      </c>
      <c r="C30" t="str">
        <v>Vasavi</v>
      </c>
      <c r="D30" t="str">
        <v>Veeravasarapu</v>
      </c>
      <c r="I30" s="29"/>
    </row>
    <row r="31" spans="2:14" x14ac:dyDescent="0.3">
      <c r="B31" t="str">
        <v>SQ00022</v>
      </c>
      <c r="C31" t="str">
        <v>Carlin</v>
      </c>
      <c r="D31" t="str">
        <v>Demke</v>
      </c>
      <c r="I31" s="29"/>
    </row>
    <row r="32" spans="2:14" x14ac:dyDescent="0.3">
      <c r="B32" t="str">
        <v>SQ00105</v>
      </c>
      <c r="C32" t="str">
        <v>Sarayu</v>
      </c>
      <c r="D32" t="str">
        <v>Ragunathan</v>
      </c>
      <c r="I32" s="29"/>
    </row>
    <row r="33" spans="2:9" x14ac:dyDescent="0.3">
      <c r="B33" t="str">
        <v>SQ01519</v>
      </c>
      <c r="C33" t="str">
        <v>Caron</v>
      </c>
      <c r="D33" t="str">
        <v>Kolakovic</v>
      </c>
      <c r="I33" s="29"/>
    </row>
    <row r="34" spans="2:9" x14ac:dyDescent="0.3">
      <c r="B34" t="str">
        <v>SQ03112</v>
      </c>
      <c r="C34" t="str">
        <v>Kantimoy</v>
      </c>
      <c r="D34" t="str">
        <v>Pritish</v>
      </c>
      <c r="I34" s="29"/>
    </row>
    <row r="35" spans="2:9" x14ac:dyDescent="0.3">
      <c r="B35" t="str">
        <v>SQ03625</v>
      </c>
      <c r="C35" t="str">
        <v>Fidela</v>
      </c>
      <c r="D35" t="str">
        <v>Artis</v>
      </c>
      <c r="I35" s="29"/>
    </row>
    <row r="36" spans="2:9" x14ac:dyDescent="0.3">
      <c r="B36" t="str">
        <v>SQ04612</v>
      </c>
      <c r="C36" t="str">
        <v>Mick</v>
      </c>
      <c r="D36" t="str">
        <v>Spraberry</v>
      </c>
      <c r="I36" s="29"/>
    </row>
    <row r="37" spans="2:9" x14ac:dyDescent="0.3">
      <c r="B37" t="str">
        <v>TN01256</v>
      </c>
      <c r="C37" t="str">
        <v>Shattesh</v>
      </c>
      <c r="D37" t="str">
        <v>Utpat</v>
      </c>
      <c r="I37" s="29"/>
    </row>
    <row r="38" spans="2:9" x14ac:dyDescent="0.3">
      <c r="B38" t="str">
        <v>TN01256</v>
      </c>
      <c r="C38" t="str">
        <v>Sawini</v>
      </c>
      <c r="D38" t="str">
        <v>Chandan</v>
      </c>
      <c r="I38" s="29"/>
    </row>
    <row r="39" spans="2:9" x14ac:dyDescent="0.3">
      <c r="B39" t="str">
        <v>TN01601</v>
      </c>
      <c r="C39" t="str">
        <v>Melva</v>
      </c>
      <c r="D39" t="str">
        <v>Jickells</v>
      </c>
      <c r="I39" s="29"/>
    </row>
    <row r="40" spans="2:9" x14ac:dyDescent="0.3">
      <c r="B40" t="str">
        <v>TN01601</v>
      </c>
      <c r="C40" t="str">
        <v>Melva</v>
      </c>
      <c r="D40" t="str">
        <v>Jickells</v>
      </c>
      <c r="I40" s="29"/>
    </row>
    <row r="41" spans="2:9" x14ac:dyDescent="0.3">
      <c r="B41" t="str">
        <v>TN04892</v>
      </c>
      <c r="C41" t="str">
        <v>Luca</v>
      </c>
      <c r="D41" t="str">
        <v>Wolstenholme</v>
      </c>
      <c r="I41" s="29"/>
    </row>
    <row r="42" spans="2:9" x14ac:dyDescent="0.3">
      <c r="B42" t="str">
        <v>VT01762</v>
      </c>
      <c r="C42" t="str">
        <v>Geena</v>
      </c>
      <c r="D42" t="str">
        <v>Raghavanpillai</v>
      </c>
      <c r="I42" s="29"/>
    </row>
    <row r="43" spans="2:9" x14ac:dyDescent="0.3">
      <c r="B43" t="str">
        <v>VT01803</v>
      </c>
      <c r="C43" t="str">
        <v>Freddy</v>
      </c>
      <c r="D43" t="str">
        <v>Linford</v>
      </c>
      <c r="I43" s="29"/>
    </row>
    <row r="44" spans="2:9" x14ac:dyDescent="0.3">
      <c r="B44" t="str">
        <v>VT02417</v>
      </c>
      <c r="C44" t="str">
        <v>Evangelina</v>
      </c>
      <c r="D44" t="str">
        <v>Lergan</v>
      </c>
      <c r="I44" s="29"/>
    </row>
    <row r="45" spans="2:9" x14ac:dyDescent="0.3">
      <c r="B45" t="str">
        <v>VT03421</v>
      </c>
      <c r="C45" t="str">
        <v>Alic</v>
      </c>
      <c r="D45" t="str">
        <v>Bagg</v>
      </c>
      <c r="I45" s="29"/>
    </row>
    <row r="46" spans="2:9" x14ac:dyDescent="0.3">
      <c r="B46" t="str">
        <v>VT03421</v>
      </c>
      <c r="C46" t="str">
        <v>Alic</v>
      </c>
      <c r="D46" t="str">
        <v>Bagg</v>
      </c>
      <c r="I46" s="29"/>
    </row>
    <row r="47" spans="2:9" x14ac:dyDescent="0.3">
      <c r="B47" t="str">
        <v>VT03993</v>
      </c>
      <c r="C47" t="str">
        <v>Dulce</v>
      </c>
      <c r="D47" t="str">
        <v>Colbeck</v>
      </c>
      <c r="I47" s="29"/>
    </row>
    <row r="48" spans="2:9" x14ac:dyDescent="0.3">
      <c r="B48" t="str">
        <v>VT04028</v>
      </c>
      <c r="C48" t="str">
        <v>Michale</v>
      </c>
      <c r="D48" t="str">
        <v>Rolf</v>
      </c>
      <c r="I48" s="29"/>
    </row>
    <row r="49" spans="2:14" x14ac:dyDescent="0.3">
      <c r="B49" t="str">
        <v>VT04028</v>
      </c>
      <c r="C49" t="str">
        <v>Michale</v>
      </c>
      <c r="D49" t="str">
        <v>Rolf</v>
      </c>
      <c r="I49" s="29"/>
    </row>
    <row r="50" spans="2:14" x14ac:dyDescent="0.3">
      <c r="B50" t="str">
        <v>VT04415</v>
      </c>
      <c r="C50" t="str">
        <v>Malory</v>
      </c>
      <c r="D50" t="str">
        <v>Biles</v>
      </c>
      <c r="I50" s="29"/>
    </row>
    <row r="51" spans="2:14" x14ac:dyDescent="0.3">
      <c r="I51" s="29"/>
    </row>
    <row r="52" spans="2:14" x14ac:dyDescent="0.3">
      <c r="I52" s="29"/>
    </row>
    <row r="53" spans="2:14" x14ac:dyDescent="0.3">
      <c r="B53" s="51" t="s">
        <v>812</v>
      </c>
      <c r="I53" s="29"/>
    </row>
    <row r="54" spans="2:14" x14ac:dyDescent="0.3">
      <c r="I54" s="29"/>
    </row>
    <row r="55" spans="2:14" x14ac:dyDescent="0.3">
      <c r="B55" t="str" cm="1">
        <f t="array" ref="B55:N116">_xlfn._xlws.FILTER(staff[], (staff[Gender]="Female") * (WEEKDAY(staff[Start Date])=2))</f>
        <v>PR00007</v>
      </c>
      <c r="C55" t="str">
        <v>Torrance</v>
      </c>
      <c r="D55" t="str">
        <v>Collier</v>
      </c>
      <c r="E55" t="str">
        <v>Female</v>
      </c>
      <c r="F55" t="str">
        <v>Training</v>
      </c>
      <c r="G55">
        <v>96135.75</v>
      </c>
      <c r="H55" t="str">
        <v>50k to 100k</v>
      </c>
      <c r="I55" s="29">
        <v>44025</v>
      </c>
      <c r="J55">
        <v>0.3</v>
      </c>
      <c r="K55" t="str">
        <v>Permanent</v>
      </c>
      <c r="L55" t="str">
        <v>Wellington, New Zealand</v>
      </c>
      <c r="M55">
        <v>3.9424657534246577</v>
      </c>
      <c r="N55" t="str">
        <v>Part time</v>
      </c>
    </row>
    <row r="56" spans="2:14" x14ac:dyDescent="0.3">
      <c r="B56" t="str">
        <v>PR00095</v>
      </c>
      <c r="C56" t="str">
        <v>Devrat</v>
      </c>
      <c r="D56" t="str">
        <v>Damarsingh</v>
      </c>
      <c r="E56" t="str">
        <v>Female</v>
      </c>
      <c r="F56" t="str">
        <v>Business Growth</v>
      </c>
      <c r="G56">
        <v>70649.460000000006</v>
      </c>
      <c r="H56" t="str">
        <v>50k to 100k</v>
      </c>
      <c r="I56" s="29">
        <v>43843</v>
      </c>
      <c r="J56">
        <v>1</v>
      </c>
      <c r="K56" t="str">
        <v>Permanent</v>
      </c>
      <c r="L56" t="str">
        <v>Hyderabad, India</v>
      </c>
      <c r="M56">
        <v>4.441095890410959</v>
      </c>
      <c r="N56" t="str">
        <v>Full time</v>
      </c>
    </row>
    <row r="57" spans="2:14" x14ac:dyDescent="0.3">
      <c r="B57" t="str">
        <v>PR00113</v>
      </c>
      <c r="C57" t="str">
        <v>Van</v>
      </c>
      <c r="D57" t="str">
        <v>Tuxwell</v>
      </c>
      <c r="E57" t="str">
        <v>Female</v>
      </c>
      <c r="F57" t="str">
        <v>Business Development</v>
      </c>
      <c r="G57">
        <v>80695.740000000005</v>
      </c>
      <c r="H57" t="str">
        <v>50k to 100k</v>
      </c>
      <c r="I57" s="29">
        <v>43360</v>
      </c>
      <c r="J57">
        <v>1</v>
      </c>
      <c r="K57" t="str">
        <v>Permanent</v>
      </c>
      <c r="L57" t="str">
        <v>Columbus, USA</v>
      </c>
      <c r="M57">
        <v>5.7643835616438359</v>
      </c>
      <c r="N57" t="str">
        <v>Full time</v>
      </c>
    </row>
    <row r="58" spans="2:14" x14ac:dyDescent="0.3">
      <c r="B58" t="str">
        <v>PR00113</v>
      </c>
      <c r="C58" t="str">
        <v>Van</v>
      </c>
      <c r="D58" t="str">
        <v>Tuxwell</v>
      </c>
      <c r="E58" t="str">
        <v>Female</v>
      </c>
      <c r="F58" t="str">
        <v>Business Development</v>
      </c>
      <c r="G58">
        <v>80695.740000000005</v>
      </c>
      <c r="H58" t="str">
        <v>50k to 100k</v>
      </c>
      <c r="I58" s="29">
        <v>43360</v>
      </c>
      <c r="J58">
        <v>1</v>
      </c>
      <c r="K58" t="str">
        <v>Permanent</v>
      </c>
      <c r="L58" t="str">
        <v>Columbus, USA</v>
      </c>
      <c r="M58">
        <v>5.7643835616438359</v>
      </c>
      <c r="N58" t="str">
        <v>Full time</v>
      </c>
    </row>
    <row r="59" spans="2:14" x14ac:dyDescent="0.3">
      <c r="B59" t="str">
        <v>PR00576</v>
      </c>
      <c r="C59" t="str">
        <v>Lalitchandra</v>
      </c>
      <c r="D59" t="str">
        <v>Vadali</v>
      </c>
      <c r="E59" t="str">
        <v>Female</v>
      </c>
      <c r="F59" t="str">
        <v>Legal</v>
      </c>
      <c r="G59">
        <v>63705.4</v>
      </c>
      <c r="H59" t="str">
        <v>50k to 100k</v>
      </c>
      <c r="I59" s="29">
        <v>43682</v>
      </c>
      <c r="J59">
        <v>1</v>
      </c>
      <c r="K59" t="str">
        <v>Permanent</v>
      </c>
      <c r="L59" t="str">
        <v>Hyderabad, India</v>
      </c>
      <c r="M59">
        <v>4.882191780821918</v>
      </c>
      <c r="N59" t="str">
        <v>Full time</v>
      </c>
    </row>
    <row r="60" spans="2:14" x14ac:dyDescent="0.3">
      <c r="B60" t="str">
        <v>PR00916</v>
      </c>
      <c r="C60" t="str">
        <v>Inger</v>
      </c>
      <c r="D60" t="str">
        <v>Chapelhow</v>
      </c>
      <c r="E60" t="str">
        <v>Female</v>
      </c>
      <c r="F60" t="str">
        <v>Research and Development</v>
      </c>
      <c r="G60">
        <v>84309.95</v>
      </c>
      <c r="H60" t="str">
        <v>50k to 100k</v>
      </c>
      <c r="I60" s="29">
        <v>44501</v>
      </c>
      <c r="J60">
        <v>1</v>
      </c>
      <c r="K60" t="str">
        <v>Permanent</v>
      </c>
      <c r="L60" t="str">
        <v>Remote</v>
      </c>
      <c r="M60">
        <v>2.6383561643835618</v>
      </c>
      <c r="N60" t="str">
        <v>Full time</v>
      </c>
    </row>
    <row r="61" spans="2:14" x14ac:dyDescent="0.3">
      <c r="B61" t="str">
        <v>PR01383</v>
      </c>
      <c r="C61" t="str">
        <v>Addi</v>
      </c>
      <c r="D61" t="str">
        <v>Studdeard</v>
      </c>
      <c r="E61" t="str">
        <v>Female</v>
      </c>
      <c r="F61" t="str">
        <v>Product Management</v>
      </c>
      <c r="G61">
        <v>72502.61</v>
      </c>
      <c r="H61" t="str">
        <v>50k to 100k</v>
      </c>
      <c r="I61" s="29">
        <v>44235</v>
      </c>
      <c r="J61">
        <v>1</v>
      </c>
      <c r="K61" t="str">
        <v>Permanent</v>
      </c>
      <c r="L61" t="str">
        <v>Wellington, New Zealand</v>
      </c>
      <c r="M61">
        <v>3.3671232876712329</v>
      </c>
      <c r="N61" t="str">
        <v>Full time</v>
      </c>
    </row>
    <row r="62" spans="2:14" x14ac:dyDescent="0.3">
      <c r="B62" t="str">
        <v>PR02016</v>
      </c>
      <c r="C62" t="str">
        <v>Iris</v>
      </c>
      <c r="D62" t="str">
        <v>Wagg</v>
      </c>
      <c r="E62" t="str">
        <v>Female</v>
      </c>
      <c r="F62" t="str">
        <v>Engineering</v>
      </c>
      <c r="G62">
        <v>58861.19</v>
      </c>
      <c r="H62" t="str">
        <v>50k to 100k</v>
      </c>
      <c r="I62" s="29">
        <v>43654</v>
      </c>
      <c r="J62">
        <v>1</v>
      </c>
      <c r="K62" t="str">
        <v>Permanent</v>
      </c>
      <c r="L62" t="str">
        <v>Columbus, USA</v>
      </c>
      <c r="M62">
        <v>4.9589041095890414</v>
      </c>
      <c r="N62" t="str">
        <v>Full time</v>
      </c>
    </row>
    <row r="63" spans="2:14" x14ac:dyDescent="0.3">
      <c r="B63" t="str">
        <v>PR02113</v>
      </c>
      <c r="C63" t="str">
        <v>Beverie</v>
      </c>
      <c r="D63" t="str">
        <v>Moffet</v>
      </c>
      <c r="E63" t="str">
        <v>Female</v>
      </c>
      <c r="F63" t="str">
        <v>Support</v>
      </c>
      <c r="G63">
        <v>75974.990000000005</v>
      </c>
      <c r="H63" t="str">
        <v>50k to 100k</v>
      </c>
      <c r="I63" s="29">
        <v>44172</v>
      </c>
      <c r="J63">
        <v>1</v>
      </c>
      <c r="K63" t="str">
        <v>Permanent</v>
      </c>
      <c r="L63" t="str">
        <v>Remote</v>
      </c>
      <c r="M63">
        <v>3.5397260273972604</v>
      </c>
      <c r="N63" t="str">
        <v>Full time</v>
      </c>
    </row>
    <row r="64" spans="2:14" x14ac:dyDescent="0.3">
      <c r="B64" t="str">
        <v>PR02275</v>
      </c>
      <c r="C64" t="str">
        <v>Louise</v>
      </c>
      <c r="D64" t="str">
        <v>Lamming</v>
      </c>
      <c r="E64" t="str">
        <v>Female</v>
      </c>
      <c r="F64" t="str">
        <v>Sales</v>
      </c>
      <c r="G64">
        <v>41934.71</v>
      </c>
      <c r="H64" t="str">
        <v>Under 50k</v>
      </c>
      <c r="I64" s="29">
        <v>43780</v>
      </c>
      <c r="J64">
        <v>1</v>
      </c>
      <c r="K64" t="str">
        <v>Permanent</v>
      </c>
      <c r="L64" t="str">
        <v>Remote</v>
      </c>
      <c r="M64">
        <v>4.6136986301369864</v>
      </c>
      <c r="N64" t="str">
        <v>Full time</v>
      </c>
    </row>
    <row r="65" spans="2:14" x14ac:dyDescent="0.3">
      <c r="B65" t="str">
        <v>PR02436</v>
      </c>
      <c r="C65" t="str">
        <v>Marmaduke</v>
      </c>
      <c r="D65" t="str">
        <v>Worssam</v>
      </c>
      <c r="E65" t="str">
        <v>Female</v>
      </c>
      <c r="F65" t="str">
        <v>Engineering</v>
      </c>
      <c r="G65">
        <v>78378.2</v>
      </c>
      <c r="H65" t="str">
        <v>50k to 100k</v>
      </c>
      <c r="I65" s="29">
        <v>43465</v>
      </c>
      <c r="J65">
        <v>0.4</v>
      </c>
      <c r="K65" t="str">
        <v>Permanent</v>
      </c>
      <c r="L65" t="str">
        <v>Remote</v>
      </c>
      <c r="M65">
        <v>5.4767123287671229</v>
      </c>
      <c r="N65" t="str">
        <v>Part time</v>
      </c>
    </row>
    <row r="66" spans="2:14" x14ac:dyDescent="0.3">
      <c r="B66" t="str">
        <v>PR02603</v>
      </c>
      <c r="C66" t="str">
        <v>Dinanath</v>
      </c>
      <c r="D66" t="str">
        <v>Simhambhatla</v>
      </c>
      <c r="E66" t="str">
        <v>Female</v>
      </c>
      <c r="F66" t="str">
        <v>Human Resources</v>
      </c>
      <c r="G66">
        <v>61994.76</v>
      </c>
      <c r="H66" t="str">
        <v>50k to 100k</v>
      </c>
      <c r="I66" s="29">
        <v>43794</v>
      </c>
      <c r="J66">
        <v>0.3</v>
      </c>
      <c r="K66" t="str">
        <v>Permanent</v>
      </c>
      <c r="L66" t="str">
        <v>Hyderabad, India</v>
      </c>
      <c r="M66">
        <v>4.5753424657534243</v>
      </c>
      <c r="N66" t="str">
        <v>Part time</v>
      </c>
    </row>
    <row r="67" spans="2:14" x14ac:dyDescent="0.3">
      <c r="B67" t="str">
        <v>PR03158</v>
      </c>
      <c r="C67" t="str">
        <v>Danica</v>
      </c>
      <c r="D67" t="str">
        <v>Nayshe</v>
      </c>
      <c r="E67" t="str">
        <v>Female</v>
      </c>
      <c r="F67" t="str">
        <v>Services</v>
      </c>
      <c r="G67">
        <v>89690.38</v>
      </c>
      <c r="H67" t="str">
        <v>50k to 100k</v>
      </c>
      <c r="I67" s="29">
        <v>43206</v>
      </c>
      <c r="J67">
        <v>1</v>
      </c>
      <c r="K67" t="str">
        <v>Permanent</v>
      </c>
      <c r="L67" t="str">
        <v>Wellington, New Zealand</v>
      </c>
      <c r="M67">
        <v>6.1863013698630134</v>
      </c>
      <c r="N67" t="str">
        <v>Full time</v>
      </c>
    </row>
    <row r="68" spans="2:14" x14ac:dyDescent="0.3">
      <c r="B68" t="str">
        <v>PR04380</v>
      </c>
      <c r="C68" t="str">
        <v>Van</v>
      </c>
      <c r="D68" t="str">
        <v>Tuxwell</v>
      </c>
      <c r="E68" t="str">
        <v>Female</v>
      </c>
      <c r="F68" t="str">
        <v>Business Development</v>
      </c>
      <c r="G68">
        <v>80695.740000000005</v>
      </c>
      <c r="H68" t="str">
        <v>50k to 100k</v>
      </c>
      <c r="I68" s="29">
        <v>43787</v>
      </c>
      <c r="J68">
        <v>0.8</v>
      </c>
      <c r="K68" t="str">
        <v>Permanent</v>
      </c>
      <c r="L68" t="str">
        <v>Columbus, USA</v>
      </c>
      <c r="M68">
        <v>4.5945205479452058</v>
      </c>
      <c r="N68" t="str">
        <v>Part time</v>
      </c>
    </row>
    <row r="69" spans="2:14" x14ac:dyDescent="0.3">
      <c r="B69" t="str">
        <v>PR04446</v>
      </c>
      <c r="C69" t="str">
        <v>Sameer</v>
      </c>
      <c r="D69" t="str">
        <v>Shashank</v>
      </c>
      <c r="E69" t="str">
        <v>Female</v>
      </c>
      <c r="F69" t="str">
        <v>Research and Development</v>
      </c>
      <c r="G69">
        <v>92336.08</v>
      </c>
      <c r="H69" t="str">
        <v>50k to 100k</v>
      </c>
      <c r="I69" s="29">
        <v>44431</v>
      </c>
      <c r="J69">
        <v>1</v>
      </c>
      <c r="K69" t="str">
        <v>Permanent</v>
      </c>
      <c r="L69" t="str">
        <v>Hyderabad, India</v>
      </c>
      <c r="M69">
        <v>2.8301369863013699</v>
      </c>
      <c r="N69" t="str">
        <v>Full time</v>
      </c>
    </row>
    <row r="70" spans="2:14" x14ac:dyDescent="0.3">
      <c r="B70" t="str">
        <v>PR04473</v>
      </c>
      <c r="C70" t="str">
        <v>Wyn</v>
      </c>
      <c r="D70" t="str">
        <v>Treadger</v>
      </c>
      <c r="E70" t="str">
        <v>Female</v>
      </c>
      <c r="F70" t="str">
        <v>Business Development</v>
      </c>
      <c r="G70">
        <v>69192.850000000006</v>
      </c>
      <c r="H70" t="str">
        <v>50k to 100k</v>
      </c>
      <c r="I70" s="29">
        <v>44305</v>
      </c>
      <c r="J70">
        <v>1</v>
      </c>
      <c r="K70" t="str">
        <v>Permanent</v>
      </c>
      <c r="L70" t="str">
        <v>Columbus, USA</v>
      </c>
      <c r="M70">
        <v>3.1753424657534248</v>
      </c>
      <c r="N70" t="str">
        <v>Full time</v>
      </c>
    </row>
    <row r="71" spans="2:14" x14ac:dyDescent="0.3">
      <c r="B71" t="str">
        <v>PR04686</v>
      </c>
      <c r="C71" t="str">
        <v>Oona</v>
      </c>
      <c r="D71" t="str">
        <v>Donan</v>
      </c>
      <c r="E71" t="str">
        <v>Female</v>
      </c>
      <c r="F71" t="str">
        <v>Business Development</v>
      </c>
      <c r="G71">
        <v>98000</v>
      </c>
      <c r="H71" t="str">
        <v>50k to 100k</v>
      </c>
      <c r="I71" s="29">
        <v>43710</v>
      </c>
      <c r="J71">
        <v>0.9</v>
      </c>
      <c r="K71" t="str">
        <v>Permanent</v>
      </c>
      <c r="L71" t="str">
        <v>Seattle, USA</v>
      </c>
      <c r="M71">
        <v>4.8054794520547945</v>
      </c>
      <c r="N71" t="str">
        <v>Part time</v>
      </c>
    </row>
    <row r="72" spans="2:14" x14ac:dyDescent="0.3">
      <c r="B72" t="str">
        <v>SQ00105</v>
      </c>
      <c r="C72" t="str">
        <v>Sarayu</v>
      </c>
      <c r="D72" t="str">
        <v>Ragunathan</v>
      </c>
      <c r="E72" t="str">
        <v>Female</v>
      </c>
      <c r="F72" t="str">
        <v>Training</v>
      </c>
      <c r="G72">
        <v>86010.54</v>
      </c>
      <c r="H72" t="str">
        <v>50k to 100k</v>
      </c>
      <c r="I72" s="29">
        <v>43164</v>
      </c>
      <c r="J72">
        <v>1</v>
      </c>
      <c r="K72" t="str">
        <v>Permanent</v>
      </c>
      <c r="L72" t="str">
        <v>Chennai, India</v>
      </c>
      <c r="M72">
        <v>6.3013698630136989</v>
      </c>
      <c r="N72" t="str">
        <v>Full time</v>
      </c>
    </row>
    <row r="73" spans="2:14" x14ac:dyDescent="0.3">
      <c r="B73" t="str">
        <v>SQ00841</v>
      </c>
      <c r="C73" t="str">
        <v>Bhuvan</v>
      </c>
      <c r="D73" t="str">
        <v>Pals</v>
      </c>
      <c r="E73" t="str">
        <v>Female</v>
      </c>
      <c r="F73" t="str">
        <v>Services</v>
      </c>
      <c r="G73">
        <v>89690.38</v>
      </c>
      <c r="H73" t="str">
        <v>50k to 100k</v>
      </c>
      <c r="I73" s="29">
        <v>43213</v>
      </c>
      <c r="J73">
        <v>1</v>
      </c>
      <c r="K73" t="str">
        <v>Permanent</v>
      </c>
      <c r="L73" t="str">
        <v>Hyderabad, India</v>
      </c>
      <c r="M73">
        <v>6.1671232876712327</v>
      </c>
      <c r="N73" t="str">
        <v>Full time</v>
      </c>
    </row>
    <row r="74" spans="2:14" x14ac:dyDescent="0.3">
      <c r="B74" t="str">
        <v>SQ00914</v>
      </c>
      <c r="C74" t="str">
        <v>Duran</v>
      </c>
      <c r="D74" t="str">
        <v>Appala</v>
      </c>
      <c r="E74" t="str">
        <v>Female</v>
      </c>
      <c r="F74" t="str">
        <v>Product Management</v>
      </c>
      <c r="G74">
        <v>38438.239999999998</v>
      </c>
      <c r="H74" t="str">
        <v>Under 50k</v>
      </c>
      <c r="I74" s="29">
        <v>43962</v>
      </c>
      <c r="J74">
        <v>1</v>
      </c>
      <c r="K74" t="str">
        <v>Permanent</v>
      </c>
      <c r="L74" t="str">
        <v>Chennai, India</v>
      </c>
      <c r="M74">
        <v>4.1150684931506847</v>
      </c>
      <c r="N74" t="str">
        <v>Full time</v>
      </c>
    </row>
    <row r="75" spans="2:14" x14ac:dyDescent="0.3">
      <c r="B75" t="str">
        <v>SQ00914</v>
      </c>
      <c r="C75" t="str">
        <v>Karuna</v>
      </c>
      <c r="D75" t="str">
        <v>Pashupathy</v>
      </c>
      <c r="E75" t="str">
        <v>Female</v>
      </c>
      <c r="F75" t="str">
        <v>Product Management</v>
      </c>
      <c r="G75">
        <v>38438.239999999998</v>
      </c>
      <c r="H75" t="str">
        <v>Under 50k</v>
      </c>
      <c r="I75" s="29">
        <v>43962</v>
      </c>
      <c r="J75">
        <v>1</v>
      </c>
      <c r="K75" t="str">
        <v>Permanent</v>
      </c>
      <c r="L75" t="str">
        <v>Chennai, India</v>
      </c>
      <c r="M75">
        <v>4.1150684931506847</v>
      </c>
      <c r="N75" t="str">
        <v>Full time</v>
      </c>
    </row>
    <row r="76" spans="2:14" x14ac:dyDescent="0.3">
      <c r="B76" t="str">
        <v>SQ01402</v>
      </c>
      <c r="C76" t="str">
        <v>Sahaj</v>
      </c>
      <c r="D76" t="str">
        <v>Jonnalagadda</v>
      </c>
      <c r="E76" t="str">
        <v>Female</v>
      </c>
      <c r="F76" t="str">
        <v>Engineering</v>
      </c>
      <c r="G76">
        <v>44403.77</v>
      </c>
      <c r="H76" t="str">
        <v>Under 50k</v>
      </c>
      <c r="I76" s="29">
        <v>43416</v>
      </c>
      <c r="J76">
        <v>1</v>
      </c>
      <c r="K76" t="str">
        <v>Permanent</v>
      </c>
      <c r="L76" t="str">
        <v>Hyderabad, India</v>
      </c>
      <c r="M76">
        <v>5.6109589041095891</v>
      </c>
      <c r="N76" t="str">
        <v>Full time</v>
      </c>
    </row>
    <row r="77" spans="2:14" x14ac:dyDescent="0.3">
      <c r="B77" t="str">
        <v>SQ01730</v>
      </c>
      <c r="C77" t="str">
        <v>Austine</v>
      </c>
      <c r="D77" t="str">
        <v>Littlewood</v>
      </c>
      <c r="E77" t="str">
        <v>Female</v>
      </c>
      <c r="F77" t="str">
        <v>Services</v>
      </c>
      <c r="G77">
        <v>32269.91</v>
      </c>
      <c r="H77" t="str">
        <v>Under 50k</v>
      </c>
      <c r="I77" s="29">
        <v>43346</v>
      </c>
      <c r="J77">
        <v>1</v>
      </c>
      <c r="K77" t="str">
        <v>Permanent</v>
      </c>
      <c r="L77" t="str">
        <v>Remote</v>
      </c>
      <c r="M77">
        <v>5.8027397260273972</v>
      </c>
      <c r="N77" t="str">
        <v>Full time</v>
      </c>
    </row>
    <row r="78" spans="2:14" x14ac:dyDescent="0.3">
      <c r="B78" t="str">
        <v>SQ02174</v>
      </c>
      <c r="C78" t="str">
        <v>Sidoney</v>
      </c>
      <c r="D78" t="str">
        <v>Yitzhok</v>
      </c>
      <c r="E78" t="str">
        <v>Female</v>
      </c>
      <c r="F78" t="str">
        <v>Engineering</v>
      </c>
      <c r="G78">
        <v>118442.54</v>
      </c>
      <c r="H78" t="str">
        <v>Above 100k</v>
      </c>
      <c r="I78" s="29">
        <v>44193</v>
      </c>
      <c r="J78">
        <v>1</v>
      </c>
      <c r="K78" t="str">
        <v>Permanent</v>
      </c>
      <c r="L78" t="str">
        <v>Auckland, New Zealand</v>
      </c>
      <c r="M78">
        <v>3.4821917808219176</v>
      </c>
      <c r="N78" t="str">
        <v>Full time</v>
      </c>
    </row>
    <row r="79" spans="2:14" x14ac:dyDescent="0.3">
      <c r="B79" t="str">
        <v>SQ03321</v>
      </c>
      <c r="C79" t="str">
        <v>Gradey</v>
      </c>
      <c r="D79" t="str">
        <v>Litton</v>
      </c>
      <c r="E79" t="str">
        <v>Female</v>
      </c>
      <c r="F79" t="str">
        <v>Accounting</v>
      </c>
      <c r="G79">
        <v>68887.839999999997</v>
      </c>
      <c r="H79" t="str">
        <v>50k to 100k</v>
      </c>
      <c r="I79" s="29">
        <v>43297</v>
      </c>
      <c r="J79">
        <v>1</v>
      </c>
      <c r="K79" t="str">
        <v>Permanent</v>
      </c>
      <c r="L79" t="str">
        <v>Remote</v>
      </c>
      <c r="M79">
        <v>5.9369863013698634</v>
      </c>
      <c r="N79" t="str">
        <v>Full time</v>
      </c>
    </row>
    <row r="80" spans="2:14" x14ac:dyDescent="0.3">
      <c r="B80" t="str">
        <v>SQ03350</v>
      </c>
      <c r="C80" t="str">
        <v>Felice</v>
      </c>
      <c r="D80" t="str">
        <v>McMurty</v>
      </c>
      <c r="E80" t="str">
        <v>Female</v>
      </c>
      <c r="F80" t="str">
        <v>Product Management</v>
      </c>
      <c r="G80">
        <v>66865.490000000005</v>
      </c>
      <c r="H80" t="str">
        <v>50k to 100k</v>
      </c>
      <c r="I80" s="29">
        <v>43514</v>
      </c>
      <c r="J80">
        <v>1</v>
      </c>
      <c r="K80" t="str">
        <v>Permanent</v>
      </c>
      <c r="L80" t="str">
        <v>Seattle, USA</v>
      </c>
      <c r="M80">
        <v>5.3424657534246576</v>
      </c>
      <c r="N80" t="str">
        <v>Full time</v>
      </c>
    </row>
    <row r="81" spans="2:14" x14ac:dyDescent="0.3">
      <c r="B81" t="str">
        <v>SQ03350</v>
      </c>
      <c r="C81" t="str">
        <v>Felice</v>
      </c>
      <c r="D81" t="str">
        <v>McMurty</v>
      </c>
      <c r="E81" t="str">
        <v>Female</v>
      </c>
      <c r="F81" t="str">
        <v>Product Management</v>
      </c>
      <c r="G81">
        <v>66865.490000000005</v>
      </c>
      <c r="H81" t="str">
        <v>50k to 100k</v>
      </c>
      <c r="I81" s="29">
        <v>43514</v>
      </c>
      <c r="J81">
        <v>1</v>
      </c>
      <c r="K81" t="str">
        <v>Permanent</v>
      </c>
      <c r="L81" t="str">
        <v>Seattle, USA</v>
      </c>
      <c r="M81">
        <v>5.3424657534246576</v>
      </c>
      <c r="N81" t="str">
        <v>Full time</v>
      </c>
    </row>
    <row r="82" spans="2:14" x14ac:dyDescent="0.3">
      <c r="B82" t="str">
        <v>SQ03491</v>
      </c>
      <c r="C82" t="str">
        <v>Freda</v>
      </c>
      <c r="D82" t="str">
        <v>Legan</v>
      </c>
      <c r="E82" t="str">
        <v>Female</v>
      </c>
      <c r="F82" t="str">
        <v>Sales</v>
      </c>
      <c r="G82">
        <v>102129.37</v>
      </c>
      <c r="H82" t="str">
        <v>Above 100k</v>
      </c>
      <c r="I82" s="29">
        <v>44396</v>
      </c>
      <c r="J82">
        <v>1</v>
      </c>
      <c r="K82" t="str">
        <v>Permanent</v>
      </c>
      <c r="L82" t="str">
        <v>Columbus, USA</v>
      </c>
      <c r="M82">
        <v>2.9260273972602739</v>
      </c>
      <c r="N82" t="str">
        <v>Full time</v>
      </c>
    </row>
    <row r="83" spans="2:14" x14ac:dyDescent="0.3">
      <c r="B83" t="str">
        <v>SQ03546</v>
      </c>
      <c r="C83" t="str">
        <v>Amlankusum</v>
      </c>
      <c r="D83" t="str">
        <v>Rajabhushan</v>
      </c>
      <c r="E83" t="str">
        <v>Female</v>
      </c>
      <c r="F83" t="str">
        <v>Legal</v>
      </c>
      <c r="G83">
        <v>75733.740000000005</v>
      </c>
      <c r="H83" t="str">
        <v>50k to 100k</v>
      </c>
      <c r="I83" s="29">
        <v>44382</v>
      </c>
      <c r="J83">
        <v>1</v>
      </c>
      <c r="K83" t="str">
        <v>Permanent</v>
      </c>
      <c r="L83" t="str">
        <v>Hyderabad, India</v>
      </c>
      <c r="M83">
        <v>2.9643835616438357</v>
      </c>
      <c r="N83" t="str">
        <v>Full time</v>
      </c>
    </row>
    <row r="84" spans="2:14" x14ac:dyDescent="0.3">
      <c r="B84" t="str">
        <v>SQ03625</v>
      </c>
      <c r="C84" t="str">
        <v>Fidela</v>
      </c>
      <c r="D84" t="str">
        <v>Artis</v>
      </c>
      <c r="E84" t="str">
        <v>Female</v>
      </c>
      <c r="F84" t="str">
        <v>Sales</v>
      </c>
      <c r="G84">
        <v>78020.39</v>
      </c>
      <c r="H84" t="str">
        <v>50k to 100k</v>
      </c>
      <c r="I84" s="29">
        <v>43899</v>
      </c>
      <c r="J84">
        <v>1</v>
      </c>
      <c r="K84" t="str">
        <v>Permanent</v>
      </c>
      <c r="L84" t="str">
        <v>Remote</v>
      </c>
      <c r="M84">
        <v>4.2876712328767121</v>
      </c>
      <c r="N84" t="str">
        <v>Full time</v>
      </c>
    </row>
    <row r="85" spans="2:14" x14ac:dyDescent="0.3">
      <c r="B85" t="str">
        <v>SQ03626</v>
      </c>
      <c r="C85" t="str">
        <v>Krishnakanta</v>
      </c>
      <c r="D85" t="str">
        <v>Vellanki</v>
      </c>
      <c r="E85" t="str">
        <v>Female</v>
      </c>
      <c r="F85" t="str">
        <v>Training</v>
      </c>
      <c r="G85">
        <v>95677.9</v>
      </c>
      <c r="H85" t="str">
        <v>50k to 100k</v>
      </c>
      <c r="I85" s="29">
        <v>44396</v>
      </c>
      <c r="J85">
        <v>0.3</v>
      </c>
      <c r="K85" t="str">
        <v>Permanent</v>
      </c>
      <c r="L85" t="str">
        <v>Chennai, India</v>
      </c>
      <c r="M85">
        <v>2.9260273972602739</v>
      </c>
      <c r="N85" t="str">
        <v>Part time</v>
      </c>
    </row>
    <row r="86" spans="2:14" x14ac:dyDescent="0.3">
      <c r="B86" t="str">
        <v>SQ04613</v>
      </c>
      <c r="C86" t="str">
        <v>Sarojini</v>
      </c>
      <c r="D86" t="str">
        <v>Naueshwara</v>
      </c>
      <c r="E86" t="str">
        <v>Female</v>
      </c>
      <c r="F86" t="str">
        <v>Human Resources</v>
      </c>
      <c r="G86">
        <v>85264.38</v>
      </c>
      <c r="H86" t="str">
        <v>50k to 100k</v>
      </c>
      <c r="I86" s="29">
        <v>43220</v>
      </c>
      <c r="J86">
        <v>1</v>
      </c>
      <c r="K86" t="str">
        <v>Permanent</v>
      </c>
      <c r="L86" t="str">
        <v>Chennai, India</v>
      </c>
      <c r="M86">
        <v>6.1479452054794521</v>
      </c>
      <c r="N86" t="str">
        <v>Full time</v>
      </c>
    </row>
    <row r="87" spans="2:14" x14ac:dyDescent="0.3">
      <c r="B87" t="str">
        <v>SQ04960</v>
      </c>
      <c r="C87" t="str">
        <v>Shubhra</v>
      </c>
      <c r="D87" t="str">
        <v>Potla</v>
      </c>
      <c r="E87" t="str">
        <v>Female</v>
      </c>
      <c r="F87" t="str">
        <v>Support</v>
      </c>
      <c r="G87">
        <v>71924.850000000006</v>
      </c>
      <c r="H87" t="str">
        <v>50k to 100k</v>
      </c>
      <c r="I87" s="29">
        <v>43822</v>
      </c>
      <c r="J87">
        <v>1</v>
      </c>
      <c r="K87" t="str">
        <v>Permanent</v>
      </c>
      <c r="L87" t="str">
        <v>Chennai, India</v>
      </c>
      <c r="M87">
        <v>4.4986301369863018</v>
      </c>
      <c r="N87" t="str">
        <v>Full time</v>
      </c>
    </row>
    <row r="88" spans="2:14" x14ac:dyDescent="0.3">
      <c r="B88" t="str">
        <v>TN00083</v>
      </c>
      <c r="C88" t="str">
        <v>Chandana</v>
      </c>
      <c r="D88" t="str">
        <v>Sannidhi</v>
      </c>
      <c r="E88" t="str">
        <v>Female</v>
      </c>
      <c r="F88" t="str">
        <v>Business Development</v>
      </c>
      <c r="G88">
        <v>61688.77</v>
      </c>
      <c r="H88" t="str">
        <v>50k to 100k</v>
      </c>
      <c r="I88" s="29">
        <v>43346</v>
      </c>
      <c r="J88">
        <v>0.9</v>
      </c>
      <c r="K88" t="str">
        <v>Permanent</v>
      </c>
      <c r="L88" t="str">
        <v>Chennai, India</v>
      </c>
      <c r="M88">
        <v>5.8027397260273972</v>
      </c>
      <c r="N88" t="str">
        <v>Part time</v>
      </c>
    </row>
    <row r="89" spans="2:14" x14ac:dyDescent="0.3">
      <c r="B89" t="str">
        <v>TN00182</v>
      </c>
      <c r="C89" t="str">
        <v>Camilla</v>
      </c>
      <c r="D89" t="str">
        <v>Castle</v>
      </c>
      <c r="E89" t="str">
        <v>Female</v>
      </c>
      <c r="F89" t="str">
        <v>Product Management</v>
      </c>
      <c r="G89">
        <v>75475.929999999993</v>
      </c>
      <c r="H89" t="str">
        <v>50k to 100k</v>
      </c>
      <c r="I89" s="29">
        <v>43794</v>
      </c>
      <c r="J89">
        <v>1</v>
      </c>
      <c r="K89" t="str">
        <v>Permanent</v>
      </c>
      <c r="L89" t="str">
        <v>Remote</v>
      </c>
      <c r="M89">
        <v>4.5753424657534243</v>
      </c>
      <c r="N89" t="str">
        <v>Full time</v>
      </c>
    </row>
    <row r="90" spans="2:14" x14ac:dyDescent="0.3">
      <c r="B90" t="str">
        <v>TN00890</v>
      </c>
      <c r="C90" t="str">
        <v>Mayur</v>
      </c>
      <c r="D90" t="str">
        <v>Kousika</v>
      </c>
      <c r="E90" t="str">
        <v>Female</v>
      </c>
      <c r="F90" t="str">
        <v>Training</v>
      </c>
      <c r="G90">
        <v>71570.990000000005</v>
      </c>
      <c r="H90" t="str">
        <v>50k to 100k</v>
      </c>
      <c r="I90" s="29">
        <v>44249</v>
      </c>
      <c r="J90">
        <v>0.5</v>
      </c>
      <c r="K90" t="str">
        <v>Permanent</v>
      </c>
      <c r="L90" t="str">
        <v>Hyderabad, India</v>
      </c>
      <c r="M90">
        <v>3.3287671232876712</v>
      </c>
      <c r="N90" t="str">
        <v>Part time</v>
      </c>
    </row>
    <row r="91" spans="2:14" x14ac:dyDescent="0.3">
      <c r="B91" t="str">
        <v>TN01281</v>
      </c>
      <c r="C91" t="str">
        <v>Cletus</v>
      </c>
      <c r="D91" t="str">
        <v>McGarahan</v>
      </c>
      <c r="E91" t="str">
        <v>Female</v>
      </c>
      <c r="F91" t="str">
        <v>Engineering</v>
      </c>
      <c r="G91">
        <v>114425.19</v>
      </c>
      <c r="H91" t="str">
        <v>Above 100k</v>
      </c>
      <c r="I91" s="29">
        <v>43857</v>
      </c>
      <c r="J91">
        <v>1</v>
      </c>
      <c r="K91" t="str">
        <v>Permanent</v>
      </c>
      <c r="L91" t="str">
        <v>Wellington, New Zealand</v>
      </c>
      <c r="M91">
        <v>4.4027397260273968</v>
      </c>
      <c r="N91" t="str">
        <v>Full time</v>
      </c>
    </row>
    <row r="92" spans="2:14" x14ac:dyDescent="0.3">
      <c r="B92" t="str">
        <v>TN01601</v>
      </c>
      <c r="C92" t="str">
        <v>Melva</v>
      </c>
      <c r="D92" t="str">
        <v>Jickells</v>
      </c>
      <c r="E92" t="str">
        <v>Female</v>
      </c>
      <c r="F92" t="str">
        <v>Product Management</v>
      </c>
      <c r="G92">
        <v>68795.48</v>
      </c>
      <c r="H92" t="str">
        <v>50k to 100k</v>
      </c>
      <c r="I92" s="29">
        <v>44277</v>
      </c>
      <c r="J92">
        <v>0.2</v>
      </c>
      <c r="K92" t="str">
        <v>Permanent</v>
      </c>
      <c r="L92" t="str">
        <v>Remote</v>
      </c>
      <c r="M92">
        <v>3.2520547945205478</v>
      </c>
      <c r="N92" t="str">
        <v>Part time</v>
      </c>
    </row>
    <row r="93" spans="2:14" x14ac:dyDescent="0.3">
      <c r="B93" t="str">
        <v>TN01601</v>
      </c>
      <c r="C93" t="str">
        <v>Melva</v>
      </c>
      <c r="D93" t="str">
        <v>Jickells</v>
      </c>
      <c r="E93" t="str">
        <v>Female</v>
      </c>
      <c r="F93" t="str">
        <v>Product Management</v>
      </c>
      <c r="G93">
        <v>68795.48</v>
      </c>
      <c r="H93" t="str">
        <v>50k to 100k</v>
      </c>
      <c r="I93" s="29">
        <v>44277</v>
      </c>
      <c r="J93">
        <v>0.2</v>
      </c>
      <c r="K93" t="str">
        <v>Permanent</v>
      </c>
      <c r="L93" t="str">
        <v>Remote</v>
      </c>
      <c r="M93">
        <v>3.2520547945205478</v>
      </c>
      <c r="N93" t="str">
        <v>Part time</v>
      </c>
    </row>
    <row r="94" spans="2:14" x14ac:dyDescent="0.3">
      <c r="B94" t="str">
        <v>TN02749</v>
      </c>
      <c r="C94" t="str">
        <v>Parasuramudu</v>
      </c>
      <c r="D94" t="str">
        <v>Jamakayala</v>
      </c>
      <c r="E94" t="str">
        <v>Female</v>
      </c>
      <c r="F94" t="str">
        <v>Training</v>
      </c>
      <c r="G94">
        <v>57002.02</v>
      </c>
      <c r="H94" t="str">
        <v>50k to 100k</v>
      </c>
      <c r="I94" s="29">
        <v>43192</v>
      </c>
      <c r="J94">
        <v>0.7</v>
      </c>
      <c r="K94" t="str">
        <v>Permanent</v>
      </c>
      <c r="L94" t="str">
        <v>Hyderabad, India</v>
      </c>
      <c r="M94">
        <v>6.2246575342465755</v>
      </c>
      <c r="N94" t="str">
        <v>Part time</v>
      </c>
    </row>
    <row r="95" spans="2:14" x14ac:dyDescent="0.3">
      <c r="B95" t="str">
        <v>TN02883</v>
      </c>
      <c r="C95" t="str">
        <v>John</v>
      </c>
      <c r="D95" t="str">
        <v>Joseph</v>
      </c>
      <c r="E95" t="str">
        <v>Female</v>
      </c>
      <c r="F95" t="str">
        <v>Sales</v>
      </c>
      <c r="G95">
        <v>84762.76</v>
      </c>
      <c r="H95" t="str">
        <v>50k to 100k</v>
      </c>
      <c r="I95" s="29">
        <v>43332</v>
      </c>
      <c r="J95">
        <v>1</v>
      </c>
      <c r="K95" t="str">
        <v>Permanent</v>
      </c>
      <c r="L95" t="str">
        <v>Hyderabad, India</v>
      </c>
      <c r="M95">
        <v>5.8410958904109593</v>
      </c>
      <c r="N95" t="str">
        <v>Full time</v>
      </c>
    </row>
    <row r="96" spans="2:14" x14ac:dyDescent="0.3">
      <c r="B96" t="str">
        <v>TN03575</v>
      </c>
      <c r="C96" t="str">
        <v>Janina</v>
      </c>
      <c r="D96" t="str">
        <v>Wolverson</v>
      </c>
      <c r="E96" t="str">
        <v>Female</v>
      </c>
      <c r="F96" t="str">
        <v>Research and Development</v>
      </c>
      <c r="G96">
        <v>99683.67</v>
      </c>
      <c r="H96" t="str">
        <v>50k to 100k</v>
      </c>
      <c r="I96" s="29">
        <v>43500</v>
      </c>
      <c r="J96">
        <v>1</v>
      </c>
      <c r="K96" t="str">
        <v>Fixed Term</v>
      </c>
      <c r="L96" t="str">
        <v>Seattle, USA</v>
      </c>
      <c r="M96">
        <v>5.3808219178082188</v>
      </c>
      <c r="N96" t="str">
        <v>Full time</v>
      </c>
    </row>
    <row r="97" spans="2:14" x14ac:dyDescent="0.3">
      <c r="B97" t="str">
        <v>TN03575</v>
      </c>
      <c r="C97" t="str">
        <v>Janina</v>
      </c>
      <c r="D97" t="str">
        <v>Wolverson</v>
      </c>
      <c r="E97" t="str">
        <v>Female</v>
      </c>
      <c r="F97" t="str">
        <v>Research and Development</v>
      </c>
      <c r="G97">
        <v>99683.67</v>
      </c>
      <c r="H97" t="str">
        <v>50k to 100k</v>
      </c>
      <c r="I97" s="29">
        <v>43500</v>
      </c>
      <c r="J97">
        <v>1</v>
      </c>
      <c r="K97" t="str">
        <v>Fixed Term</v>
      </c>
      <c r="L97" t="str">
        <v>Seattle, USA</v>
      </c>
      <c r="M97">
        <v>5.3808219178082188</v>
      </c>
      <c r="N97" t="str">
        <v>Full time</v>
      </c>
    </row>
    <row r="98" spans="2:14" x14ac:dyDescent="0.3">
      <c r="B98" t="str">
        <v>TN04067</v>
      </c>
      <c r="C98" t="str">
        <v>Lea</v>
      </c>
      <c r="D98" t="str">
        <v>Chaplin</v>
      </c>
      <c r="E98" t="str">
        <v>Female</v>
      </c>
      <c r="F98" t="str">
        <v>Human Resources</v>
      </c>
      <c r="G98">
        <v>73488.679999999993</v>
      </c>
      <c r="H98" t="str">
        <v>50k to 100k</v>
      </c>
      <c r="I98" s="29">
        <v>43570</v>
      </c>
      <c r="J98">
        <v>1</v>
      </c>
      <c r="K98" t="str">
        <v>Fixed Term</v>
      </c>
      <c r="L98" t="str">
        <v>Seattle, USA</v>
      </c>
      <c r="M98">
        <v>5.1890410958904107</v>
      </c>
      <c r="N98" t="str">
        <v>Full time</v>
      </c>
    </row>
    <row r="99" spans="2:14" x14ac:dyDescent="0.3">
      <c r="B99" t="str">
        <v>TN04175</v>
      </c>
      <c r="C99" t="str">
        <v>Hinda</v>
      </c>
      <c r="D99" t="str">
        <v>Label</v>
      </c>
      <c r="E99" t="str">
        <v>Female</v>
      </c>
      <c r="F99" t="str">
        <v>Human Resources</v>
      </c>
      <c r="G99">
        <v>92704.48</v>
      </c>
      <c r="H99" t="str">
        <v>50k to 100k</v>
      </c>
      <c r="I99" s="29">
        <v>43430</v>
      </c>
      <c r="J99">
        <v>1</v>
      </c>
      <c r="K99" t="str">
        <v>Fixed Term</v>
      </c>
      <c r="L99" t="str">
        <v>Columbus, USA</v>
      </c>
      <c r="M99">
        <v>5.5726027397260278</v>
      </c>
      <c r="N99" t="str">
        <v>Full time</v>
      </c>
    </row>
    <row r="100" spans="2:14" x14ac:dyDescent="0.3">
      <c r="B100" t="str">
        <v>TN04246</v>
      </c>
      <c r="C100" t="str">
        <v>Shaylyn</v>
      </c>
      <c r="D100" t="str">
        <v>Ransbury</v>
      </c>
      <c r="E100" t="str">
        <v>Female</v>
      </c>
      <c r="F100" t="str">
        <v>Support</v>
      </c>
      <c r="G100">
        <v>100371.31</v>
      </c>
      <c r="H100" t="str">
        <v>Above 100k</v>
      </c>
      <c r="I100" s="29">
        <v>44067</v>
      </c>
      <c r="J100">
        <v>0.8</v>
      </c>
      <c r="K100" t="str">
        <v>Fixed Term</v>
      </c>
      <c r="L100" t="str">
        <v>Auckland, New Zealand</v>
      </c>
      <c r="M100">
        <v>3.8273972602739725</v>
      </c>
      <c r="N100" t="str">
        <v>Part time</v>
      </c>
    </row>
    <row r="101" spans="2:14" x14ac:dyDescent="0.3">
      <c r="B101" t="str">
        <v>TN04740</v>
      </c>
      <c r="C101" t="str">
        <v>Tristam</v>
      </c>
      <c r="D101" t="str">
        <v>Cuming</v>
      </c>
      <c r="E101" t="str">
        <v>Female</v>
      </c>
      <c r="F101" t="str">
        <v>Support</v>
      </c>
      <c r="G101">
        <v>104038.9</v>
      </c>
      <c r="H101" t="str">
        <v>Above 100k</v>
      </c>
      <c r="I101" s="29">
        <v>43815</v>
      </c>
      <c r="J101">
        <v>1</v>
      </c>
      <c r="K101" t="str">
        <v>Fixed Term</v>
      </c>
      <c r="L101" t="str">
        <v>Remote</v>
      </c>
      <c r="M101">
        <v>4.5178082191780824</v>
      </c>
      <c r="N101" t="str">
        <v>Full time</v>
      </c>
    </row>
    <row r="102" spans="2:14" x14ac:dyDescent="0.3">
      <c r="B102" t="str">
        <v>VT00578</v>
      </c>
      <c r="C102" t="str">
        <v>Magnum</v>
      </c>
      <c r="D102" t="str">
        <v>Locksley</v>
      </c>
      <c r="E102" t="str">
        <v>Female</v>
      </c>
      <c r="F102" t="str">
        <v>Services</v>
      </c>
      <c r="G102">
        <v>42314.39</v>
      </c>
      <c r="H102" t="str">
        <v>Under 50k</v>
      </c>
      <c r="I102" s="29">
        <v>44487</v>
      </c>
      <c r="J102">
        <v>1</v>
      </c>
      <c r="K102" t="str">
        <v>Fixed Term</v>
      </c>
      <c r="L102" t="str">
        <v>Remote</v>
      </c>
      <c r="M102">
        <v>2.6767123287671235</v>
      </c>
      <c r="N102" t="str">
        <v>Full time</v>
      </c>
    </row>
    <row r="103" spans="2:14" x14ac:dyDescent="0.3">
      <c r="B103" t="str">
        <v>VT00596</v>
      </c>
      <c r="C103" t="str">
        <v>Letisha</v>
      </c>
      <c r="D103" t="str">
        <v>Carrett</v>
      </c>
      <c r="E103" t="str">
        <v>Female</v>
      </c>
      <c r="F103" t="str">
        <v>Sales</v>
      </c>
      <c r="G103">
        <v>84598.88</v>
      </c>
      <c r="H103" t="str">
        <v>50k to 100k</v>
      </c>
      <c r="I103" s="29">
        <v>44116</v>
      </c>
      <c r="J103">
        <v>1</v>
      </c>
      <c r="K103" t="str">
        <v>Fixed Term</v>
      </c>
      <c r="L103" t="str">
        <v>Seattle, USA</v>
      </c>
      <c r="M103">
        <v>3.6931506849315068</v>
      </c>
      <c r="N103" t="str">
        <v>Full time</v>
      </c>
    </row>
    <row r="104" spans="2:14" x14ac:dyDescent="0.3">
      <c r="B104" t="str">
        <v>VT00596</v>
      </c>
      <c r="C104" t="str">
        <v>Letisha</v>
      </c>
      <c r="D104" t="str">
        <v>Carrett</v>
      </c>
      <c r="E104" t="str">
        <v>Female</v>
      </c>
      <c r="F104" t="str">
        <v>Sales</v>
      </c>
      <c r="G104">
        <v>84598.88</v>
      </c>
      <c r="H104" t="str">
        <v>50k to 100k</v>
      </c>
      <c r="I104" s="29">
        <v>44116</v>
      </c>
      <c r="J104">
        <v>1</v>
      </c>
      <c r="K104" t="str">
        <v>Fixed Term</v>
      </c>
      <c r="L104" t="str">
        <v>Seattle, USA</v>
      </c>
      <c r="M104">
        <v>3.6931506849315068</v>
      </c>
      <c r="N104" t="str">
        <v>Full time</v>
      </c>
    </row>
    <row r="105" spans="2:14" x14ac:dyDescent="0.3">
      <c r="B105" t="str">
        <v>VT00740</v>
      </c>
      <c r="C105" t="str">
        <v>Chitrasen</v>
      </c>
      <c r="D105" t="str">
        <v>Laul</v>
      </c>
      <c r="E105" t="str">
        <v>Female</v>
      </c>
      <c r="F105" t="str">
        <v>Research and Development</v>
      </c>
      <c r="G105">
        <v>46751.7</v>
      </c>
      <c r="H105" t="str">
        <v>Under 50k</v>
      </c>
      <c r="I105" s="29">
        <v>43843</v>
      </c>
      <c r="J105">
        <v>1</v>
      </c>
      <c r="K105" t="str">
        <v>Fixed Term</v>
      </c>
      <c r="L105" t="str">
        <v>Hyderabad, India</v>
      </c>
      <c r="M105">
        <v>4.441095890410959</v>
      </c>
      <c r="N105" t="str">
        <v>Full time</v>
      </c>
    </row>
    <row r="106" spans="2:14" x14ac:dyDescent="0.3">
      <c r="B106" t="str">
        <v>VT01249</v>
      </c>
      <c r="C106" t="str">
        <v>Brendan</v>
      </c>
      <c r="D106" t="str">
        <v>Edgeller</v>
      </c>
      <c r="E106" t="str">
        <v>Female</v>
      </c>
      <c r="F106" t="str">
        <v>Legal</v>
      </c>
      <c r="G106">
        <v>31042.51</v>
      </c>
      <c r="H106" t="str">
        <v>Under 50k</v>
      </c>
      <c r="I106" s="29">
        <v>44473</v>
      </c>
      <c r="J106">
        <v>0.3</v>
      </c>
      <c r="K106" t="str">
        <v>Fixed Term</v>
      </c>
      <c r="L106" t="str">
        <v>Remote</v>
      </c>
      <c r="M106">
        <v>2.7150684931506848</v>
      </c>
      <c r="N106" t="str">
        <v>Part time</v>
      </c>
    </row>
    <row r="107" spans="2:14" x14ac:dyDescent="0.3">
      <c r="B107" t="str">
        <v>VT01610</v>
      </c>
      <c r="C107" t="str">
        <v>Dhruv</v>
      </c>
      <c r="D107" t="str">
        <v>Manjunath</v>
      </c>
      <c r="E107" t="str">
        <v>Female</v>
      </c>
      <c r="F107" t="str">
        <v>Accounting</v>
      </c>
      <c r="G107">
        <v>76303.820000000007</v>
      </c>
      <c r="H107" t="str">
        <v>50k to 100k</v>
      </c>
      <c r="I107" s="29">
        <v>43458</v>
      </c>
      <c r="J107">
        <v>1</v>
      </c>
      <c r="K107" t="str">
        <v>Fixed Term</v>
      </c>
      <c r="L107" t="str">
        <v>Hyderabad, India</v>
      </c>
      <c r="M107">
        <v>5.4958904109589044</v>
      </c>
      <c r="N107" t="str">
        <v>Full time</v>
      </c>
    </row>
    <row r="108" spans="2:14" x14ac:dyDescent="0.3">
      <c r="B108" t="str">
        <v>VT01610</v>
      </c>
      <c r="C108" t="str">
        <v>Kunja</v>
      </c>
      <c r="D108" t="str">
        <v>Prashanta</v>
      </c>
      <c r="E108" t="str">
        <v>Female</v>
      </c>
      <c r="F108" t="str">
        <v>Accounting</v>
      </c>
      <c r="G108">
        <v>76303.820000000007</v>
      </c>
      <c r="H108" t="str">
        <v>50k to 100k</v>
      </c>
      <c r="I108" s="29">
        <v>43458</v>
      </c>
      <c r="J108">
        <v>1</v>
      </c>
      <c r="K108" t="str">
        <v>Fixed Term</v>
      </c>
      <c r="L108" t="str">
        <v>Hyderabad, India</v>
      </c>
      <c r="M108">
        <v>5.4958904109589044</v>
      </c>
      <c r="N108" t="str">
        <v>Full time</v>
      </c>
    </row>
    <row r="109" spans="2:14" x14ac:dyDescent="0.3">
      <c r="B109" t="str">
        <v>VT01803</v>
      </c>
      <c r="C109" t="str">
        <v>Freddy</v>
      </c>
      <c r="D109" t="str">
        <v>Linford</v>
      </c>
      <c r="E109" t="str">
        <v>Female</v>
      </c>
      <c r="F109" t="str">
        <v>Training</v>
      </c>
      <c r="G109">
        <v>93128.34</v>
      </c>
      <c r="H109" t="str">
        <v>50k to 100k</v>
      </c>
      <c r="I109" s="29">
        <v>43164</v>
      </c>
      <c r="J109">
        <v>1</v>
      </c>
      <c r="K109" t="str">
        <v>Fixed Term</v>
      </c>
      <c r="L109" t="str">
        <v>Seattle, USA</v>
      </c>
      <c r="M109">
        <v>6.3013698630136989</v>
      </c>
      <c r="N109" t="str">
        <v>Full time</v>
      </c>
    </row>
    <row r="110" spans="2:14" x14ac:dyDescent="0.3">
      <c r="B110" t="str">
        <v>VT02374</v>
      </c>
      <c r="C110" t="str">
        <v>Delphine</v>
      </c>
      <c r="D110" t="str">
        <v>Jewis</v>
      </c>
      <c r="E110" t="str">
        <v>Female</v>
      </c>
      <c r="F110" t="str">
        <v>Accounting</v>
      </c>
      <c r="G110">
        <v>71823.56</v>
      </c>
      <c r="H110" t="str">
        <v>50k to 100k</v>
      </c>
      <c r="I110" s="29">
        <v>43374</v>
      </c>
      <c r="J110">
        <v>0.3</v>
      </c>
      <c r="K110" t="str">
        <v>Temporary</v>
      </c>
      <c r="L110" t="str">
        <v>Remote</v>
      </c>
      <c r="M110">
        <v>5.7260273972602738</v>
      </c>
      <c r="N110" t="str">
        <v>Part time</v>
      </c>
    </row>
    <row r="111" spans="2:14" x14ac:dyDescent="0.3">
      <c r="B111" t="str">
        <v>VT02374</v>
      </c>
      <c r="C111" t="str">
        <v>Delphine</v>
      </c>
      <c r="D111" t="str">
        <v>Jewis</v>
      </c>
      <c r="E111" t="str">
        <v>Female</v>
      </c>
      <c r="F111" t="str">
        <v>Accounting</v>
      </c>
      <c r="G111">
        <v>71823.56</v>
      </c>
      <c r="H111" t="str">
        <v>50k to 100k</v>
      </c>
      <c r="I111" s="29">
        <v>43374</v>
      </c>
      <c r="J111">
        <v>0.3</v>
      </c>
      <c r="K111" t="str">
        <v>Temporary</v>
      </c>
      <c r="L111" t="str">
        <v>Remote</v>
      </c>
      <c r="M111">
        <v>5.7260273972602738</v>
      </c>
      <c r="N111" t="str">
        <v>Part time</v>
      </c>
    </row>
    <row r="112" spans="2:14" x14ac:dyDescent="0.3">
      <c r="B112" t="str">
        <v>VT02532</v>
      </c>
      <c r="C112" t="str">
        <v>Adey</v>
      </c>
      <c r="D112" t="str">
        <v>Ryal</v>
      </c>
      <c r="E112" t="str">
        <v>Female</v>
      </c>
      <c r="F112" t="str">
        <v>Legal</v>
      </c>
      <c r="G112">
        <v>32496.880000000001</v>
      </c>
      <c r="H112" t="str">
        <v>Under 50k</v>
      </c>
      <c r="I112" s="29">
        <v>43234</v>
      </c>
      <c r="J112">
        <v>1</v>
      </c>
      <c r="K112" t="str">
        <v>Temporary</v>
      </c>
      <c r="L112" t="str">
        <v>Remote</v>
      </c>
      <c r="M112">
        <v>6.1095890410958908</v>
      </c>
      <c r="N112" t="str">
        <v>Full time</v>
      </c>
    </row>
    <row r="113" spans="2:14" x14ac:dyDescent="0.3">
      <c r="B113" t="str">
        <v>VT03701</v>
      </c>
      <c r="C113" t="str">
        <v>Narois</v>
      </c>
      <c r="D113" t="str">
        <v>Motiwala</v>
      </c>
      <c r="E113" t="str">
        <v>Female</v>
      </c>
      <c r="F113" t="str">
        <v>Product Management</v>
      </c>
      <c r="G113">
        <v>89829.33</v>
      </c>
      <c r="H113" t="str">
        <v>50k to 100k</v>
      </c>
      <c r="I113" s="29">
        <v>43794</v>
      </c>
      <c r="J113">
        <v>1</v>
      </c>
      <c r="K113" t="str">
        <v>Temporary</v>
      </c>
      <c r="L113" t="str">
        <v>Chennai, India</v>
      </c>
      <c r="M113">
        <v>4.5753424657534243</v>
      </c>
      <c r="N113" t="str">
        <v>Full time</v>
      </c>
    </row>
    <row r="114" spans="2:14" x14ac:dyDescent="0.3">
      <c r="B114" t="str">
        <v>VT03988</v>
      </c>
      <c r="C114" t="str">
        <v>Venkat</v>
      </c>
      <c r="D114" t="str">
        <v>Kodi</v>
      </c>
      <c r="E114" t="str">
        <v>Female</v>
      </c>
      <c r="F114" t="str">
        <v>Support</v>
      </c>
      <c r="G114">
        <v>58935.92</v>
      </c>
      <c r="H114" t="str">
        <v>50k to 100k</v>
      </c>
      <c r="I114" s="29">
        <v>43717</v>
      </c>
      <c r="J114">
        <v>1</v>
      </c>
      <c r="K114" t="str">
        <v>Temporary</v>
      </c>
      <c r="L114" t="str">
        <v>Hyderabad, India</v>
      </c>
      <c r="M114">
        <v>4.7863013698630139</v>
      </c>
      <c r="N114" t="str">
        <v>Full time</v>
      </c>
    </row>
    <row r="115" spans="2:14" x14ac:dyDescent="0.3">
      <c r="B115" t="str">
        <v>VT04415</v>
      </c>
      <c r="C115" t="str">
        <v>Malory</v>
      </c>
      <c r="D115" t="str">
        <v>Biles</v>
      </c>
      <c r="E115" t="str">
        <v>Female</v>
      </c>
      <c r="F115" t="str">
        <v>Training</v>
      </c>
      <c r="G115">
        <v>58744.17</v>
      </c>
      <c r="H115" t="str">
        <v>50k to 100k</v>
      </c>
      <c r="I115" s="29">
        <v>43171</v>
      </c>
      <c r="J115">
        <v>1</v>
      </c>
      <c r="K115" t="str">
        <v>Temporary</v>
      </c>
      <c r="L115" t="str">
        <v>Columbus, USA</v>
      </c>
      <c r="M115">
        <v>6.2821917808219174</v>
      </c>
      <c r="N115" t="str">
        <v>Full time</v>
      </c>
    </row>
    <row r="116" spans="2:14" x14ac:dyDescent="0.3">
      <c r="B116" t="str">
        <v>VT04552</v>
      </c>
      <c r="C116" t="str">
        <v>Theresita</v>
      </c>
      <c r="D116" t="str">
        <v>Chasmer</v>
      </c>
      <c r="E116" t="str">
        <v>Female</v>
      </c>
      <c r="F116" t="str">
        <v>Product Management</v>
      </c>
      <c r="G116">
        <v>106665.67</v>
      </c>
      <c r="H116" t="str">
        <v>Above 100k</v>
      </c>
      <c r="I116" s="29">
        <v>43311</v>
      </c>
      <c r="J116">
        <v>1</v>
      </c>
      <c r="K116" t="str">
        <v>Temporary</v>
      </c>
      <c r="L116" t="str">
        <v>Columbus, USA</v>
      </c>
      <c r="M116">
        <v>5.8986301369863012</v>
      </c>
      <c r="N116" t="str">
        <v>Full time</v>
      </c>
    </row>
    <row r="117" spans="2:14" x14ac:dyDescent="0.3">
      <c r="I117" s="29"/>
    </row>
    <row r="118" spans="2:14" x14ac:dyDescent="0.3">
      <c r="I118" s="29"/>
    </row>
    <row r="119" spans="2:14" x14ac:dyDescent="0.3">
      <c r="I119" s="29"/>
    </row>
    <row r="120" spans="2:14" x14ac:dyDescent="0.3">
      <c r="I120" s="29"/>
    </row>
    <row r="121" spans="2:14" x14ac:dyDescent="0.3">
      <c r="I121" s="29"/>
    </row>
    <row r="122" spans="2:14" x14ac:dyDescent="0.3">
      <c r="I122" s="29"/>
    </row>
    <row r="123" spans="2:14" x14ac:dyDescent="0.3">
      <c r="I123" s="29"/>
    </row>
    <row r="124" spans="2:14" x14ac:dyDescent="0.3">
      <c r="I124" s="29"/>
    </row>
    <row r="125" spans="2:14" x14ac:dyDescent="0.3">
      <c r="I125" s="29"/>
    </row>
    <row r="126" spans="2:14" x14ac:dyDescent="0.3">
      <c r="I126" s="29"/>
    </row>
    <row r="127" spans="2:14" x14ac:dyDescent="0.3">
      <c r="I127" s="29"/>
    </row>
    <row r="128" spans="2:14" x14ac:dyDescent="0.3">
      <c r="I128" s="29"/>
    </row>
    <row r="129" spans="9:9" x14ac:dyDescent="0.3">
      <c r="I129" s="29"/>
    </row>
    <row r="130" spans="9:9" x14ac:dyDescent="0.3">
      <c r="I130" s="29"/>
    </row>
    <row r="131" spans="9:9" x14ac:dyDescent="0.3">
      <c r="I131" s="29"/>
    </row>
    <row r="132" spans="9:9" x14ac:dyDescent="0.3">
      <c r="I132" s="29"/>
    </row>
    <row r="133" spans="9:9" x14ac:dyDescent="0.3">
      <c r="I133" s="29"/>
    </row>
    <row r="134" spans="9:9" x14ac:dyDescent="0.3">
      <c r="I134" s="29"/>
    </row>
    <row r="135" spans="9:9" x14ac:dyDescent="0.3">
      <c r="I135" s="29"/>
    </row>
    <row r="136" spans="9:9" x14ac:dyDescent="0.3">
      <c r="I136" s="29"/>
    </row>
    <row r="137" spans="9:9" x14ac:dyDescent="0.3">
      <c r="I137" s="29"/>
    </row>
    <row r="138" spans="9:9" x14ac:dyDescent="0.3">
      <c r="I138" s="29"/>
    </row>
    <row r="139" spans="9:9" x14ac:dyDescent="0.3">
      <c r="I139" s="29"/>
    </row>
    <row r="140" spans="9:9" x14ac:dyDescent="0.3">
      <c r="I140" s="29"/>
    </row>
    <row r="141" spans="9:9" x14ac:dyDescent="0.3">
      <c r="I141" s="29"/>
    </row>
    <row r="142" spans="9:9" x14ac:dyDescent="0.3">
      <c r="I142" s="29"/>
    </row>
    <row r="143" spans="9:9" x14ac:dyDescent="0.3">
      <c r="I143" s="29"/>
    </row>
    <row r="144" spans="9:9" x14ac:dyDescent="0.3">
      <c r="I144" s="29"/>
    </row>
    <row r="145" spans="9:9" x14ac:dyDescent="0.3">
      <c r="I145" s="29"/>
    </row>
    <row r="146" spans="9:9" x14ac:dyDescent="0.3">
      <c r="I146" s="29"/>
    </row>
    <row r="147" spans="9:9" x14ac:dyDescent="0.3">
      <c r="I147" s="29"/>
    </row>
    <row r="148" spans="9:9" x14ac:dyDescent="0.3">
      <c r="I148" s="29"/>
    </row>
    <row r="149" spans="9:9" x14ac:dyDescent="0.3">
      <c r="I149" s="29"/>
    </row>
    <row r="150" spans="9:9" x14ac:dyDescent="0.3">
      <c r="I150" s="29"/>
    </row>
    <row r="151" spans="9:9" x14ac:dyDescent="0.3">
      <c r="I151" s="29"/>
    </row>
    <row r="152" spans="9:9" x14ac:dyDescent="0.3">
      <c r="I152" s="29"/>
    </row>
    <row r="153" spans="9:9" x14ac:dyDescent="0.3">
      <c r="I153" s="29"/>
    </row>
    <row r="154" spans="9:9" x14ac:dyDescent="0.3">
      <c r="I154" s="29"/>
    </row>
    <row r="155" spans="9:9" x14ac:dyDescent="0.3">
      <c r="I155" s="29"/>
    </row>
    <row r="156" spans="9:9" x14ac:dyDescent="0.3">
      <c r="I156" s="29"/>
    </row>
    <row r="157" spans="9:9" x14ac:dyDescent="0.3">
      <c r="I157" s="29"/>
    </row>
    <row r="158" spans="9:9" x14ac:dyDescent="0.3">
      <c r="I158" s="29"/>
    </row>
    <row r="159" spans="9:9" x14ac:dyDescent="0.3">
      <c r="I159" s="29"/>
    </row>
    <row r="160" spans="9:9" x14ac:dyDescent="0.3">
      <c r="I160" s="29"/>
    </row>
    <row r="161" spans="9:9" x14ac:dyDescent="0.3">
      <c r="I161" s="29"/>
    </row>
    <row r="162" spans="9:9" x14ac:dyDescent="0.3">
      <c r="I162" s="29"/>
    </row>
    <row r="163" spans="9:9" x14ac:dyDescent="0.3">
      <c r="I163" s="29"/>
    </row>
    <row r="164" spans="9:9" x14ac:dyDescent="0.3">
      <c r="I164" s="29"/>
    </row>
    <row r="165" spans="9:9" x14ac:dyDescent="0.3">
      <c r="I165" s="29"/>
    </row>
    <row r="166" spans="9:9" x14ac:dyDescent="0.3">
      <c r="I166" s="29"/>
    </row>
    <row r="167" spans="9:9" x14ac:dyDescent="0.3">
      <c r="I167" s="29"/>
    </row>
    <row r="168" spans="9:9" x14ac:dyDescent="0.3">
      <c r="I168" s="29"/>
    </row>
    <row r="169" spans="9:9" x14ac:dyDescent="0.3">
      <c r="I169" s="29"/>
    </row>
    <row r="170" spans="9:9" x14ac:dyDescent="0.3">
      <c r="I170" s="29"/>
    </row>
    <row r="171" spans="9:9" x14ac:dyDescent="0.3">
      <c r="I171" s="29"/>
    </row>
    <row r="172" spans="9:9" x14ac:dyDescent="0.3">
      <c r="I172" s="29"/>
    </row>
    <row r="173" spans="9:9" x14ac:dyDescent="0.3">
      <c r="I173" s="29"/>
    </row>
    <row r="174" spans="9:9" x14ac:dyDescent="0.3">
      <c r="I174" s="29"/>
    </row>
    <row r="175" spans="9:9" x14ac:dyDescent="0.3">
      <c r="I175" s="29"/>
    </row>
    <row r="176" spans="9:9" x14ac:dyDescent="0.3">
      <c r="I176" s="29"/>
    </row>
    <row r="177" spans="9:9" x14ac:dyDescent="0.3">
      <c r="I177" s="29"/>
    </row>
    <row r="178" spans="9:9" x14ac:dyDescent="0.3">
      <c r="I178" s="29"/>
    </row>
    <row r="179" spans="9:9" x14ac:dyDescent="0.3">
      <c r="I179" s="29"/>
    </row>
    <row r="180" spans="9:9" x14ac:dyDescent="0.3">
      <c r="I180" s="29"/>
    </row>
    <row r="181" spans="9:9" x14ac:dyDescent="0.3">
      <c r="I181" s="29"/>
    </row>
    <row r="182" spans="9:9" x14ac:dyDescent="0.3">
      <c r="I182" s="29"/>
    </row>
    <row r="183" spans="9:9" x14ac:dyDescent="0.3">
      <c r="I183" s="29"/>
    </row>
    <row r="184" spans="9:9" x14ac:dyDescent="0.3">
      <c r="I184" s="29"/>
    </row>
    <row r="185" spans="9:9" x14ac:dyDescent="0.3">
      <c r="I185" s="29"/>
    </row>
    <row r="186" spans="9:9" x14ac:dyDescent="0.3">
      <c r="I186" s="29"/>
    </row>
    <row r="187" spans="9:9" x14ac:dyDescent="0.3">
      <c r="I187" s="29"/>
    </row>
    <row r="188" spans="9:9" x14ac:dyDescent="0.3">
      <c r="I188" s="29"/>
    </row>
    <row r="189" spans="9:9" x14ac:dyDescent="0.3">
      <c r="I189" s="29"/>
    </row>
    <row r="190" spans="9:9" x14ac:dyDescent="0.3">
      <c r="I190" s="29"/>
    </row>
    <row r="191" spans="9:9" x14ac:dyDescent="0.3">
      <c r="I191" s="29"/>
    </row>
    <row r="192" spans="9:9" x14ac:dyDescent="0.3">
      <c r="I192" s="29"/>
    </row>
    <row r="193" spans="9:9" x14ac:dyDescent="0.3">
      <c r="I193" s="29"/>
    </row>
    <row r="194" spans="9:9" x14ac:dyDescent="0.3">
      <c r="I194" s="29"/>
    </row>
    <row r="195" spans="9:9" x14ac:dyDescent="0.3">
      <c r="I195" s="29"/>
    </row>
    <row r="196" spans="9:9" x14ac:dyDescent="0.3">
      <c r="I196" s="29"/>
    </row>
    <row r="197" spans="9:9" x14ac:dyDescent="0.3">
      <c r="I197" s="29"/>
    </row>
    <row r="198" spans="9:9" x14ac:dyDescent="0.3">
      <c r="I198" s="29"/>
    </row>
    <row r="199" spans="9:9" x14ac:dyDescent="0.3">
      <c r="I199" s="29"/>
    </row>
    <row r="200" spans="9:9" x14ac:dyDescent="0.3">
      <c r="I200" s="29"/>
    </row>
    <row r="201" spans="9:9" x14ac:dyDescent="0.3">
      <c r="I201" s="29"/>
    </row>
    <row r="202" spans="9:9" x14ac:dyDescent="0.3">
      <c r="I202" s="29"/>
    </row>
    <row r="203" spans="9:9" x14ac:dyDescent="0.3">
      <c r="I203" s="29"/>
    </row>
    <row r="204" spans="9:9" x14ac:dyDescent="0.3">
      <c r="I204" s="29"/>
    </row>
    <row r="205" spans="9:9" x14ac:dyDescent="0.3">
      <c r="I205" s="29"/>
    </row>
    <row r="206" spans="9:9" x14ac:dyDescent="0.3">
      <c r="I206" s="29"/>
    </row>
    <row r="207" spans="9:9" x14ac:dyDescent="0.3">
      <c r="I207" s="29"/>
    </row>
    <row r="208" spans="9:9" x14ac:dyDescent="0.3">
      <c r="I208" s="29"/>
    </row>
    <row r="209" spans="9:9" x14ac:dyDescent="0.3">
      <c r="I209" s="29"/>
    </row>
    <row r="210" spans="9:9" x14ac:dyDescent="0.3">
      <c r="I210" s="29"/>
    </row>
    <row r="211" spans="9:9" x14ac:dyDescent="0.3">
      <c r="I211" s="29"/>
    </row>
    <row r="212" spans="9:9" x14ac:dyDescent="0.3">
      <c r="I212" s="29"/>
    </row>
    <row r="213" spans="9:9" x14ac:dyDescent="0.3">
      <c r="I213" s="29"/>
    </row>
    <row r="214" spans="9:9" x14ac:dyDescent="0.3">
      <c r="I214" s="29"/>
    </row>
    <row r="215" spans="9:9" x14ac:dyDescent="0.3">
      <c r="I215" s="29"/>
    </row>
    <row r="216" spans="9:9" x14ac:dyDescent="0.3">
      <c r="I216" s="29"/>
    </row>
    <row r="217" spans="9:9" x14ac:dyDescent="0.3">
      <c r="I217" s="29"/>
    </row>
    <row r="218" spans="9:9" x14ac:dyDescent="0.3">
      <c r="I218" s="29"/>
    </row>
    <row r="219" spans="9:9" x14ac:dyDescent="0.3">
      <c r="I219" s="29"/>
    </row>
    <row r="220" spans="9:9" x14ac:dyDescent="0.3">
      <c r="I220" s="29"/>
    </row>
    <row r="221" spans="9:9" x14ac:dyDescent="0.3">
      <c r="I221" s="29"/>
    </row>
    <row r="222" spans="9:9" x14ac:dyDescent="0.3">
      <c r="I222" s="29"/>
    </row>
    <row r="223" spans="9:9" x14ac:dyDescent="0.3">
      <c r="I223" s="29"/>
    </row>
    <row r="224" spans="9:9" x14ac:dyDescent="0.3">
      <c r="I224" s="29"/>
    </row>
    <row r="225" spans="9:9" x14ac:dyDescent="0.3">
      <c r="I225" s="29"/>
    </row>
    <row r="226" spans="9:9" x14ac:dyDescent="0.3">
      <c r="I226" s="29"/>
    </row>
    <row r="227" spans="9:9" x14ac:dyDescent="0.3">
      <c r="I227" s="29"/>
    </row>
    <row r="228" spans="9:9" x14ac:dyDescent="0.3">
      <c r="I228" s="29"/>
    </row>
    <row r="229" spans="9:9" x14ac:dyDescent="0.3">
      <c r="I229" s="29"/>
    </row>
    <row r="230" spans="9:9" x14ac:dyDescent="0.3">
      <c r="I230" s="29"/>
    </row>
    <row r="231" spans="9:9" x14ac:dyDescent="0.3">
      <c r="I231" s="29"/>
    </row>
    <row r="232" spans="9:9" x14ac:dyDescent="0.3">
      <c r="I232" s="29"/>
    </row>
    <row r="233" spans="9:9" x14ac:dyDescent="0.3">
      <c r="I233" s="29"/>
    </row>
    <row r="234" spans="9:9" x14ac:dyDescent="0.3">
      <c r="I234" s="29"/>
    </row>
    <row r="235" spans="9:9" x14ac:dyDescent="0.3">
      <c r="I235" s="29"/>
    </row>
    <row r="236" spans="9:9" x14ac:dyDescent="0.3">
      <c r="I236" s="29"/>
    </row>
    <row r="237" spans="9:9" x14ac:dyDescent="0.3">
      <c r="I237" s="29"/>
    </row>
    <row r="238" spans="9:9" x14ac:dyDescent="0.3">
      <c r="I238" s="29"/>
    </row>
    <row r="239" spans="9:9" x14ac:dyDescent="0.3">
      <c r="I239" s="29"/>
    </row>
    <row r="240" spans="9:9" x14ac:dyDescent="0.3">
      <c r="I240" s="29"/>
    </row>
    <row r="241" spans="9:9" x14ac:dyDescent="0.3">
      <c r="I241" s="29"/>
    </row>
    <row r="242" spans="9:9" x14ac:dyDescent="0.3">
      <c r="I242" s="29"/>
    </row>
    <row r="243" spans="9:9" x14ac:dyDescent="0.3">
      <c r="I243" s="29"/>
    </row>
    <row r="244" spans="9:9" x14ac:dyDescent="0.3">
      <c r="I244" s="29"/>
    </row>
    <row r="245" spans="9:9" x14ac:dyDescent="0.3">
      <c r="I245" s="29"/>
    </row>
    <row r="246" spans="9:9" x14ac:dyDescent="0.3">
      <c r="I246" s="29"/>
    </row>
    <row r="247" spans="9:9" x14ac:dyDescent="0.3">
      <c r="I247" s="29"/>
    </row>
    <row r="248" spans="9:9" x14ac:dyDescent="0.3">
      <c r="I248" s="29"/>
    </row>
    <row r="249" spans="9:9" x14ac:dyDescent="0.3">
      <c r="I249" s="29"/>
    </row>
    <row r="250" spans="9:9" x14ac:dyDescent="0.3">
      <c r="I250" s="29"/>
    </row>
    <row r="251" spans="9:9" x14ac:dyDescent="0.3">
      <c r="I251" s="29"/>
    </row>
    <row r="252" spans="9:9" x14ac:dyDescent="0.3">
      <c r="I252" s="29"/>
    </row>
    <row r="253" spans="9:9" x14ac:dyDescent="0.3">
      <c r="I253" s="29"/>
    </row>
    <row r="254" spans="9:9" x14ac:dyDescent="0.3">
      <c r="I254" s="29"/>
    </row>
    <row r="255" spans="9:9" x14ac:dyDescent="0.3">
      <c r="I255" s="29"/>
    </row>
    <row r="256" spans="9:9" x14ac:dyDescent="0.3">
      <c r="I256" s="29"/>
    </row>
    <row r="257" spans="9:9" x14ac:dyDescent="0.3">
      <c r="I257" s="29"/>
    </row>
    <row r="258" spans="9:9" x14ac:dyDescent="0.3">
      <c r="I258" s="29"/>
    </row>
    <row r="259" spans="9:9" x14ac:dyDescent="0.3">
      <c r="I259" s="29"/>
    </row>
    <row r="260" spans="9:9" x14ac:dyDescent="0.3">
      <c r="I260" s="29"/>
    </row>
    <row r="261" spans="9:9" x14ac:dyDescent="0.3">
      <c r="I261" s="29"/>
    </row>
    <row r="262" spans="9:9" x14ac:dyDescent="0.3">
      <c r="I262" s="29"/>
    </row>
    <row r="263" spans="9:9" x14ac:dyDescent="0.3">
      <c r="I263" s="29"/>
    </row>
    <row r="264" spans="9:9" x14ac:dyDescent="0.3">
      <c r="I264" s="29"/>
    </row>
    <row r="265" spans="9:9" x14ac:dyDescent="0.3">
      <c r="I265" s="29"/>
    </row>
    <row r="266" spans="9:9" x14ac:dyDescent="0.3">
      <c r="I266" s="29"/>
    </row>
    <row r="267" spans="9:9" x14ac:dyDescent="0.3">
      <c r="I267" s="29"/>
    </row>
    <row r="268" spans="9:9" x14ac:dyDescent="0.3">
      <c r="I268" s="29"/>
    </row>
    <row r="269" spans="9:9" x14ac:dyDescent="0.3">
      <c r="I269" s="29"/>
    </row>
    <row r="270" spans="9:9" x14ac:dyDescent="0.3">
      <c r="I270" s="29"/>
    </row>
    <row r="271" spans="9:9" x14ac:dyDescent="0.3">
      <c r="I271" s="29"/>
    </row>
    <row r="272" spans="9:9" x14ac:dyDescent="0.3">
      <c r="I272" s="29"/>
    </row>
    <row r="273" spans="9:9" x14ac:dyDescent="0.3">
      <c r="I273" s="29"/>
    </row>
    <row r="274" spans="9:9" x14ac:dyDescent="0.3">
      <c r="I274" s="29"/>
    </row>
    <row r="275" spans="9:9" x14ac:dyDescent="0.3">
      <c r="I275" s="29"/>
    </row>
    <row r="276" spans="9:9" x14ac:dyDescent="0.3">
      <c r="I276" s="29"/>
    </row>
    <row r="277" spans="9:9" x14ac:dyDescent="0.3">
      <c r="I277" s="29"/>
    </row>
    <row r="278" spans="9:9" x14ac:dyDescent="0.3">
      <c r="I278" s="29"/>
    </row>
    <row r="279" spans="9:9" x14ac:dyDescent="0.3">
      <c r="I279" s="29"/>
    </row>
    <row r="280" spans="9:9" x14ac:dyDescent="0.3">
      <c r="I280" s="29"/>
    </row>
    <row r="281" spans="9:9" x14ac:dyDescent="0.3">
      <c r="I281" s="29"/>
    </row>
    <row r="282" spans="9:9" x14ac:dyDescent="0.3">
      <c r="I282" s="29"/>
    </row>
    <row r="283" spans="9:9" x14ac:dyDescent="0.3">
      <c r="I283" s="29"/>
    </row>
    <row r="284" spans="9:9" x14ac:dyDescent="0.3">
      <c r="I284" s="29"/>
    </row>
    <row r="285" spans="9:9" x14ac:dyDescent="0.3">
      <c r="I285" s="29"/>
    </row>
    <row r="286" spans="9:9" x14ac:dyDescent="0.3">
      <c r="I286" s="29"/>
    </row>
    <row r="287" spans="9:9" x14ac:dyDescent="0.3">
      <c r="I287" s="29"/>
    </row>
    <row r="288" spans="9:9" x14ac:dyDescent="0.3">
      <c r="I288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3E01-6DF7-4596-9317-81C80731901B}">
  <dimension ref="B2:L24"/>
  <sheetViews>
    <sheetView topLeftCell="A2" zoomScale="85" zoomScaleNormal="85" workbookViewId="0">
      <selection activeCell="O24" sqref="O24"/>
    </sheetView>
  </sheetViews>
  <sheetFormatPr defaultRowHeight="14.4" x14ac:dyDescent="0.3"/>
  <cols>
    <col min="2" max="2" width="8.88671875" customWidth="1"/>
    <col min="3" max="3" width="24.5546875" bestFit="1" customWidth="1"/>
    <col min="4" max="4" width="10.33203125" bestFit="1" customWidth="1"/>
    <col min="5" max="5" width="12.5546875" customWidth="1"/>
    <col min="6" max="6" width="11.77734375" customWidth="1"/>
    <col min="7" max="7" width="9.109375" customWidth="1"/>
    <col min="8" max="8" width="12" bestFit="1" customWidth="1"/>
    <col min="9" max="9" width="12.88671875" bestFit="1" customWidth="1"/>
    <col min="10" max="10" width="12" bestFit="1" customWidth="1"/>
    <col min="11" max="11" width="10.21875" bestFit="1" customWidth="1"/>
    <col min="12" max="12" width="12.5546875" bestFit="1" customWidth="1"/>
  </cols>
  <sheetData>
    <row r="2" spans="2:12" x14ac:dyDescent="0.3">
      <c r="B2" t="s">
        <v>756</v>
      </c>
    </row>
    <row r="4" spans="2:12" x14ac:dyDescent="0.3">
      <c r="C4" s="53" t="s">
        <v>813</v>
      </c>
    </row>
    <row r="7" spans="2:12" x14ac:dyDescent="0.3">
      <c r="C7" s="53" t="s">
        <v>814</v>
      </c>
      <c r="D7" s="35">
        <f>COUNTA(staff[Department])</f>
        <v>260</v>
      </c>
      <c r="E7" s="54">
        <f>AVERAGE(staff[Salary])</f>
        <v>73861.325230769246</v>
      </c>
      <c r="F7" s="35"/>
      <c r="G7" s="35"/>
      <c r="H7" s="54">
        <f>MAX(staff[Salary])</f>
        <v>120000</v>
      </c>
      <c r="I7" s="35"/>
      <c r="J7" s="35">
        <f>COUNTIF(staff[Gender], "Female") / COUNTA(staff[Gender]) *100</f>
        <v>48.07692307692308</v>
      </c>
      <c r="K7" s="35"/>
    </row>
    <row r="10" spans="2:12" x14ac:dyDescent="0.3">
      <c r="C10" s="36" t="s">
        <v>4</v>
      </c>
      <c r="D10" s="36" t="s">
        <v>815</v>
      </c>
      <c r="E10" s="36" t="s">
        <v>816</v>
      </c>
      <c r="F10" s="57" t="s">
        <v>817</v>
      </c>
      <c r="G10" s="57"/>
      <c r="H10" s="36" t="s">
        <v>818</v>
      </c>
      <c r="I10" s="36" t="s">
        <v>819</v>
      </c>
      <c r="J10" s="36" t="s">
        <v>820</v>
      </c>
      <c r="K10" s="36" t="s">
        <v>821</v>
      </c>
      <c r="L10" s="36" t="s">
        <v>822</v>
      </c>
    </row>
    <row r="11" spans="2:12" x14ac:dyDescent="0.3">
      <c r="C11" t="str" cm="1">
        <f t="array" ref="C11:C23">_xlfn._xlws.SORT(_xlfn.UNIQUE(staff[Department]))</f>
        <v>Accounting</v>
      </c>
      <c r="D11" cm="1">
        <f t="array" ref="D11:D23">COUNTIFS(staff[Department],_xlfn.ANCHORARRAY(C11))</f>
        <v>26</v>
      </c>
      <c r="E11" s="55" cm="1">
        <f t="array" ref="E11:E23">AVERAGEIFS(staff[Salary],staff[Department],_xlfn.ANCHORARRAY(C11))</f>
        <v>69806.945769230777</v>
      </c>
      <c r="F11" s="55" cm="1">
        <f t="array" ref="F11:F23">_xlfn.ANCHORARRAY(E11)-E7</f>
        <v>-4054.3794615384686</v>
      </c>
      <c r="G11" s="56" cm="1">
        <f t="array" ref="G11:G23">_xlfn.ANCHORARRAY(F11)</f>
        <v>-4054.3794615384686</v>
      </c>
      <c r="H11" s="55" cm="1">
        <f t="array" ref="H11:H23">_xlfn.MAXIFS(staff[Salary],staff[Department],_xlfn.ANCHORARRAY(C11))</f>
        <v>119022.49</v>
      </c>
      <c r="I11" s="55" cm="1">
        <f t="array" ref="I11">MEDIAN(_xlfn._xlws.FILTER(staff[Salary], staff[Department] = C11))</f>
        <v>69025.614999999991</v>
      </c>
      <c r="J11" cm="1">
        <f t="array" ref="J11:J23">COUNTIFS(staff[Department],_xlfn.ANCHORARRAY( C11), staff[Gender], "Female") / COUNTIF(staff[Department],_xlfn.ANCHORARRAY( C11))*100</f>
        <v>34.615384615384613</v>
      </c>
      <c r="K11" cm="1">
        <f t="array" ref="K11:K23">COUNTIFS(staff[Department],_xlfn.ANCHORARRAY( C11), staff[Gender], "Male") / COUNTIF(staff[Department],_xlfn.ANCHORARRAY( C11))*100</f>
        <v>57.692307692307686</v>
      </c>
      <c r="L11" s="55" cm="1">
        <f t="array" ref="L11:L23">_xlfn.MINIFS(staff[Salary],staff[Department],_xlfn.ANCHORARRAY(C11))</f>
        <v>35936.31</v>
      </c>
    </row>
    <row r="12" spans="2:12" x14ac:dyDescent="0.3">
      <c r="C12" t="str">
        <v>Business Development</v>
      </c>
      <c r="D12">
        <v>25</v>
      </c>
      <c r="E12" s="55">
        <v>80147.099600000016</v>
      </c>
      <c r="F12" s="55">
        <v>6285.7743692307704</v>
      </c>
      <c r="G12" s="56">
        <v>6285.7743692307704</v>
      </c>
      <c r="H12" s="55">
        <v>110042.37</v>
      </c>
      <c r="I12" s="55" cm="1">
        <f t="array" ref="I12">MEDIAN(_xlfn._xlws.FILTER(staff[Salary], staff[Department] = C12))</f>
        <v>80695.740000000005</v>
      </c>
      <c r="J12">
        <v>40</v>
      </c>
      <c r="K12">
        <v>60</v>
      </c>
      <c r="L12" s="55">
        <v>33031.26</v>
      </c>
    </row>
    <row r="13" spans="2:12" x14ac:dyDescent="0.3">
      <c r="C13" t="str">
        <v>Business Growth</v>
      </c>
      <c r="D13">
        <v>1</v>
      </c>
      <c r="E13" s="55">
        <v>70649.460000000006</v>
      </c>
      <c r="F13" s="55">
        <v>-3211.8652307692391</v>
      </c>
      <c r="G13" s="56">
        <v>-3211.8652307692391</v>
      </c>
      <c r="H13" s="55">
        <v>70649.460000000006</v>
      </c>
      <c r="I13" s="55" cm="1">
        <f t="array" ref="I13">MEDIAN(_xlfn._xlws.FILTER(staff[Salary], staff[Department] = C13))</f>
        <v>70649.460000000006</v>
      </c>
      <c r="J13">
        <v>100</v>
      </c>
      <c r="K13">
        <v>0</v>
      </c>
      <c r="L13" s="55">
        <v>70649.460000000006</v>
      </c>
    </row>
    <row r="14" spans="2:12" x14ac:dyDescent="0.3">
      <c r="C14" t="str">
        <v>Engineering</v>
      </c>
      <c r="D14">
        <v>26</v>
      </c>
      <c r="E14" s="55">
        <v>81976.441923076913</v>
      </c>
      <c r="F14" s="55">
        <v>8115.1166923076671</v>
      </c>
      <c r="G14" s="56">
        <v>8115.1166923076671</v>
      </c>
      <c r="H14" s="55">
        <v>120000</v>
      </c>
      <c r="I14" s="55" cm="1">
        <f t="array" ref="I14">MEDIAN(_xlfn._xlws.FILTER(staff[Salary], staff[Department] = C14))</f>
        <v>85332.304999999993</v>
      </c>
      <c r="J14">
        <v>38.461538461538467</v>
      </c>
      <c r="K14">
        <v>61.53846153846154</v>
      </c>
      <c r="L14" s="55">
        <v>36536.26</v>
      </c>
    </row>
    <row r="15" spans="2:12" x14ac:dyDescent="0.3">
      <c r="C15" t="str">
        <v>Human Resources</v>
      </c>
      <c r="D15">
        <v>22</v>
      </c>
      <c r="E15" s="55">
        <v>73109.377727272746</v>
      </c>
      <c r="F15" s="55">
        <v>-751.94750349649985</v>
      </c>
      <c r="G15" s="56">
        <v>-751.94750349649985</v>
      </c>
      <c r="H15" s="55">
        <v>103494.94</v>
      </c>
      <c r="I15" s="55" cm="1">
        <f t="array" ref="I15">MEDIAN(_xlfn._xlws.FILTER(staff[Salary], staff[Department] = C15))</f>
        <v>73182.794999999998</v>
      </c>
      <c r="J15">
        <v>31.818181818181817</v>
      </c>
      <c r="K15">
        <v>54.54545454545454</v>
      </c>
      <c r="L15" s="55">
        <v>28329.77</v>
      </c>
    </row>
    <row r="16" spans="2:12" x14ac:dyDescent="0.3">
      <c r="C16" t="str">
        <v>Legal</v>
      </c>
      <c r="D16">
        <v>21</v>
      </c>
      <c r="E16" s="55">
        <v>67242.51761904762</v>
      </c>
      <c r="F16" s="55">
        <v>-6618.807611721626</v>
      </c>
      <c r="G16" s="56">
        <v>-6618.807611721626</v>
      </c>
      <c r="H16" s="55">
        <v>113747.56</v>
      </c>
      <c r="I16" s="55" cm="1">
        <f t="array" ref="I16">MEDIAN(_xlfn._xlws.FILTER(staff[Salary], staff[Department] = C16))</f>
        <v>66572.58</v>
      </c>
      <c r="J16">
        <v>33.333333333333329</v>
      </c>
      <c r="K16">
        <v>61.904761904761905</v>
      </c>
      <c r="L16" s="55">
        <v>28481.16</v>
      </c>
    </row>
    <row r="17" spans="3:12" x14ac:dyDescent="0.3">
      <c r="C17" t="str">
        <v>Marketing</v>
      </c>
      <c r="D17">
        <v>12</v>
      </c>
      <c r="E17" s="55">
        <v>64441.299999999996</v>
      </c>
      <c r="F17" s="55">
        <v>-9420.0252307692499</v>
      </c>
      <c r="G17" s="56">
        <v>-9420.0252307692499</v>
      </c>
      <c r="H17" s="55">
        <v>104903.79</v>
      </c>
      <c r="I17" s="55" cm="1">
        <f t="array" ref="I17">MEDIAN(_xlfn._xlws.FILTER(staff[Salary], staff[Department] = C17))</f>
        <v>66961.489999999991</v>
      </c>
      <c r="J17">
        <v>41.666666666666671</v>
      </c>
      <c r="K17">
        <v>58.333333333333336</v>
      </c>
      <c r="L17" s="55">
        <v>31816.57</v>
      </c>
    </row>
    <row r="18" spans="3:12" x14ac:dyDescent="0.3">
      <c r="C18" t="str">
        <v>Product Management</v>
      </c>
      <c r="D18">
        <v>29</v>
      </c>
      <c r="E18" s="55">
        <v>75179.064482758593</v>
      </c>
      <c r="F18" s="55">
        <v>1317.7392519893474</v>
      </c>
      <c r="G18" s="56">
        <v>1317.7392519893474</v>
      </c>
      <c r="H18" s="55">
        <v>115191.38</v>
      </c>
      <c r="I18" s="55" cm="1">
        <f t="array" ref="I18">MEDIAN(_xlfn._xlws.FILTER(staff[Salary], staff[Department] = C18))</f>
        <v>72502.61</v>
      </c>
      <c r="J18">
        <v>58.620689655172406</v>
      </c>
      <c r="K18">
        <v>41.379310344827587</v>
      </c>
      <c r="L18" s="55">
        <v>31241.24</v>
      </c>
    </row>
    <row r="19" spans="3:12" x14ac:dyDescent="0.3">
      <c r="C19" t="str">
        <v>Research and Development</v>
      </c>
      <c r="D19">
        <v>18</v>
      </c>
      <c r="E19" s="55">
        <v>66910.765555555554</v>
      </c>
      <c r="F19" s="55">
        <v>-6950.5596752136917</v>
      </c>
      <c r="G19" s="56">
        <v>-6950.5596752136917</v>
      </c>
      <c r="H19" s="55">
        <v>99683.67</v>
      </c>
      <c r="I19" s="55" cm="1">
        <f t="array" ref="I19">MEDIAN(_xlfn._xlws.FILTER(staff[Salary], staff[Department] = C19))</f>
        <v>65995.375</v>
      </c>
      <c r="J19">
        <v>61.111111111111114</v>
      </c>
      <c r="K19">
        <v>38.888888888888893</v>
      </c>
      <c r="L19" s="55">
        <v>28160.79</v>
      </c>
    </row>
    <row r="20" spans="3:12" x14ac:dyDescent="0.3">
      <c r="C20" t="str">
        <v>Sales</v>
      </c>
      <c r="D20">
        <v>18</v>
      </c>
      <c r="E20" s="55">
        <v>71897.095555555556</v>
      </c>
      <c r="F20" s="55">
        <v>-1964.2296752136899</v>
      </c>
      <c r="G20" s="56">
        <v>-1964.2296752136899</v>
      </c>
      <c r="H20" s="55">
        <v>102129.37</v>
      </c>
      <c r="I20" s="55" cm="1">
        <f t="array" ref="I20">MEDIAN(_xlfn._xlws.FILTER(staff[Salary], staff[Department] = C20))</f>
        <v>79396.654999999999</v>
      </c>
      <c r="J20">
        <v>55.555555555555557</v>
      </c>
      <c r="K20">
        <v>44.444444444444443</v>
      </c>
      <c r="L20" s="55">
        <v>32192.15</v>
      </c>
    </row>
    <row r="21" spans="3:12" x14ac:dyDescent="0.3">
      <c r="C21" t="str">
        <v>Services</v>
      </c>
      <c r="D21">
        <v>21</v>
      </c>
      <c r="E21" s="55">
        <v>74673.974761904756</v>
      </c>
      <c r="F21" s="55">
        <v>812.64953113551019</v>
      </c>
      <c r="G21" s="56">
        <v>812.64953113551019</v>
      </c>
      <c r="H21" s="55">
        <v>120000</v>
      </c>
      <c r="I21" s="55" cm="1">
        <f t="array" ref="I21">MEDIAN(_xlfn._xlws.FILTER(staff[Salary], staff[Department] = C21))</f>
        <v>77096.05</v>
      </c>
      <c r="J21">
        <v>61.904761904761905</v>
      </c>
      <c r="K21">
        <v>38.095238095238095</v>
      </c>
      <c r="L21" s="55">
        <v>28305.08</v>
      </c>
    </row>
    <row r="22" spans="3:12" x14ac:dyDescent="0.3">
      <c r="C22" t="str">
        <v>Support</v>
      </c>
      <c r="D22">
        <v>17</v>
      </c>
      <c r="E22" s="55">
        <v>66432.455882352937</v>
      </c>
      <c r="F22" s="55">
        <v>-7428.8693484163086</v>
      </c>
      <c r="G22" s="56">
        <v>-7428.8693484163086</v>
      </c>
      <c r="H22" s="55">
        <v>104802.63</v>
      </c>
      <c r="I22" s="55" cm="1">
        <f t="array" ref="I22">MEDIAN(_xlfn._xlws.FILTER(staff[Salary], staff[Department] = C22))</f>
        <v>61214.26</v>
      </c>
      <c r="J22">
        <v>47.058823529411761</v>
      </c>
      <c r="K22">
        <v>47.058823529411761</v>
      </c>
      <c r="L22" s="55">
        <v>28974.03</v>
      </c>
    </row>
    <row r="23" spans="3:12" x14ac:dyDescent="0.3">
      <c r="C23" t="str">
        <v>Training</v>
      </c>
      <c r="D23">
        <v>24</v>
      </c>
      <c r="E23" s="55">
        <v>83883.965000000011</v>
      </c>
      <c r="F23" s="55">
        <v>10022.639769230766</v>
      </c>
      <c r="G23" s="56">
        <v>10022.639769230766</v>
      </c>
      <c r="H23" s="55">
        <v>116767.63</v>
      </c>
      <c r="I23" s="55" cm="1">
        <f t="array" ref="I23">MEDIAN(_xlfn._xlws.FILTER(staff[Salary], staff[Department] = C23))</f>
        <v>89569.44</v>
      </c>
      <c r="J23">
        <v>70.833333333333343</v>
      </c>
      <c r="K23">
        <v>25</v>
      </c>
      <c r="L23" s="55">
        <v>37902.35</v>
      </c>
    </row>
    <row r="24" spans="3:12" x14ac:dyDescent="0.3">
      <c r="I24" s="55"/>
    </row>
  </sheetData>
  <mergeCells count="1">
    <mergeCell ref="F10:G10"/>
  </mergeCells>
  <conditionalFormatting sqref="F10:F23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{5D875671-7308-4613-A3FC-92A49FEEC932}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875671-7308-4613-A3FC-92A49FEEC9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F10:F23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Concepts</vt:lpstr>
      <vt:lpstr>Data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GURU T B</cp:lastModifiedBy>
  <dcterms:created xsi:type="dcterms:W3CDTF">2021-03-14T20:21:32Z</dcterms:created>
  <dcterms:modified xsi:type="dcterms:W3CDTF">2025-06-14T09:35:13Z</dcterms:modified>
</cp:coreProperties>
</file>