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richPivotRecords1.xml" ContentType="application/vnd.openxmlformats-officedocument.spreadsheetml.richPivot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pivotTables/pivotTable1.xml" ContentType="application/vnd.openxmlformats-officedocument.spreadsheetml.pivot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\Documents\GitHub\FATEC---Aulas\Programação em microinformatica\"/>
    </mc:Choice>
  </mc:AlternateContent>
  <xr:revisionPtr revIDLastSave="0" documentId="13_ncr:1_{C643FF47-00D3-4BE8-9789-9FA9407D4383}" xr6:coauthVersionLast="47" xr6:coauthVersionMax="47" xr10:uidLastSave="{00000000-0000-0000-0000-000000000000}"/>
  <bookViews>
    <workbookView xWindow="-120" yWindow="-120" windowWidth="29040" windowHeight="15840" firstSheet="2" activeTab="8" xr2:uid="{638BBB0D-7911-4F79-9DFF-80DA470C685B}"/>
  </bookViews>
  <sheets>
    <sheet name="FLuxo de caixa" sheetId="1" r:id="rId1"/>
    <sheet name="Planilha1" sheetId="8" r:id="rId2"/>
    <sheet name="GUT" sheetId="2" r:id="rId3"/>
    <sheet name="Média notas" sheetId="3" r:id="rId4"/>
    <sheet name="CPF" sheetId="4" r:id="rId5"/>
    <sheet name="Tbl_Clientes" sheetId="5" r:id="rId6"/>
    <sheet name="Produtos" sheetId="6" r:id="rId7"/>
    <sheet name="Lista" sheetId="7" r:id="rId8"/>
    <sheet name="Investimento" sheetId="9" r:id="rId9"/>
  </sheets>
  <definedNames>
    <definedName name="Classificação" comment="Clas">Lista!$B$9:$B$15</definedName>
    <definedName name="sexo">Lista!$B$4:$B$5</definedName>
  </definedNames>
  <calcPr calcId="191029"/>
  <pivotCaches>
    <pivotCache cacheId="15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9" l="1" a="1"/>
  <c r="D15" i="9" s="1"/>
  <c r="E15" i="9" a="1"/>
  <c r="E15" i="9" s="1"/>
  <c r="G15" i="9" s="1"/>
  <c r="D16" i="9" a="1"/>
  <c r="D16" i="9" s="1"/>
  <c r="E16" i="9" a="1"/>
  <c r="E16" i="9" s="1"/>
  <c r="G16" i="9" s="1"/>
  <c r="D12" i="9" a="1"/>
  <c r="D12" i="9" s="1"/>
  <c r="E12" i="9" a="1"/>
  <c r="E12" i="9" s="1"/>
  <c r="G12" i="9" s="1"/>
  <c r="D14" i="9" a="1"/>
  <c r="D14" i="9" s="1"/>
  <c r="E14" i="9" a="1"/>
  <c r="E14" i="9" s="1"/>
  <c r="G14" i="9" s="1"/>
  <c r="D7" i="9" a="1"/>
  <c r="D7" i="9" s="1"/>
  <c r="E7" i="9" a="1"/>
  <c r="E7" i="9" s="1"/>
  <c r="G7" i="9" s="1"/>
  <c r="D13" i="9" a="1"/>
  <c r="D13" i="9" s="1"/>
  <c r="E13" i="9" a="1"/>
  <c r="E13" i="9" s="1"/>
  <c r="G13" i="9" s="1"/>
  <c r="D11" i="9" a="1"/>
  <c r="D11" i="9" s="1"/>
  <c r="E11" i="9" a="1"/>
  <c r="E11" i="9" s="1"/>
  <c r="G11" i="9" s="1"/>
  <c r="F16" i="5"/>
  <c r="F17" i="5"/>
  <c r="D6" i="9" a="1"/>
  <c r="D6" i="9" s="1"/>
  <c r="E6" i="9" a="1"/>
  <c r="E6" i="9" s="1"/>
  <c r="G6" i="9" s="1"/>
  <c r="E3" i="9" a="1"/>
  <c r="E3" i="9" s="1"/>
  <c r="G3" i="9" s="1"/>
  <c r="D3" i="9" a="1"/>
  <c r="D3" i="9" s="1"/>
  <c r="E10" i="9" a="1"/>
  <c r="E10" i="9" s="1"/>
  <c r="G10" i="9" s="1"/>
  <c r="D10" i="9" a="1"/>
  <c r="D10" i="9" s="1"/>
  <c r="E8" i="9" a="1"/>
  <c r="E8" i="9" s="1"/>
  <c r="G8" i="9" s="1"/>
  <c r="D8" i="9" a="1"/>
  <c r="D8" i="9" s="1"/>
  <c r="E9" i="9" a="1"/>
  <c r="E9" i="9" s="1"/>
  <c r="G9" i="9" s="1"/>
  <c r="D9" i="9" a="1"/>
  <c r="D9" i="9" s="1"/>
  <c r="E5" i="9" a="1"/>
  <c r="E5" i="9" s="1"/>
  <c r="G5" i="9" s="1"/>
  <c r="D5" i="9" a="1"/>
  <c r="D5" i="9" s="1"/>
  <c r="E4" i="9" a="1"/>
  <c r="E4" i="9" s="1"/>
  <c r="G4" i="9" s="1"/>
  <c r="D4" i="9" a="1"/>
  <c r="D4" i="9" s="1"/>
  <c r="M12" i="4" l="1"/>
  <c r="L12" i="4"/>
  <c r="L14" i="4" s="1"/>
  <c r="K12" i="4"/>
  <c r="K14" i="4" s="1"/>
  <c r="J12" i="4"/>
  <c r="J13" i="4" s="1"/>
  <c r="I12" i="4"/>
  <c r="I14" i="4" s="1"/>
  <c r="H12" i="4"/>
  <c r="H14" i="4" s="1"/>
  <c r="G12" i="4"/>
  <c r="G14" i="4" s="1"/>
  <c r="F12" i="4"/>
  <c r="F14" i="4" s="1"/>
  <c r="E12" i="4"/>
  <c r="E14" i="4" s="1"/>
  <c r="D12" i="4"/>
  <c r="D14" i="4" s="1"/>
  <c r="C12" i="4"/>
  <c r="C14" i="4" s="1"/>
  <c r="E9" i="4"/>
  <c r="D9" i="4"/>
  <c r="C9" i="4"/>
  <c r="E8" i="4"/>
  <c r="D8" i="4"/>
  <c r="C8" i="4"/>
  <c r="M7" i="4"/>
  <c r="L7" i="4"/>
  <c r="L9" i="4" s="1"/>
  <c r="K7" i="4"/>
  <c r="K9" i="4" s="1"/>
  <c r="J7" i="4"/>
  <c r="J9" i="4" s="1"/>
  <c r="I7" i="4"/>
  <c r="I9" i="4" s="1"/>
  <c r="H7" i="4"/>
  <c r="H9" i="4" s="1"/>
  <c r="G7" i="4"/>
  <c r="G9" i="4" s="1"/>
  <c r="F7" i="4"/>
  <c r="F9" i="4" s="1"/>
  <c r="E7" i="4"/>
  <c r="D7" i="4"/>
  <c r="C7" i="4"/>
  <c r="H4" i="4"/>
  <c r="G4" i="4"/>
  <c r="F4" i="4"/>
  <c r="E4" i="4"/>
  <c r="D4" i="4"/>
  <c r="H3" i="4"/>
  <c r="G3" i="4"/>
  <c r="F3" i="4"/>
  <c r="E3" i="4"/>
  <c r="M2" i="4"/>
  <c r="L2" i="4"/>
  <c r="L4" i="4" s="1"/>
  <c r="K2" i="4"/>
  <c r="K4" i="4" s="1"/>
  <c r="J2" i="4"/>
  <c r="J4" i="4" s="1"/>
  <c r="I2" i="4"/>
  <c r="I4" i="4" s="1"/>
  <c r="H2" i="4"/>
  <c r="G2" i="4"/>
  <c r="F2" i="4"/>
  <c r="E2" i="4"/>
  <c r="D2" i="4"/>
  <c r="D3" i="4" s="1"/>
  <c r="C2" i="4"/>
  <c r="C4" i="4" s="1"/>
  <c r="J14" i="4" l="1"/>
  <c r="O13" i="4" s="1"/>
  <c r="P13" i="4" s="1"/>
  <c r="Q13" i="4" s="1"/>
  <c r="R13" i="4" s="1"/>
  <c r="K13" i="4"/>
  <c r="O8" i="4"/>
  <c r="P8" i="4" s="1"/>
  <c r="Q8" i="4" s="1"/>
  <c r="R8" i="4" s="1"/>
  <c r="O3" i="4"/>
  <c r="P3" i="4" s="1"/>
  <c r="Q3" i="4" s="1"/>
  <c r="R3" i="4" s="1"/>
  <c r="I3" i="4"/>
  <c r="F8" i="4"/>
  <c r="C13" i="4"/>
  <c r="J3" i="4"/>
  <c r="G8" i="4"/>
  <c r="O7" i="4" s="1"/>
  <c r="P7" i="4" s="1"/>
  <c r="Q7" i="4" s="1"/>
  <c r="R7" i="4" s="1"/>
  <c r="A8" i="4" s="1"/>
  <c r="D13" i="4"/>
  <c r="K3" i="4"/>
  <c r="H8" i="4"/>
  <c r="E13" i="4"/>
  <c r="I8" i="4"/>
  <c r="F13" i="4"/>
  <c r="J8" i="4"/>
  <c r="G13" i="4"/>
  <c r="K8" i="4"/>
  <c r="H13" i="4"/>
  <c r="C3" i="4"/>
  <c r="I13" i="4"/>
  <c r="O2" i="4" l="1"/>
  <c r="P2" i="4" s="1"/>
  <c r="Q2" i="4" s="1"/>
  <c r="R2" i="4" s="1"/>
  <c r="A3" i="4" s="1"/>
  <c r="O12" i="4"/>
  <c r="P12" i="4" s="1"/>
  <c r="Q12" i="4" s="1"/>
  <c r="R12" i="4" s="1"/>
  <c r="A13" i="4" s="1"/>
  <c r="G7" i="6" l="1"/>
  <c r="G8" i="6"/>
  <c r="G9" i="6"/>
  <c r="G10" i="6"/>
  <c r="G6" i="6"/>
  <c r="D8" i="5"/>
  <c r="F8" i="5" s="1"/>
  <c r="F9" i="5"/>
  <c r="F10" i="5"/>
  <c r="F11" i="5"/>
  <c r="F12" i="5"/>
  <c r="F13" i="5"/>
  <c r="F14" i="5"/>
  <c r="F15" i="5"/>
  <c r="F7" i="5"/>
  <c r="F6" i="5"/>
  <c r="F4" i="3"/>
  <c r="F7" i="3"/>
  <c r="C7" i="3"/>
  <c r="F6" i="3"/>
  <c r="C6" i="3"/>
  <c r="F5" i="3"/>
  <c r="C5" i="3"/>
  <c r="C4" i="3"/>
  <c r="J4" i="3" s="1"/>
  <c r="L3" i="3"/>
  <c r="M3" i="3" s="1"/>
  <c r="N3" i="3" s="1"/>
  <c r="O3" i="3" s="1"/>
  <c r="P3" i="3" s="1"/>
  <c r="Q3" i="3" s="1"/>
  <c r="R3" i="3" s="1"/>
  <c r="S3" i="3" s="1"/>
  <c r="T3" i="3" s="1"/>
  <c r="U3" i="3" s="1"/>
  <c r="V3" i="3" s="1"/>
  <c r="W3" i="3" s="1"/>
  <c r="X3" i="3" s="1"/>
  <c r="Y3" i="3" s="1"/>
  <c r="Z3" i="3" s="1"/>
  <c r="AA3" i="3" s="1"/>
  <c r="I5" i="3" l="1"/>
  <c r="J5" i="3" s="1"/>
  <c r="I6" i="3"/>
  <c r="J6" i="3" s="1"/>
  <c r="I4" i="3"/>
  <c r="I7" i="3"/>
  <c r="J7" i="3" s="1"/>
  <c r="G5" i="2" l="1"/>
  <c r="G6" i="2"/>
  <c r="G7" i="2"/>
  <c r="G9" i="2"/>
  <c r="G10" i="2"/>
  <c r="G8" i="2"/>
  <c r="G4" i="2"/>
  <c r="G3" i="2"/>
  <c r="E13" i="1"/>
  <c r="F13" i="1"/>
  <c r="G13" i="1"/>
  <c r="H13" i="1"/>
  <c r="I13" i="1"/>
  <c r="J13" i="1"/>
  <c r="K13" i="1"/>
  <c r="L13" i="1"/>
  <c r="M13" i="1"/>
  <c r="N13" i="1"/>
  <c r="E14" i="1"/>
  <c r="F14" i="1"/>
  <c r="G14" i="1" s="1"/>
  <c r="H14" i="1" s="1"/>
  <c r="I14" i="1" s="1"/>
  <c r="J14" i="1" s="1"/>
  <c r="K14" i="1" s="1"/>
  <c r="L14" i="1" s="1"/>
  <c r="M14" i="1" s="1"/>
  <c r="N14" i="1" s="1"/>
  <c r="E15" i="1"/>
  <c r="F15" i="1"/>
  <c r="G15" i="1"/>
  <c r="H15" i="1"/>
  <c r="I15" i="1" s="1"/>
  <c r="J15" i="1" s="1"/>
  <c r="K15" i="1" s="1"/>
  <c r="L15" i="1" s="1"/>
  <c r="M15" i="1" s="1"/>
  <c r="N15" i="1" s="1"/>
  <c r="E16" i="1"/>
  <c r="F16" i="1"/>
  <c r="G16" i="1"/>
  <c r="H16" i="1"/>
  <c r="I16" i="1"/>
  <c r="J16" i="1"/>
  <c r="K16" i="1" s="1"/>
  <c r="L16" i="1" s="1"/>
  <c r="M16" i="1" s="1"/>
  <c r="N16" i="1" s="1"/>
  <c r="E17" i="1"/>
  <c r="F17" i="1"/>
  <c r="G17" i="1"/>
  <c r="H17" i="1"/>
  <c r="I17" i="1"/>
  <c r="J17" i="1"/>
  <c r="K17" i="1"/>
  <c r="L17" i="1"/>
  <c r="M17" i="1" s="1"/>
  <c r="N17" i="1" s="1"/>
  <c r="E18" i="1"/>
  <c r="F18" i="1"/>
  <c r="G18" i="1"/>
  <c r="H18" i="1"/>
  <c r="I18" i="1"/>
  <c r="J18" i="1"/>
  <c r="K18" i="1"/>
  <c r="L18" i="1"/>
  <c r="M18" i="1"/>
  <c r="N18" i="1"/>
  <c r="E19" i="1"/>
  <c r="F19" i="1"/>
  <c r="G19" i="1"/>
  <c r="G20" i="1" s="1"/>
  <c r="H19" i="1"/>
  <c r="H20" i="1" s="1"/>
  <c r="I19" i="1"/>
  <c r="I20" i="1" s="1"/>
  <c r="J19" i="1"/>
  <c r="J20" i="1" s="1"/>
  <c r="K19" i="1"/>
  <c r="K20" i="1" s="1"/>
  <c r="L19" i="1"/>
  <c r="L20" i="1" s="1"/>
  <c r="M19" i="1"/>
  <c r="M20" i="1" s="1"/>
  <c r="N19" i="1"/>
  <c r="N20" i="1" s="1"/>
  <c r="E20" i="1"/>
  <c r="E21" i="1" s="1"/>
  <c r="F21" i="1" s="1"/>
  <c r="F20" i="1"/>
  <c r="D14" i="1"/>
  <c r="D15" i="1"/>
  <c r="D16" i="1"/>
  <c r="D17" i="1"/>
  <c r="D18" i="1"/>
  <c r="D19" i="1"/>
  <c r="D13" i="1"/>
  <c r="E5" i="1"/>
  <c r="F5" i="1"/>
  <c r="G5" i="1"/>
  <c r="H5" i="1"/>
  <c r="I5" i="1"/>
  <c r="J5" i="1"/>
  <c r="K5" i="1"/>
  <c r="L5" i="1"/>
  <c r="M5" i="1"/>
  <c r="N5" i="1"/>
  <c r="E6" i="1"/>
  <c r="F6" i="1"/>
  <c r="G6" i="1" s="1"/>
  <c r="H6" i="1" s="1"/>
  <c r="I6" i="1" s="1"/>
  <c r="J6" i="1" s="1"/>
  <c r="K6" i="1" s="1"/>
  <c r="L6" i="1" s="1"/>
  <c r="M6" i="1" s="1"/>
  <c r="N6" i="1" s="1"/>
  <c r="E7" i="1"/>
  <c r="F7" i="1"/>
  <c r="G7" i="1"/>
  <c r="H7" i="1"/>
  <c r="I7" i="1" s="1"/>
  <c r="J7" i="1" s="1"/>
  <c r="K7" i="1" s="1"/>
  <c r="L7" i="1" s="1"/>
  <c r="M7" i="1" s="1"/>
  <c r="N7" i="1" s="1"/>
  <c r="D6" i="1"/>
  <c r="D7" i="1"/>
  <c r="D5" i="1"/>
  <c r="C13" i="1"/>
  <c r="C21" i="1"/>
  <c r="C20" i="1"/>
  <c r="C18" i="1"/>
  <c r="C19" i="1"/>
  <c r="B19" i="1"/>
  <c r="C11" i="1"/>
  <c r="G21" i="1" l="1"/>
  <c r="H21" i="1" s="1"/>
  <c r="I21" i="1" s="1"/>
  <c r="J21" i="1" s="1"/>
  <c r="K21" i="1" s="1"/>
  <c r="L21" i="1" s="1"/>
  <c r="M21" i="1" s="1"/>
  <c r="N21" i="1" s="1"/>
  <c r="E11" i="1"/>
  <c r="D11" i="1"/>
  <c r="F11" i="1"/>
  <c r="H11" i="1"/>
  <c r="G11" i="1"/>
  <c r="C17" i="1"/>
  <c r="C15" i="1"/>
  <c r="B5" i="1"/>
  <c r="B7" i="1"/>
  <c r="B6" i="1"/>
  <c r="C14" i="1"/>
  <c r="C16" i="1"/>
  <c r="D20" i="1" l="1"/>
  <c r="D21" i="1" s="1"/>
  <c r="I11" i="1"/>
  <c r="B11" i="1"/>
  <c r="J11" i="1" l="1"/>
  <c r="K11" i="1" l="1"/>
  <c r="L11" i="1" l="1"/>
  <c r="N11" i="1" l="1"/>
  <c r="M1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8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</futureMetadata>
  <cellMetadata count="1">
    <bk>
      <rc t="1" v="0"/>
    </bk>
  </cellMetadata>
  <valueMetadata count="18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</valueMetadata>
</metadata>
</file>

<file path=xl/sharedStrings.xml><?xml version="1.0" encoding="utf-8"?>
<sst xmlns="http://schemas.openxmlformats.org/spreadsheetml/2006/main" count="191" uniqueCount="146">
  <si>
    <t>Receitas</t>
  </si>
  <si>
    <t>Salario1</t>
  </si>
  <si>
    <t>Salario2</t>
  </si>
  <si>
    <t>Salario3</t>
  </si>
  <si>
    <t>Salario4</t>
  </si>
  <si>
    <t>Salario5</t>
  </si>
  <si>
    <t>Salario6</t>
  </si>
  <si>
    <t>%</t>
  </si>
  <si>
    <t>total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</si>
  <si>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</si>
  <si>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</si>
  <si>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</si>
  <si>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</si>
  <si>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</si>
  <si>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</si>
  <si>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</si>
  <si>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</si>
  <si>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</si>
  <si>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</si>
  <si>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</si>
  <si>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</si>
  <si>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 das receitas</t>
  </si>
  <si>
    <t>Despesas</t>
  </si>
  <si>
    <t>Despesa1</t>
  </si>
  <si>
    <t>Despesa2</t>
  </si>
  <si>
    <t>Despesa3</t>
  </si>
  <si>
    <t>Despesa4</t>
  </si>
  <si>
    <t>Despesa5</t>
  </si>
  <si>
    <t>Despesa6</t>
  </si>
  <si>
    <t>Total das despesas</t>
  </si>
  <si>
    <t>Resto</t>
  </si>
  <si>
    <t>Acumulado</t>
  </si>
  <si>
    <t>Cap inicial</t>
  </si>
  <si>
    <t>Meta</t>
  </si>
  <si>
    <t>Inflação</t>
  </si>
  <si>
    <t>Pasta</t>
  </si>
  <si>
    <t>Data</t>
  </si>
  <si>
    <t>Tarefa</t>
  </si>
  <si>
    <t>Gravidade</t>
  </si>
  <si>
    <t>Urgencia</t>
  </si>
  <si>
    <t>Tendencia</t>
  </si>
  <si>
    <t>G.U.T</t>
  </si>
  <si>
    <t>Montar Plano de Aula ILM</t>
  </si>
  <si>
    <t>FATEC-RL</t>
  </si>
  <si>
    <t>Agosto</t>
  </si>
  <si>
    <t>Setembro</t>
  </si>
  <si>
    <t>Outubro</t>
  </si>
  <si>
    <t>Novembro</t>
  </si>
  <si>
    <t>Matrícula</t>
  </si>
  <si>
    <t>Nome do  Aluno</t>
  </si>
  <si>
    <t>Faltas</t>
  </si>
  <si>
    <t>A1</t>
  </si>
  <si>
    <t>A2</t>
  </si>
  <si>
    <t>P1</t>
  </si>
  <si>
    <t>P2</t>
  </si>
  <si>
    <t>P3</t>
  </si>
  <si>
    <t>Média</t>
  </si>
  <si>
    <t>Ana</t>
  </si>
  <si>
    <t>João</t>
  </si>
  <si>
    <t>José</t>
  </si>
  <si>
    <t>Maria</t>
  </si>
  <si>
    <t>ILM - NOITE</t>
  </si>
  <si>
    <t>CPF</t>
  </si>
  <si>
    <t>25889186892</t>
  </si>
  <si>
    <t>Cod_cli</t>
  </si>
  <si>
    <t xml:space="preserve">Nome </t>
  </si>
  <si>
    <t>Dt_Nasc</t>
  </si>
  <si>
    <t>Sexo</t>
  </si>
  <si>
    <t>Idade</t>
  </si>
  <si>
    <t>M</t>
  </si>
  <si>
    <t>Gustavo</t>
  </si>
  <si>
    <t>001</t>
  </si>
  <si>
    <t>002</t>
  </si>
  <si>
    <t>003</t>
  </si>
  <si>
    <t>Marcia</t>
  </si>
  <si>
    <t>F</t>
  </si>
  <si>
    <t>004</t>
  </si>
  <si>
    <t>005</t>
  </si>
  <si>
    <t>006</t>
  </si>
  <si>
    <t>007</t>
  </si>
  <si>
    <t>008</t>
  </si>
  <si>
    <t>009</t>
  </si>
  <si>
    <t>010</t>
  </si>
  <si>
    <t>Ricardo</t>
  </si>
  <si>
    <t>Sonia</t>
  </si>
  <si>
    <t>Flavia</t>
  </si>
  <si>
    <t>Roberta</t>
  </si>
  <si>
    <t>Mauricio</t>
  </si>
  <si>
    <t>Claudio</t>
  </si>
  <si>
    <t>Claudia</t>
  </si>
  <si>
    <t>Roberval</t>
  </si>
  <si>
    <t>Cod_Prod</t>
  </si>
  <si>
    <t>Descricao</t>
  </si>
  <si>
    <t>Classificacao</t>
  </si>
  <si>
    <t>Preco_Compra</t>
  </si>
  <si>
    <t>Preco_venda</t>
  </si>
  <si>
    <t>Lucro</t>
  </si>
  <si>
    <t>Blue Label</t>
  </si>
  <si>
    <t>Classificação</t>
  </si>
  <si>
    <t>Whisky</t>
  </si>
  <si>
    <t>Cachaça</t>
  </si>
  <si>
    <t>Cerveja</t>
  </si>
  <si>
    <t>Refrigerante</t>
  </si>
  <si>
    <t>Agua</t>
  </si>
  <si>
    <t>Licor</t>
  </si>
  <si>
    <t>Saquê</t>
  </si>
  <si>
    <t>Velho Barreiro</t>
  </si>
  <si>
    <t>SOMA</t>
  </si>
  <si>
    <t>RESTO/11</t>
  </si>
  <si>
    <t>11-RESTO</t>
  </si>
  <si>
    <t>Dígito</t>
  </si>
  <si>
    <t>43465925890</t>
  </si>
  <si>
    <t>35975391814</t>
  </si>
  <si>
    <t>TIPO</t>
  </si>
  <si>
    <t>RAZÃO SOCIAL</t>
  </si>
  <si>
    <t>TICKER</t>
  </si>
  <si>
    <t>PREÇO</t>
  </si>
  <si>
    <t>COTAS</t>
  </si>
  <si>
    <t>VALOR</t>
  </si>
  <si>
    <t>FI</t>
  </si>
  <si>
    <t>AÇÃO</t>
  </si>
  <si>
    <t>Rótulos de Linha</t>
  </si>
  <si>
    <t>Total Geral</t>
  </si>
  <si>
    <t>BBAS3</t>
  </si>
  <si>
    <t>USIM5</t>
  </si>
  <si>
    <t>BRCR11</t>
  </si>
  <si>
    <t>CNES11</t>
  </si>
  <si>
    <t>DEVA11</t>
  </si>
  <si>
    <t>KISU11</t>
  </si>
  <si>
    <t>MXRF11</t>
  </si>
  <si>
    <t>Soma de VALOR</t>
  </si>
  <si>
    <t>Soma de COTAS</t>
  </si>
  <si>
    <t>011</t>
  </si>
  <si>
    <t>012</t>
  </si>
  <si>
    <t>Tipo</t>
  </si>
  <si>
    <t>ETF</t>
  </si>
  <si>
    <t>CDB</t>
  </si>
  <si>
    <t>TESOURO DIRETO</t>
  </si>
  <si>
    <t>LCI</t>
  </si>
  <si>
    <t>LCA</t>
  </si>
  <si>
    <t>Titulo</t>
  </si>
  <si>
    <t>PETR4</t>
  </si>
  <si>
    <t>VALE3</t>
  </si>
  <si>
    <t>KNIP11</t>
  </si>
  <si>
    <t>XPML11</t>
  </si>
  <si>
    <t>(vazio)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</si>
</sst>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R$&quot;\ * #,##0.00_-;\-&quot;R$&quot;\ * #,##0.00_-;_-&quot;R$&quot;\ * &quot;-&quot;??_-;_-@_-"/>
    <numFmt numFmtId="164" formatCode="&quot;R$&quot;\ #,##0.00"/>
    <numFmt numFmtId="165" formatCode="dd"/>
    <numFmt numFmtId="166" formatCode="0.0"/>
    <numFmt numFmtId="167" formatCode="_-[$R$-416]\ * #,##0.00_-;\-[$R$-416]\ * #,##0.00_-;_-[$R$-416]\ * &quot;-&quot;??_-;_-@_-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Display"/>
      <family val="2"/>
      <scheme val="major"/>
    </font>
    <font>
      <sz val="11"/>
      <name val="Aptos Display"/>
      <family val="2"/>
      <scheme val="major"/>
    </font>
    <font>
      <sz val="1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2">
    <xf numFmtId="0" fontId="0" fillId="0" borderId="0" xfId="0"/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1" xfId="0" applyBorder="1"/>
    <xf numFmtId="0" fontId="0" fillId="3" borderId="1" xfId="0" applyFill="1" applyBorder="1"/>
    <xf numFmtId="44" fontId="0" fillId="3" borderId="1" xfId="0" applyNumberFormat="1" applyFill="1" applyBorder="1"/>
    <xf numFmtId="44" fontId="0" fillId="0" borderId="0" xfId="0" applyNumberFormat="1"/>
    <xf numFmtId="9" fontId="0" fillId="0" borderId="1" xfId="1" applyFont="1" applyBorder="1"/>
    <xf numFmtId="9" fontId="0" fillId="0" borderId="0" xfId="0" applyNumberFormat="1"/>
    <xf numFmtId="9" fontId="0" fillId="3" borderId="1" xfId="1" applyFont="1" applyFill="1" applyBorder="1"/>
    <xf numFmtId="9" fontId="0" fillId="3" borderId="1" xfId="0" applyNumberFormat="1" applyFill="1" applyBorder="1"/>
    <xf numFmtId="44" fontId="0" fillId="0" borderId="1" xfId="0" applyNumberFormat="1" applyBorder="1"/>
    <xf numFmtId="164" fontId="0" fillId="0" borderId="1" xfId="0" applyNumberFormat="1" applyBorder="1"/>
    <xf numFmtId="164" fontId="0" fillId="3" borderId="1" xfId="0" applyNumberFormat="1" applyFill="1" applyBorder="1"/>
    <xf numFmtId="9" fontId="0" fillId="3" borderId="0" xfId="1" applyFont="1" applyFill="1"/>
    <xf numFmtId="0" fontId="0" fillId="0" borderId="0" xfId="0" applyAlignment="1">
      <alignment horizontal="center"/>
    </xf>
    <xf numFmtId="14" fontId="0" fillId="0" borderId="1" xfId="0" applyNumberFormat="1" applyBorder="1"/>
    <xf numFmtId="0" fontId="0" fillId="0" borderId="2" xfId="0" applyBorder="1"/>
    <xf numFmtId="0" fontId="0" fillId="0" borderId="3" xfId="0" applyBorder="1"/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5" fillId="0" borderId="0" xfId="0" applyFont="1"/>
    <xf numFmtId="1" fontId="5" fillId="0" borderId="0" xfId="0" applyNumberFormat="1" applyFont="1"/>
    <xf numFmtId="0" fontId="5" fillId="5" borderId="3" xfId="0" applyFont="1" applyFill="1" applyBorder="1"/>
    <xf numFmtId="14" fontId="5" fillId="0" borderId="1" xfId="0" applyNumberFormat="1" applyFont="1" applyBorder="1"/>
    <xf numFmtId="0" fontId="6" fillId="5" borderId="1" xfId="0" applyFont="1" applyFill="1" applyBorder="1"/>
    <xf numFmtId="0" fontId="6" fillId="7" borderId="1" xfId="0" applyFont="1" applyFill="1" applyBorder="1"/>
    <xf numFmtId="165" fontId="5" fillId="7" borderId="5" xfId="0" applyNumberFormat="1" applyFont="1" applyFill="1" applyBorder="1" applyAlignment="1">
      <alignment horizontal="center" vertical="center"/>
    </xf>
    <xf numFmtId="0" fontId="5" fillId="6" borderId="1" xfId="0" applyFont="1" applyFill="1" applyBorder="1"/>
    <xf numFmtId="166" fontId="5" fillId="6" borderId="1" xfId="0" applyNumberFormat="1" applyFont="1" applyFill="1" applyBorder="1"/>
    <xf numFmtId="166" fontId="5" fillId="0" borderId="1" xfId="0" applyNumberFormat="1" applyFont="1" applyBorder="1"/>
    <xf numFmtId="0" fontId="5" fillId="0" borderId="1" xfId="0" applyFont="1" applyBorder="1"/>
    <xf numFmtId="166" fontId="6" fillId="6" borderId="1" xfId="0" applyNumberFormat="1" applyFont="1" applyFill="1" applyBorder="1"/>
    <xf numFmtId="166" fontId="5" fillId="0" borderId="0" xfId="0" applyNumberFormat="1" applyFont="1"/>
    <xf numFmtId="0" fontId="5" fillId="0" borderId="1" xfId="0" applyFont="1" applyBorder="1" applyAlignment="1">
      <alignment horizontal="center" vertical="center"/>
    </xf>
    <xf numFmtId="165" fontId="0" fillId="0" borderId="0" xfId="0" applyNumberFormat="1"/>
    <xf numFmtId="14" fontId="5" fillId="6" borderId="1" xfId="0" applyNumberFormat="1" applyFont="1" applyFill="1" applyBorder="1"/>
    <xf numFmtId="14" fontId="5" fillId="6" borderId="1" xfId="0" applyNumberFormat="1" applyFont="1" applyFill="1" applyBorder="1" applyAlignment="1">
      <alignment wrapText="1"/>
    </xf>
    <xf numFmtId="14" fontId="5" fillId="0" borderId="0" xfId="0" applyNumberFormat="1" applyFont="1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7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49" fontId="7" fillId="6" borderId="1" xfId="0" applyNumberFormat="1" applyFont="1" applyFill="1" applyBorder="1" applyAlignment="1">
      <alignment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5" fillId="5" borderId="15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5" borderId="10" xfId="0" applyFont="1" applyFill="1" applyBorder="1" applyAlignment="1">
      <alignment horizontal="center" vertical="center"/>
    </xf>
    <xf numFmtId="0" fontId="5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0" fillId="8" borderId="16" xfId="0" applyFont="1" applyFill="1" applyBorder="1"/>
    <xf numFmtId="0" fontId="0" fillId="8" borderId="16" xfId="0" applyFont="1" applyFill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8" borderId="17" xfId="0" applyFont="1" applyFill="1" applyBorder="1" applyAlignment="1">
      <alignment horizontal="center"/>
    </xf>
    <xf numFmtId="0" fontId="0" fillId="0" borderId="0" xfId="0" applyNumberFormat="1"/>
  </cellXfs>
  <cellStyles count="2">
    <cellStyle name="Normal" xfId="0" builtinId="0"/>
    <cellStyle name="Porcentagem" xfId="1" builtinId="5"/>
  </cellStyles>
  <dxfs count="39">
    <dxf>
      <font>
        <b/>
        <i val="0"/>
        <color theme="0"/>
      </font>
    </dxf>
    <dxf>
      <fill>
        <patternFill>
          <bgColor rgb="FFD8E9CD"/>
        </patternFill>
      </fill>
    </dxf>
    <dxf>
      <fill>
        <patternFill>
          <bgColor rgb="FFFEFE9C"/>
        </patternFill>
      </fill>
    </dxf>
    <dxf>
      <font>
        <b val="0"/>
        <i val="0"/>
        <color rgb="FFC00000"/>
      </font>
    </dxf>
    <dxf>
      <font>
        <color rgb="FFC00000"/>
      </font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numFmt numFmtId="167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numFmt numFmtId="167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&quot;R$&quot;\ #,##0.00"/>
    </dxf>
    <dxf>
      <numFmt numFmtId="164" formatCode="&quot;R$&quot;\ #,##0.00"/>
    </dxf>
    <dxf>
      <numFmt numFmtId="164" formatCode="&quot;R$&quot;\ #,##0.00"/>
    </dxf>
    <dxf>
      <numFmt numFmtId="30" formatCode="@"/>
    </dxf>
    <dxf>
      <numFmt numFmtId="0" formatCode="General"/>
    </dxf>
    <dxf>
      <numFmt numFmtId="19" formatCode="dd/mm/yyyy"/>
    </dxf>
    <dxf>
      <numFmt numFmtId="0" formatCode="General"/>
    </dxf>
    <dxf>
      <numFmt numFmtId="30" formatCode="@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18" Type="http://schemas.microsoft.com/office/2017/06/relationships/richStyles" Target="richData/richStyles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Array" Target="richData/rdarray.xml"/><Relationship Id="rId2" Type="http://schemas.openxmlformats.org/officeDocument/2006/relationships/worksheet" Target="worksheets/sheet2.xml"/><Relationship Id="rId16" Type="http://schemas.microsoft.com/office/2017/06/relationships/rdRichValueStructure" Target="richData/rdrichvaluestructure.xml"/><Relationship Id="rId20" Type="http://schemas.microsoft.com/office/2017/06/relationships/rdSupportingPropertyBag" Target="richData/rdsupportingpropertybag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06/relationships/rdRichValue" Target="richData/rdrichvalue.xml"/><Relationship Id="rId10" Type="http://schemas.openxmlformats.org/officeDocument/2006/relationships/pivotCacheDefinition" Target="pivotCache/pivotCacheDefinition1.xml"/><Relationship Id="rId19" Type="http://schemas.microsoft.com/office/2017/06/relationships/rdSupportingPropertyBagStructure" Target="richData/rdsupportingpropertybagstructur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Relationship Id="rId22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richPivotRecords" Target="richPivot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Gustavo Rebelo" refreshedDate="45601.00642928241" createdVersion="8" refreshedVersion="8" minRefreshableVersion="3" recordCount="14" xr:uid="{9ECE6FBD-1FE9-488E-B05F-B2393D364E86}">
  <cacheSource type="worksheet">
    <worksheetSource ref="B2:G16" sheet="Investimento"/>
  </cacheSource>
  <cacheFields count="6">
    <cacheField name="TIPO" numFmtId="0">
      <sharedItems containsBlank="1" count="3">
        <s v="AÇÃO"/>
        <s v="FI"/>
        <m/>
      </sharedItems>
    </cacheField>
    <cacheField name="RAZÃO SOCIAL" numFmtId="0">
      <sharedItems containsBlank="1"/>
    </cacheField>
    <cacheField name="TICKER" numFmtId="0">
      <sharedItems count="12">
        <s v="USIM5"/>
        <s v="MXRF11"/>
        <s v="KISU11"/>
        <s v="BBAS3"/>
        <s v="PETR4"/>
        <s v="CNES11"/>
        <s v="BRCR11"/>
        <s v="DEVA11"/>
        <s v="VALE3"/>
        <s v="XPML11"/>
        <s v="KNIP11"/>
        <s v="#CAMPO!"/>
      </sharedItems>
    </cacheField>
    <cacheField name="PREÇO" numFmtId="167">
      <sharedItems containsMixedTypes="1" containsNumber="1" minValue="1.3" maxValue="103.46"/>
    </cacheField>
    <cacheField name="COTAS" numFmtId="0">
      <sharedItems containsString="0" containsBlank="1" containsNumber="1" containsInteger="1" minValue="8" maxValue="115"/>
    </cacheField>
    <cacheField name="VALOR" numFmtId="167">
      <sharedItems containsMixedTypes="1" containsNumber="1" minValue="23.400000000000002" maxValue="940.05000000000007"/>
    </cacheField>
  </cacheFields>
  <extLst>
    <ext xmlns:x14="http://schemas.microsoft.com/office/spreadsheetml/2009/9/main" uri="{725AE2AE-9491-48be-B2B4-4EB974FC3084}">
      <x14:pivotCacheDefinition/>
    </ext>
    <ext xmlns:xxpvi="http://schemas.microsoft.com/office/spreadsheetml/2022/pivotVersionInfo" uri="{9F748A41-CAEA-4470-BF7A-CE61E8FFA7F9}">
      <xxpvi:cacheVersionInfo>
        <xxpvi:lastRefreshFeature>RichData</xxpvi:lastRefreshFeature>
      </xxpvi:cacheVersionInfo>
    </ext>
    <ext xmlns:xprd="http://schemas.microsoft.com/office/spreadsheetml/2022/pivotRichData" uri="{2C874A73-7782-4A18-856F-96AC7E287872}">
      <xprd:richInfo pivotCacheGuid="{9ECE6FBD-1FE9-488E-B05F-B2393D364E86}" pivotIgnoreInvalidCache="1" r:id="rId1"/>
    </ext>
  </extLst>
</pivotCacheDefinition>
</file>

<file path=xl/pivotCache/richPivot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s v="Usinas Siderúrgicas de Minas Gerais S/A - USIMINAS (BVMF:USIM5)"/>
    <x v="0"/>
    <n v="6.56"/>
    <n v="115"/>
    <n v="754.4"/>
  </r>
  <r>
    <x v="1"/>
    <s v="MAXI RENDA FII ETF (BVMF:MXRF11)"/>
    <x v="1"/>
    <n v="9.27"/>
    <n v="92"/>
    <n v="852.83999999999992"/>
  </r>
  <r>
    <x v="1"/>
    <s v="KILIMA FI EM COTAS FDO IMOB SUNO 30 (BVMF:KISU11)"/>
    <x v="2"/>
    <n v="7.43"/>
    <n v="54"/>
    <n v="401.21999999999997"/>
  </r>
  <r>
    <x v="0"/>
    <s v="Banco do Brasil S.A. (BVMF:BBAS3)"/>
    <x v="3"/>
    <n v="26.24"/>
    <n v="25"/>
    <n v="656"/>
  </r>
  <r>
    <x v="0"/>
    <s v="Petróleo Brasileiro S.A. (Petrobras) (BVMF:PETR4)"/>
    <x v="4"/>
    <n v="35.5"/>
    <n v="20"/>
    <n v="710"/>
  </r>
  <r>
    <x v="1"/>
    <s v="FDO INV IMOB FII CENESP CF (BVMF:CNES11)"/>
    <x v="5"/>
    <n v="1.3"/>
    <n v="18"/>
    <n v="23.400000000000002"/>
  </r>
  <r>
    <x v="1"/>
    <s v="FDO INV IMOB BTG PACTUAL CORP F REIT (BVMF:BRCR11)"/>
    <x v="6"/>
    <n v="43.17"/>
    <n v="18"/>
    <n v="777.06000000000006"/>
  </r>
  <r>
    <x v="1"/>
    <s v="DEVANT RECEBIVEIS IMOBILIARIOS FII CF (BVMF:DEVA11)"/>
    <x v="7"/>
    <n v="32.659999999999997"/>
    <n v="15"/>
    <n v="489.9"/>
  </r>
  <r>
    <x v="0"/>
    <s v="VALE S.A. (BVMF:VALE3)"/>
    <x v="8"/>
    <n v="62.67"/>
    <n v="15"/>
    <n v="940.05000000000007"/>
  </r>
  <r>
    <x v="1"/>
    <s v="XP MALLS FDO INV IMOB FII ETF (BVMF:XPML11)"/>
    <x v="9"/>
    <n v="103.46"/>
    <n v="8"/>
    <n v="827.68"/>
  </r>
  <r>
    <x v="1"/>
    <s v="KINEA INDICES DE PRECOS FDO INV IMOB CF (BVMF:KNIP11)"/>
    <x v="10"/>
    <n v="90.15"/>
    <n v="8"/>
    <n v="721.2"/>
  </r>
  <r>
    <x v="2"/>
    <m/>
    <x v="11"/>
    <s v="#CAMPO!"/>
    <m/>
    <s v="#CAMPO!"/>
  </r>
  <r>
    <x v="2"/>
    <m/>
    <x v="11"/>
    <s v="#CAMPO!"/>
    <m/>
    <s v="#CAMPO!"/>
  </r>
  <r>
    <x v="2"/>
    <m/>
    <x v="11"/>
    <s v="#CAMPO!"/>
    <m/>
    <s v="#CAMPO!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F8DF67-3B4B-45AF-A3A4-D03346FA002A}" name="Tabela dinâmica3" cacheId="15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I2:K18" firstHeaderRow="0" firstDataRow="1" firstDataCol="1"/>
  <pivotFields count="6">
    <pivotField axis="axisRow" showAll="0">
      <items count="4">
        <item x="0"/>
        <item x="1"/>
        <item x="2"/>
        <item t="default"/>
      </items>
    </pivotField>
    <pivotField showAll="0"/>
    <pivotField axis="axisRow" showAll="0">
      <items count="13">
        <item x="3"/>
        <item x="6"/>
        <item x="5"/>
        <item x="7"/>
        <item x="2"/>
        <item x="1"/>
        <item x="0"/>
        <item x="4"/>
        <item x="10"/>
        <item x="8"/>
        <item x="9"/>
        <item x="11"/>
        <item t="default"/>
      </items>
    </pivotField>
    <pivotField numFmtId="167" showAll="0"/>
    <pivotField dataField="1" showAll="0"/>
    <pivotField dataField="1" numFmtId="167" showAll="0"/>
  </pivotFields>
  <rowFields count="2">
    <field x="0"/>
    <field x="2"/>
  </rowFields>
  <rowItems count="16">
    <i>
      <x/>
    </i>
    <i r="1">
      <x/>
    </i>
    <i r="1">
      <x v="6"/>
    </i>
    <i r="1">
      <x v="7"/>
    </i>
    <i r="1">
      <x v="9"/>
    </i>
    <i>
      <x v="1"/>
    </i>
    <i r="1">
      <x v="1"/>
    </i>
    <i r="1">
      <x v="2"/>
    </i>
    <i r="1">
      <x v="3"/>
    </i>
    <i r="1">
      <x v="4"/>
    </i>
    <i r="1">
      <x v="5"/>
    </i>
    <i r="1">
      <x v="8"/>
    </i>
    <i r="1">
      <x v="10"/>
    </i>
    <i>
      <x v="2"/>
    </i>
    <i r="1"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VALOR" fld="5" baseField="0" baseItem="0"/>
    <dataField name="Soma de COTA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  <ext xmlns:xxpvi="http://schemas.microsoft.com/office/spreadsheetml/2022/pivotVersionInfo" uri="{9F748A41-CAEA-4470-BF7A-CE61E8FFA7F9}">
      <xxpvi:pivotVersionInfo>
        <xxpvi:lastUpdateFeature>RichData</xxpvi:lastUpdateFeature>
      </xxpvi:pivotVersionInfo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array.xml><?xml version="1.0" encoding="utf-8"?>
<arrayData xmlns="http://schemas.microsoft.com/office/spreadsheetml/2017/richdata2" count="3">
  <a r="15">
    <v t="e">#NULL!</v>
    <v t="e">#NULL!</v>
    <v t="e">#NULL!</v>
    <v t="e">#NULL!</v>
    <v t="e">#NULL!</v>
    <v t="e">#NULL!</v>
    <v t="e">#NULL!</v>
    <v t="e">#NULL!</v>
    <v t="e">#NULL!</v>
    <v t="e">#NULL!</v>
    <v t="e">#NULL!</v>
    <v t="r">47</v>
    <v t="r">47</v>
    <v t="r">47</v>
    <v t="i">2</v>
  </a>
  <a r="15">
    <v t="r">2</v>
    <v t="r">5</v>
    <v t="r">8</v>
    <v t="r">17</v>
    <v t="r">23</v>
    <v t="r">20</v>
    <v t="r">11</v>
    <v t="r">14</v>
    <v t="r">26</v>
    <v t="r">44</v>
    <v t="r">35</v>
    <v t="e">#NULL!</v>
    <v t="e">#NULL!</v>
    <v t="e">#NULL!</v>
    <v t="i">2</v>
  </a>
  <a r="13">
    <v t="e">#NULL!</v>
    <v t="e">#NULL!</v>
    <v t="e">#NULL!</v>
    <v t="e">#NULL!</v>
    <v t="e">#NULL!</v>
    <v t="e">#NULL!</v>
    <v t="e">#NULL!</v>
    <v t="e">#NULL!</v>
    <v t="e">#NULL!</v>
    <v t="e">#NULL!</v>
    <v t="e">#NULL!</v>
    <v t="r">47</v>
    <v t="i">1</v>
  </a>
</arrayData>
</file>

<file path=xl/richData/rdrichvalue.xml><?xml version="1.0" encoding="utf-8"?>
<rvData xmlns="http://schemas.microsoft.com/office/spreadsheetml/2017/richdata" count="52">
  <rv s="0">
    <v>https://www.bing.com/financeapi/forcetrigger?t=apnjh7&amp;q=BVMF%3aUSIM5&amp;form=skydnc</v>
    <v>Learn more on Bing</v>
  </rv>
  <rv s="1">
    <v>pt-BR</v>
    <v>apnjh7</v>
    <v>268435456</v>
    <v>1</v>
    <v>Da plataforma Refinitiv</v>
    <v>0</v>
    <v>1</v>
    <v>Usinas Siderúrgicas de Minas Gerais S/A - USIMINAS (BVMF:USIM5)</v>
    <v>3</v>
    <v>4</v>
    <v>Finance</v>
    <v>5</v>
    <v>10.89</v>
    <v>5.42</v>
    <v>BVMF</v>
    <v>1253079000</v>
    <v>6.63</v>
    <v>1954</v>
    <v>6.37</v>
    <v>1.1356999999999999</v>
    <v>B3 - Brazil Stock Exchange</v>
    <v>7750435000</v>
    <v>As Usinas Siderúrgicas de Minas Gerais SA USIMINAS e suas subsidiárias, sociedades controladas em conjunto e coligadas têm por objeto a siderurgia e outras atividades relacionadas. As atividades da Companhia incluem extração de minério de ferro, transformação do aço, produção de bens de capital e logística. Atua em quatro segmentos: Siderurgia, Mineração e Logística, Transformação do Aço e Bens de Capital. Produz e comercializa diversos produtos e matérias-primas, como aços planos, minério de ferro, peças estampadas de aço para a indústria automotiva e produtos para a construção civil e a indústria de bens de capital. Presta serviços de transferência de tecnologia na atividade siderúrgica, na gestão de projetos e prestação de serviços na área da construção civil e indústria de bens de capital, transporte rodoviário de aços planos, galvanização a quente de aços, texturização e cilindros de cromo. Possui mais de duas usinas siderúrgicas no Brasil localizadas nas cidades de Ipatinga, Estado de Minas Gerais, e de Cubatão, Estado de São Paulo.</v>
    <v>BVMF</v>
    <v>6.32</v>
    <v>51182</v>
    <v>45600.947916666664</v>
    <v>0</v>
    <v>15586120</v>
    <v>BRL</v>
    <v>Usinas Siderúrgicas de Minas Gerais S/A - USIMINAS</v>
    <v>Usinas Siderúrgicas de Minas Gerais S/A - USIMINAS</v>
    <v>6.4</v>
    <v>6.56</v>
    <v>Avenida do Contorno, 6.594, Savassi, BELO HORIZONTE, MINAS GERAIS, 30.110-044 BR</v>
    <v>Metals &amp; Mining</v>
    <v>USIM5</v>
    <v>Ações</v>
    <v>Usinas Siderúrgicas de Minas Gerais S/A - USIMINAS (BVMF:USIM5)</v>
    <v>0.24</v>
    <v>3.7975000000000002E-2</v>
    <v>11035200</v>
  </rv>
  <rv s="2">
    <v>1</v>
  </rv>
  <rv s="0">
    <v>https://www.bing.com/financeapi/forcetrigger?t=apn14c&amp;q=BVMF%3aMXRF11&amp;form=skydnc</v>
    <v>Learn more on Bing</v>
  </rv>
  <rv s="3">
    <v>pt-BR</v>
    <v>apn14c</v>
    <v>268435456</v>
    <v>1</v>
    <v>Da plataforma Refinitiv</v>
    <v>6</v>
    <v>7</v>
    <v>MAXI RENDA FII ETF (BVMF:MXRF11)</v>
    <v>8</v>
    <v>9</v>
    <v>Finance</v>
    <v>5</v>
    <v>10.02</v>
    <v>9.19</v>
    <v>BVMF</v>
    <v>9.4700000000000006</v>
    <v>9.19</v>
    <v>B3 - Brazil Stock Exchange</v>
    <v>9.42</v>
    <v>45600.947916666664</v>
    <v>3</v>
    <v>BRL</v>
    <v>MAXI RENDA FII ETF</v>
    <v>9.44</v>
    <v>9.27</v>
    <v>MXRF11</v>
    <v>Fundos mais negociados</v>
    <v>MAXI RENDA FII ETF (BVMF:MXRF11)</v>
    <v>-0.15</v>
    <v>-1.5924000000000001E-2</v>
    <v>4267846</v>
  </rv>
  <rv s="2">
    <v>4</v>
  </rv>
  <rv s="0">
    <v>https://www.bing.com/financeapi/forcetrigger?t=bxe577&amp;q=BVMF%3aKISU11&amp;form=skydnc</v>
    <v>Learn more on Bing</v>
  </rv>
  <rv s="3">
    <v>pt-BR</v>
    <v>bxe577</v>
    <v>268435456</v>
    <v>1</v>
    <v>Da plataforma Refinitiv</v>
    <v>6</v>
    <v>7</v>
    <v>KILIMA FI EM COTAS FDO IMOB SUNO 30 (BVMF:KISU11)</v>
    <v>8</v>
    <v>9</v>
    <v>Finance</v>
    <v>5</v>
    <v>8.27</v>
    <v>7.16</v>
    <v>BVMF</v>
    <v>7.43</v>
    <v>7.31</v>
    <v>B3 - Brazil Stock Exchange</v>
    <v>7.37</v>
    <v>45600.947916666664</v>
    <v>6</v>
    <v>BRL</v>
    <v>KILIMA FI EM COTAS FDO IMOB SUNO 30</v>
    <v>7.35</v>
    <v>7.43</v>
    <v>KISU11</v>
    <v>Fundos mais negociados</v>
    <v>KILIMA FI EM COTAS FDO IMOB SUNO 30 (BVMF:KISU11)</v>
    <v>0.06</v>
    <v>8.1410000000000007E-3</v>
    <v>78743</v>
  </rv>
  <rv s="2">
    <v>7</v>
  </rv>
  <rv s="0">
    <v>https://www.bing.com/financeapi/forcetrigger?t=apm3rw&amp;q=BVMF%3aBRCR11&amp;form=skydnc</v>
    <v>Learn more on Bing</v>
  </rv>
  <rv s="3">
    <v>pt-BR</v>
    <v>apm3rw</v>
    <v>268435456</v>
    <v>1</v>
    <v>Da plataforma Refinitiv</v>
    <v>6</v>
    <v>7</v>
    <v>FDO INV IMOB BTG PACTUAL CORP F REIT (BVMF:BRCR11)</v>
    <v>8</v>
    <v>9</v>
    <v>Finance</v>
    <v>5</v>
    <v>56.76</v>
    <v>43.02</v>
    <v>BVMF</v>
    <v>43.75</v>
    <v>43.1</v>
    <v>B3 - Brazil Stock Exchange</v>
    <v>43.61</v>
    <v>45600.947916666664</v>
    <v>9</v>
    <v>BRL</v>
    <v>FDO INV IMOB BTG PACTUAL CORP F REIT</v>
    <v>43.61</v>
    <v>43.17</v>
    <v>BRCR11</v>
    <v>Fundos mais negociados</v>
    <v>FDO INV IMOB BTG PACTUAL CORP F REIT (BVMF:BRCR11)</v>
    <v>-0.44</v>
    <v>-1.0088999999999999E-2</v>
    <v>50160</v>
  </rv>
  <rv s="2">
    <v>10</v>
  </rv>
  <rv s="0">
    <v>https://www.bing.com/financeapi/forcetrigger?t=bwwglh&amp;q=BVMF%3aDEVA11&amp;form=skydnc</v>
    <v>Learn more on Bing</v>
  </rv>
  <rv s="3">
    <v>pt-BR</v>
    <v>bwwglh</v>
    <v>268435456</v>
    <v>1</v>
    <v>Da plataforma Refinitiv</v>
    <v>6</v>
    <v>7</v>
    <v>DEVANT RECEBIVEIS IMOBILIARIOS FII CF (BVMF:DEVA11)</v>
    <v>8</v>
    <v>9</v>
    <v>Finance</v>
    <v>5</v>
    <v>46.43</v>
    <v>32.5</v>
    <v>BVMF</v>
    <v>32.99</v>
    <v>32.5</v>
    <v>B3 - Brazil Stock Exchange</v>
    <v>32.65</v>
    <v>45600.947916666664</v>
    <v>12</v>
    <v>BRL</v>
    <v>DEVANT RECEBIVEIS IMOBILIARIOS FII CF</v>
    <v>32.6</v>
    <v>32.659999999999997</v>
    <v>DEVA11</v>
    <v>Fundos mais negociados</v>
    <v>DEVANT RECEBIVEIS IMOBILIARIOS FII CF (BVMF:DEVA11)</v>
    <v>0.01</v>
    <v>3.0630000000000002E-4</v>
    <v>19731</v>
  </rv>
  <rv s="2">
    <v>13</v>
  </rv>
  <rv s="0">
    <v>https://www.bing.com/financeapi/forcetrigger?t=aplygh&amp;q=BVMF%3aBBAS3&amp;form=skydnc</v>
    <v>Learn more on Bing</v>
  </rv>
  <rv s="1">
    <v>pt-BR</v>
    <v>aplygh</v>
    <v>268435456</v>
    <v>1</v>
    <v>Da plataforma Refinitiv</v>
    <v>0</v>
    <v>1</v>
    <v>Banco do Brasil S.A. (BVMF:BBAS3)</v>
    <v>3</v>
    <v>4</v>
    <v>Finance</v>
    <v>5</v>
    <v>29.1</v>
    <v>22.49</v>
    <v>BVMF</v>
    <v>5730834000</v>
    <v>26.42</v>
    <v>1808</v>
    <v>26.15</v>
    <v>1.0382</v>
    <v>B3 - Brazil Stock Exchange</v>
    <v>150377084160</v>
    <v>O BANCO DO BRASIL S.A. é uma empresa brasileira dedicada sobretudo ao setor financeiro. As atividades da Empresa estão divididas em cinco segmentos: bancário, investimentos, gestão de ativos, segurança e tipos de pagamento. O Banco também participa de outras atividades econômicas, como leasing e suporte operacional. O Banco tem clientes individuais e corporativos. Oferece uma variedade de produtos e serviços financeiros, como depósitos, contas poupança, gestão de ativos, empréstimos, e seguros de saúde, de vida e patrimonial. Além disso, oferece transações financeiras em várias formas, incluindo operações cambiais e atividades complementares, com ênfase na previdência privada, capitalização, valores mobiliários, corretagem, administração de cartões de crédito e de débito, consórcios, fundos de investimento e portfólios de gestão. O BANCO DO BRASIL S.A. atua nos mercados nacional e internacional.</v>
    <v>BVMF</v>
    <v>26.09</v>
    <v>85953</v>
    <v>45600.947916666664</v>
    <v>15</v>
    <v>15328950</v>
    <v>BRL</v>
    <v>Banco do Brasil S.A.</v>
    <v>Banco do Brasil S.A.</v>
    <v>26.27</v>
    <v>26.24</v>
    <v>Saun Quadra 05, Lote B Ed. BB, Asa Norte, BRASILIA, DISTRITO FEDERAL, 70.040-912 BR</v>
    <v>Banking Services</v>
    <v>BBAS3</v>
    <v>Ações</v>
    <v>Banco do Brasil S.A. (BVMF:BBAS3)</v>
    <v>0.15</v>
    <v>5.7489999999999998E-3</v>
    <v>12169700</v>
  </rv>
  <rv s="2">
    <v>16</v>
  </rv>
  <rv s="0">
    <v>https://www.bing.com/financeapi/forcetrigger?t=bgmhrw&amp;q=BVMF%3aCNES11&amp;form=skydnc</v>
    <v>Learn more on Bing</v>
  </rv>
  <rv s="3">
    <v>pt-BR</v>
    <v>bgmhrw</v>
    <v>268435456</v>
    <v>1</v>
    <v>Da plataforma Refinitiv</v>
    <v>6</v>
    <v>7</v>
    <v>FDO INV IMOB FII CENESP CF (BVMF:CNES11)</v>
    <v>8</v>
    <v>9</v>
    <v>Finance</v>
    <v>5</v>
    <v>3.73</v>
    <v>1.23</v>
    <v>BVMF</v>
    <v>1.35</v>
    <v>1.3</v>
    <v>B3 - Brazil Stock Exchange</v>
    <v>1.31</v>
    <v>45600.947916666664</v>
    <v>18</v>
    <v>BRL</v>
    <v>FDO INV IMOB FII CENESP CF</v>
    <v>1.31</v>
    <v>1.3</v>
    <v>CNES11</v>
    <v>Fundos mais negociados</v>
    <v>FDO INV IMOB FII CENESP CF (BVMF:CNES11)</v>
    <v>-0.01</v>
    <v>-7.6339999999999993E-3</v>
    <v>45791</v>
  </rv>
  <rv s="2">
    <v>19</v>
  </rv>
  <rv s="0">
    <v>https://www.bing.com/financeapi/forcetrigger?t=apn4gh&amp;q=BVMF%3aPETR4&amp;form=skydnc</v>
    <v>Learn more on Bing</v>
  </rv>
  <rv s="1">
    <v>pt-BR</v>
    <v>apn4gh</v>
    <v>268435456</v>
    <v>1</v>
    <v>Da plataforma Refinitiv</v>
    <v>0</v>
    <v>1</v>
    <v>Petróleo Brasileiro S.A. (Petrobras) (BVMF:PETR4)</v>
    <v>3</v>
    <v>4</v>
    <v>Finance</v>
    <v>5</v>
    <v>39.86</v>
    <v>28.86</v>
    <v>BVMF</v>
    <v>13044500000</v>
    <v>35.950000000000003</v>
    <v>1953</v>
    <v>35.380000000000003</v>
    <v>1.2868999999999999</v>
    <v>B3 - Brazil Stock Exchange</v>
    <v>483470300000</v>
    <v>A PETRÓLEO BRASILEIRO S.A. - PETROBRAS é uma empresa especializada na indústria de petróleo, gás natural e energia. A Empresa está envolvida na prospecção, perfuração, refinação, transformação, comercialização e transporte de petróleo bruto proveniente da produção de campos petrolíferos onshore e offshore e de xisto ou outras rochas. Seus segmentos incluem Exploração e Produção, que abrange as atividades de exploração, desenvolvimento e produção de petróleo bruto, gás natural líquido e gás natural; Refinação, Transporte e Marketing, que abrange as atividades de refinação, logística, transporte e comercialização de petróleo, exportação de etanol e extração e processamento de xistos; Gás e Energia, que se dedica ao transporte e comercialização de gás natural produzido no Brasil e gás natural importado; Biocombustíveis, que abrange as atividades de produção de biodiesel e seus co-produtos, e atividades relacionadas ao etanol; Distribuição, que inclui as atividades de sua subsidiária Petrobras Distribuidora S.A. e Corporativa.</v>
    <v>BVMF</v>
    <v>35.42</v>
    <v>46730</v>
    <v>45600.947916666664</v>
    <v>21</v>
    <v>27836250</v>
    <v>BRL</v>
    <v>Petróleo Brasileiro S.A. (Petrobras)</v>
    <v>Petróleo Brasileiro S.A. (Petrobras)</v>
    <v>35.9</v>
    <v>35.5</v>
    <v>Av. Republica do Chile, n 65, 24 andar, Centro, RIO DE JANEIRO, RIO DE JANEIRO, 20.031-912 BR</v>
    <v>Oil &amp; Gas</v>
    <v>PETR4</v>
    <v>Ações</v>
    <v>Petróleo Brasileiro S.A. (Petrobras) (BVMF:PETR4)</v>
    <v>0.08</v>
    <v>2.2589999999999997E-3</v>
    <v>24003600</v>
  </rv>
  <rv s="2">
    <v>22</v>
  </rv>
  <rv s="0">
    <v>https://www.bing.com/financeapi/forcetrigger?t=apnjsm&amp;q=BVMF%3aVALE3&amp;form=skydnc</v>
    <v>Learn more on Bing</v>
  </rv>
  <rv s="1">
    <v>pt-BR</v>
    <v>apnjsm</v>
    <v>268435456</v>
    <v>1</v>
    <v>Da plataforma Refinitiv</v>
    <v>0</v>
    <v>1</v>
    <v>VALE S.A. (BVMF:VALE3)</v>
    <v>3</v>
    <v>4</v>
    <v>Finance</v>
    <v>5</v>
    <v>72.209999999999994</v>
    <v>55.48</v>
    <v>BVMF</v>
    <v>4539008000</v>
    <v>62.87</v>
    <v>1943</v>
    <v>62.12</v>
    <v>0.62270000000000003</v>
    <v>B3 - Brazil Stock Exchange</v>
    <v>284459631360</v>
    <v>A Vale S.A. é uma produtora global de minério de ferro e pelotas de minério de ferro, principais matérias-primas para a produção de aço e produtora de níquel. A Companhia também produz cobre, carvão metalúrgico e térmico, potássio, fosfatos e outros nutrientes fertilizantes, minério de manganês, ferroligas, metais do grupo da platina, ouro, prata e cobalto. Os segmentos da Companhia incluem minerais Ferrosos, que engloba a produção e extração de minerais ferrosos, como finos de minério de ferro, pelotas de minério de ferro e seus serviços de logística, manganês e ferroligas e outros produtos e serviços ferrosos; Carvão, que compreende a extração de carvão metalúrgico e térmico e seus serviços logísticos; Metais básicos, que incluem a produção e extração de minerais não-ferrosos, e são apresentados como níquel e seus derivados, e cobre (concentrado de cobre), e Outros, que engloba as vendas e despesas de outros produtos, serviços e investimentos em joint ventures e associar em outros negócios.</v>
    <v>BVMF</v>
    <v>62.03</v>
    <v>66807</v>
    <v>45600.947916666664</v>
    <v>24</v>
    <v>17688430</v>
    <v>BRL</v>
    <v>VALE S.A.</v>
    <v>VALE S.A.</v>
    <v>62.4</v>
    <v>62.67</v>
    <v>Torre Oscar Niemeyer, Praia de Botafogo n 186 salas 1901 e outras, Botafogo, RIO DE JANEIRO, RIO DE JANEIRO, 34.855-000 BR</v>
    <v>Metals &amp; Mining</v>
    <v>VALE3</v>
    <v>Ações</v>
    <v>VALE S.A. (BVMF:VALE3)</v>
    <v>0.64</v>
    <v>1.0318000000000001E-2</v>
    <v>12360000</v>
  </rv>
  <rv s="2">
    <v>25</v>
  </rv>
  <rv s="0">
    <v>https://www.bing.com/financeapi/forcetrigger?t=apltyc&amp;q=BVMF%3aABEV3&amp;form=skydnc</v>
    <v>Learn more on Bing</v>
  </rv>
  <rv s="1">
    <v>pt-BR</v>
    <v>apltyc</v>
    <v>268435456</v>
    <v>1</v>
    <v>Da plataforma Refinitiv</v>
    <v>0</v>
    <v>1</v>
    <v>Ambev S.A. (BVMF:ABEV3)</v>
    <v>3</v>
    <v>4</v>
    <v>Finance</v>
    <v>5</v>
    <v>14.13</v>
    <v>10.98</v>
    <v>BVMF</v>
    <v>15757660000</v>
    <v>12.71</v>
    <v>2005</v>
    <v>12.51</v>
    <v>0.6956</v>
    <v>B3 - Brazil Stock Exchange</v>
    <v>199649552200</v>
    <v>A Ambev SA, anteriormente Inbev Participações Societarias SA, é uma empresa brasileira com sede no setor cervejeiro. A Companhia produz, distribui e vende cerveja, refrigerantes com gás (CSDs) e outras bebidas não alcoólicas e não carbonatadas (NANC) nas Américas. As atividades da Companhia estão divididas em três segmentos: América Latina do Norte, incluindo venda de cerveja, refrigerantes e bebidas NANC no Brasil, além de operações na República Dominicana, São Vicente, Antígua, Dominica, Cuba, Guatemala, El Salvador, Honduras, Nicarágua, Barbados e Panamá; América Latina Sul, distribuindo produtos na Argentina, Bolívia, Paraguai, Uruguai, Chile; e Canadá, representado pelas operações da Labatt, que inclui vendas no Canadá e algumas exportações para o mercado dos EUA. A Companhia comercializa produtos com várias marcas, como Adriatica, Brahma, Leffe, Budweiser, Corona, PepsiCo e Lipton. É uma subsidiária da Interbrew International BV.</v>
    <v>BVMF</v>
    <v>12.54</v>
    <v>43000</v>
    <v>45600.947916666664</v>
    <v>27</v>
    <v>27738700</v>
    <v>BRL</v>
    <v>Ambev S.A.</v>
    <v>Ambev S.A.</v>
    <v>12.59</v>
    <v>12.67</v>
    <v>Rua Dr. Renato Paes de Barros, 1.017, 4 andar, Itaim Bibi, SAO PAULO, SAO PAULO, 04.530-001 BR</v>
    <v>Beverages</v>
    <v>ABEV3</v>
    <v>Ações</v>
    <v>Ambev S.A. (BVMF:ABEV3)</v>
    <v>0.13</v>
    <v>1.0366999999999999E-2</v>
    <v>19442900</v>
  </rv>
  <rv s="2">
    <v>28</v>
  </rv>
  <rv s="0">
    <v>https://www.bing.com/financeapi/forcetrigger?t=c2yvmw&amp;q=BVMF%3aRAIZ4&amp;form=skydnc</v>
    <v>Learn more on Bing</v>
  </rv>
  <rv s="4">
    <v>pt-BR</v>
    <v>c2yvmw</v>
    <v>268435456</v>
    <v>1</v>
    <v>Da plataforma Refinitiv</v>
    <v>10</v>
    <v>11</v>
    <v>Raízen S.A. (BVMF:RAIZ4)</v>
    <v>3</v>
    <v>12</v>
    <v>Finance</v>
    <v>13</v>
    <v>4.1900000000000004</v>
    <v>2.64</v>
    <v>BVMF</v>
    <v>1358937000</v>
    <v>2.91</v>
    <v>1961</v>
    <v>2.85</v>
    <v>1.4059999999999999</v>
    <v>B3 - Brazil Stock Exchange</v>
    <v>3940917300</v>
    <v>A Raízen SA, anteriormente conhecida como Raízen Combustiveis SA, é uma empresa com sede no Brasil que atua no setor de energia. As atividades da Empresa são divididas em quatro linhas de negócios: Renováveis, Marketing e Serviços, Proximidade e Açúcar. A divisão Renewables atua na produção de etanol, etanol de segunda geração, bioeletricidade, biogás e bioprodutos. A divisão de Marketing e Serviços está focada na distribuição e venda de combustíveis para postos de gasolina da Shell, aeroportos e outros clientes Business-to-Business (B2B). A divisão Proximity está envolvida na operação de lojas de conveniência sob as marcas OXXO e Shell Select. A divisão Açúcar consiste na produção de açúcar, como cristalino, líquido, refinado, orgânico e Polarização Muito Alta (VHP), entre outros. A empresa atua no Brasil e na Argentina.</v>
    <v>BVMF</v>
    <v>2.85</v>
    <v>45417</v>
    <v>45600.947916666664</v>
    <v>30</v>
    <v>14070390</v>
    <v>BRL</v>
    <v>Raízen S.A.</v>
    <v>Raízen S.A.</v>
    <v>2.86</v>
    <v>2.9</v>
    <v>2.88</v>
    <v>Avenida Almirante Barroso, n. 81, Sala 32B109 36 andar, Centro, RIO DE JANEIRO, RIO DE JANEIRO, 20.031-004 BR</v>
    <v>Oil &amp; Gas</v>
    <v>RAIZ4</v>
    <v>Ações</v>
    <v>Raízen S.A. (BVMF:RAIZ4)</v>
    <v>0.05</v>
    <v>1.7544000000000001E-2</v>
    <v>17627100</v>
  </rv>
  <rv s="2">
    <v>31</v>
  </rv>
  <rv s="0">
    <v>https://www.bing.com/financeapi/forcetrigger?t=apmubh&amp;q=BVMF%3aKNIP11&amp;form=skydnc</v>
    <v>Learn more on Bing</v>
  </rv>
  <rv s="3">
    <v>pt-BR</v>
    <v>apmubh</v>
    <v>268435456</v>
    <v>1</v>
    <v>Da plataforma Refinitiv</v>
    <v>6</v>
    <v>7</v>
    <v>KINEA INDICES DE PRECOS FDO INV IMOB CF (BVMF:KNIP11)</v>
    <v>8</v>
    <v>9</v>
    <v>Finance</v>
    <v>5</v>
    <v>94.7</v>
    <v>81.709999999999994</v>
    <v>BVMF</v>
    <v>91.49</v>
    <v>90.15</v>
    <v>B3 - Brazil Stock Exchange</v>
    <v>91.51</v>
    <v>45600.947916666664</v>
    <v>33</v>
    <v>BRL</v>
    <v>KINEA INDICES DE PRECOS FDO INV IMOB CF</v>
    <v>91.49</v>
    <v>90.15</v>
    <v>KNIP11</v>
    <v>Fundos mais negociados</v>
    <v>KINEA INDICES DE PRECOS FDO INV IMOB CF (BVMF:KNIP11)</v>
    <v>-1.36</v>
    <v>-1.4862E-2</v>
    <v>83696</v>
  </rv>
  <rv s="2">
    <v>34</v>
  </rv>
  <rv s="0">
    <v>https://www.bing.com/financeapi/forcetrigger?t=apmuh7&amp;q=BVMF%3aKNRI11&amp;form=skydnc</v>
    <v>Learn more on Bing</v>
  </rv>
  <rv s="3">
    <v>pt-BR</v>
    <v>apmuh7</v>
    <v>268435456</v>
    <v>1</v>
    <v>Da plataforma Refinitiv</v>
    <v>6</v>
    <v>7</v>
    <v>FDO INV IMOB KINEA RENDA IMOBILIARIA CF (BVMF:KNRI11)</v>
    <v>8</v>
    <v>9</v>
    <v>Finance</v>
    <v>5</v>
    <v>158.47999999999999</v>
    <v>135.12</v>
    <v>BVMF</v>
    <v>137.30000000000001</v>
    <v>136.65</v>
    <v>B3 - Brazil Stock Exchange</v>
    <v>137.30000000000001</v>
    <v>45600.947916666664</v>
    <v>36</v>
    <v>BRL</v>
    <v>FDO INV IMOB KINEA RENDA IMOBILIARIA CF</v>
    <v>137</v>
    <v>137</v>
    <v>KNRI11</v>
    <v>Fundos mais negociados</v>
    <v>FDO INV IMOB KINEA RENDA IMOBILIARIA CF (BVMF:KNRI11)</v>
    <v>-0.3</v>
    <v>-2.1849999999999999E-3</v>
    <v>34806</v>
  </rv>
  <rv s="2">
    <v>37</v>
  </rv>
  <rv s="0">
    <v>https://www.bing.com/financeapi/forcetrigger?t=apmqh7&amp;q=BVMF%3aHGLG11&amp;form=skydnc</v>
    <v>Learn more on Bing</v>
  </rv>
  <rv s="3">
    <v>pt-BR</v>
    <v>apmqh7</v>
    <v>268435456</v>
    <v>1</v>
    <v>Da plataforma Refinitiv</v>
    <v>6</v>
    <v>7</v>
    <v>FDO INV IMOB CSHG LOGISTICA CF (BVMF:HGLG11)</v>
    <v>8</v>
    <v>9</v>
    <v>Finance</v>
    <v>5</v>
    <v>161.66</v>
    <v>143.87</v>
    <v>BVMF</v>
    <v>155.72999999999999</v>
    <v>153</v>
    <v>B3 - Brazil Stock Exchange</v>
    <v>154.5</v>
    <v>45600.947916666664</v>
    <v>39</v>
    <v>BRL</v>
    <v>FDO INV IMOB CSHG LOGISTICA CF</v>
    <v>154.5</v>
    <v>153.03</v>
    <v>HGLG11</v>
    <v>Fundos mais negociados</v>
    <v>FDO INV IMOB CSHG LOGISTICA CF (BVMF:HGLG11)</v>
    <v>-1.47</v>
    <v>-9.5150000000000009E-3</v>
    <v>74077</v>
  </rv>
  <rv s="2">
    <v>40</v>
  </rv>
  <rv s="0">
    <v>https://www.bing.com/financeapi/forcetrigger?t=bgly3m&amp;q=BVMF%3aXPML11&amp;form=skydnc</v>
    <v>Learn more on Bing</v>
  </rv>
  <rv s="3">
    <v>pt-BR</v>
    <v>bgly3m</v>
    <v>268435456</v>
    <v>1</v>
    <v>Da plataforma Refinitiv</v>
    <v>6</v>
    <v>7</v>
    <v>XP MALLS FDO INV IMOB FII ETF (BVMF:XPML11)</v>
    <v>8</v>
    <v>9</v>
    <v>Finance</v>
    <v>5</v>
    <v>112.78</v>
    <v>100.18</v>
    <v>BVMF</v>
    <v>104</v>
    <v>103.11</v>
    <v>B3 - Brazil Stock Exchange</v>
    <v>103.41</v>
    <v>45600.947916666664</v>
    <v>42</v>
    <v>BRL</v>
    <v>XP MALLS FDO INV IMOB FII ETF</v>
    <v>103.51</v>
    <v>103.46</v>
    <v>XPML11</v>
    <v>Fundos mais negociados</v>
    <v>XP MALLS FDO INV IMOB FII ETF (BVMF:XPML11)</v>
    <v>0.05</v>
    <v>4.8349999999999999E-4</v>
    <v>132224</v>
  </rv>
  <rv s="2">
    <v>43</v>
  </rv>
  <rv s="5">
    <v>12</v>
    <v>Símbolo do ticker</v>
    <v>0</v>
  </rv>
  <rv s="5">
    <v>12</v>
    <v>Preço</v>
    <v>0</v>
  </rv>
  <rv s="6">
    <v>12</v>
    <v>1</v>
  </rv>
  <rv s="7">
    <v>0</v>
  </rv>
  <rv s="7">
    <v>1</v>
  </rv>
  <rv s="7">
    <v>2</v>
  </rv>
  <rv s="8">
    <v>{9ECE6FBD-1FE9-488E-B05F-B2393D364E86}</v>
    <v>0</v>
    <v>14</v>
    <v>48</v>
    <v>49</v>
    <v>50</v>
    <v>48</v>
  </rv>
</rvData>
</file>

<file path=xl/richData/rdrichvaluestructure.xml><?xml version="1.0" encoding="utf-8"?>
<rvStructures xmlns="http://schemas.microsoft.com/office/spreadsheetml/2017/richdata" count="9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ções em circulação"/>
    <k n="Alto"/>
    <k n="Ano de incorporação"/>
    <k n="Baixo"/>
    <k n="Beta"/>
    <k n="Bolsa" t="s"/>
    <k n="Capitalização de mercado"/>
    <k n="Descrição" t="s"/>
    <k n="ExchangeID" t="s"/>
    <k n="Fechamento anterior"/>
    <k n="Funcionários"/>
    <k n="Hora da última transação"/>
    <k n="LearnMoreOnLink" t="r"/>
    <k n="Média de volume"/>
    <k n="Moeda" t="s"/>
    <k n="Nome" t="s"/>
    <k n="Nome oficial" t="s"/>
    <k n="Pendência"/>
    <k n="Preço"/>
    <k n="Sede" t="s"/>
    <k n="Setor" t="s"/>
    <k n="Símbolo do ticker" t="s"/>
    <k n="Tipo de instrumento" t="s"/>
    <k n="UniqueName" t="s"/>
    <k n="Variação"/>
    <k n="Variação (%)"/>
    <k n="Volume"/>
  </s>
  <s t="_linkedentity">
    <k n="%cvi" t="r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lto"/>
    <k n="Baixo"/>
    <k n="Bolsa" t="s"/>
    <k n="Fechamento anterior"/>
    <k n="Hora da última transação"/>
    <k n="LearnMoreOnLink" t="r"/>
    <k n="Moeda" t="s"/>
    <k n="Nome" t="s"/>
    <k n="Pendência"/>
    <k n="Preço"/>
    <k n="Símbolo do ticker" t="s"/>
    <k n="Tipo de instrumento" t="s"/>
    <k n="UniqueName" t="s"/>
    <k n="Variação"/>
    <k n="Variação (%)"/>
    <k n="Volume"/>
  </s>
  <s t="_linkedentitycore">
    <k n="%EntityCulture" t="s"/>
    <k n="%EntityId" t="s"/>
    <k n="%EntityServiceId"/>
    <k n="%IsRefreshable" t="b"/>
    <k n="%ProviderInfo" t="s"/>
    <k n="_CanonicalPropertyNames" t="spb"/>
    <k n="_Display" t="spb"/>
    <k n="_DisplayString" t="s"/>
    <k n="_Flags" t="spb"/>
    <k n="_Format" t="spb"/>
    <k n="_Icon" t="s"/>
    <k n="_SubLabel" t="spb"/>
    <k n="52 semanas de alta"/>
    <k n="52 semanas de baixa"/>
    <k n="Abreviatura do câmbio" t="s"/>
    <k n="Ações em circulação"/>
    <k n="Alto"/>
    <k n="Ano de incorporação"/>
    <k n="Baixo"/>
    <k n="Beta"/>
    <k n="Bolsa" t="s"/>
    <k n="Capitalização de mercado"/>
    <k n="Descrição" t="s"/>
    <k n="ExchangeID" t="s"/>
    <k n="Fechamento anterior"/>
    <k n="Funcionários"/>
    <k n="Hora da última transação"/>
    <k n="LearnMoreOnLink" t="r"/>
    <k n="Média de volume"/>
    <k n="Moeda" t="s"/>
    <k n="Nome" t="s"/>
    <k n="Nome oficial" t="s"/>
    <k n="Pendência"/>
    <k n="Preço"/>
    <k n="Preço (Horário prolongado)"/>
    <k n="Sede" t="s"/>
    <k n="Setor" t="s"/>
    <k n="Símbolo do ticker" t="s"/>
    <k n="Tipo de instrumento" t="s"/>
    <k n="UniqueName" t="s"/>
    <k n="Variação"/>
    <k n="Variação (%)"/>
    <k n="Volume"/>
  </s>
  <s t="_error">
    <k n="errorType" t="i"/>
    <k n="field" t="s"/>
    <k n="subType" t="i"/>
  </s>
  <s t="_error">
    <k n="errorType" t="i"/>
    <k n="propagated" t="b"/>
  </s>
  <s t="_array">
    <k n="array" t="a"/>
  </s>
  <s t="_datasourcecontainer">
    <k n="%XLUID" t="s"/>
    <k n="_CRID" t="i"/>
    <k n="_Display" t="spb"/>
    <k n="PREÇO" t="r"/>
    <k n="RAZÃO SOCIAL" t="r"/>
    <k n="TICKER" t="r"/>
    <k n="VALOR" t="r"/>
  </s>
</rvStructures>
</file>

<file path=xl/richData/rdsupportingpropertybag.xml><?xml version="1.0" encoding="utf-8"?>
<supportingPropertyBags xmlns="http://schemas.microsoft.com/office/spreadsheetml/2017/richdata2">
  <spbArrays count="4">
    <a count="42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Nome oficial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Média de volume</v>
      <v t="s">Capitalização de mercado</v>
      <v t="s">Beta</v>
      <v t="s">Ações em circulação</v>
      <v t="s">Descrição</v>
      <v t="s">Funcionários</v>
      <v t="s">Sede</v>
      <v t="s">Setor</v>
      <v t="s">Tipo de instrumento</v>
      <v t="s">Ano de incorporação</v>
      <v t="s">_Flags</v>
      <v t="s">UniqueName</v>
      <v t="s">_DisplayString</v>
      <v t="s">LearnMoreOnLink</v>
      <v t="s">ExchangeID</v>
      <v t="s">%ProviderInfo</v>
    </a>
    <a count="31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Bolsa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Tipo de instrumento</v>
      <v t="s">_Flags</v>
      <v t="s">UniqueName</v>
      <v t="s">_DisplayString</v>
      <v t="s">LearnMoreOnLink</v>
      <v t="s">%ProviderInfo</v>
    </a>
    <a count="43">
      <v t="s">%EntityServiceId</v>
      <v t="s">_Format</v>
      <v t="s">%IsRefreshable</v>
      <v t="s">_CanonicalPropertyNames</v>
      <v t="s">%EntityCulture</v>
      <v t="s">%EntityId</v>
      <v t="s">_Icon</v>
      <v t="s">_Display</v>
      <v t="s">Nome</v>
      <v t="s">_SubLabel</v>
      <v t="s">Preço</v>
      <v t="s">Preço (Horário prolongado)</v>
      <v t="s">Bolsa</v>
      <v t="s">Nome oficial</v>
      <v t="s">Hora da última transação</v>
      <v t="s">Símbolo do ticker</v>
      <v t="s">Abreviatura do câmbio</v>
      <v t="s">Variação</v>
      <v t="s">Variação (%)</v>
      <v t="s">Moeda</v>
      <v t="s">Fechamento anterior</v>
      <v t="s">Pendência</v>
      <v t="s">Alto</v>
      <v t="s">Baixo</v>
      <v t="s">52 semanas de alta</v>
      <v t="s">52 semanas de baixa</v>
      <v t="s">Volume</v>
      <v t="s">Média de volume</v>
      <v t="s">Capitalização de mercado</v>
      <v t="s">Beta</v>
      <v t="s">Ações em circulação</v>
      <v t="s">Descrição</v>
      <v t="s">Funcionários</v>
      <v t="s">Sede</v>
      <v t="s">Setor</v>
      <v t="s">Tipo de instrumento</v>
      <v t="s">Ano de incorporação</v>
      <v t="s">_Flags</v>
      <v t="s">UniqueName</v>
      <v t="s">_DisplayString</v>
      <v t="s">LearnMoreOnLink</v>
      <v t="s">ExchangeID</v>
      <v t="s">%ProviderInfo</v>
    </a>
    <a count="7">
      <v t="s">RAZÃO SOCIAL</v>
      <v t="s">TICKER</v>
      <v t="s">PREÇO</v>
      <v t="s">VALOR</v>
      <v t="s">_CRID</v>
      <v t="s">%XLUID</v>
      <v t="s">_Display</v>
    </a>
  </spbArrays>
  <spbData count="15">
    <spb s="0">
      <v>High</v>
      <v>Beta</v>
      <v>Name</v>
      <v>Headquarters</v>
      <v>Low</v>
      <v>Exchange</v>
      <v>Currency</v>
      <v>Price</v>
      <v>Industry</v>
      <v>Volume</v>
      <v>Change</v>
      <v>Description</v>
      <v>Open</v>
      <v>ExchangeID</v>
      <v>UniqueName</v>
      <v>Employees</v>
      <v>Official name</v>
      <v>Change (%)</v>
      <v>%ProviderInfo</v>
      <v>LearnMoreOnLink</v>
      <v>Volume average</v>
      <v>Ticker symbol</v>
      <v>52 week high</v>
      <v>52 week low</v>
      <v>Year incorporated</v>
      <v>Shares outstanding</v>
      <v>Previous close</v>
      <v>Instrument type</v>
      <v>Exchange abbreviation</v>
      <v>Market cap</v>
      <v>Last trade time</v>
    </spb>
    <spb s="1">
      <v>0</v>
      <v>Name</v>
      <v>LearnMoreOnLink</v>
    </spb>
    <spb s="2">
      <v>0</v>
      <v>0</v>
      <v>0</v>
    </spb>
    <spb s="3">
      <v>2</v>
      <v>2</v>
      <v>2</v>
      <v>2</v>
    </spb>
    <spb s="4">
      <v>1</v>
      <v>2</v>
      <v>3</v>
      <v>1</v>
      <v>1</v>
      <v>4</v>
      <v>1</v>
      <v>1</v>
      <v>4</v>
      <v>5</v>
      <v>4</v>
      <v>6</v>
      <v>1</v>
      <v>1</v>
      <v>7</v>
      <v>4</v>
      <v>1</v>
      <v>8</v>
      <v>9</v>
    </spb>
    <spb s="5">
      <v>Atraso de 30 minutos</v>
      <v xml:space="preserve">do fechamento anterior </v>
      <v xml:space="preserve">do fechamento anterior </v>
      <v>GMT</v>
    </spb>
    <spb s="6">
      <v>High</v>
      <v>Name</v>
      <v>Low</v>
      <v>Exchange</v>
      <v>Currency</v>
      <v>Price</v>
      <v>Volume</v>
      <v>Change</v>
      <v>Open</v>
      <v>UniqueName</v>
      <v>Change (%)</v>
      <v>%ProviderInfo</v>
      <v>LearnMoreOnLink</v>
      <v>Ticker symbol</v>
      <v>52 week high</v>
      <v>52 week low</v>
      <v>Previous close</v>
      <v>Instrument type</v>
      <v>Exchange abbreviation</v>
      <v>Last trade time</v>
    </spb>
    <spb s="1">
      <v>1</v>
      <v>Name</v>
      <v>LearnMoreOnLink</v>
    </spb>
    <spb s="7">
      <v>2</v>
      <v>2</v>
      <v>2</v>
    </spb>
    <spb s="8">
      <v>1</v>
      <v>3</v>
      <v>1</v>
      <v>1</v>
      <v>4</v>
      <v>1</v>
      <v>1</v>
      <v>5</v>
      <v>6</v>
      <v>1</v>
      <v>1</v>
      <v>1</v>
      <v>9</v>
    </spb>
    <spb s="9">
      <v>High</v>
      <v>Beta</v>
      <v>Name</v>
      <v>Headquarters</v>
      <v>Low</v>
      <v>Exchange</v>
      <v>Currency</v>
      <v>Price</v>
      <v>Industry</v>
      <v>Volume</v>
      <v>Change</v>
      <v>Description</v>
      <v>Open</v>
      <v>ExchangeID</v>
      <v>UniqueName</v>
      <v>Employees</v>
      <v>Official name</v>
      <v>Change (%)</v>
      <v>%ProviderInfo</v>
      <v>LearnMoreOnLink</v>
      <v>Volume average</v>
      <v>Ticker symbol</v>
      <v>52 week high</v>
      <v>52 week low</v>
      <v>Year incorporated</v>
      <v>Shares outstanding</v>
      <v>Previous close</v>
      <v>Instrument type</v>
      <v>Exchange abbreviation</v>
      <v>Market cap</v>
      <v>Last trade time</v>
      <v>Price (Extended hours)</v>
    </spb>
    <spb s="1">
      <v>2</v>
      <v>Name</v>
      <v>LearnMoreOnLink</v>
    </spb>
    <spb s="10">
      <v>1</v>
      <v>2</v>
      <v>3</v>
      <v>1</v>
      <v>1</v>
      <v>4</v>
      <v>1</v>
      <v>1</v>
      <v>4</v>
      <v>5</v>
      <v>4</v>
      <v>6</v>
      <v>1</v>
      <v>1</v>
      <v>7</v>
      <v>4</v>
      <v>1</v>
      <v>8</v>
      <v>9</v>
      <v>1</v>
    </spb>
    <spb s="11">
      <v xml:space="preserve">no fechamento </v>
      <v xml:space="preserve">do fechamento anterior </v>
      <v xml:space="preserve">do fechamento anterior </v>
      <v>GMT</v>
      <v>Atraso de 30 minutos</v>
    </spb>
    <spb s="12">
      <v>3</v>
    </spb>
  </spbData>
</supportingPropertyBags>
</file>

<file path=xl/richData/rdsupportingpropertybagstructure.xml><?xml version="1.0" encoding="utf-8"?>
<spbStructures xmlns="http://schemas.microsoft.com/office/spreadsheetml/2017/richdata2" count="13">
  <s>
    <k n="Alto" t="s"/>
    <k n="Beta" t="s"/>
    <k n="Nome" t="s"/>
    <k n="Sede" t="s"/>
    <k n="Baixo" t="s"/>
    <k n="Bolsa" t="s"/>
    <k n="Moeda" t="s"/>
    <k n="Preço" t="s"/>
    <k n="Setor" t="s"/>
    <k n="Volume" t="s"/>
    <k n="Variação" t="s"/>
    <k n="Descrição" t="s"/>
    <k n="Pendência" t="s"/>
    <k n="ExchangeID" t="s"/>
    <k n="UniqueName" t="s"/>
    <k n="Funcionários" t="s"/>
    <k n="Nome oficial" t="s"/>
    <k n="Variação (%)" t="s"/>
    <k n="%ProviderInfo" t="s"/>
    <k n="LearnMoreOnLink" t="s"/>
    <k n="Média de volume" t="s"/>
    <k n="Símbolo do ticker" t="s"/>
    <k n="52 semanas de alta" t="s"/>
    <k n="52 semanas de baixa" t="s"/>
    <k n="Ano de incorporação" t="s"/>
    <k n="Ações em circulação" t="s"/>
    <k n="Fechamento anterior" t="s"/>
    <k n="Tipo de instrumento" t="s"/>
    <k n="Abreviatura do câmbio" t="s"/>
    <k n="Capitalização de mercado" t="s"/>
    <k n="Hora da última transação" t="s"/>
  </s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Alto" t="i"/>
    <k n="Beta" t="i"/>
    <k n="Nome" t="i"/>
    <k n="Baixo" t="i"/>
    <k n="Preço" t="i"/>
    <k n="Volume" t="i"/>
    <k n="Variação" t="i"/>
    <k n="Pendência" t="i"/>
    <k n="Funcionários" t="i"/>
    <k n="Variação (%)" t="i"/>
    <k n="Média de volume" t="i"/>
    <k n="`%EntityServiceId" t="i"/>
    <k n="52 semanas de alta" t="i"/>
    <k n="52 semanas de baixa" t="i"/>
    <k n="Ano de incorporação" t="i"/>
    <k n="Ações em circulação" t="i"/>
    <k n="Fechamento anterior" t="i"/>
    <k n="Capitalização de mercado" t="i"/>
    <k n="Hora da última transação" t="i"/>
  </s>
  <s>
    <k n="Preço" t="s"/>
    <k n="Variação" t="s"/>
    <k n="Variação (%)" t="s"/>
    <k n="Hora da última transação" t="s"/>
  </s>
  <s>
    <k n="Alto" t="s"/>
    <k n="Nome" t="s"/>
    <k n="Baixo" t="s"/>
    <k n="Bolsa" t="s"/>
    <k n="Moeda" t="s"/>
    <k n="Preço" t="s"/>
    <k n="Volume" t="s"/>
    <k n="Variação" t="s"/>
    <k n="Pendência" t="s"/>
    <k n="UniqueName" t="s"/>
    <k n="Variação (%)" t="s"/>
    <k n="%ProviderInfo" t="s"/>
    <k n="LearnMoreOnLink" t="s"/>
    <k n="Símbolo do ticker" t="s"/>
    <k n="52 semanas de alta" t="s"/>
    <k n="52 semanas de baixa" t="s"/>
    <k n="Fechamento anterior" t="s"/>
    <k n="Tipo de instrumento" t="s"/>
    <k n="Abreviatura do câmbio" t="s"/>
    <k n="Hora da última transação" t="s"/>
  </s>
  <s>
    <k n="UniqueName" t="spb"/>
    <k n="`%ProviderInfo" t="spb"/>
    <k n="LearnMoreOnLink" t="spb"/>
  </s>
  <s>
    <k n="Alto" t="i"/>
    <k n="Nome" t="i"/>
    <k n="Baixo" t="i"/>
    <k n="Preço" t="i"/>
    <k n="Volume" t="i"/>
    <k n="Variação" t="i"/>
    <k n="Pendência" t="i"/>
    <k n="Variação (%)" t="i"/>
    <k n="`%EntityServiceId" t="i"/>
    <k n="52 semanas de alta" t="i"/>
    <k n="52 semanas de baixa" t="i"/>
    <k n="Fechamento anterior" t="i"/>
    <k n="Hora da última transação" t="i"/>
  </s>
  <s>
    <k n="Alto" t="s"/>
    <k n="Beta" t="s"/>
    <k n="Nome" t="s"/>
    <k n="Sede" t="s"/>
    <k n="Baixo" t="s"/>
    <k n="Bolsa" t="s"/>
    <k n="Moeda" t="s"/>
    <k n="Preço" t="s"/>
    <k n="Setor" t="s"/>
    <k n="Volume" t="s"/>
    <k n="Variação" t="s"/>
    <k n="Descrição" t="s"/>
    <k n="Pendência" t="s"/>
    <k n="ExchangeID" t="s"/>
    <k n="UniqueName" t="s"/>
    <k n="Funcionários" t="s"/>
    <k n="Nome oficial" t="s"/>
    <k n="Variação (%)" t="s"/>
    <k n="%ProviderInfo" t="s"/>
    <k n="LearnMoreOnLink" t="s"/>
    <k n="Média de volume" t="s"/>
    <k n="Símbolo do ticker" t="s"/>
    <k n="52 semanas de alta" t="s"/>
    <k n="52 semanas de baixa" t="s"/>
    <k n="Ano de incorporação" t="s"/>
    <k n="Ações em circulação" t="s"/>
    <k n="Fechamento anterior" t="s"/>
    <k n="Tipo de instrumento" t="s"/>
    <k n="Abreviatura do câmbio" t="s"/>
    <k n="Capitalização de mercado" t="s"/>
    <k n="Hora da última transação" t="s"/>
    <k n="Preço (Horário prolongado)" t="s"/>
  </s>
  <s>
    <k n="Alto" t="i"/>
    <k n="Beta" t="i"/>
    <k n="Nome" t="i"/>
    <k n="Baixo" t="i"/>
    <k n="Preço" t="i"/>
    <k n="Volume" t="i"/>
    <k n="Variação" t="i"/>
    <k n="Pendência" t="i"/>
    <k n="Funcionários" t="i"/>
    <k n="Variação (%)" t="i"/>
    <k n="Média de volume" t="i"/>
    <k n="`%EntityServiceId" t="i"/>
    <k n="52 semanas de alta" t="i"/>
    <k n="52 semanas de baixa" t="i"/>
    <k n="Ano de incorporação" t="i"/>
    <k n="Ações em circulação" t="i"/>
    <k n="Fechamento anterior" t="i"/>
    <k n="Capitalização de mercado" t="i"/>
    <k n="Hora da última transação" t="i"/>
    <k n="Preço (Horário prolongado)" t="i"/>
  </s>
  <s>
    <k n="Preço" t="s"/>
    <k n="Variação" t="s"/>
    <k n="Variação (%)" t="s"/>
    <k n="Hora da última transação" t="s"/>
    <k n="Preço (Horário prolongado)" t="s"/>
  </s>
  <s>
    <k n="^Order" t="spba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0" formatCode="General"/>
    </x:dxf>
    <x:dxf>
      <x:numFmt numFmtId="3" formatCode="#,##0"/>
    </x:dxf>
    <x:dxf>
      <x:numFmt numFmtId="14" formatCode="0.00%"/>
    </x:dxf>
    <x:dxf>
      <x:numFmt numFmtId="2" formatCode="0.00"/>
    </x:dxf>
    <x:dxf>
      <x:numFmt numFmtId="27" formatCode="dd/mm/yyyy\ hh:mm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0">
      <rpv i="0">_-[$R$-pt-BR] * #,##0.00_-;-[$R$-pt-BR] * #,##0.00_-;_-[$R$-pt-BR] * "-"??_-;_-@_-</rpv>
    </rSty>
    <rSty dxfid="5">
      <rpv i="0">#,##0.00</rpv>
    </rSty>
    <rSty>
      <rpv i="1">1</rpv>
    </rSty>
    <rSty dxfid="1">
      <rpv i="0">#,##0</rpv>
    </rSty>
    <rSty dxfid="2"/>
    <rSty dxfid="3">
      <rpv i="0">0.00</rpv>
    </rSty>
    <rSty dxfid="6">
      <rpv i="0">0</rpv>
    </rSty>
    <rSty dxfid="0">
      <rpv i="0">_-[$R$-pt-BR] * #,##0_-;-[$R$-pt-BR] * #,##0_-;_-[$R$-pt-BR] * "-"_-;_-@_-</rpv>
    </rSty>
    <rSty dxfid="4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B3C1FF-57E5-4955-9BB8-FF6D89179D6F}" name="Tabela1" displayName="Tabela1" ref="A2:G10" totalsRowShown="0" headerRowDxfId="38" headerRowBorderDxfId="37" tableBorderDxfId="36" totalsRowBorderDxfId="35">
  <autoFilter ref="A2:G10" xr:uid="{D1B3C1FF-57E5-4955-9BB8-FF6D89179D6F}"/>
  <sortState xmlns:xlrd2="http://schemas.microsoft.com/office/spreadsheetml/2017/richdata2" ref="A3:G10">
    <sortCondition ref="A2:A10"/>
  </sortState>
  <tableColumns count="7">
    <tableColumn id="1" xr3:uid="{4F467100-4979-4A10-896A-D7E484BEB975}" name="Pasta" dataDxfId="34"/>
    <tableColumn id="2" xr3:uid="{74776D16-10E2-49C8-BB51-D1539A6D648A}" name="Data" dataDxfId="33"/>
    <tableColumn id="3" xr3:uid="{C15E3BD2-8B50-48D5-9143-99A2C32E1992}" name="Tarefa" dataDxfId="32"/>
    <tableColumn id="4" xr3:uid="{97B4F4E2-913B-4D64-AA6B-A942E2C4D7F6}" name="Gravidade" dataDxfId="31"/>
    <tableColumn id="5" xr3:uid="{E4F03044-8527-4B68-89F2-4AE0C07FED19}" name="Urgencia" dataDxfId="30"/>
    <tableColumn id="6" xr3:uid="{FAFC27EE-8DEC-4109-B340-385E897909D3}" name="Tendencia" dataDxfId="29"/>
    <tableColumn id="7" xr3:uid="{DA6341C4-6EF9-4502-809A-435052FFD8D4}" name="G.U.T" dataDxfId="28">
      <calculatedColumnFormula>D3*E3*F3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9D02A9-0BE6-4984-A1CE-1AD7731C66F3}" name="TBL_Clientes" displayName="TBL_Clientes" ref="B5:F17" totalsRowShown="0">
  <autoFilter ref="B5:F17" xr:uid="{C19D02A9-0BE6-4984-A1CE-1AD7731C66F3}"/>
  <tableColumns count="5">
    <tableColumn id="1" xr3:uid="{23038E81-44D0-452A-A8D9-0D3CEAC13C8B}" name="Cod_cli" dataDxfId="27"/>
    <tableColumn id="2" xr3:uid="{894BC177-F0E3-4E5B-B116-57D4460B629A}" name="Nome "/>
    <tableColumn id="3" xr3:uid="{948DF251-C979-4887-A731-44B192AA10CB}" name="Dt_Nasc" dataDxfId="26"/>
    <tableColumn id="4" xr3:uid="{0D85402E-EC3E-4E67-B25F-013F0B9C9383}" name="Sexo" dataDxfId="25"/>
    <tableColumn id="5" xr3:uid="{7A77DD0A-A662-4E0C-B96A-CA4259DFC73A}" name="Idade" dataDxfId="24">
      <calculatedColumnFormula>(NOW()-TBL_Clientes[[#This Row],[Dt_Nasc]])/360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940C1D-8577-4697-8E1B-15635F9FB156}" name="Tabela4" displayName="Tabela4" ref="B5:G10" totalsRowShown="0">
  <autoFilter ref="B5:G10" xr:uid="{F5940C1D-8577-4697-8E1B-15635F9FB156}"/>
  <tableColumns count="6">
    <tableColumn id="1" xr3:uid="{ECC98801-EACC-4E9B-906C-D7B18F171983}" name="Cod_Prod" dataDxfId="23"/>
    <tableColumn id="2" xr3:uid="{A293641D-B0BA-4BE6-8B27-19907B582309}" name="Descricao"/>
    <tableColumn id="3" xr3:uid="{715ACBE7-D796-468F-B4E9-B8C922438808}" name="Classificacao"/>
    <tableColumn id="4" xr3:uid="{AA35D4C4-46B9-4BDF-AA26-50B4C6E8839C}" name="Preco_Compra" dataDxfId="22"/>
    <tableColumn id="5" xr3:uid="{922B920B-B8E5-4ABF-AAF1-7C2EFEA7AEF4}" name="Preco_venda" dataDxfId="21"/>
    <tableColumn id="6" xr3:uid="{96EB52B4-A679-4549-9C2F-D57696CC191D}" name="Lucro" dataDxfId="20">
      <calculatedColumnFormula>Tabela4[[#This Row],[Preco_venda]]-Tabela4[[#This Row],[Preco_Compra]]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E4F18BA-F0BC-4841-B673-6919E5F5048F}" name="Tabela3" displayName="Tabela3" ref="B2:B5" totalsRowShown="0">
  <autoFilter ref="B2:B5" xr:uid="{5E4F18BA-F0BC-4841-B673-6919E5F5048F}"/>
  <tableColumns count="1">
    <tableColumn id="1" xr3:uid="{769B8D5F-8369-41A1-A29F-973F9CB388D0}" name="Sexo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267B685-7D36-46F9-B738-CDBF4D0BB675}" name="tIpo" displayName="tIpo" ref="E2:E9" totalsRowShown="0" headerRowDxfId="19" dataDxfId="18">
  <autoFilter ref="E2:E9" xr:uid="{E267B685-7D36-46F9-B738-CDBF4D0BB675}"/>
  <tableColumns count="1">
    <tableColumn id="1" xr3:uid="{89A66B9E-3D51-4A24-ABCE-38F165F38F0A}" name="Tipo" dataDxfId="17"/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B6A6C6-0C1A-4CBE-808D-3F90843EB979}" name="Titulo" displayName="Titulo" ref="G2:G17" totalsRowShown="0" headerRowDxfId="5" dataDxfId="6" tableBorderDxfId="8">
  <autoFilter ref="G2:G17" xr:uid="{8BB6A6C6-0C1A-4CBE-808D-3F90843EB979}"/>
  <tableColumns count="1">
    <tableColumn id="1" xr3:uid="{86479B66-7B9B-4831-8F81-262A0A4E6407}" name="Titulo" dataDxfId="7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C38C743-6B5D-4D13-A789-9D9BFAC0E379}" name="Tabela5" displayName="Tabela5" ref="B2:G16" totalsRowShown="0" headerRowDxfId="16" dataDxfId="15">
  <autoFilter ref="B2:G16" xr:uid="{3C38C743-6B5D-4D13-A789-9D9BFAC0E379}"/>
  <sortState xmlns:xlrd2="http://schemas.microsoft.com/office/spreadsheetml/2017/richdata2" ref="B3:G16">
    <sortCondition descending="1" ref="F2:F16"/>
  </sortState>
  <tableColumns count="6">
    <tableColumn id="1" xr3:uid="{125D3CAC-639A-4C75-9F2E-A38ACF9B0C9E}" name="TIPO" dataDxfId="14"/>
    <tableColumn id="2" xr3:uid="{EA2929FB-C119-41D1-80DB-9D7620BA21C0}" name="RAZÃO SOCIAL" dataDxfId="13"/>
    <tableColumn id="3" xr3:uid="{BAF330D1-FCFF-48B5-96DC-F6F389D484BB}" name="TICKER" dataDxfId="12">
      <calculatedColumnFormula array="1">_FV(C3,"Símbolo do ticker",TRUE)</calculatedColumnFormula>
    </tableColumn>
    <tableColumn id="4" xr3:uid="{1A83B17D-1755-4282-AA5B-2916DF9967D3}" name="PREÇO" dataDxfId="11">
      <calculatedColumnFormula array="1">_FV(C3,"Preço")</calculatedColumnFormula>
    </tableColumn>
    <tableColumn id="5" xr3:uid="{C1F3360D-55B4-46E9-86BB-04F0D733E20D}" name="COTAS" dataDxfId="10"/>
    <tableColumn id="6" xr3:uid="{CC9EABBA-17AA-4B50-85AB-8228EA7070BC}" name="VALOR" dataDxfId="9">
      <calculatedColumnFormula>E3*F3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51FC-6B08-4BFD-BC7E-82A79928CBC8}">
  <dimension ref="A4:O24"/>
  <sheetViews>
    <sheetView zoomScale="120" zoomScaleNormal="120" workbookViewId="0">
      <selection activeCell="B24" sqref="B24"/>
    </sheetView>
  </sheetViews>
  <sheetFormatPr defaultRowHeight="15" x14ac:dyDescent="0.25"/>
  <cols>
    <col min="1" max="1" width="16.5703125" bestFit="1" customWidth="1"/>
    <col min="2" max="2" width="12.28515625" bestFit="1" customWidth="1"/>
    <col min="3" max="3" width="16.42578125" customWidth="1"/>
    <col min="4" max="5" width="16.5703125" bestFit="1" customWidth="1"/>
    <col min="6" max="14" width="15.28515625" customWidth="1"/>
  </cols>
  <sheetData>
    <row r="4" spans="1:15" x14ac:dyDescent="0.25">
      <c r="A4" s="1" t="s">
        <v>0</v>
      </c>
      <c r="B4" s="2" t="s">
        <v>7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8</v>
      </c>
    </row>
    <row r="5" spans="1:15" x14ac:dyDescent="0.25">
      <c r="A5" s="1" t="s">
        <v>1</v>
      </c>
      <c r="B5" s="7">
        <f>C5/$C$11</f>
        <v>0.52631578947368418</v>
      </c>
      <c r="C5" s="5">
        <v>5000</v>
      </c>
      <c r="D5" s="5">
        <f>C5+(C5*$B$23)</f>
        <v>5100</v>
      </c>
      <c r="E5" s="5">
        <f t="shared" ref="E5:N5" si="0">D5+(D5*$B$23)</f>
        <v>5202</v>
      </c>
      <c r="F5" s="5">
        <f t="shared" si="0"/>
        <v>5306.04</v>
      </c>
      <c r="G5" s="5">
        <f t="shared" si="0"/>
        <v>5412.1607999999997</v>
      </c>
      <c r="H5" s="5">
        <f t="shared" si="0"/>
        <v>5520.4040159999995</v>
      </c>
      <c r="I5" s="5">
        <f t="shared" si="0"/>
        <v>5630.8120963199999</v>
      </c>
      <c r="J5" s="5">
        <f t="shared" si="0"/>
        <v>5743.4283382464</v>
      </c>
      <c r="K5" s="5">
        <f t="shared" si="0"/>
        <v>5858.2969050113279</v>
      </c>
      <c r="L5" s="5">
        <f t="shared" si="0"/>
        <v>5975.4628431115543</v>
      </c>
      <c r="M5" s="5">
        <f t="shared" si="0"/>
        <v>6094.9720999737856</v>
      </c>
      <c r="N5" s="5">
        <f t="shared" si="0"/>
        <v>6216.8715419732616</v>
      </c>
      <c r="O5" s="3"/>
    </row>
    <row r="6" spans="1:15" x14ac:dyDescent="0.25">
      <c r="A6" s="1" t="s">
        <v>2</v>
      </c>
      <c r="B6" s="7">
        <f t="shared" ref="B6:B7" si="1">C6/$C$11</f>
        <v>0.31578947368421051</v>
      </c>
      <c r="C6" s="5">
        <v>3000</v>
      </c>
      <c r="D6" s="5">
        <f t="shared" ref="D6:N7" si="2">C6+(C6*$B$23)</f>
        <v>3060</v>
      </c>
      <c r="E6" s="5">
        <f t="shared" si="2"/>
        <v>3121.2</v>
      </c>
      <c r="F6" s="5">
        <f t="shared" si="2"/>
        <v>3183.6239999999998</v>
      </c>
      <c r="G6" s="5">
        <f t="shared" si="2"/>
        <v>3247.29648</v>
      </c>
      <c r="H6" s="5">
        <f t="shared" si="2"/>
        <v>3312.2424096</v>
      </c>
      <c r="I6" s="5">
        <f t="shared" si="2"/>
        <v>3378.487257792</v>
      </c>
      <c r="J6" s="5">
        <f t="shared" si="2"/>
        <v>3446.0570029478399</v>
      </c>
      <c r="K6" s="5">
        <f t="shared" si="2"/>
        <v>3514.9781430067969</v>
      </c>
      <c r="L6" s="5">
        <f t="shared" si="2"/>
        <v>3585.277705866933</v>
      </c>
      <c r="M6" s="5">
        <f t="shared" si="2"/>
        <v>3656.9832599842716</v>
      </c>
      <c r="N6" s="5">
        <f t="shared" si="2"/>
        <v>3730.1229251839572</v>
      </c>
      <c r="O6" s="3"/>
    </row>
    <row r="7" spans="1:15" x14ac:dyDescent="0.25">
      <c r="A7" s="1" t="s">
        <v>3</v>
      </c>
      <c r="B7" s="7">
        <f t="shared" si="1"/>
        <v>0.15789473684210525</v>
      </c>
      <c r="C7" s="5">
        <v>1500</v>
      </c>
      <c r="D7" s="5">
        <f t="shared" si="2"/>
        <v>1530</v>
      </c>
      <c r="E7" s="5">
        <f t="shared" si="2"/>
        <v>1560.6</v>
      </c>
      <c r="F7" s="5">
        <f t="shared" si="2"/>
        <v>1591.8119999999999</v>
      </c>
      <c r="G7" s="5">
        <f t="shared" si="2"/>
        <v>1623.64824</v>
      </c>
      <c r="H7" s="5">
        <f t="shared" si="2"/>
        <v>1656.1212048</v>
      </c>
      <c r="I7" s="5">
        <f t="shared" si="2"/>
        <v>1689.243628896</v>
      </c>
      <c r="J7" s="5">
        <f t="shared" si="2"/>
        <v>1723.02850147392</v>
      </c>
      <c r="K7" s="5">
        <f t="shared" si="2"/>
        <v>1757.4890715033985</v>
      </c>
      <c r="L7" s="5">
        <f t="shared" si="2"/>
        <v>1792.6388529334665</v>
      </c>
      <c r="M7" s="5">
        <f t="shared" si="2"/>
        <v>1828.4916299921358</v>
      </c>
      <c r="N7" s="5">
        <f t="shared" si="2"/>
        <v>1865.0614625919786</v>
      </c>
      <c r="O7" s="3"/>
    </row>
    <row r="8" spans="1:15" x14ac:dyDescent="0.25">
      <c r="A8" s="1" t="s">
        <v>4</v>
      </c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3"/>
    </row>
    <row r="9" spans="1:15" x14ac:dyDescent="0.25">
      <c r="A9" s="1" t="s">
        <v>5</v>
      </c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3"/>
    </row>
    <row r="10" spans="1:15" x14ac:dyDescent="0.25">
      <c r="A10" s="1" t="s">
        <v>6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3"/>
    </row>
    <row r="11" spans="1:15" x14ac:dyDescent="0.25">
      <c r="A11" s="1" t="s">
        <v>21</v>
      </c>
      <c r="B11" s="8">
        <f>SUM(B5:B10)</f>
        <v>1</v>
      </c>
      <c r="C11" s="6">
        <f>SUM(C5:C7)</f>
        <v>9500</v>
      </c>
      <c r="D11" s="6">
        <f>SUM(D5:D10)</f>
        <v>9690</v>
      </c>
      <c r="E11" s="6">
        <f t="shared" ref="E11:N11" si="3">SUM(E5:E10)</f>
        <v>9883.8000000000011</v>
      </c>
      <c r="F11" s="6">
        <f t="shared" si="3"/>
        <v>10081.476000000001</v>
      </c>
      <c r="G11" s="6">
        <f t="shared" si="3"/>
        <v>10283.105519999999</v>
      </c>
      <c r="H11" s="6">
        <f t="shared" si="3"/>
        <v>10488.7676304</v>
      </c>
      <c r="I11" s="6">
        <f t="shared" si="3"/>
        <v>10698.542983007999</v>
      </c>
      <c r="J11" s="6">
        <f t="shared" si="3"/>
        <v>10912.513842668161</v>
      </c>
      <c r="K11" s="6">
        <f t="shared" si="3"/>
        <v>11130.764119521522</v>
      </c>
      <c r="L11" s="6">
        <f t="shared" si="3"/>
        <v>11353.379401911954</v>
      </c>
      <c r="M11" s="6">
        <f t="shared" si="3"/>
        <v>11580.446989950193</v>
      </c>
      <c r="N11" s="6">
        <f t="shared" si="3"/>
        <v>11812.055929749198</v>
      </c>
    </row>
    <row r="12" spans="1:15" x14ac:dyDescent="0.25">
      <c r="A12" s="1" t="s">
        <v>22</v>
      </c>
    </row>
    <row r="13" spans="1:15" x14ac:dyDescent="0.25">
      <c r="A13" s="1" t="s">
        <v>23</v>
      </c>
      <c r="B13" s="10">
        <v>0.18</v>
      </c>
      <c r="C13" s="11">
        <f>C11*B13</f>
        <v>1710</v>
      </c>
      <c r="D13" s="11">
        <f>C13+(C13*$B$24)</f>
        <v>1718.55</v>
      </c>
      <c r="E13" s="11">
        <f t="shared" ref="E13:N13" si="4">D13+(D13*$B$24)</f>
        <v>1727.14275</v>
      </c>
      <c r="F13" s="11">
        <f t="shared" si="4"/>
        <v>1735.7784637499999</v>
      </c>
      <c r="G13" s="11">
        <f t="shared" si="4"/>
        <v>1744.45735606875</v>
      </c>
      <c r="H13" s="11">
        <f t="shared" si="4"/>
        <v>1753.1796428490936</v>
      </c>
      <c r="I13" s="11">
        <f t="shared" si="4"/>
        <v>1761.9455410633391</v>
      </c>
      <c r="J13" s="11">
        <f t="shared" si="4"/>
        <v>1770.7552687686557</v>
      </c>
      <c r="K13" s="11">
        <f t="shared" si="4"/>
        <v>1779.609045112499</v>
      </c>
      <c r="L13" s="11">
        <f t="shared" si="4"/>
        <v>1788.5070903380615</v>
      </c>
      <c r="M13" s="11">
        <f t="shared" si="4"/>
        <v>1797.4496257897517</v>
      </c>
      <c r="N13" s="11">
        <f t="shared" si="4"/>
        <v>1806.4368739187005</v>
      </c>
      <c r="O13" s="3"/>
    </row>
    <row r="14" spans="1:15" x14ac:dyDescent="0.25">
      <c r="A14" s="1" t="s">
        <v>24</v>
      </c>
      <c r="B14" s="9">
        <v>7.0000000000000007E-2</v>
      </c>
      <c r="C14" s="11">
        <f>$C$11*B14</f>
        <v>665.00000000000011</v>
      </c>
      <c r="D14" s="11">
        <f t="shared" ref="D14:N19" si="5">C14+(C14*$B$24)</f>
        <v>668.32500000000016</v>
      </c>
      <c r="E14" s="11">
        <f t="shared" si="5"/>
        <v>671.66662500000018</v>
      </c>
      <c r="F14" s="11">
        <f t="shared" si="5"/>
        <v>675.02495812500013</v>
      </c>
      <c r="G14" s="11">
        <f t="shared" si="5"/>
        <v>678.40008291562515</v>
      </c>
      <c r="H14" s="11">
        <f t="shared" si="5"/>
        <v>681.79208333020324</v>
      </c>
      <c r="I14" s="11">
        <f t="shared" si="5"/>
        <v>685.20104374685422</v>
      </c>
      <c r="J14" s="11">
        <f t="shared" si="5"/>
        <v>688.62704896558853</v>
      </c>
      <c r="K14" s="11">
        <f t="shared" si="5"/>
        <v>692.07018421041653</v>
      </c>
      <c r="L14" s="11">
        <f t="shared" si="5"/>
        <v>695.53053513146858</v>
      </c>
      <c r="M14" s="11">
        <f t="shared" si="5"/>
        <v>699.00818780712598</v>
      </c>
      <c r="N14" s="11">
        <f t="shared" si="5"/>
        <v>702.50322874616165</v>
      </c>
      <c r="O14" s="3"/>
    </row>
    <row r="15" spans="1:15" x14ac:dyDescent="0.25">
      <c r="A15" s="1" t="s">
        <v>25</v>
      </c>
      <c r="B15" s="9">
        <v>0.05</v>
      </c>
      <c r="C15" s="11">
        <f t="shared" ref="C15:C19" si="6">$C$11*B15</f>
        <v>475</v>
      </c>
      <c r="D15" s="11">
        <f t="shared" si="5"/>
        <v>477.375</v>
      </c>
      <c r="E15" s="11">
        <f t="shared" si="5"/>
        <v>479.76187499999997</v>
      </c>
      <c r="F15" s="11">
        <f t="shared" si="5"/>
        <v>482.16068437499996</v>
      </c>
      <c r="G15" s="11">
        <f t="shared" si="5"/>
        <v>484.57148779687498</v>
      </c>
      <c r="H15" s="11">
        <f t="shared" si="5"/>
        <v>486.99434523585933</v>
      </c>
      <c r="I15" s="11">
        <f t="shared" si="5"/>
        <v>489.42931696203863</v>
      </c>
      <c r="J15" s="11">
        <f t="shared" si="5"/>
        <v>491.87646354684881</v>
      </c>
      <c r="K15" s="11">
        <f t="shared" si="5"/>
        <v>494.33584586458306</v>
      </c>
      <c r="L15" s="11">
        <f t="shared" si="5"/>
        <v>496.80752509390595</v>
      </c>
      <c r="M15" s="11">
        <f t="shared" si="5"/>
        <v>499.29156271937546</v>
      </c>
      <c r="N15" s="11">
        <f t="shared" si="5"/>
        <v>501.78802053297233</v>
      </c>
      <c r="O15" s="3"/>
    </row>
    <row r="16" spans="1:15" x14ac:dyDescent="0.25">
      <c r="A16" s="1" t="s">
        <v>26</v>
      </c>
      <c r="B16" s="9">
        <v>0.02</v>
      </c>
      <c r="C16" s="11">
        <f t="shared" si="6"/>
        <v>190</v>
      </c>
      <c r="D16" s="11">
        <f t="shared" si="5"/>
        <v>190.95</v>
      </c>
      <c r="E16" s="11">
        <f t="shared" si="5"/>
        <v>191.90474999999998</v>
      </c>
      <c r="F16" s="11">
        <f t="shared" si="5"/>
        <v>192.86427374999997</v>
      </c>
      <c r="G16" s="11">
        <f t="shared" si="5"/>
        <v>193.82859511874997</v>
      </c>
      <c r="H16" s="11">
        <f t="shared" si="5"/>
        <v>194.79773809434371</v>
      </c>
      <c r="I16" s="11">
        <f t="shared" si="5"/>
        <v>195.77172678481543</v>
      </c>
      <c r="J16" s="11">
        <f t="shared" si="5"/>
        <v>196.75058541873952</v>
      </c>
      <c r="K16" s="11">
        <f t="shared" si="5"/>
        <v>197.73433834583321</v>
      </c>
      <c r="L16" s="11">
        <f t="shared" si="5"/>
        <v>198.72301003756237</v>
      </c>
      <c r="M16" s="11">
        <f t="shared" si="5"/>
        <v>199.71662508775017</v>
      </c>
      <c r="N16" s="11">
        <f t="shared" si="5"/>
        <v>200.71520821318893</v>
      </c>
      <c r="O16" s="3"/>
    </row>
    <row r="17" spans="1:15" x14ac:dyDescent="0.25">
      <c r="A17" s="1" t="s">
        <v>27</v>
      </c>
      <c r="B17" s="9">
        <v>0.2</v>
      </c>
      <c r="C17" s="11">
        <f t="shared" si="6"/>
        <v>1900</v>
      </c>
      <c r="D17" s="11">
        <f t="shared" si="5"/>
        <v>1909.5</v>
      </c>
      <c r="E17" s="11">
        <f t="shared" si="5"/>
        <v>1919.0474999999999</v>
      </c>
      <c r="F17" s="11">
        <f t="shared" si="5"/>
        <v>1928.6427374999998</v>
      </c>
      <c r="G17" s="11">
        <f t="shared" si="5"/>
        <v>1938.2859511874999</v>
      </c>
      <c r="H17" s="11">
        <f t="shared" si="5"/>
        <v>1947.9773809434373</v>
      </c>
      <c r="I17" s="11">
        <f t="shared" si="5"/>
        <v>1957.7172678481545</v>
      </c>
      <c r="J17" s="11">
        <f t="shared" si="5"/>
        <v>1967.5058541873952</v>
      </c>
      <c r="K17" s="11">
        <f t="shared" si="5"/>
        <v>1977.3433834583323</v>
      </c>
      <c r="L17" s="11">
        <f t="shared" si="5"/>
        <v>1987.2301003756238</v>
      </c>
      <c r="M17" s="11">
        <f t="shared" si="5"/>
        <v>1997.1662508775019</v>
      </c>
      <c r="N17" s="11">
        <f t="shared" si="5"/>
        <v>2007.1520821318893</v>
      </c>
      <c r="O17" s="3"/>
    </row>
    <row r="18" spans="1:15" x14ac:dyDescent="0.25">
      <c r="A18" s="1" t="s">
        <v>28</v>
      </c>
      <c r="B18" s="9"/>
      <c r="C18" s="11">
        <f t="shared" si="6"/>
        <v>0</v>
      </c>
      <c r="D18" s="11">
        <f t="shared" si="5"/>
        <v>0</v>
      </c>
      <c r="E18" s="11">
        <f t="shared" si="5"/>
        <v>0</v>
      </c>
      <c r="F18" s="11">
        <f t="shared" si="5"/>
        <v>0</v>
      </c>
      <c r="G18" s="11">
        <f t="shared" si="5"/>
        <v>0</v>
      </c>
      <c r="H18" s="11">
        <f t="shared" si="5"/>
        <v>0</v>
      </c>
      <c r="I18" s="11">
        <f t="shared" si="5"/>
        <v>0</v>
      </c>
      <c r="J18" s="11">
        <f t="shared" si="5"/>
        <v>0</v>
      </c>
      <c r="K18" s="11">
        <f t="shared" si="5"/>
        <v>0</v>
      </c>
      <c r="L18" s="11">
        <f t="shared" si="5"/>
        <v>0</v>
      </c>
      <c r="M18" s="11">
        <f t="shared" si="5"/>
        <v>0</v>
      </c>
      <c r="N18" s="11">
        <f t="shared" si="5"/>
        <v>0</v>
      </c>
      <c r="O18" s="3"/>
    </row>
    <row r="19" spans="1:15" x14ac:dyDescent="0.25">
      <c r="A19" s="1" t="s">
        <v>29</v>
      </c>
      <c r="B19" s="8">
        <f>SUM(B13:B18)</f>
        <v>0.52</v>
      </c>
      <c r="C19" s="11">
        <f t="shared" si="6"/>
        <v>4940</v>
      </c>
      <c r="D19" s="11">
        <f t="shared" si="5"/>
        <v>4964.7</v>
      </c>
      <c r="E19" s="11">
        <f t="shared" si="5"/>
        <v>4989.5235000000002</v>
      </c>
      <c r="F19" s="11">
        <f t="shared" si="5"/>
        <v>5014.4711175000002</v>
      </c>
      <c r="G19" s="11">
        <f t="shared" si="5"/>
        <v>5039.5434730875004</v>
      </c>
      <c r="H19" s="11">
        <f t="shared" si="5"/>
        <v>5064.7411904529381</v>
      </c>
      <c r="I19" s="11">
        <f t="shared" si="5"/>
        <v>5090.0648964052025</v>
      </c>
      <c r="J19" s="11">
        <f t="shared" si="5"/>
        <v>5115.5152208872287</v>
      </c>
      <c r="K19" s="11">
        <f t="shared" si="5"/>
        <v>5141.0927969916647</v>
      </c>
      <c r="L19" s="11">
        <f t="shared" si="5"/>
        <v>5166.7982609766232</v>
      </c>
      <c r="M19" s="11">
        <f t="shared" si="5"/>
        <v>5192.6322522815062</v>
      </c>
      <c r="N19" s="11">
        <f t="shared" si="5"/>
        <v>5218.5954135429138</v>
      </c>
    </row>
    <row r="20" spans="1:15" x14ac:dyDescent="0.25">
      <c r="A20" s="1" t="s">
        <v>30</v>
      </c>
      <c r="B20" s="3" t="s">
        <v>32</v>
      </c>
      <c r="C20" s="11">
        <f>C11-C19</f>
        <v>4560</v>
      </c>
      <c r="D20" s="11">
        <f>D11-D19</f>
        <v>4725.3</v>
      </c>
      <c r="E20" s="11">
        <f t="shared" ref="E20:N20" si="7">E11-E19</f>
        <v>4894.2765000000009</v>
      </c>
      <c r="F20" s="11">
        <f t="shared" si="7"/>
        <v>5067.0048825000003</v>
      </c>
      <c r="G20" s="11">
        <f t="shared" si="7"/>
        <v>5243.5620469124988</v>
      </c>
      <c r="H20" s="11">
        <f t="shared" si="7"/>
        <v>5424.0264399470616</v>
      </c>
      <c r="I20" s="11">
        <f t="shared" si="7"/>
        <v>5608.4780866027968</v>
      </c>
      <c r="J20" s="11">
        <f t="shared" si="7"/>
        <v>5796.9986217809319</v>
      </c>
      <c r="K20" s="11">
        <f t="shared" si="7"/>
        <v>5989.6713225298572</v>
      </c>
      <c r="L20" s="11">
        <f t="shared" si="7"/>
        <v>6186.581140935331</v>
      </c>
      <c r="M20" s="11">
        <f t="shared" si="7"/>
        <v>6387.8147376686866</v>
      </c>
      <c r="N20" s="11">
        <f t="shared" si="7"/>
        <v>6593.4605162062844</v>
      </c>
      <c r="O20" s="3"/>
    </row>
    <row r="21" spans="1:15" x14ac:dyDescent="0.25">
      <c r="A21" s="1" t="s">
        <v>31</v>
      </c>
      <c r="B21" s="13">
        <v>-30000</v>
      </c>
      <c r="C21" s="12">
        <f>B21+C20</f>
        <v>-25440</v>
      </c>
      <c r="D21" s="12">
        <f>C21+D20</f>
        <v>-20714.7</v>
      </c>
      <c r="E21" s="12">
        <f t="shared" ref="E21:N21" si="8">D21+E20</f>
        <v>-15820.423500000001</v>
      </c>
      <c r="F21" s="12">
        <f t="shared" si="8"/>
        <v>-10753.4186175</v>
      </c>
      <c r="G21" s="12">
        <f t="shared" si="8"/>
        <v>-5509.8565705875008</v>
      </c>
      <c r="H21" s="12">
        <f t="shared" si="8"/>
        <v>-85.830130640439165</v>
      </c>
      <c r="I21" s="12">
        <f t="shared" si="8"/>
        <v>5522.6479559623576</v>
      </c>
      <c r="J21" s="12">
        <f t="shared" si="8"/>
        <v>11319.64657774329</v>
      </c>
      <c r="K21" s="12">
        <f t="shared" si="8"/>
        <v>17309.317900273149</v>
      </c>
      <c r="L21" s="12">
        <f t="shared" si="8"/>
        <v>23495.899041208479</v>
      </c>
      <c r="M21" s="12">
        <f t="shared" si="8"/>
        <v>29883.713778877165</v>
      </c>
      <c r="N21" s="12">
        <f t="shared" si="8"/>
        <v>36477.174295083452</v>
      </c>
      <c r="O21" s="3"/>
    </row>
    <row r="23" spans="1:15" x14ac:dyDescent="0.25">
      <c r="A23" s="1" t="s">
        <v>33</v>
      </c>
      <c r="B23" s="14">
        <v>0.02</v>
      </c>
    </row>
    <row r="24" spans="1:15" x14ac:dyDescent="0.25">
      <c r="A24" s="1" t="s">
        <v>34</v>
      </c>
      <c r="B24" s="14">
        <v>5.0000000000000001E-3</v>
      </c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93AE4-029D-443A-AA76-FF6852E54626}">
  <dimension ref="A1"/>
  <sheetViews>
    <sheetView workbookViewId="0">
      <selection sqref="A1:S16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4929-C98C-407E-96FB-AB05E75DD443}">
  <dimension ref="A2:G10"/>
  <sheetViews>
    <sheetView zoomScale="133" workbookViewId="0">
      <selection activeCell="A3" sqref="A3"/>
    </sheetView>
  </sheetViews>
  <sheetFormatPr defaultRowHeight="15" x14ac:dyDescent="0.25"/>
  <cols>
    <col min="1" max="2" width="14.28515625" customWidth="1"/>
    <col min="3" max="3" width="21.140625" bestFit="1" customWidth="1"/>
    <col min="4" max="7" width="14.28515625" customWidth="1"/>
  </cols>
  <sheetData>
    <row r="2" spans="1:7" x14ac:dyDescent="0.25">
      <c r="A2" s="19" t="s">
        <v>35</v>
      </c>
      <c r="B2" s="20" t="s">
        <v>36</v>
      </c>
      <c r="C2" s="20" t="s">
        <v>37</v>
      </c>
      <c r="D2" s="20" t="s">
        <v>38</v>
      </c>
      <c r="E2" s="20" t="s">
        <v>39</v>
      </c>
      <c r="F2" s="20" t="s">
        <v>40</v>
      </c>
      <c r="G2" s="21" t="s">
        <v>41</v>
      </c>
    </row>
    <row r="3" spans="1:7" x14ac:dyDescent="0.25">
      <c r="A3" s="17">
        <v>1</v>
      </c>
      <c r="B3" s="16">
        <v>45548</v>
      </c>
      <c r="C3" s="3" t="s">
        <v>42</v>
      </c>
      <c r="D3" s="3">
        <v>7</v>
      </c>
      <c r="E3" s="3">
        <v>6</v>
      </c>
      <c r="F3" s="3">
        <v>3</v>
      </c>
      <c r="G3" s="18">
        <f t="shared" ref="G3:G10" si="0">D3*E3*F3</f>
        <v>126</v>
      </c>
    </row>
    <row r="4" spans="1:7" x14ac:dyDescent="0.25">
      <c r="A4" s="17">
        <v>2</v>
      </c>
      <c r="B4" s="16">
        <v>45407</v>
      </c>
      <c r="C4" s="3"/>
      <c r="D4" s="3">
        <v>8</v>
      </c>
      <c r="E4" s="3">
        <v>4</v>
      </c>
      <c r="F4" s="3">
        <v>2</v>
      </c>
      <c r="G4" s="18">
        <f t="shared" si="0"/>
        <v>64</v>
      </c>
    </row>
    <row r="5" spans="1:7" x14ac:dyDescent="0.25">
      <c r="A5" s="17">
        <v>3</v>
      </c>
      <c r="B5" s="16">
        <v>45319</v>
      </c>
      <c r="C5" s="3"/>
      <c r="D5" s="3">
        <v>7</v>
      </c>
      <c r="E5" s="3">
        <v>6</v>
      </c>
      <c r="F5" s="3">
        <v>2</v>
      </c>
      <c r="G5" s="18">
        <f t="shared" si="0"/>
        <v>84</v>
      </c>
    </row>
    <row r="6" spans="1:7" x14ac:dyDescent="0.25">
      <c r="A6" s="17">
        <v>4</v>
      </c>
      <c r="B6" s="16">
        <v>45397</v>
      </c>
      <c r="C6" s="3"/>
      <c r="D6" s="3">
        <v>8</v>
      </c>
      <c r="E6" s="3">
        <v>6</v>
      </c>
      <c r="F6" s="3">
        <v>1</v>
      </c>
      <c r="G6" s="18">
        <f t="shared" si="0"/>
        <v>48</v>
      </c>
    </row>
    <row r="7" spans="1:7" x14ac:dyDescent="0.25">
      <c r="A7" s="17">
        <v>5</v>
      </c>
      <c r="B7" s="16">
        <v>45622</v>
      </c>
      <c r="C7" s="3"/>
      <c r="D7" s="3">
        <v>9</v>
      </c>
      <c r="E7" s="3">
        <v>6</v>
      </c>
      <c r="F7" s="3">
        <v>3</v>
      </c>
      <c r="G7" s="18">
        <f t="shared" si="0"/>
        <v>162</v>
      </c>
    </row>
    <row r="8" spans="1:7" x14ac:dyDescent="0.25">
      <c r="A8" s="17">
        <v>6</v>
      </c>
      <c r="B8" s="16">
        <v>45317</v>
      </c>
      <c r="C8" s="3"/>
      <c r="D8" s="3">
        <v>7</v>
      </c>
      <c r="E8" s="3">
        <v>4</v>
      </c>
      <c r="F8" s="3">
        <v>3</v>
      </c>
      <c r="G8" s="18">
        <f t="shared" si="0"/>
        <v>84</v>
      </c>
    </row>
    <row r="9" spans="1:7" x14ac:dyDescent="0.25">
      <c r="A9" s="17">
        <v>7</v>
      </c>
      <c r="B9" s="16">
        <v>45368</v>
      </c>
      <c r="C9" s="3"/>
      <c r="D9" s="3">
        <v>8</v>
      </c>
      <c r="E9" s="3">
        <v>6</v>
      </c>
      <c r="F9" s="3">
        <v>1</v>
      </c>
      <c r="G9" s="18">
        <f t="shared" si="0"/>
        <v>48</v>
      </c>
    </row>
    <row r="10" spans="1:7" x14ac:dyDescent="0.25">
      <c r="A10" s="22">
        <v>8</v>
      </c>
      <c r="B10" s="23">
        <v>45459</v>
      </c>
      <c r="C10" s="24"/>
      <c r="D10" s="24">
        <v>9</v>
      </c>
      <c r="E10" s="24">
        <v>5</v>
      </c>
      <c r="F10" s="24">
        <v>3</v>
      </c>
      <c r="G10" s="25">
        <f t="shared" si="0"/>
        <v>135</v>
      </c>
    </row>
  </sheetData>
  <sortState xmlns:xlrd2="http://schemas.microsoft.com/office/spreadsheetml/2017/richdata2" ref="A3:G10">
    <sortCondition ref="B3:B10"/>
  </sortState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862A-07F6-4132-921D-A9C28D86C4B8}">
  <dimension ref="A1:AD18"/>
  <sheetViews>
    <sheetView workbookViewId="0">
      <selection activeCell="J9" sqref="J9"/>
    </sheetView>
  </sheetViews>
  <sheetFormatPr defaultRowHeight="15" x14ac:dyDescent="0.25"/>
  <cols>
    <col min="1" max="1" width="12.140625" bestFit="1" customWidth="1"/>
    <col min="2" max="2" width="15.42578125" bestFit="1" customWidth="1"/>
    <col min="3" max="3" width="6" bestFit="1" customWidth="1"/>
    <col min="4" max="5" width="5" bestFit="1" customWidth="1"/>
    <col min="6" max="6" width="8.42578125" bestFit="1" customWidth="1"/>
    <col min="7" max="7" width="5" bestFit="1" customWidth="1"/>
    <col min="8" max="8" width="3.85546875" bestFit="1" customWidth="1"/>
    <col min="9" max="9" width="8.42578125" bestFit="1" customWidth="1"/>
    <col min="10" max="10" width="11.85546875" bestFit="1" customWidth="1"/>
    <col min="12" max="19" width="3.28515625" customWidth="1"/>
    <col min="20" max="27" width="3" customWidth="1"/>
    <col min="29" max="29" width="12.140625" bestFit="1" customWidth="1"/>
    <col min="30" max="31" width="23.7109375" bestFit="1" customWidth="1"/>
  </cols>
  <sheetData>
    <row r="1" spans="1:30" ht="15.75" thickBot="1" x14ac:dyDescent="0.3">
      <c r="A1" s="60" t="s">
        <v>43</v>
      </c>
      <c r="B1" s="60"/>
      <c r="C1" s="60"/>
      <c r="D1" s="60"/>
      <c r="E1" s="60"/>
      <c r="F1" s="60"/>
      <c r="G1" s="60"/>
      <c r="H1" s="60"/>
      <c r="I1" s="60"/>
      <c r="J1" s="26"/>
      <c r="K1" s="26"/>
      <c r="L1" s="26"/>
      <c r="M1" s="26"/>
      <c r="N1" s="26"/>
      <c r="O1" s="26"/>
      <c r="P1" s="26"/>
      <c r="Q1" s="26"/>
      <c r="R1" s="26"/>
      <c r="S1" s="26"/>
    </row>
    <row r="2" spans="1:30" ht="15.75" thickBot="1" x14ac:dyDescent="0.3">
      <c r="A2" s="61" t="s">
        <v>61</v>
      </c>
      <c r="B2" s="61"/>
      <c r="C2" s="61"/>
      <c r="D2" s="61"/>
      <c r="E2" s="61"/>
      <c r="F2" s="61"/>
      <c r="G2" s="61"/>
      <c r="H2" s="61"/>
      <c r="I2" s="61"/>
      <c r="J2" s="27"/>
      <c r="K2" s="26"/>
      <c r="L2" s="62" t="s">
        <v>44</v>
      </c>
      <c r="M2" s="63"/>
      <c r="N2" s="64"/>
      <c r="O2" s="65" t="s">
        <v>45</v>
      </c>
      <c r="P2" s="63"/>
      <c r="Q2" s="63"/>
      <c r="R2" s="63"/>
      <c r="S2" s="64"/>
      <c r="T2" s="65" t="s">
        <v>46</v>
      </c>
      <c r="U2" s="63"/>
      <c r="V2" s="63"/>
      <c r="W2" s="64"/>
      <c r="X2" s="65" t="s">
        <v>47</v>
      </c>
      <c r="Y2" s="63"/>
      <c r="Z2" s="63"/>
      <c r="AA2" s="66"/>
      <c r="AC2" s="28"/>
      <c r="AD2" s="29"/>
    </row>
    <row r="3" spans="1:30" x14ac:dyDescent="0.25">
      <c r="A3" s="30" t="s">
        <v>48</v>
      </c>
      <c r="B3" s="31" t="s">
        <v>49</v>
      </c>
      <c r="C3" s="31" t="s">
        <v>50</v>
      </c>
      <c r="D3" s="31" t="s">
        <v>51</v>
      </c>
      <c r="E3" s="31" t="s">
        <v>52</v>
      </c>
      <c r="F3" s="31" t="s">
        <v>53</v>
      </c>
      <c r="G3" s="31" t="s">
        <v>54</v>
      </c>
      <c r="H3" s="31" t="s">
        <v>55</v>
      </c>
      <c r="I3" s="30" t="s">
        <v>56</v>
      </c>
      <c r="J3" s="26"/>
      <c r="K3" s="26"/>
      <c r="L3" s="32">
        <f>AD2</f>
        <v>0</v>
      </c>
      <c r="M3" s="32">
        <f t="shared" ref="M3:AA3" si="0">L3+7</f>
        <v>7</v>
      </c>
      <c r="N3" s="32">
        <f t="shared" si="0"/>
        <v>14</v>
      </c>
      <c r="O3" s="32">
        <f t="shared" si="0"/>
        <v>21</v>
      </c>
      <c r="P3" s="32">
        <f t="shared" si="0"/>
        <v>28</v>
      </c>
      <c r="Q3" s="32">
        <f t="shared" si="0"/>
        <v>35</v>
      </c>
      <c r="R3" s="32">
        <f t="shared" si="0"/>
        <v>42</v>
      </c>
      <c r="S3" s="32">
        <f t="shared" si="0"/>
        <v>49</v>
      </c>
      <c r="T3" s="32">
        <f t="shared" si="0"/>
        <v>56</v>
      </c>
      <c r="U3" s="32">
        <f t="shared" si="0"/>
        <v>63</v>
      </c>
      <c r="V3" s="32">
        <f t="shared" si="0"/>
        <v>70</v>
      </c>
      <c r="W3" s="32">
        <f t="shared" si="0"/>
        <v>77</v>
      </c>
      <c r="X3" s="32">
        <f t="shared" si="0"/>
        <v>84</v>
      </c>
      <c r="Y3" s="32">
        <f t="shared" si="0"/>
        <v>91</v>
      </c>
      <c r="Z3" s="32">
        <f t="shared" si="0"/>
        <v>98</v>
      </c>
      <c r="AA3" s="32">
        <f t="shared" si="0"/>
        <v>105</v>
      </c>
      <c r="AC3" s="59"/>
      <c r="AD3" s="59"/>
    </row>
    <row r="4" spans="1:30" x14ac:dyDescent="0.25">
      <c r="A4" s="33">
        <v>123456</v>
      </c>
      <c r="B4" s="26" t="s">
        <v>57</v>
      </c>
      <c r="C4" s="34">
        <f>SUM(L4:AA4)</f>
        <v>24</v>
      </c>
      <c r="D4" s="35">
        <v>6</v>
      </c>
      <c r="E4" s="35"/>
      <c r="F4" s="35">
        <f>IF(OR(D4="",E4=""),(D4+E4)/2,AVERAGE(D4,E4))</f>
        <v>3</v>
      </c>
      <c r="G4" s="35">
        <v>7</v>
      </c>
      <c r="H4" s="36"/>
      <c r="I4" s="37" t="str">
        <f>IF(C4&gt;20,"RF",IF(OR(F4="",G4=""),"",IF(H4="",FLOOR(AVERAGE(F4,G4),0.5),AVERAGE(H4,LARGE(F4:G4,1)))))</f>
        <v>RF</v>
      </c>
      <c r="J4" s="33" t="str">
        <f>IF(C4&gt;20,"Reprovado F",IF(I4&lt;6,"Reprovado ","Aprovado"))</f>
        <v>Reprovado F</v>
      </c>
      <c r="K4" s="38"/>
      <c r="L4" s="39">
        <v>0</v>
      </c>
      <c r="M4" s="39">
        <v>4</v>
      </c>
      <c r="N4" s="39">
        <v>4</v>
      </c>
      <c r="O4" s="39">
        <v>4</v>
      </c>
      <c r="P4" s="39">
        <v>4</v>
      </c>
      <c r="Q4" s="39">
        <v>4</v>
      </c>
      <c r="R4" s="39">
        <v>4</v>
      </c>
      <c r="S4" s="39">
        <v>0</v>
      </c>
      <c r="T4" s="39">
        <v>0</v>
      </c>
      <c r="U4" s="39">
        <v>0</v>
      </c>
      <c r="V4" s="39">
        <v>0</v>
      </c>
      <c r="W4" s="39">
        <v>0</v>
      </c>
      <c r="X4" s="39">
        <v>0</v>
      </c>
      <c r="Y4" s="39">
        <v>0</v>
      </c>
      <c r="Z4" s="39">
        <v>0</v>
      </c>
      <c r="AA4" s="39">
        <v>0</v>
      </c>
      <c r="AB4" s="40"/>
      <c r="AC4" s="41"/>
      <c r="AD4" s="36"/>
    </row>
    <row r="5" spans="1:30" x14ac:dyDescent="0.25">
      <c r="A5" s="33">
        <v>124563</v>
      </c>
      <c r="B5" s="36" t="s">
        <v>58</v>
      </c>
      <c r="C5" s="34">
        <f>SUM(L5:AA5)</f>
        <v>8</v>
      </c>
      <c r="D5" s="35"/>
      <c r="E5" s="35">
        <v>6</v>
      </c>
      <c r="F5" s="35">
        <f t="shared" ref="F5:F7" si="1">IF(OR(D5="",E5=""),(D5+E5)/2,AVERAGE(D5,E5))</f>
        <v>3</v>
      </c>
      <c r="G5" s="35">
        <v>6</v>
      </c>
      <c r="H5" s="36"/>
      <c r="I5" s="37">
        <f t="shared" ref="I5:I7" si="2">IF(C5&gt;20,"RF",IF(OR(F5="",G5=""),"",IF(H5="",FLOOR(AVERAGE(F5,G5),0.5),AVERAGE(H5,LARGE(F5:G5,1)))))</f>
        <v>4.5</v>
      </c>
      <c r="J5" s="33" t="str">
        <f t="shared" ref="J5:J7" si="3">IF(C5&gt;20,"Reprovado F",IF(I5&lt;6,"Reprovado ","Aprovado"))</f>
        <v xml:space="preserve">Reprovado </v>
      </c>
      <c r="K5" s="26"/>
      <c r="L5" s="39">
        <v>0</v>
      </c>
      <c r="M5" s="39">
        <v>2</v>
      </c>
      <c r="N5" s="39">
        <v>4</v>
      </c>
      <c r="O5" s="39">
        <v>0</v>
      </c>
      <c r="P5" s="39">
        <v>2</v>
      </c>
      <c r="Q5" s="39">
        <v>0</v>
      </c>
      <c r="R5" s="39">
        <v>0</v>
      </c>
      <c r="S5" s="39">
        <v>0</v>
      </c>
      <c r="T5" s="39">
        <v>0</v>
      </c>
      <c r="U5" s="39">
        <v>0</v>
      </c>
      <c r="V5" s="39">
        <v>0</v>
      </c>
      <c r="W5" s="39">
        <v>0</v>
      </c>
      <c r="X5" s="39">
        <v>0</v>
      </c>
      <c r="Y5" s="39">
        <v>0</v>
      </c>
      <c r="Z5" s="39">
        <v>0</v>
      </c>
      <c r="AA5" s="39">
        <v>0</v>
      </c>
      <c r="AC5" s="41"/>
      <c r="AD5" s="36"/>
    </row>
    <row r="6" spans="1:30" x14ac:dyDescent="0.25">
      <c r="A6" s="33">
        <v>125436</v>
      </c>
      <c r="B6" s="36" t="s">
        <v>59</v>
      </c>
      <c r="C6" s="34">
        <f>SUM(L6:AA6)</f>
        <v>20</v>
      </c>
      <c r="D6" s="35">
        <v>4</v>
      </c>
      <c r="E6" s="35">
        <v>5</v>
      </c>
      <c r="F6" s="35">
        <f t="shared" si="1"/>
        <v>4.5</v>
      </c>
      <c r="G6" s="35">
        <v>6</v>
      </c>
      <c r="H6" s="36">
        <v>9</v>
      </c>
      <c r="I6" s="37">
        <f t="shared" si="2"/>
        <v>7.5</v>
      </c>
      <c r="J6" s="33" t="str">
        <f t="shared" si="3"/>
        <v>Aprovado</v>
      </c>
      <c r="K6" s="26"/>
      <c r="L6" s="39">
        <v>2</v>
      </c>
      <c r="M6" s="39">
        <v>4</v>
      </c>
      <c r="N6" s="39">
        <v>4</v>
      </c>
      <c r="O6" s="39">
        <v>4</v>
      </c>
      <c r="P6" s="39">
        <v>2</v>
      </c>
      <c r="Q6" s="39">
        <v>4</v>
      </c>
      <c r="R6" s="39">
        <v>0</v>
      </c>
      <c r="S6" s="39">
        <v>0</v>
      </c>
      <c r="T6" s="39">
        <v>0</v>
      </c>
      <c r="U6" s="39">
        <v>0</v>
      </c>
      <c r="V6" s="39">
        <v>0</v>
      </c>
      <c r="W6" s="39">
        <v>0</v>
      </c>
      <c r="X6" s="39">
        <v>0</v>
      </c>
      <c r="Y6" s="39">
        <v>0</v>
      </c>
      <c r="Z6" s="39">
        <v>0</v>
      </c>
      <c r="AA6" s="39">
        <v>0</v>
      </c>
      <c r="AC6" s="41"/>
      <c r="AD6" s="36"/>
    </row>
    <row r="7" spans="1:30" x14ac:dyDescent="0.25">
      <c r="A7" s="33">
        <v>126354</v>
      </c>
      <c r="B7" s="36" t="s">
        <v>60</v>
      </c>
      <c r="C7" s="34">
        <f>SUM(L7:AA7)</f>
        <v>8</v>
      </c>
      <c r="D7" s="35">
        <v>10</v>
      </c>
      <c r="E7" s="35">
        <v>10</v>
      </c>
      <c r="F7" s="35">
        <f t="shared" si="1"/>
        <v>10</v>
      </c>
      <c r="G7" s="35">
        <v>9</v>
      </c>
      <c r="H7" s="36"/>
      <c r="I7" s="37">
        <f t="shared" si="2"/>
        <v>9.5</v>
      </c>
      <c r="J7" s="33" t="str">
        <f t="shared" si="3"/>
        <v>Aprovado</v>
      </c>
      <c r="K7" s="26"/>
      <c r="L7" s="39">
        <v>0</v>
      </c>
      <c r="M7" s="39">
        <v>2</v>
      </c>
      <c r="N7" s="39">
        <v>4</v>
      </c>
      <c r="O7" s="39">
        <v>0</v>
      </c>
      <c r="P7" s="39">
        <v>2</v>
      </c>
      <c r="Q7" s="39">
        <v>0</v>
      </c>
      <c r="R7" s="39">
        <v>0</v>
      </c>
      <c r="S7" s="39">
        <v>0</v>
      </c>
      <c r="T7" s="39">
        <v>0</v>
      </c>
      <c r="U7" s="39">
        <v>0</v>
      </c>
      <c r="V7" s="39">
        <v>0</v>
      </c>
      <c r="W7" s="39">
        <v>0</v>
      </c>
      <c r="X7" s="39">
        <v>0</v>
      </c>
      <c r="Y7" s="39">
        <v>0</v>
      </c>
      <c r="Z7" s="39">
        <v>0</v>
      </c>
      <c r="AA7" s="39">
        <v>0</v>
      </c>
      <c r="AC7" s="42"/>
      <c r="AD7" s="36"/>
    </row>
    <row r="8" spans="1:30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AC8" s="41"/>
      <c r="AD8" s="36"/>
    </row>
    <row r="9" spans="1:30" x14ac:dyDescent="0.25"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AC9" s="41"/>
      <c r="AD9" s="36"/>
    </row>
    <row r="10" spans="1:30" x14ac:dyDescent="0.25"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</row>
    <row r="11" spans="1:30" x14ac:dyDescent="0.25"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</row>
    <row r="12" spans="1:30" x14ac:dyDescent="0.25">
      <c r="A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</row>
    <row r="13" spans="1:30" x14ac:dyDescent="0.25">
      <c r="A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</row>
    <row r="14" spans="1:30" x14ac:dyDescent="0.25">
      <c r="A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</row>
    <row r="15" spans="1:30" x14ac:dyDescent="0.25">
      <c r="A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</row>
    <row r="16" spans="1:30" x14ac:dyDescent="0.25">
      <c r="A16" s="26"/>
      <c r="B16" s="43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</row>
    <row r="17" spans="1:19" x14ac:dyDescent="0.25">
      <c r="A17" s="26"/>
      <c r="B17" s="26"/>
      <c r="C17" s="26"/>
      <c r="D17" s="26"/>
      <c r="E17" s="26"/>
      <c r="F17" s="26"/>
      <c r="G17" s="43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</row>
    <row r="18" spans="1:19" x14ac:dyDescent="0.25">
      <c r="A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</row>
  </sheetData>
  <mergeCells count="7">
    <mergeCell ref="AC3:AD3"/>
    <mergeCell ref="A1:I1"/>
    <mergeCell ref="A2:I2"/>
    <mergeCell ref="L2:N2"/>
    <mergeCell ref="O2:S2"/>
    <mergeCell ref="T2:W2"/>
    <mergeCell ref="X2:AA2"/>
  </mergeCells>
  <conditionalFormatting sqref="C4:C7">
    <cfRule type="cellIs" dxfId="4" priority="1" operator="greaterThan">
      <formula>20</formula>
    </cfRule>
  </conditionalFormatting>
  <conditionalFormatting sqref="D4:I7">
    <cfRule type="cellIs" dxfId="3" priority="2" operator="lessThan">
      <formula>6</formula>
    </cfRule>
  </conditionalFormatting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C70C3-494C-44B3-9109-6EB6764A30E1}">
  <dimension ref="A1:R14"/>
  <sheetViews>
    <sheetView zoomScale="90" zoomScaleNormal="70" workbookViewId="0">
      <selection activeCell="H32" sqref="H32"/>
    </sheetView>
  </sheetViews>
  <sheetFormatPr defaultRowHeight="15" x14ac:dyDescent="0.25"/>
  <cols>
    <col min="1" max="1" width="23.28515625" customWidth="1"/>
  </cols>
  <sheetData>
    <row r="1" spans="1:18" x14ac:dyDescent="0.25">
      <c r="A1" s="47" t="s">
        <v>62</v>
      </c>
      <c r="C1" s="48">
        <v>1</v>
      </c>
      <c r="D1" s="48">
        <v>2</v>
      </c>
      <c r="E1" s="48">
        <v>3</v>
      </c>
      <c r="F1" s="48">
        <v>4</v>
      </c>
      <c r="G1" s="48">
        <v>5</v>
      </c>
      <c r="H1" s="48">
        <v>6</v>
      </c>
      <c r="I1" s="48">
        <v>7</v>
      </c>
      <c r="J1" s="48">
        <v>8</v>
      </c>
      <c r="K1" s="48">
        <v>9</v>
      </c>
      <c r="L1" s="48">
        <v>10</v>
      </c>
      <c r="M1" s="48">
        <v>11</v>
      </c>
      <c r="O1" s="49" t="s">
        <v>107</v>
      </c>
      <c r="P1" s="49" t="s">
        <v>108</v>
      </c>
      <c r="Q1" s="49" t="s">
        <v>109</v>
      </c>
      <c r="R1" s="49" t="s">
        <v>110</v>
      </c>
    </row>
    <row r="2" spans="1:18" x14ac:dyDescent="0.25">
      <c r="A2" s="50" t="s">
        <v>63</v>
      </c>
      <c r="C2" s="51" t="str">
        <f t="shared" ref="C2:M2" si="0">MID($A$2,C1,1)</f>
        <v>2</v>
      </c>
      <c r="D2" s="51" t="str">
        <f t="shared" si="0"/>
        <v>5</v>
      </c>
      <c r="E2" s="51" t="str">
        <f t="shared" si="0"/>
        <v>8</v>
      </c>
      <c r="F2" s="51" t="str">
        <f t="shared" si="0"/>
        <v>8</v>
      </c>
      <c r="G2" s="51" t="str">
        <f t="shared" si="0"/>
        <v>9</v>
      </c>
      <c r="H2" s="51" t="str">
        <f t="shared" si="0"/>
        <v>1</v>
      </c>
      <c r="I2" s="51" t="str">
        <f t="shared" si="0"/>
        <v>8</v>
      </c>
      <c r="J2" s="51" t="str">
        <f t="shared" si="0"/>
        <v>6</v>
      </c>
      <c r="K2" s="51" t="str">
        <f t="shared" si="0"/>
        <v>8</v>
      </c>
      <c r="L2" s="51" t="str">
        <f t="shared" si="0"/>
        <v>9</v>
      </c>
      <c r="M2" s="51" t="str">
        <f t="shared" si="0"/>
        <v>2</v>
      </c>
      <c r="O2" s="52">
        <f>SUM(C3:K3)</f>
        <v>310</v>
      </c>
      <c r="P2" s="52">
        <f>MOD(O2,11)</f>
        <v>2</v>
      </c>
      <c r="Q2" s="52">
        <f>11-P2</f>
        <v>9</v>
      </c>
      <c r="R2" s="52">
        <f>IF($Q2&gt;9,0,$Q2)</f>
        <v>9</v>
      </c>
    </row>
    <row r="3" spans="1:18" x14ac:dyDescent="0.25">
      <c r="A3" s="53" t="str">
        <f>IF(AND(VALUE(MID(A2,10,1))=R2,VALUE(MID(A2,11,1))=R3),"Válido","Inválido")</f>
        <v>Válido</v>
      </c>
      <c r="C3" s="54">
        <f>C2*(11-C1)</f>
        <v>20</v>
      </c>
      <c r="D3" s="54">
        <f t="shared" ref="D3:K3" si="1">D2*(11-D1)</f>
        <v>45</v>
      </c>
      <c r="E3" s="54">
        <f t="shared" si="1"/>
        <v>64</v>
      </c>
      <c r="F3" s="54">
        <f t="shared" si="1"/>
        <v>56</v>
      </c>
      <c r="G3" s="54">
        <f t="shared" si="1"/>
        <v>54</v>
      </c>
      <c r="H3" s="54">
        <f t="shared" si="1"/>
        <v>5</v>
      </c>
      <c r="I3" s="54">
        <f t="shared" si="1"/>
        <v>32</v>
      </c>
      <c r="J3" s="54">
        <f t="shared" si="1"/>
        <v>18</v>
      </c>
      <c r="K3" s="54">
        <f t="shared" si="1"/>
        <v>16</v>
      </c>
      <c r="L3" s="15"/>
      <c r="O3" s="52">
        <f>SUM(C4:L4)</f>
        <v>383</v>
      </c>
      <c r="P3" s="52">
        <f>MOD(O3,11)</f>
        <v>9</v>
      </c>
      <c r="Q3" s="52">
        <f>11-P3</f>
        <v>2</v>
      </c>
      <c r="R3" s="52">
        <f>IF($Q3&gt;9,0,$Q3)</f>
        <v>2</v>
      </c>
    </row>
    <row r="4" spans="1:18" x14ac:dyDescent="0.25">
      <c r="C4" s="54">
        <f>C2*(12-C1)</f>
        <v>22</v>
      </c>
      <c r="D4" s="54">
        <f t="shared" ref="D4:L4" si="2">D2*(12-D1)</f>
        <v>50</v>
      </c>
      <c r="E4" s="54">
        <f t="shared" si="2"/>
        <v>72</v>
      </c>
      <c r="F4" s="54">
        <f t="shared" si="2"/>
        <v>64</v>
      </c>
      <c r="G4" s="54">
        <f t="shared" si="2"/>
        <v>63</v>
      </c>
      <c r="H4" s="54">
        <f t="shared" si="2"/>
        <v>6</v>
      </c>
      <c r="I4" s="54">
        <f t="shared" si="2"/>
        <v>40</v>
      </c>
      <c r="J4" s="54">
        <f t="shared" si="2"/>
        <v>24</v>
      </c>
      <c r="K4" s="54">
        <f t="shared" si="2"/>
        <v>24</v>
      </c>
      <c r="L4" s="54">
        <f t="shared" si="2"/>
        <v>18</v>
      </c>
    </row>
    <row r="6" spans="1:18" x14ac:dyDescent="0.25">
      <c r="A6" s="47" t="s">
        <v>62</v>
      </c>
      <c r="C6" s="48">
        <v>1</v>
      </c>
      <c r="D6" s="48">
        <v>2</v>
      </c>
      <c r="E6" s="48">
        <v>3</v>
      </c>
      <c r="F6" s="48">
        <v>4</v>
      </c>
      <c r="G6" s="48">
        <v>5</v>
      </c>
      <c r="H6" s="48">
        <v>6</v>
      </c>
      <c r="I6" s="48">
        <v>7</v>
      </c>
      <c r="J6" s="48">
        <v>8</v>
      </c>
      <c r="K6" s="48">
        <v>9</v>
      </c>
      <c r="L6" s="48">
        <v>10</v>
      </c>
      <c r="M6" s="48">
        <v>11</v>
      </c>
      <c r="O6" s="49" t="s">
        <v>107</v>
      </c>
      <c r="P6" s="49" t="s">
        <v>108</v>
      </c>
      <c r="Q6" s="49" t="s">
        <v>109</v>
      </c>
      <c r="R6" s="49" t="s">
        <v>110</v>
      </c>
    </row>
    <row r="7" spans="1:18" x14ac:dyDescent="0.25">
      <c r="A7" s="50" t="s">
        <v>111</v>
      </c>
      <c r="C7" s="51" t="str">
        <f>MID($A$7,C6,1)</f>
        <v>4</v>
      </c>
      <c r="D7" s="51" t="str">
        <f t="shared" ref="D7:M7" si="3">MID($A$7,D6,1)</f>
        <v>3</v>
      </c>
      <c r="E7" s="51" t="str">
        <f t="shared" si="3"/>
        <v>4</v>
      </c>
      <c r="F7" s="51" t="str">
        <f t="shared" si="3"/>
        <v>6</v>
      </c>
      <c r="G7" s="51" t="str">
        <f t="shared" si="3"/>
        <v>5</v>
      </c>
      <c r="H7" s="51" t="str">
        <f t="shared" si="3"/>
        <v>9</v>
      </c>
      <c r="I7" s="51" t="str">
        <f t="shared" si="3"/>
        <v>2</v>
      </c>
      <c r="J7" s="51" t="str">
        <f t="shared" si="3"/>
        <v>5</v>
      </c>
      <c r="K7" s="51" t="str">
        <f t="shared" si="3"/>
        <v>8</v>
      </c>
      <c r="L7" s="51" t="str">
        <f t="shared" si="3"/>
        <v>9</v>
      </c>
      <c r="M7" s="51" t="str">
        <f t="shared" si="3"/>
        <v>0</v>
      </c>
      <c r="O7" s="52">
        <f>SUM(C8:K8)</f>
        <v>255</v>
      </c>
      <c r="P7" s="52">
        <f>MOD(O7,11)</f>
        <v>2</v>
      </c>
      <c r="Q7" s="52">
        <f>11-P7</f>
        <v>9</v>
      </c>
      <c r="R7" s="52">
        <f>IF($Q7&gt;9,0,$Q7)</f>
        <v>9</v>
      </c>
    </row>
    <row r="8" spans="1:18" x14ac:dyDescent="0.25">
      <c r="A8" s="53" t="str">
        <f>IF(AND(VALUE(MID(A7,10,1))=R7,VALUE(MID(A7,11,1))=R8),"Válido","Inválido")</f>
        <v>Válido</v>
      </c>
      <c r="C8" s="54">
        <f>C7*(11-C6)</f>
        <v>40</v>
      </c>
      <c r="D8" s="54">
        <f t="shared" ref="D8:K8" si="4">D7*(11-D6)</f>
        <v>27</v>
      </c>
      <c r="E8" s="54">
        <f t="shared" si="4"/>
        <v>32</v>
      </c>
      <c r="F8" s="54">
        <f t="shared" si="4"/>
        <v>42</v>
      </c>
      <c r="G8" s="54">
        <f t="shared" si="4"/>
        <v>30</v>
      </c>
      <c r="H8" s="54">
        <f t="shared" si="4"/>
        <v>45</v>
      </c>
      <c r="I8" s="54">
        <f t="shared" si="4"/>
        <v>8</v>
      </c>
      <c r="J8" s="54">
        <f t="shared" si="4"/>
        <v>15</v>
      </c>
      <c r="K8" s="54">
        <f t="shared" si="4"/>
        <v>16</v>
      </c>
      <c r="L8" s="15"/>
      <c r="O8" s="52">
        <f>SUM(C9:L9)</f>
        <v>319</v>
      </c>
      <c r="P8" s="52">
        <f>MOD(O8,11)</f>
        <v>0</v>
      </c>
      <c r="Q8" s="52">
        <f>11-P8</f>
        <v>11</v>
      </c>
      <c r="R8" s="52">
        <f>IF($Q8&gt;9,0,$Q8)</f>
        <v>0</v>
      </c>
    </row>
    <row r="9" spans="1:18" x14ac:dyDescent="0.25">
      <c r="C9" s="54">
        <f>C7*(12-C6)</f>
        <v>44</v>
      </c>
      <c r="D9" s="54">
        <f t="shared" ref="D9:L9" si="5">D7*(12-D6)</f>
        <v>30</v>
      </c>
      <c r="E9" s="54">
        <f t="shared" si="5"/>
        <v>36</v>
      </c>
      <c r="F9" s="54">
        <f t="shared" si="5"/>
        <v>48</v>
      </c>
      <c r="G9" s="54">
        <f t="shared" si="5"/>
        <v>35</v>
      </c>
      <c r="H9" s="54">
        <f t="shared" si="5"/>
        <v>54</v>
      </c>
      <c r="I9" s="54">
        <f t="shared" si="5"/>
        <v>10</v>
      </c>
      <c r="J9" s="54">
        <f t="shared" si="5"/>
        <v>20</v>
      </c>
      <c r="K9" s="54">
        <f t="shared" si="5"/>
        <v>24</v>
      </c>
      <c r="L9" s="54">
        <f t="shared" si="5"/>
        <v>18</v>
      </c>
    </row>
    <row r="11" spans="1:18" x14ac:dyDescent="0.25">
      <c r="A11" s="47" t="s">
        <v>62</v>
      </c>
      <c r="C11" s="48">
        <v>1</v>
      </c>
      <c r="D11" s="48">
        <v>2</v>
      </c>
      <c r="E11" s="48">
        <v>3</v>
      </c>
      <c r="F11" s="48">
        <v>4</v>
      </c>
      <c r="G11" s="48">
        <v>5</v>
      </c>
      <c r="H11" s="48">
        <v>6</v>
      </c>
      <c r="I11" s="48">
        <v>7</v>
      </c>
      <c r="J11" s="48">
        <v>8</v>
      </c>
      <c r="K11" s="48">
        <v>9</v>
      </c>
      <c r="L11" s="48">
        <v>10</v>
      </c>
      <c r="M11" s="48">
        <v>11</v>
      </c>
      <c r="O11" s="49" t="s">
        <v>107</v>
      </c>
      <c r="P11" s="49" t="s">
        <v>108</v>
      </c>
      <c r="Q11" s="49" t="s">
        <v>109</v>
      </c>
      <c r="R11" s="49" t="s">
        <v>110</v>
      </c>
    </row>
    <row r="12" spans="1:18" x14ac:dyDescent="0.25">
      <c r="A12" s="50" t="s">
        <v>112</v>
      </c>
      <c r="C12" s="51" t="str">
        <f>MID($A$12,C11,1)</f>
        <v>3</v>
      </c>
      <c r="D12" s="51" t="str">
        <f t="shared" ref="D12:M12" si="6">MID($A$12,D11,1)</f>
        <v>5</v>
      </c>
      <c r="E12" s="51" t="str">
        <f t="shared" si="6"/>
        <v>9</v>
      </c>
      <c r="F12" s="51" t="str">
        <f t="shared" si="6"/>
        <v>7</v>
      </c>
      <c r="G12" s="51" t="str">
        <f t="shared" si="6"/>
        <v>5</v>
      </c>
      <c r="H12" s="51" t="str">
        <f t="shared" si="6"/>
        <v>3</v>
      </c>
      <c r="I12" s="51" t="str">
        <f t="shared" si="6"/>
        <v>9</v>
      </c>
      <c r="J12" s="51" t="str">
        <f t="shared" si="6"/>
        <v>1</v>
      </c>
      <c r="K12" s="51" t="str">
        <f t="shared" si="6"/>
        <v>8</v>
      </c>
      <c r="L12" s="51" t="str">
        <f t="shared" si="6"/>
        <v>1</v>
      </c>
      <c r="M12" s="51" t="str">
        <f t="shared" si="6"/>
        <v>4</v>
      </c>
      <c r="O12" s="52">
        <f>SUM(C13:K13)</f>
        <v>296</v>
      </c>
      <c r="P12" s="52">
        <f>MOD(O12,11)</f>
        <v>10</v>
      </c>
      <c r="Q12" s="52">
        <f>11-P12</f>
        <v>1</v>
      </c>
      <c r="R12" s="52">
        <f>IF($Q12&gt;9,0,$Q12)</f>
        <v>1</v>
      </c>
    </row>
    <row r="13" spans="1:18" x14ac:dyDescent="0.25">
      <c r="A13" s="53" t="str">
        <f>IF(AND(VALUE(MID(A12,10,1))=R12,VALUE(MID(A12,11,1))=R13),"Válido","Inválido")</f>
        <v>Válido</v>
      </c>
      <c r="C13" s="54">
        <f>C12*(11-C11)</f>
        <v>30</v>
      </c>
      <c r="D13" s="54">
        <f t="shared" ref="D13:K13" si="7">D12*(11-D11)</f>
        <v>45</v>
      </c>
      <c r="E13" s="54">
        <f t="shared" si="7"/>
        <v>72</v>
      </c>
      <c r="F13" s="54">
        <f t="shared" si="7"/>
        <v>49</v>
      </c>
      <c r="G13" s="54">
        <f t="shared" si="7"/>
        <v>30</v>
      </c>
      <c r="H13" s="54">
        <f t="shared" si="7"/>
        <v>15</v>
      </c>
      <c r="I13" s="54">
        <f t="shared" si="7"/>
        <v>36</v>
      </c>
      <c r="J13" s="54">
        <f t="shared" si="7"/>
        <v>3</v>
      </c>
      <c r="K13" s="54">
        <f t="shared" si="7"/>
        <v>16</v>
      </c>
      <c r="L13" s="15"/>
      <c r="O13" s="52">
        <f>SUM(C14:L14)</f>
        <v>348</v>
      </c>
      <c r="P13" s="52">
        <f>MOD(O13,11)</f>
        <v>7</v>
      </c>
      <c r="Q13" s="52">
        <f>11-P13</f>
        <v>4</v>
      </c>
      <c r="R13" s="52">
        <f>IF($Q13&gt;9,0,$Q13)</f>
        <v>4</v>
      </c>
    </row>
    <row r="14" spans="1:18" x14ac:dyDescent="0.25">
      <c r="C14" s="54">
        <f>C12*(12-C11)</f>
        <v>33</v>
      </c>
      <c r="D14" s="54">
        <f t="shared" ref="D14:L14" si="8">D12*(12-D11)</f>
        <v>50</v>
      </c>
      <c r="E14" s="54">
        <f t="shared" si="8"/>
        <v>81</v>
      </c>
      <c r="F14" s="54">
        <f t="shared" si="8"/>
        <v>56</v>
      </c>
      <c r="G14" s="54">
        <f t="shared" si="8"/>
        <v>35</v>
      </c>
      <c r="H14" s="54">
        <f t="shared" si="8"/>
        <v>18</v>
      </c>
      <c r="I14" s="54">
        <f t="shared" si="8"/>
        <v>45</v>
      </c>
      <c r="J14" s="54">
        <f t="shared" si="8"/>
        <v>4</v>
      </c>
      <c r="K14" s="54">
        <f t="shared" si="8"/>
        <v>24</v>
      </c>
      <c r="L14" s="54">
        <f t="shared" si="8"/>
        <v>2</v>
      </c>
    </row>
  </sheetData>
  <conditionalFormatting sqref="A3 A8 A13">
    <cfRule type="containsText" dxfId="2" priority="1" operator="containsText" text="Inválido">
      <formula>NOT(ISERROR(SEARCH("Inválido",A3)))</formula>
    </cfRule>
    <cfRule type="containsText" dxfId="1" priority="2" operator="containsText" text="Válido">
      <formula>NOT(ISERROR(SEARCH("Válido",A3)))</formula>
    </cfRule>
  </conditionalFormatting>
  <conditionalFormatting sqref="A3">
    <cfRule type="containsText" dxfId="0" priority="3" operator="containsText" text="&quot;Válido&quot;">
      <formula>NOT(ISERROR(SEARCH("""Válido""",A3)))</formula>
    </cfRule>
  </conditionalFormatting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6AA87-C3B1-4FF7-8646-6E57AE747502}">
  <dimension ref="B5:F17"/>
  <sheetViews>
    <sheetView topLeftCell="A5" zoomScale="174" workbookViewId="0">
      <selection activeCell="E7" sqref="E7"/>
    </sheetView>
  </sheetViews>
  <sheetFormatPr defaultRowHeight="15" x14ac:dyDescent="0.25"/>
  <cols>
    <col min="2" max="2" width="9.140625" customWidth="1"/>
    <col min="4" max="4" width="21.28515625" customWidth="1"/>
    <col min="6" max="6" width="11.28515625" customWidth="1"/>
  </cols>
  <sheetData>
    <row r="5" spans="2:6" x14ac:dyDescent="0.25">
      <c r="B5" t="s">
        <v>64</v>
      </c>
      <c r="C5" t="s">
        <v>65</v>
      </c>
      <c r="D5" t="s">
        <v>66</v>
      </c>
      <c r="E5" t="s">
        <v>67</v>
      </c>
      <c r="F5" t="s">
        <v>68</v>
      </c>
    </row>
    <row r="6" spans="2:6" x14ac:dyDescent="0.25">
      <c r="B6" s="45" t="s">
        <v>71</v>
      </c>
      <c r="C6" t="s">
        <v>70</v>
      </c>
      <c r="D6" s="44">
        <v>33488</v>
      </c>
      <c r="E6" s="44" t="s">
        <v>69</v>
      </c>
      <c r="F6">
        <f ca="1">(NOW()-TBL_Clientes[[#This Row],[Dt_Nasc]])/360</f>
        <v>33.647240208011823</v>
      </c>
    </row>
    <row r="7" spans="2:6" x14ac:dyDescent="0.25">
      <c r="B7" s="45" t="s">
        <v>72</v>
      </c>
      <c r="C7" t="s">
        <v>74</v>
      </c>
      <c r="D7" s="44">
        <v>37615</v>
      </c>
      <c r="E7" s="44" t="s">
        <v>75</v>
      </c>
      <c r="F7">
        <f ca="1">(NOW()-TBL_Clientes[[#This Row],[Dt_Nasc]])/360</f>
        <v>22.183351319122934</v>
      </c>
    </row>
    <row r="8" spans="2:6" x14ac:dyDescent="0.25">
      <c r="B8" s="45" t="s">
        <v>73</v>
      </c>
      <c r="C8" t="s">
        <v>83</v>
      </c>
      <c r="D8" t="e">
        <f ca="1">(_xleta.DATE=RAND())</f>
        <v>#VALUE!</v>
      </c>
      <c r="E8" s="44" t="s">
        <v>69</v>
      </c>
      <c r="F8" t="e">
        <f ca="1">(NOW()-TBL_Clientes[[#This Row],[Dt_Nasc]])/360</f>
        <v>#VALUE!</v>
      </c>
    </row>
    <row r="9" spans="2:6" x14ac:dyDescent="0.25">
      <c r="B9" s="45" t="s">
        <v>76</v>
      </c>
      <c r="C9" t="s">
        <v>84</v>
      </c>
      <c r="E9" s="44" t="s">
        <v>75</v>
      </c>
      <c r="F9">
        <f ca="1">(NOW()-TBL_Clientes[[#This Row],[Dt_Nasc]])/360</f>
        <v>126.66946243023405</v>
      </c>
    </row>
    <row r="10" spans="2:6" x14ac:dyDescent="0.25">
      <c r="B10" s="45" t="s">
        <v>77</v>
      </c>
      <c r="C10" t="s">
        <v>85</v>
      </c>
      <c r="E10" s="44" t="s">
        <v>75</v>
      </c>
      <c r="F10">
        <f ca="1">(NOW()-TBL_Clientes[[#This Row],[Dt_Nasc]])/360</f>
        <v>126.66946243023405</v>
      </c>
    </row>
    <row r="11" spans="2:6" x14ac:dyDescent="0.25">
      <c r="B11" s="45" t="s">
        <v>78</v>
      </c>
      <c r="C11" t="s">
        <v>86</v>
      </c>
      <c r="E11" s="44" t="s">
        <v>75</v>
      </c>
      <c r="F11">
        <f ca="1">(NOW()-TBL_Clientes[[#This Row],[Dt_Nasc]])/360</f>
        <v>126.66946243023405</v>
      </c>
    </row>
    <row r="12" spans="2:6" x14ac:dyDescent="0.25">
      <c r="B12" s="45" t="s">
        <v>79</v>
      </c>
      <c r="C12" t="s">
        <v>87</v>
      </c>
      <c r="E12" s="44" t="s">
        <v>69</v>
      </c>
      <c r="F12">
        <f ca="1">(NOW()-TBL_Clientes[[#This Row],[Dt_Nasc]])/360</f>
        <v>126.66946243023405</v>
      </c>
    </row>
    <row r="13" spans="2:6" x14ac:dyDescent="0.25">
      <c r="B13" s="45" t="s">
        <v>80</v>
      </c>
      <c r="C13" t="s">
        <v>88</v>
      </c>
      <c r="E13" s="44" t="s">
        <v>69</v>
      </c>
      <c r="F13">
        <f ca="1">(NOW()-TBL_Clientes[[#This Row],[Dt_Nasc]])/360</f>
        <v>126.66946243023405</v>
      </c>
    </row>
    <row r="14" spans="2:6" x14ac:dyDescent="0.25">
      <c r="B14" s="45" t="s">
        <v>81</v>
      </c>
      <c r="C14" t="s">
        <v>89</v>
      </c>
      <c r="E14" s="44" t="s">
        <v>75</v>
      </c>
      <c r="F14">
        <f ca="1">(NOW()-TBL_Clientes[[#This Row],[Dt_Nasc]])/360</f>
        <v>126.66946243023405</v>
      </c>
    </row>
    <row r="15" spans="2:6" x14ac:dyDescent="0.25">
      <c r="B15" s="45" t="s">
        <v>82</v>
      </c>
      <c r="C15" t="s">
        <v>90</v>
      </c>
      <c r="E15" s="44" t="s">
        <v>69</v>
      </c>
      <c r="F15">
        <f ca="1">(NOW()-TBL_Clientes[[#This Row],[Dt_Nasc]])/360</f>
        <v>126.66946243023405</v>
      </c>
    </row>
    <row r="16" spans="2:6" x14ac:dyDescent="0.25">
      <c r="B16" s="45" t="s">
        <v>132</v>
      </c>
      <c r="C16" t="s">
        <v>90</v>
      </c>
      <c r="E16" s="44" t="s">
        <v>69</v>
      </c>
      <c r="F16">
        <f ca="1">(NOW()-TBL_Clientes[[#This Row],[Dt_Nasc]])/360</f>
        <v>126.66946243023405</v>
      </c>
    </row>
    <row r="17" spans="2:6" x14ac:dyDescent="0.25">
      <c r="B17" s="45" t="s">
        <v>133</v>
      </c>
      <c r="C17" t="s">
        <v>90</v>
      </c>
      <c r="E17" s="44" t="s">
        <v>69</v>
      </c>
      <c r="F17">
        <f ca="1">(NOW()-TBL_Clientes[[#This Row],[Dt_Nasc]])/360</f>
        <v>126.66946243023405</v>
      </c>
    </row>
  </sheetData>
  <phoneticPr fontId="4" type="noConversion"/>
  <dataValidations count="1">
    <dataValidation type="list" allowBlank="1" showInputMessage="1" showErrorMessage="1" sqref="E6:E17" xr:uid="{361175EA-D978-4C5A-A0C0-FE37761443BA}">
      <formula1>sexo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E84A8-77BA-47B1-930D-0859E7955B5F}">
  <dimension ref="B5:G10"/>
  <sheetViews>
    <sheetView workbookViewId="0">
      <selection activeCell="C8" sqref="C8"/>
    </sheetView>
  </sheetViews>
  <sheetFormatPr defaultRowHeight="15" x14ac:dyDescent="0.25"/>
  <cols>
    <col min="2" max="2" width="10.85546875" customWidth="1"/>
    <col min="3" max="3" width="12.42578125" bestFit="1" customWidth="1"/>
    <col min="4" max="4" width="14.140625" customWidth="1"/>
    <col min="5" max="5" width="15.140625" customWidth="1"/>
    <col min="6" max="6" width="13.42578125" customWidth="1"/>
  </cols>
  <sheetData>
    <row r="5" spans="2:7" x14ac:dyDescent="0.25">
      <c r="B5" t="s">
        <v>91</v>
      </c>
      <c r="C5" t="s">
        <v>92</v>
      </c>
      <c r="D5" t="s">
        <v>93</v>
      </c>
      <c r="E5" t="s">
        <v>94</v>
      </c>
      <c r="F5" t="s">
        <v>95</v>
      </c>
      <c r="G5" t="s">
        <v>96</v>
      </c>
    </row>
    <row r="6" spans="2:7" x14ac:dyDescent="0.25">
      <c r="B6" s="45" t="s">
        <v>71</v>
      </c>
      <c r="C6" t="s">
        <v>97</v>
      </c>
      <c r="D6" t="s">
        <v>99</v>
      </c>
      <c r="E6" s="46">
        <v>655</v>
      </c>
      <c r="F6" s="46">
        <v>890</v>
      </c>
      <c r="G6" s="46">
        <f>Tabela4[[#This Row],[Preco_venda]]-Tabela4[[#This Row],[Preco_Compra]]</f>
        <v>235</v>
      </c>
    </row>
    <row r="7" spans="2:7" x14ac:dyDescent="0.25">
      <c r="B7" s="45" t="s">
        <v>72</v>
      </c>
      <c r="C7" t="s">
        <v>106</v>
      </c>
      <c r="D7" t="s">
        <v>100</v>
      </c>
      <c r="E7" s="46">
        <v>7.5</v>
      </c>
      <c r="F7" s="46">
        <v>15</v>
      </c>
      <c r="G7" s="46">
        <f>Tabela4[[#This Row],[Preco_venda]]-Tabela4[[#This Row],[Preco_Compra]]</f>
        <v>7.5</v>
      </c>
    </row>
    <row r="8" spans="2:7" x14ac:dyDescent="0.25">
      <c r="B8" s="45" t="s">
        <v>73</v>
      </c>
      <c r="E8" s="46"/>
      <c r="F8" s="46"/>
      <c r="G8" s="46">
        <f>Tabela4[[#This Row],[Preco_venda]]-Tabela4[[#This Row],[Preco_Compra]]</f>
        <v>0</v>
      </c>
    </row>
    <row r="9" spans="2:7" x14ac:dyDescent="0.25">
      <c r="B9" s="45" t="s">
        <v>76</v>
      </c>
      <c r="E9" s="46"/>
      <c r="F9" s="46"/>
      <c r="G9" s="46">
        <f>Tabela4[[#This Row],[Preco_venda]]-Tabela4[[#This Row],[Preco_Compra]]</f>
        <v>0</v>
      </c>
    </row>
    <row r="10" spans="2:7" x14ac:dyDescent="0.25">
      <c r="B10" s="45" t="s">
        <v>77</v>
      </c>
      <c r="E10" s="46"/>
      <c r="F10" s="46"/>
      <c r="G10" s="46">
        <f>Tabela4[[#This Row],[Preco_venda]]-Tabela4[[#This Row],[Preco_Compra]]</f>
        <v>0</v>
      </c>
    </row>
  </sheetData>
  <phoneticPr fontId="4" type="noConversion"/>
  <dataValidations count="1">
    <dataValidation type="list" allowBlank="1" showInputMessage="1" showErrorMessage="1" sqref="D6:D10" xr:uid="{96A954D9-F0AB-4F42-AC1E-EA4FFB885917}">
      <formula1>Classificação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003B7-8D9A-4A40-894C-501A7BB2F555}">
  <dimension ref="B2:G17"/>
  <sheetViews>
    <sheetView workbookViewId="0">
      <selection activeCell="G18" sqref="G18"/>
    </sheetView>
  </sheetViews>
  <sheetFormatPr defaultRowHeight="15" x14ac:dyDescent="0.25"/>
  <cols>
    <col min="2" max="2" width="11.85546875" bestFit="1" customWidth="1"/>
    <col min="5" max="5" width="16.28515625" bestFit="1" customWidth="1"/>
    <col min="7" max="7" width="63.42578125" bestFit="1" customWidth="1"/>
  </cols>
  <sheetData>
    <row r="2" spans="2:7" x14ac:dyDescent="0.25">
      <c r="B2" t="s">
        <v>67</v>
      </c>
      <c r="E2" s="15" t="s">
        <v>134</v>
      </c>
      <c r="G2" s="15" t="s">
        <v>140</v>
      </c>
    </row>
    <row r="3" spans="2:7" x14ac:dyDescent="0.25">
      <c r="E3" s="15" t="s">
        <v>119</v>
      </c>
      <c r="G3" s="67" t="e" vm="1">
        <v>#VALUE!</v>
      </c>
    </row>
    <row r="4" spans="2:7" x14ac:dyDescent="0.25">
      <c r="B4" t="s">
        <v>69</v>
      </c>
      <c r="E4" s="15" t="s">
        <v>120</v>
      </c>
      <c r="G4" s="69" t="e" vm="2">
        <v>#VALUE!</v>
      </c>
    </row>
    <row r="5" spans="2:7" x14ac:dyDescent="0.25">
      <c r="B5" t="s">
        <v>75</v>
      </c>
      <c r="E5" s="15" t="s">
        <v>135</v>
      </c>
      <c r="G5" s="68" t="e" vm="3">
        <v>#VALUE!</v>
      </c>
    </row>
    <row r="6" spans="2:7" x14ac:dyDescent="0.25">
      <c r="E6" s="15" t="s">
        <v>136</v>
      </c>
      <c r="G6" s="69" t="e" vm="4">
        <v>#VALUE!</v>
      </c>
    </row>
    <row r="7" spans="2:7" x14ac:dyDescent="0.25">
      <c r="B7" s="3" t="s">
        <v>98</v>
      </c>
      <c r="E7" s="15" t="s">
        <v>137</v>
      </c>
      <c r="G7" s="68" t="e" vm="5">
        <v>#VALUE!</v>
      </c>
    </row>
    <row r="8" spans="2:7" x14ac:dyDescent="0.25">
      <c r="B8" s="3"/>
      <c r="E8" s="15" t="s">
        <v>138</v>
      </c>
      <c r="G8" s="69" t="e" vm="6">
        <v>#VALUE!</v>
      </c>
    </row>
    <row r="9" spans="2:7" x14ac:dyDescent="0.25">
      <c r="B9" s="3" t="s">
        <v>99</v>
      </c>
      <c r="E9" s="15" t="s">
        <v>139</v>
      </c>
      <c r="G9" s="70" t="e" vm="7">
        <v>#VALUE!</v>
      </c>
    </row>
    <row r="10" spans="2:7" x14ac:dyDescent="0.25">
      <c r="B10" s="3" t="s">
        <v>100</v>
      </c>
      <c r="G10" s="70" t="e" vm="8">
        <v>#VALUE!</v>
      </c>
    </row>
    <row r="11" spans="2:7" x14ac:dyDescent="0.25">
      <c r="B11" s="3" t="s">
        <v>101</v>
      </c>
      <c r="G11" s="70" t="e" vm="9">
        <v>#VALUE!</v>
      </c>
    </row>
    <row r="12" spans="2:7" x14ac:dyDescent="0.25">
      <c r="B12" s="3" t="s">
        <v>102</v>
      </c>
      <c r="G12" s="70" t="e" vm="10">
        <v>#VALUE!</v>
      </c>
    </row>
    <row r="13" spans="2:7" x14ac:dyDescent="0.25">
      <c r="B13" s="3" t="s">
        <v>103</v>
      </c>
      <c r="G13" s="70" t="e" vm="11">
        <v>#VALUE!</v>
      </c>
    </row>
    <row r="14" spans="2:7" x14ac:dyDescent="0.25">
      <c r="B14" s="3" t="s">
        <v>104</v>
      </c>
      <c r="G14" s="70" t="e" vm="12">
        <v>#VALUE!</v>
      </c>
    </row>
    <row r="15" spans="2:7" x14ac:dyDescent="0.25">
      <c r="B15" s="3" t="s">
        <v>105</v>
      </c>
      <c r="G15" s="70" t="e" vm="13">
        <v>#VALUE!</v>
      </c>
    </row>
    <row r="16" spans="2:7" x14ac:dyDescent="0.25">
      <c r="G16" s="70" t="e" vm="14">
        <v>#VALUE!</v>
      </c>
    </row>
    <row r="17" spans="7:7" x14ac:dyDescent="0.25">
      <c r="G17" s="70" t="e" vm="15">
        <v>#VALUE!</v>
      </c>
    </row>
  </sheetData>
  <pageMargins left="0.511811024" right="0.511811024" top="0.78740157499999996" bottom="0.78740157499999996" header="0.31496062000000002" footer="0.31496062000000002"/>
  <tableParts count="3">
    <tablePart r:id="rId1"/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BCED-8FA9-40B2-88B4-47252BB8367C}">
  <dimension ref="B2:K18"/>
  <sheetViews>
    <sheetView tabSelected="1" workbookViewId="0">
      <selection activeCell="J24" sqref="J24"/>
    </sheetView>
  </sheetViews>
  <sheetFormatPr defaultRowHeight="15" x14ac:dyDescent="0.25"/>
  <cols>
    <col min="2" max="2" width="11.5703125" customWidth="1"/>
    <col min="3" max="3" width="63.42578125" bestFit="1" customWidth="1"/>
    <col min="4" max="4" width="15.28515625" customWidth="1"/>
    <col min="5" max="5" width="12" bestFit="1" customWidth="1"/>
    <col min="6" max="6" width="13.85546875" customWidth="1"/>
    <col min="7" max="7" width="19.85546875" customWidth="1"/>
    <col min="8" max="8" width="12.140625" bestFit="1" customWidth="1"/>
    <col min="9" max="9" width="18.42578125" bestFit="1" customWidth="1"/>
    <col min="10" max="10" width="15.28515625" bestFit="1" customWidth="1"/>
    <col min="11" max="11" width="15.42578125" bestFit="1" customWidth="1"/>
    <col min="12" max="12" width="15.7109375" bestFit="1" customWidth="1"/>
    <col min="13" max="15" width="15.28515625" bestFit="1" customWidth="1"/>
  </cols>
  <sheetData>
    <row r="2" spans="2:11" x14ac:dyDescent="0.25">
      <c r="B2" s="15" t="s">
        <v>113</v>
      </c>
      <c r="C2" s="15" t="s">
        <v>114</v>
      </c>
      <c r="D2" s="15" t="s">
        <v>115</v>
      </c>
      <c r="E2" s="15" t="s">
        <v>116</v>
      </c>
      <c r="F2" s="15" t="s">
        <v>117</v>
      </c>
      <c r="G2" s="15" t="s">
        <v>118</v>
      </c>
      <c r="H2" s="15"/>
      <c r="I2" s="56" t="s">
        <v>121</v>
      </c>
      <c r="J2" t="s">
        <v>130</v>
      </c>
      <c r="K2" t="s">
        <v>131</v>
      </c>
    </row>
    <row r="3" spans="2:11" x14ac:dyDescent="0.25">
      <c r="B3" s="15" t="s">
        <v>120</v>
      </c>
      <c r="C3" t="e" vm="1">
        <v>#VALUE!</v>
      </c>
      <c r="D3" s="15" t="str" cm="1">
        <f t="array" aca="1" ref="D3" ca="1">_FV(C3,"Símbolo do ticker",TRUE)</f>
        <v>USIM5</v>
      </c>
      <c r="E3" s="55" cm="1">
        <f t="array" aca="1" ref="E3" ca="1">_FV(C3,"Preço")</f>
        <v>6.56</v>
      </c>
      <c r="F3" s="15">
        <v>115</v>
      </c>
      <c r="G3" s="55">
        <f ca="1">E3*F3</f>
        <v>754.4</v>
      </c>
      <c r="H3" s="55"/>
      <c r="I3" s="57" t="s">
        <v>120</v>
      </c>
      <c r="J3" s="71">
        <v>3060.4500000000003</v>
      </c>
      <c r="K3" s="71">
        <v>175</v>
      </c>
    </row>
    <row r="4" spans="2:11" x14ac:dyDescent="0.25">
      <c r="B4" s="15" t="s">
        <v>119</v>
      </c>
      <c r="C4" s="15" t="e" vm="2">
        <v>#VALUE!</v>
      </c>
      <c r="D4" s="15" t="str" cm="1">
        <f t="array" aca="1" ref="D4" ca="1">_FV(C4,"Símbolo do ticker",TRUE)</f>
        <v>MXRF11</v>
      </c>
      <c r="E4" s="55" cm="1">
        <f t="array" aca="1" ref="E4" ca="1">_FV(C4,"Preço")</f>
        <v>9.27</v>
      </c>
      <c r="F4" s="15">
        <v>92</v>
      </c>
      <c r="G4" s="55">
        <f ca="1">E4*F4</f>
        <v>852.83999999999992</v>
      </c>
      <c r="I4" s="58" t="s">
        <v>123</v>
      </c>
      <c r="J4" s="71">
        <v>656</v>
      </c>
      <c r="K4" s="71">
        <v>25</v>
      </c>
    </row>
    <row r="5" spans="2:11" x14ac:dyDescent="0.25">
      <c r="B5" s="15" t="s">
        <v>119</v>
      </c>
      <c r="C5" s="15" t="e" vm="3">
        <v>#VALUE!</v>
      </c>
      <c r="D5" s="15" t="str" cm="1">
        <f t="array" aca="1" ref="D5" ca="1">_FV(C5,"Símbolo do ticker",TRUE)</f>
        <v>KISU11</v>
      </c>
      <c r="E5" s="55" cm="1">
        <f t="array" aca="1" ref="E5" ca="1">_FV(C5,"Preço")</f>
        <v>7.43</v>
      </c>
      <c r="F5" s="15">
        <v>54</v>
      </c>
      <c r="G5" s="55">
        <f ca="1">E5*F5</f>
        <v>401.21999999999997</v>
      </c>
      <c r="I5" s="58" t="s">
        <v>124</v>
      </c>
      <c r="J5" s="71">
        <v>754.4</v>
      </c>
      <c r="K5" s="71">
        <v>115</v>
      </c>
    </row>
    <row r="6" spans="2:11" x14ac:dyDescent="0.25">
      <c r="B6" s="15" t="s">
        <v>120</v>
      </c>
      <c r="C6" s="15" t="e" vm="6">
        <v>#VALUE!</v>
      </c>
      <c r="D6" s="15" t="str" cm="1">
        <f t="array" aca="1" ref="D6" ca="1">_FV(C6,"Símbolo do ticker",TRUE)</f>
        <v>BBAS3</v>
      </c>
      <c r="E6" s="55" cm="1">
        <f t="array" aca="1" ref="E6" ca="1">_FV(C6,"Preço")</f>
        <v>26.24</v>
      </c>
      <c r="F6" s="15">
        <v>25</v>
      </c>
      <c r="G6" s="55">
        <f ca="1">E6*F6</f>
        <v>656</v>
      </c>
      <c r="I6" s="58" t="s">
        <v>141</v>
      </c>
      <c r="J6" s="71">
        <v>710</v>
      </c>
      <c r="K6" s="71">
        <v>20</v>
      </c>
    </row>
    <row r="7" spans="2:11" x14ac:dyDescent="0.25">
      <c r="B7" s="15" t="s">
        <v>120</v>
      </c>
      <c r="C7" s="15" t="e" vm="8">
        <v>#VALUE!</v>
      </c>
      <c r="D7" s="15" t="str" cm="1">
        <f t="array" aca="1" ref="D7" ca="1">_FV(C7,"Símbolo do ticker",TRUE)</f>
        <v>PETR4</v>
      </c>
      <c r="E7" s="55" cm="1">
        <f t="array" aca="1" ref="E7" ca="1">_FV(C7,"Preço")</f>
        <v>35.5</v>
      </c>
      <c r="F7" s="15">
        <v>20</v>
      </c>
      <c r="G7" s="55">
        <f ca="1">E7*F7</f>
        <v>710</v>
      </c>
      <c r="I7" s="58" t="s">
        <v>142</v>
      </c>
      <c r="J7" s="71">
        <v>940.05000000000007</v>
      </c>
      <c r="K7" s="71">
        <v>15</v>
      </c>
    </row>
    <row r="8" spans="2:11" x14ac:dyDescent="0.25">
      <c r="B8" s="15" t="s">
        <v>119</v>
      </c>
      <c r="C8" s="15" t="e" vm="7">
        <v>#VALUE!</v>
      </c>
      <c r="D8" s="15" t="str" cm="1">
        <f t="array" aca="1" ref="D8" ca="1">_FV(C8,"Símbolo do ticker",TRUE)</f>
        <v>CNES11</v>
      </c>
      <c r="E8" s="55" cm="1">
        <f t="array" aca="1" ref="E8" ca="1">_FV(C8,"Preço")</f>
        <v>1.3</v>
      </c>
      <c r="F8" s="15">
        <v>18</v>
      </c>
      <c r="G8" s="55">
        <f ca="1">E8*F8</f>
        <v>23.400000000000002</v>
      </c>
      <c r="I8" s="57" t="s">
        <v>119</v>
      </c>
      <c r="J8" s="71">
        <v>4093.2999999999997</v>
      </c>
      <c r="K8" s="71">
        <v>213</v>
      </c>
    </row>
    <row r="9" spans="2:11" x14ac:dyDescent="0.25">
      <c r="B9" s="15" t="s">
        <v>119</v>
      </c>
      <c r="C9" s="15" t="e" vm="4">
        <v>#VALUE!</v>
      </c>
      <c r="D9" s="15" t="str" cm="1">
        <f t="array" aca="1" ref="D9" ca="1">_FV(C9,"Símbolo do ticker",TRUE)</f>
        <v>BRCR11</v>
      </c>
      <c r="E9" s="55" cm="1">
        <f t="array" aca="1" ref="E9" ca="1">_FV(C9,"Preço")</f>
        <v>43.17</v>
      </c>
      <c r="F9" s="15">
        <v>18</v>
      </c>
      <c r="G9" s="55">
        <f ca="1">E9*F9</f>
        <v>777.06000000000006</v>
      </c>
      <c r="I9" s="58" t="s">
        <v>125</v>
      </c>
      <c r="J9" s="71">
        <v>777.06000000000006</v>
      </c>
      <c r="K9" s="71">
        <v>18</v>
      </c>
    </row>
    <row r="10" spans="2:11" x14ac:dyDescent="0.25">
      <c r="B10" s="15" t="s">
        <v>119</v>
      </c>
      <c r="C10" s="15" t="e" vm="5">
        <v>#VALUE!</v>
      </c>
      <c r="D10" s="15" t="str" cm="1">
        <f t="array" aca="1" ref="D10" ca="1">_FV(C10,"Símbolo do ticker",TRUE)</f>
        <v>DEVA11</v>
      </c>
      <c r="E10" s="55" cm="1">
        <f t="array" aca="1" ref="E10" ca="1">_FV(C10,"Preço")</f>
        <v>32.659999999999997</v>
      </c>
      <c r="F10" s="15">
        <v>15</v>
      </c>
      <c r="G10" s="55">
        <f ca="1">E10*F10</f>
        <v>489.9</v>
      </c>
      <c r="H10" s="55"/>
      <c r="I10" s="58" t="s">
        <v>126</v>
      </c>
      <c r="J10" s="71">
        <v>23.400000000000002</v>
      </c>
      <c r="K10" s="71">
        <v>18</v>
      </c>
    </row>
    <row r="11" spans="2:11" x14ac:dyDescent="0.25">
      <c r="B11" s="15" t="s">
        <v>120</v>
      </c>
      <c r="C11" s="15" t="e" vm="9">
        <v>#VALUE!</v>
      </c>
      <c r="D11" s="15" t="str" cm="1">
        <f t="array" aca="1" ref="D11" ca="1">_FV(C11,"Símbolo do ticker",TRUE)</f>
        <v>VALE3</v>
      </c>
      <c r="E11" s="55" cm="1">
        <f t="array" aca="1" ref="E11" ca="1">_FV(C11,"Preço")</f>
        <v>62.67</v>
      </c>
      <c r="F11" s="15">
        <v>15</v>
      </c>
      <c r="G11" s="55">
        <f ca="1">E11*F11</f>
        <v>940.05000000000007</v>
      </c>
      <c r="I11" s="58" t="s">
        <v>127</v>
      </c>
      <c r="J11" s="71">
        <v>489.9</v>
      </c>
      <c r="K11" s="71">
        <v>15</v>
      </c>
    </row>
    <row r="12" spans="2:11" x14ac:dyDescent="0.25">
      <c r="B12" s="15" t="s">
        <v>119</v>
      </c>
      <c r="C12" s="15" t="e" vm="15">
        <v>#VALUE!</v>
      </c>
      <c r="D12" s="15" t="str" cm="1">
        <f t="array" aca="1" ref="D12" ca="1">_FV(C12,"Símbolo do ticker",TRUE)</f>
        <v>XPML11</v>
      </c>
      <c r="E12" s="55" cm="1">
        <f t="array" aca="1" ref="E12" ca="1">_FV(C12,"Preço")</f>
        <v>103.46</v>
      </c>
      <c r="F12" s="15">
        <v>8</v>
      </c>
      <c r="G12" s="55">
        <f ca="1">E12*F12</f>
        <v>827.68</v>
      </c>
      <c r="I12" s="58" t="s">
        <v>128</v>
      </c>
      <c r="J12" s="71">
        <v>401.21999999999997</v>
      </c>
      <c r="K12" s="71">
        <v>54</v>
      </c>
    </row>
    <row r="13" spans="2:11" x14ac:dyDescent="0.25">
      <c r="B13" s="15" t="s">
        <v>119</v>
      </c>
      <c r="C13" s="15" t="e" vm="12">
        <v>#VALUE!</v>
      </c>
      <c r="D13" s="15" t="str" cm="1">
        <f t="array" aca="1" ref="D13" ca="1">_FV(C13,"Símbolo do ticker",TRUE)</f>
        <v>KNIP11</v>
      </c>
      <c r="E13" s="55" cm="1">
        <f t="array" aca="1" ref="E13" ca="1">_FV(C13,"Preço")</f>
        <v>90.15</v>
      </c>
      <c r="F13" s="15">
        <v>8</v>
      </c>
      <c r="G13" s="55">
        <f ca="1">E13*F13</f>
        <v>721.2</v>
      </c>
      <c r="I13" s="58" t="s">
        <v>129</v>
      </c>
      <c r="J13" s="71">
        <v>852.83999999999992</v>
      </c>
      <c r="K13" s="71">
        <v>92</v>
      </c>
    </row>
    <row r="14" spans="2:11" x14ac:dyDescent="0.25">
      <c r="B14" s="15"/>
      <c r="C14" s="15"/>
      <c r="D14" s="15" t="e" cm="1" vm="16">
        <f t="array" ref="D14">_FV(C14,"Símbolo do ticker",TRUE)</f>
        <v>#VALUE!</v>
      </c>
      <c r="E14" s="55" t="e" cm="1" vm="17">
        <f t="array" ref="E14">_FV(C14,"Preço")</f>
        <v>#VALUE!</v>
      </c>
      <c r="F14" s="15"/>
      <c r="G14" s="55" t="e" vm="18">
        <f>E14*F14</f>
        <v>#VALUE!</v>
      </c>
      <c r="I14" s="58" t="s">
        <v>143</v>
      </c>
      <c r="J14" s="71">
        <v>721.2</v>
      </c>
      <c r="K14" s="71">
        <v>8</v>
      </c>
    </row>
    <row r="15" spans="2:11" x14ac:dyDescent="0.25">
      <c r="B15" s="15"/>
      <c r="C15" s="15"/>
      <c r="D15" s="15" t="e" cm="1" vm="16">
        <f t="array" ref="D15">_FV(C15,"Símbolo do ticker",TRUE)</f>
        <v>#VALUE!</v>
      </c>
      <c r="E15" s="55" t="e" cm="1" vm="17">
        <f t="array" ref="E15">_FV(C15,"Preço")</f>
        <v>#VALUE!</v>
      </c>
      <c r="F15" s="15"/>
      <c r="G15" s="55" t="e" vm="18">
        <f>E15*F15</f>
        <v>#VALUE!</v>
      </c>
      <c r="I15" s="58" t="s">
        <v>144</v>
      </c>
      <c r="J15" s="71">
        <v>827.68</v>
      </c>
      <c r="K15" s="71">
        <v>8</v>
      </c>
    </row>
    <row r="16" spans="2:11" x14ac:dyDescent="0.25">
      <c r="B16" s="15"/>
      <c r="C16" s="15"/>
      <c r="D16" s="15" t="e" cm="1" vm="16">
        <f t="array" ref="D16">_FV(C16,"Símbolo do ticker",TRUE)</f>
        <v>#VALUE!</v>
      </c>
      <c r="E16" s="55" t="e" cm="1" vm="17">
        <f t="array" ref="E16">_FV(C16,"Preço")</f>
        <v>#VALUE!</v>
      </c>
      <c r="F16" s="15"/>
      <c r="G16" s="55" t="e" vm="18">
        <f>E16*F16</f>
        <v>#VALUE!</v>
      </c>
      <c r="I16" s="57" t="s">
        <v>145</v>
      </c>
      <c r="J16" s="71">
        <v>0</v>
      </c>
      <c r="K16" s="71"/>
    </row>
    <row r="17" spans="9:11" x14ac:dyDescent="0.25">
      <c r="I17" s="58" t="e" vm="18">
        <v>#VALUE!</v>
      </c>
      <c r="J17" s="71">
        <v>0</v>
      </c>
      <c r="K17" s="71"/>
    </row>
    <row r="18" spans="9:11" x14ac:dyDescent="0.25">
      <c r="I18" s="57" t="s">
        <v>122</v>
      </c>
      <c r="J18" s="71">
        <v>7153.7500000000009</v>
      </c>
      <c r="K18" s="71">
        <v>388</v>
      </c>
    </row>
  </sheetData>
  <conditionalFormatting sqref="F3:F16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{B4E1012E-4ABD-44FD-9823-23267227E537}</x14:id>
        </ext>
      </extLst>
    </cfRule>
  </conditionalFormatting>
  <conditionalFormatting sqref="G3:G16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{8644F8C8-B3FC-4E45-BE3B-E3A406F082C8}</x14:id>
        </ext>
      </extLst>
    </cfRule>
  </conditionalFormatting>
  <dataValidations count="2">
    <dataValidation type="list" allowBlank="1" showInputMessage="1" showErrorMessage="1" sqref="B2:B16" xr:uid="{CE8D9021-6C70-4CDE-AEBE-7BE487BB8AF0}">
      <formula1>INDIRECT("tipo")</formula1>
    </dataValidation>
    <dataValidation type="list" allowBlank="1" showInputMessage="1" showErrorMessage="1" sqref="C3:C16" xr:uid="{F7B0A2CC-B403-4067-9DA2-5A714D22EECF}">
      <formula1>INDIRECT("Titulo")</formula1>
    </dataValidation>
  </dataValidations>
  <pageMargins left="0.511811024" right="0.511811024" top="0.78740157499999996" bottom="0.78740157499999996" header="0.31496062000000002" footer="0.31496062000000002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4E1012E-4ABD-44FD-9823-23267227E53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F3:F16</xm:sqref>
        </x14:conditionalFormatting>
        <x14:conditionalFormatting xmlns:xm="http://schemas.microsoft.com/office/excel/2006/main">
          <x14:cfRule type="dataBar" id="{8644F8C8-B3FC-4E45-BE3B-E3A406F082C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G3:G16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2</vt:i4>
      </vt:variant>
    </vt:vector>
  </HeadingPairs>
  <TitlesOfParts>
    <vt:vector size="11" baseType="lpstr">
      <vt:lpstr>FLuxo de caixa</vt:lpstr>
      <vt:lpstr>Planilha1</vt:lpstr>
      <vt:lpstr>GUT</vt:lpstr>
      <vt:lpstr>Média notas</vt:lpstr>
      <vt:lpstr>CPF</vt:lpstr>
      <vt:lpstr>Tbl_Clientes</vt:lpstr>
      <vt:lpstr>Produtos</vt:lpstr>
      <vt:lpstr>Lista</vt:lpstr>
      <vt:lpstr>Investimento</vt:lpstr>
      <vt:lpstr>Classificação</vt:lpstr>
      <vt:lpstr>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REBELO GODOY</dc:creator>
  <cp:lastModifiedBy>GUSTAVO REBELO GODOY</cp:lastModifiedBy>
  <dcterms:created xsi:type="dcterms:W3CDTF">2024-09-06T22:35:29Z</dcterms:created>
  <dcterms:modified xsi:type="dcterms:W3CDTF">2024-11-05T03:09:23Z</dcterms:modified>
</cp:coreProperties>
</file>