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53\Downloads\"/>
    </mc:Choice>
  </mc:AlternateContent>
  <bookViews>
    <workbookView xWindow="0" yWindow="0" windowWidth="28800" windowHeight="12300" activeTab="3"/>
  </bookViews>
  <sheets>
    <sheet name="Orçamento" sheetId="3" r:id="rId1"/>
    <sheet name="BOLETIM" sheetId="4" r:id="rId2"/>
    <sheet name="CPF" sheetId="5" r:id="rId3"/>
    <sheet name="Movimento" sheetId="6" r:id="rId4"/>
    <sheet name="Cad_Cliente" sheetId="7" r:id="rId5"/>
    <sheet name="Pagamento" sheetId="8" r:id="rId6"/>
    <sheet name="Serviços" sheetId="9" r:id="rId7"/>
  </sheets>
  <definedNames>
    <definedName name="Tipos">Pagamento!$A$2:$A$6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J3" i="6"/>
  <c r="J4" i="6"/>
  <c r="J6" i="6"/>
  <c r="J7" i="6"/>
  <c r="J8" i="6"/>
  <c r="D8" i="6"/>
  <c r="E8" i="6"/>
  <c r="F8" i="6" s="1"/>
  <c r="G8" i="6"/>
  <c r="I8" i="6"/>
  <c r="D7" i="6"/>
  <c r="E7" i="6"/>
  <c r="F7" i="6" s="1"/>
  <c r="G7" i="6"/>
  <c r="I7" i="6"/>
  <c r="I3" i="6"/>
  <c r="I4" i="6"/>
  <c r="I5" i="6"/>
  <c r="I6" i="6"/>
  <c r="E4" i="6"/>
  <c r="F4" i="6" s="1"/>
  <c r="E5" i="6"/>
  <c r="F5" i="6" s="1"/>
  <c r="E6" i="6"/>
  <c r="F6" i="6" s="1"/>
  <c r="E3" i="6"/>
  <c r="F3" i="6" s="1"/>
  <c r="D3" i="6"/>
  <c r="D4" i="6"/>
  <c r="G4" i="6"/>
  <c r="D5" i="6"/>
  <c r="G5" i="6"/>
  <c r="D6" i="6"/>
  <c r="G6" i="6"/>
  <c r="G3" i="6"/>
  <c r="I5" i="4" l="1"/>
  <c r="I6" i="4"/>
  <c r="I7" i="4"/>
  <c r="I4" i="4"/>
  <c r="D12" i="5"/>
  <c r="D14" i="5" s="1"/>
  <c r="E12" i="5"/>
  <c r="E14" i="5" s="1"/>
  <c r="F12" i="5"/>
  <c r="F14" i="5" s="1"/>
  <c r="G12" i="5"/>
  <c r="G14" i="5" s="1"/>
  <c r="H12" i="5"/>
  <c r="H14" i="5" s="1"/>
  <c r="I12" i="5"/>
  <c r="I14" i="5" s="1"/>
  <c r="J12" i="5"/>
  <c r="J14" i="5" s="1"/>
  <c r="K12" i="5"/>
  <c r="K14" i="5" s="1"/>
  <c r="L12" i="5"/>
  <c r="M12" i="5"/>
  <c r="C12" i="5"/>
  <c r="C14" i="5" s="1"/>
  <c r="D13" i="5"/>
  <c r="L14" i="5"/>
  <c r="D7" i="5"/>
  <c r="D9" i="5" s="1"/>
  <c r="E7" i="5"/>
  <c r="E9" i="5" s="1"/>
  <c r="F7" i="5"/>
  <c r="F8" i="5" s="1"/>
  <c r="G7" i="5"/>
  <c r="G9" i="5" s="1"/>
  <c r="H7" i="5"/>
  <c r="H8" i="5" s="1"/>
  <c r="I7" i="5"/>
  <c r="I8" i="5" s="1"/>
  <c r="J7" i="5"/>
  <c r="J9" i="5" s="1"/>
  <c r="K7" i="5"/>
  <c r="K9" i="5" s="1"/>
  <c r="L7" i="5"/>
  <c r="L9" i="5" s="1"/>
  <c r="M7" i="5"/>
  <c r="C7" i="5"/>
  <c r="C9" i="5" s="1"/>
  <c r="L2" i="5"/>
  <c r="L4" i="5" s="1"/>
  <c r="M2" i="5"/>
  <c r="D2" i="5"/>
  <c r="D3" i="5" s="1"/>
  <c r="E2" i="5"/>
  <c r="E3" i="5" s="1"/>
  <c r="F2" i="5"/>
  <c r="F3" i="5" s="1"/>
  <c r="G2" i="5"/>
  <c r="G3" i="5" s="1"/>
  <c r="H2" i="5"/>
  <c r="H3" i="5" s="1"/>
  <c r="I2" i="5"/>
  <c r="I3" i="5" s="1"/>
  <c r="J2" i="5"/>
  <c r="J3" i="5" s="1"/>
  <c r="K2" i="5"/>
  <c r="K3" i="5" s="1"/>
  <c r="C2" i="5"/>
  <c r="C4" i="5" s="1"/>
  <c r="F5" i="4"/>
  <c r="F6" i="4"/>
  <c r="F7" i="4"/>
  <c r="F4" i="4"/>
  <c r="C7" i="4"/>
  <c r="C6" i="4"/>
  <c r="C5" i="4"/>
  <c r="L3" i="4"/>
  <c r="C4" i="4"/>
  <c r="H9" i="5" l="1"/>
  <c r="J8" i="5"/>
  <c r="F9" i="5"/>
  <c r="I9" i="5"/>
  <c r="O8" i="5" s="1"/>
  <c r="P8" i="5" s="1"/>
  <c r="Q8" i="5" s="1"/>
  <c r="R8" i="5" s="1"/>
  <c r="J6" i="4"/>
  <c r="J5" i="4"/>
  <c r="J7" i="4"/>
  <c r="K8" i="5"/>
  <c r="E13" i="5"/>
  <c r="O13" i="5"/>
  <c r="P13" i="5" s="1"/>
  <c r="Q13" i="5" s="1"/>
  <c r="R13" i="5" s="1"/>
  <c r="C13" i="5"/>
  <c r="F13" i="5"/>
  <c r="G13" i="5"/>
  <c r="H13" i="5"/>
  <c r="I13" i="5"/>
  <c r="J13" i="5"/>
  <c r="K13" i="5"/>
  <c r="C8" i="5"/>
  <c r="D8" i="5"/>
  <c r="E8" i="5"/>
  <c r="G8" i="5"/>
  <c r="C3" i="5"/>
  <c r="O2" i="5" s="1"/>
  <c r="P2" i="5" s="1"/>
  <c r="Q2" i="5" s="1"/>
  <c r="R2" i="5" s="1"/>
  <c r="J4" i="5"/>
  <c r="I4" i="5"/>
  <c r="H4" i="5"/>
  <c r="G4" i="5"/>
  <c r="K4" i="5"/>
  <c r="F4" i="5"/>
  <c r="E4" i="5"/>
  <c r="D4" i="5"/>
  <c r="J4" i="4"/>
  <c r="M3" i="4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D2" i="3"/>
  <c r="E2" i="3" s="1"/>
  <c r="C5" i="3"/>
  <c r="B2" i="3" s="1"/>
  <c r="B12" i="3"/>
  <c r="C12" i="3" s="1"/>
  <c r="C11" i="3" l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3" i="5"/>
  <c r="P3" i="5" s="1"/>
  <c r="Q3" i="5" s="1"/>
  <c r="B3" i="3"/>
  <c r="C13" i="3"/>
  <c r="C14" i="3" s="1"/>
  <c r="O12" i="5"/>
  <c r="P12" i="5" s="1"/>
  <c r="Q12" i="5" s="1"/>
  <c r="R12" i="5" s="1"/>
  <c r="A13" i="5" s="1"/>
  <c r="O7" i="5"/>
  <c r="P7" i="5" s="1"/>
  <c r="Q7" i="5" s="1"/>
  <c r="R7" i="5" s="1"/>
  <c r="A8" i="5" s="1"/>
  <c r="F2" i="3"/>
  <c r="G2" i="3" s="1"/>
  <c r="E5" i="3"/>
  <c r="D5" i="3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B4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F5" i="3" l="1"/>
  <c r="F12" i="3" s="1"/>
  <c r="D12" i="3"/>
  <c r="D13" i="3" s="1"/>
  <c r="D14" i="3" s="1"/>
  <c r="E12" i="3"/>
  <c r="E13" i="3" s="1"/>
  <c r="H2" i="3"/>
  <c r="G5" i="3"/>
  <c r="G12" i="3" s="1"/>
  <c r="G13" i="3"/>
  <c r="F13" i="3" l="1"/>
  <c r="E14" i="3"/>
  <c r="F14" i="3" s="1"/>
  <c r="R3" i="5"/>
  <c r="A3" i="5" s="1"/>
  <c r="I2" i="3"/>
  <c r="H5" i="3"/>
  <c r="H12" i="3" s="1"/>
  <c r="G14" i="3"/>
  <c r="H13" i="3" l="1"/>
  <c r="I5" i="3"/>
  <c r="I12" i="3" s="1"/>
  <c r="J2" i="3"/>
  <c r="H14" i="3"/>
  <c r="I13" i="3" l="1"/>
  <c r="I14" i="3"/>
  <c r="J5" i="3"/>
  <c r="J12" i="3" s="1"/>
  <c r="K2" i="3"/>
  <c r="J13" i="3" l="1"/>
  <c r="J14" i="3" s="1"/>
  <c r="K5" i="3"/>
  <c r="K12" i="3" s="1"/>
  <c r="L2" i="3"/>
  <c r="K13" i="3"/>
  <c r="K14" i="3" s="1"/>
  <c r="L5" i="3" l="1"/>
  <c r="M2" i="3"/>
  <c r="L12" i="3" l="1"/>
  <c r="L13" i="3" s="1"/>
  <c r="L14" i="3" s="1"/>
  <c r="M5" i="3"/>
  <c r="M12" i="3" s="1"/>
  <c r="N2" i="3"/>
  <c r="N5" i="3" s="1"/>
  <c r="N12" i="3" s="1"/>
  <c r="M13" i="3" l="1"/>
  <c r="M14" i="3" s="1"/>
  <c r="N13" i="3"/>
  <c r="N14" i="3" s="1"/>
</calcChain>
</file>

<file path=xl/sharedStrings.xml><?xml version="1.0" encoding="utf-8"?>
<sst xmlns="http://schemas.openxmlformats.org/spreadsheetml/2006/main" count="168" uniqueCount="120">
  <si>
    <t>FATEC-RL</t>
  </si>
  <si>
    <t>ILM - Manhã</t>
  </si>
  <si>
    <t>Agosto</t>
  </si>
  <si>
    <t>Setembro</t>
  </si>
  <si>
    <t>Outubro</t>
  </si>
  <si>
    <t>Novembro</t>
  </si>
  <si>
    <t>Matrícula</t>
  </si>
  <si>
    <t>Nome do  Aluno</t>
  </si>
  <si>
    <t>Faltas</t>
  </si>
  <si>
    <t>A1</t>
  </si>
  <si>
    <t>A2</t>
  </si>
  <si>
    <t>P1</t>
  </si>
  <si>
    <t>P2</t>
  </si>
  <si>
    <t>P3</t>
  </si>
  <si>
    <t>Média</t>
  </si>
  <si>
    <t>Ana</t>
  </si>
  <si>
    <t>João</t>
  </si>
  <si>
    <t>José</t>
  </si>
  <si>
    <t>Maria</t>
  </si>
  <si>
    <t>Primeira aula</t>
  </si>
  <si>
    <t>CPF</t>
  </si>
  <si>
    <t>SOMA</t>
  </si>
  <si>
    <t>RESTO/11</t>
  </si>
  <si>
    <t>11-RESTO</t>
  </si>
  <si>
    <t>Dígito</t>
  </si>
  <si>
    <t>43465925890</t>
  </si>
  <si>
    <t>35975391814</t>
  </si>
  <si>
    <t>Receitas</t>
  </si>
  <si>
    <t>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</si>
  <si>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</si>
  <si>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</si>
  <si>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</si>
  <si>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</si>
  <si>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</si>
  <si>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</si>
  <si>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</si>
  <si>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</si>
  <si>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</si>
  <si>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</si>
  <si>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</si>
  <si>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</si>
  <si>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Renda 1</t>
  </si>
  <si>
    <t>Renda 2</t>
  </si>
  <si>
    <t>Renda 3</t>
  </si>
  <si>
    <t>Total das Rendas</t>
  </si>
  <si>
    <t>Despesas</t>
  </si>
  <si>
    <t>Despesa 1</t>
  </si>
  <si>
    <t>Despesa 2</t>
  </si>
  <si>
    <t>Despesa 3</t>
  </si>
  <si>
    <t>Despesa 4</t>
  </si>
  <si>
    <t>Despesa 5</t>
  </si>
  <si>
    <t>Total das Despesas</t>
  </si>
  <si>
    <t>Total do Mês (DESPESA-RECEITA)</t>
  </si>
  <si>
    <t>Cap. Inicial</t>
  </si>
  <si>
    <t xml:space="preserve">Acumulado (CAP.IN.+TOTAL DO MÊS) </t>
  </si>
  <si>
    <t>Meta</t>
  </si>
  <si>
    <t>Inflação</t>
  </si>
  <si>
    <t>25889186892</t>
  </si>
  <si>
    <t>Feriados</t>
  </si>
  <si>
    <t>Independência do Brasil</t>
  </si>
  <si>
    <t>N. Sra. Do Monte Serrat</t>
  </si>
  <si>
    <t>N. Sra. Aparecida</t>
  </si>
  <si>
    <t>Dia de Finados</t>
  </si>
  <si>
    <t>Proclamação da República</t>
  </si>
  <si>
    <t>Dia da Consciência Negra</t>
  </si>
  <si>
    <t xml:space="preserve">         </t>
  </si>
  <si>
    <t>Lançamento</t>
  </si>
  <si>
    <t>Data</t>
  </si>
  <si>
    <t>Código</t>
  </si>
  <si>
    <t>Nome</t>
  </si>
  <si>
    <t>Sexo</t>
  </si>
  <si>
    <t>Cod_Serviço</t>
  </si>
  <si>
    <t>Descrição</t>
  </si>
  <si>
    <t>Referência</t>
  </si>
  <si>
    <t>Valor</t>
  </si>
  <si>
    <t>Cliente</t>
  </si>
  <si>
    <t>Serviço</t>
  </si>
  <si>
    <t xml:space="preserve"> </t>
  </si>
  <si>
    <t>Data_Nascimento</t>
  </si>
  <si>
    <t>001</t>
  </si>
  <si>
    <t>Ayrton</t>
  </si>
  <si>
    <t>M</t>
  </si>
  <si>
    <t>Dinheiro</t>
  </si>
  <si>
    <t>Crédito</t>
  </si>
  <si>
    <t>Cheque</t>
  </si>
  <si>
    <t>Boleto</t>
  </si>
  <si>
    <t>Débito</t>
  </si>
  <si>
    <t>002</t>
  </si>
  <si>
    <t>F</t>
  </si>
  <si>
    <t>003</t>
  </si>
  <si>
    <t>004</t>
  </si>
  <si>
    <t>Idade</t>
  </si>
  <si>
    <t>005</t>
  </si>
  <si>
    <t>006</t>
  </si>
  <si>
    <t>Pago</t>
  </si>
  <si>
    <t xml:space="preserve">Descrição </t>
  </si>
  <si>
    <t>01</t>
  </si>
  <si>
    <t>Manutenção Micro</t>
  </si>
  <si>
    <t>02</t>
  </si>
  <si>
    <t>03</t>
  </si>
  <si>
    <t>04</t>
  </si>
  <si>
    <t>05</t>
  </si>
  <si>
    <t>Manutenção Note</t>
  </si>
  <si>
    <t>Troca de Memória</t>
  </si>
  <si>
    <t>Troca de Fonte</t>
  </si>
  <si>
    <t>Formatação de S.O.</t>
  </si>
  <si>
    <t>Instalação de Programas</t>
  </si>
  <si>
    <t>Ajuste de Drivers</t>
  </si>
  <si>
    <t>Troca Disco Fixo - SDD</t>
  </si>
  <si>
    <t>Troca de Processador/MB</t>
  </si>
  <si>
    <t>Troca de Case</t>
  </si>
  <si>
    <t>06</t>
  </si>
  <si>
    <t>07</t>
  </si>
  <si>
    <t>08</t>
  </si>
  <si>
    <t>09</t>
  </si>
  <si>
    <t>10</t>
  </si>
  <si>
    <t>11</t>
  </si>
  <si>
    <t>EC</t>
  </si>
  <si>
    <t>Júlia</t>
  </si>
  <si>
    <t>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</si>
</sst>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43" fontId="0" fillId="0" borderId="0" xfId="1" applyFon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0" borderId="1" xfId="0" applyFont="1" applyBorder="1"/>
    <xf numFmtId="165" fontId="2" fillId="0" borderId="1" xfId="0" applyNumberFormat="1" applyFont="1" applyBorder="1"/>
    <xf numFmtId="0" fontId="3" fillId="4" borderId="1" xfId="0" applyFont="1" applyFill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4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/>
    <xf numFmtId="43" fontId="4" fillId="0" borderId="1" xfId="1" applyFont="1" applyFill="1" applyBorder="1"/>
    <xf numFmtId="43" fontId="4" fillId="0" borderId="1" xfId="1" applyFont="1" applyBorder="1"/>
    <xf numFmtId="9" fontId="0" fillId="0" borderId="1" xfId="2" applyFont="1" applyBorder="1"/>
    <xf numFmtId="49" fontId="4" fillId="4" borderId="1" xfId="0" applyNumberFormat="1" applyFont="1" applyFill="1" applyBorder="1"/>
    <xf numFmtId="9" fontId="4" fillId="2" borderId="1" xfId="0" applyNumberFormat="1" applyFont="1" applyFill="1" applyBorder="1"/>
    <xf numFmtId="9" fontId="4" fillId="2" borderId="1" xfId="2" applyFont="1" applyFill="1" applyBorder="1"/>
    <xf numFmtId="43" fontId="4" fillId="0" borderId="1" xfId="0" applyNumberFormat="1" applyFont="1" applyBorder="1"/>
    <xf numFmtId="9" fontId="4" fillId="0" borderId="1" xfId="0" applyNumberFormat="1" applyFont="1" applyBorder="1"/>
    <xf numFmtId="0" fontId="4" fillId="2" borderId="1" xfId="0" applyFont="1" applyFill="1" applyBorder="1"/>
    <xf numFmtId="43" fontId="4" fillId="2" borderId="1" xfId="1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3" borderId="8" xfId="0" applyFont="1" applyFill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wrapText="1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49" fontId="0" fillId="2" borderId="1" xfId="0" applyNumberFormat="1" applyFill="1" applyBorder="1"/>
    <xf numFmtId="49" fontId="0" fillId="4" borderId="11" xfId="0" applyNumberFormat="1" applyFill="1" applyBorder="1"/>
    <xf numFmtId="49" fontId="0" fillId="2" borderId="2" xfId="0" applyNumberFormat="1" applyFill="1" applyBorder="1"/>
    <xf numFmtId="49" fontId="0" fillId="3" borderId="10" xfId="0" applyNumberFormat="1" applyFill="1" applyBorder="1"/>
    <xf numFmtId="9" fontId="0" fillId="0" borderId="2" xfId="2" applyFont="1" applyBorder="1"/>
    <xf numFmtId="43" fontId="4" fillId="0" borderId="2" xfId="1" applyFont="1" applyFill="1" applyBorder="1"/>
    <xf numFmtId="49" fontId="0" fillId="3" borderId="12" xfId="0" applyNumberFormat="1" applyFill="1" applyBorder="1"/>
    <xf numFmtId="49" fontId="0" fillId="3" borderId="13" xfId="0" applyNumberFormat="1" applyFill="1" applyBorder="1" applyAlignment="1">
      <alignment horizontal="center" vertical="center"/>
    </xf>
    <xf numFmtId="43" fontId="4" fillId="3" borderId="13" xfId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3" fontId="4" fillId="2" borderId="2" xfId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3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43" fontId="0" fillId="0" borderId="0" xfId="3" applyNumberFormat="1" applyFont="1" applyAlignment="1">
      <alignment horizontal="center" vertical="center"/>
    </xf>
    <xf numFmtId="43" fontId="0" fillId="0" borderId="0" xfId="0" applyNumberFormat="1" applyAlignment="1">
      <alignment horizontal="right" vertic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23"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5" formatCode="_-* #,##0.00_-;\-* #,##0.00_-;_-* &quot;-&quot;??_-;_-@_-"/>
    </dxf>
    <dxf>
      <numFmt numFmtId="30" formatCode="@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D8E9CD"/>
        </patternFill>
      </fill>
    </dxf>
    <dxf>
      <fill>
        <patternFill>
          <bgColor rgb="FFFEFE9C"/>
        </patternFill>
      </fill>
    </dxf>
    <dxf>
      <font>
        <b/>
        <i val="0"/>
        <color theme="0"/>
      </font>
    </dxf>
    <dxf>
      <font>
        <color rgb="FFC00000"/>
      </font>
    </dxf>
    <dxf>
      <font>
        <b val="0"/>
        <i val="0"/>
        <color rgb="FFC00000"/>
      </font>
    </dxf>
    <dxf>
      <alignment horizontal="center" vertical="center" textRotation="0" wrapText="0" indent="0" justifyLastLine="0" shrinkToFit="0" readingOrder="0"/>
    </dxf>
    <dxf>
      <numFmt numFmtId="19" formatCode="dd/mm/yyyy"/>
    </dxf>
    <dxf>
      <numFmt numFmtId="30" formatCode="@"/>
    </dxf>
  </dxfs>
  <tableStyles count="0" defaultTableStyle="TableStyleMedium2" defaultPivotStyle="PivotStyleLight16"/>
  <colors>
    <mruColors>
      <color rgb="FFFEFE9C"/>
      <color rgb="FFD8E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Serviços" displayName="Serviços" ref="A2:L8" totalsRowShown="0" headerRowDxfId="20" dataDxfId="14">
  <autoFilter ref="A2:L8"/>
  <sortState ref="A3:L8">
    <sortCondition ref="A2:A8"/>
  </sortState>
  <tableColumns count="12">
    <tableColumn id="1" name="Lançamento" dataDxfId="6"/>
    <tableColumn id="2" name="Data" dataDxfId="7"/>
    <tableColumn id="3" name="Código" dataDxfId="13"/>
    <tableColumn id="4" name="Nome" dataDxfId="12">
      <calculatedColumnFormula>VLOOKUP(Serviços[Código],Cadastro[],2,FALSE)</calculatedColumnFormula>
    </tableColumn>
    <tableColumn id="13" name="Data_Nascimento" dataDxfId="10">
      <calculatedColumnFormula>VLOOKUP(Serviços[[#This Row],[Código]],Cadastro[],4,FALSE)</calculatedColumnFormula>
    </tableColumn>
    <tableColumn id="11" name="Idade" dataDxfId="11">
      <calculatedColumnFormula>(TODAY()-Serviços[[#This Row],[Data_Nascimento]])/365</calculatedColumnFormula>
    </tableColumn>
    <tableColumn id="5" name="Sexo" dataDxfId="5">
      <calculatedColumnFormula>VLOOKUP(Serviços[Código],Cadastro[],3,FALSE)</calculatedColumnFormula>
    </tableColumn>
    <tableColumn id="6" name="Cod_Serviço" dataDxfId="4"/>
    <tableColumn id="7" name="Descrição" dataDxfId="3">
      <calculatedColumnFormula>VLOOKUP(Serviços[[#This Row],[Cod_Serviço]],T_Serviço[],2,FALSE)</calculatedColumnFormula>
    </tableColumn>
    <tableColumn id="8" name="Referência" dataDxfId="2" dataCellStyle="Moeda">
      <calculatedColumnFormula>VLOOKUP(Serviços[[#This Row],[Cod_Serviço]],T_Serviço[],3,FALSE)</calculatedColumnFormula>
    </tableColumn>
    <tableColumn id="9" name="Valor" dataDxfId="0">
      <calculatedColumnFormula>VLOOKUP(Serviços[[#This Row],[Descrição]],T_Serviço[],3,FALSE)</calculatedColumnFormula>
    </tableColumn>
    <tableColumn id="14" name="Pago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Cadastro" displayName="Cadastro" ref="A2:D8" totalsRowShown="0">
  <autoFilter ref="A2:D8"/>
  <tableColumns count="4">
    <tableColumn id="1" name="Código" dataDxfId="22"/>
    <tableColumn id="2" name="Nome"/>
    <tableColumn id="3" name="Sexo"/>
    <tableColumn id="4" name="Data_Nascimento" dataDxfId="2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_Serviço" displayName="T_Serviço" ref="A1:C12" totalsRowShown="0">
  <autoFilter ref="A1:C12"/>
  <tableColumns count="3">
    <tableColumn id="1" name="Código" dataDxfId="9"/>
    <tableColumn id="2" name="Descrição "/>
    <tableColumn id="3" name="Referência" dataDxfId="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45" zoomScaleNormal="145" workbookViewId="0">
      <selection activeCell="D15" sqref="D15"/>
    </sheetView>
  </sheetViews>
  <sheetFormatPr defaultColWidth="5.7109375" defaultRowHeight="15" x14ac:dyDescent="0.25"/>
  <cols>
    <col min="1" max="1" width="34.7109375" bestFit="1" customWidth="1"/>
    <col min="2" max="2" width="10.5703125" bestFit="1" customWidth="1"/>
    <col min="3" max="3" width="9.5703125" style="1" bestFit="1" customWidth="1"/>
    <col min="4" max="14" width="9.5703125" bestFit="1" customWidth="1"/>
  </cols>
  <sheetData>
    <row r="1" spans="1:14" ht="15.75" thickBot="1" x14ac:dyDescent="0.3">
      <c r="A1" s="48" t="s">
        <v>27</v>
      </c>
      <c r="B1" s="49" t="s">
        <v>28</v>
      </c>
      <c r="C1" s="50" t="s">
        <v>29</v>
      </c>
      <c r="D1" s="51" t="s">
        <v>30</v>
      </c>
      <c r="E1" s="51" t="s">
        <v>31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1" t="s">
        <v>37</v>
      </c>
      <c r="L1" s="51" t="s">
        <v>38</v>
      </c>
      <c r="M1" s="51" t="s">
        <v>39</v>
      </c>
      <c r="N1" s="52" t="s">
        <v>40</v>
      </c>
    </row>
    <row r="2" spans="1:14" x14ac:dyDescent="0.25">
      <c r="A2" s="44" t="s">
        <v>41</v>
      </c>
      <c r="B2" s="46">
        <f>C2/C$5</f>
        <v>0.54644808743169404</v>
      </c>
      <c r="C2" s="61">
        <v>1000</v>
      </c>
      <c r="D2" s="47">
        <f t="shared" ref="D2:N2" si="0">C2+(C2*$B16)</f>
        <v>1050</v>
      </c>
      <c r="E2" s="47">
        <f t="shared" si="0"/>
        <v>1102.5</v>
      </c>
      <c r="F2" s="47">
        <f t="shared" si="0"/>
        <v>1157.625</v>
      </c>
      <c r="G2" s="47">
        <f t="shared" si="0"/>
        <v>1215.5062499999999</v>
      </c>
      <c r="H2" s="47">
        <f t="shared" si="0"/>
        <v>1276.2815624999998</v>
      </c>
      <c r="I2" s="47">
        <f t="shared" si="0"/>
        <v>1340.0956406249998</v>
      </c>
      <c r="J2" s="47">
        <f t="shared" si="0"/>
        <v>1407.1004226562497</v>
      </c>
      <c r="K2" s="47">
        <f t="shared" si="0"/>
        <v>1477.4554437890622</v>
      </c>
      <c r="L2" s="47">
        <f t="shared" si="0"/>
        <v>1551.3282159785153</v>
      </c>
      <c r="M2" s="47">
        <f t="shared" si="0"/>
        <v>1628.8946267774411</v>
      </c>
      <c r="N2" s="47">
        <f t="shared" si="0"/>
        <v>1710.3393581163132</v>
      </c>
    </row>
    <row r="3" spans="1:14" x14ac:dyDescent="0.25">
      <c r="A3" s="42" t="s">
        <v>42</v>
      </c>
      <c r="B3" s="28">
        <f>C3/C$5</f>
        <v>0.31693989071038253</v>
      </c>
      <c r="C3" s="35">
        <v>580</v>
      </c>
      <c r="D3" s="26">
        <v>580</v>
      </c>
      <c r="E3" s="26">
        <v>580</v>
      </c>
      <c r="F3" s="26">
        <v>580</v>
      </c>
      <c r="G3" s="26">
        <v>580</v>
      </c>
      <c r="H3" s="26">
        <v>580</v>
      </c>
      <c r="I3" s="26">
        <v>580</v>
      </c>
      <c r="J3" s="26">
        <v>580</v>
      </c>
      <c r="K3" s="26">
        <v>580</v>
      </c>
      <c r="L3" s="26">
        <v>580</v>
      </c>
      <c r="M3" s="26">
        <v>580</v>
      </c>
      <c r="N3" s="26">
        <v>580</v>
      </c>
    </row>
    <row r="4" spans="1:14" x14ac:dyDescent="0.25">
      <c r="A4" s="42" t="s">
        <v>43</v>
      </c>
      <c r="B4" s="28">
        <f>C4/C$5</f>
        <v>0.13661202185792351</v>
      </c>
      <c r="C4" s="35">
        <v>250</v>
      </c>
      <c r="D4" s="26">
        <v>250</v>
      </c>
      <c r="E4" s="26">
        <v>250</v>
      </c>
      <c r="F4" s="26">
        <v>250</v>
      </c>
      <c r="G4" s="26">
        <v>250</v>
      </c>
      <c r="H4" s="26">
        <v>250</v>
      </c>
      <c r="I4" s="26">
        <v>250</v>
      </c>
      <c r="J4" s="26">
        <v>250</v>
      </c>
      <c r="K4" s="26">
        <v>250</v>
      </c>
      <c r="L4" s="26">
        <v>250</v>
      </c>
      <c r="M4" s="26">
        <v>250</v>
      </c>
      <c r="N4" s="26">
        <v>250</v>
      </c>
    </row>
    <row r="5" spans="1:14" ht="15.75" thickBot="1" x14ac:dyDescent="0.3">
      <c r="A5" s="43" t="s">
        <v>44</v>
      </c>
      <c r="B5" s="2"/>
      <c r="C5" s="27">
        <f>SUM(C2:C4)</f>
        <v>1830</v>
      </c>
      <c r="D5" s="27">
        <f>SUM(D2:D4)</f>
        <v>1880</v>
      </c>
      <c r="E5" s="27">
        <f t="shared" ref="E5:N5" si="1">SUM(E2:E4)</f>
        <v>1932.5</v>
      </c>
      <c r="F5" s="27">
        <f t="shared" si="1"/>
        <v>1987.625</v>
      </c>
      <c r="G5" s="27">
        <f t="shared" si="1"/>
        <v>2045.5062499999999</v>
      </c>
      <c r="H5" s="27">
        <f t="shared" si="1"/>
        <v>2106.2815624999998</v>
      </c>
      <c r="I5" s="27">
        <f t="shared" si="1"/>
        <v>2170.0956406249998</v>
      </c>
      <c r="J5" s="27">
        <f t="shared" si="1"/>
        <v>2237.10042265625</v>
      </c>
      <c r="K5" s="27">
        <f t="shared" si="1"/>
        <v>2307.455443789062</v>
      </c>
      <c r="L5" s="27">
        <f t="shared" si="1"/>
        <v>2381.3282159785153</v>
      </c>
      <c r="M5" s="27">
        <f t="shared" si="1"/>
        <v>2458.8946267774409</v>
      </c>
      <c r="N5" s="27">
        <f t="shared" si="1"/>
        <v>2540.3393581163132</v>
      </c>
    </row>
    <row r="6" spans="1:14" ht="15.75" thickBot="1" x14ac:dyDescent="0.3">
      <c r="A6" s="45" t="s">
        <v>45</v>
      </c>
    </row>
    <row r="7" spans="1:14" x14ac:dyDescent="0.25">
      <c r="A7" s="44" t="s">
        <v>46</v>
      </c>
      <c r="B7" s="30">
        <v>0.24</v>
      </c>
      <c r="C7" s="27">
        <f t="shared" ref="C7:C12" si="2">C$5*$B7</f>
        <v>439.2</v>
      </c>
      <c r="D7" s="32">
        <f t="shared" ref="D7:N7" si="3">C7+(C7*$B17)</f>
        <v>447.98399999999998</v>
      </c>
      <c r="E7" s="32">
        <f t="shared" si="3"/>
        <v>456.94367999999997</v>
      </c>
      <c r="F7" s="32">
        <f t="shared" si="3"/>
        <v>466.08255359999998</v>
      </c>
      <c r="G7" s="32">
        <f t="shared" si="3"/>
        <v>475.40420467199999</v>
      </c>
      <c r="H7" s="32">
        <f t="shared" si="3"/>
        <v>484.91228876544</v>
      </c>
      <c r="I7" s="32">
        <f t="shared" si="3"/>
        <v>494.6105345407488</v>
      </c>
      <c r="J7" s="32">
        <f t="shared" si="3"/>
        <v>504.50274523156378</v>
      </c>
      <c r="K7" s="32">
        <f t="shared" si="3"/>
        <v>514.59280013619502</v>
      </c>
      <c r="L7" s="32">
        <f t="shared" si="3"/>
        <v>524.8846561389189</v>
      </c>
      <c r="M7" s="32">
        <f t="shared" si="3"/>
        <v>535.3823492616973</v>
      </c>
      <c r="N7" s="32">
        <f t="shared" si="3"/>
        <v>546.08999624693126</v>
      </c>
    </row>
    <row r="8" spans="1:14" x14ac:dyDescent="0.25">
      <c r="A8" s="42" t="s">
        <v>47</v>
      </c>
      <c r="B8" s="30">
        <v>0.18</v>
      </c>
      <c r="C8" s="27">
        <f t="shared" si="2"/>
        <v>329.4</v>
      </c>
      <c r="D8" s="32">
        <f>C8</f>
        <v>329.4</v>
      </c>
      <c r="E8" s="32">
        <f t="shared" ref="E8:N8" si="4">D8</f>
        <v>329.4</v>
      </c>
      <c r="F8" s="32">
        <f t="shared" si="4"/>
        <v>329.4</v>
      </c>
      <c r="G8" s="32">
        <f t="shared" si="4"/>
        <v>329.4</v>
      </c>
      <c r="H8" s="32">
        <f t="shared" si="4"/>
        <v>329.4</v>
      </c>
      <c r="I8" s="32">
        <f t="shared" si="4"/>
        <v>329.4</v>
      </c>
      <c r="J8" s="32">
        <f t="shared" si="4"/>
        <v>329.4</v>
      </c>
      <c r="K8" s="32">
        <f t="shared" si="4"/>
        <v>329.4</v>
      </c>
      <c r="L8" s="32">
        <f t="shared" si="4"/>
        <v>329.4</v>
      </c>
      <c r="M8" s="32">
        <f t="shared" si="4"/>
        <v>329.4</v>
      </c>
      <c r="N8" s="32">
        <f t="shared" si="4"/>
        <v>329.4</v>
      </c>
    </row>
    <row r="9" spans="1:14" x14ac:dyDescent="0.25">
      <c r="A9" s="42" t="s">
        <v>48</v>
      </c>
      <c r="B9" s="30">
        <v>0.06</v>
      </c>
      <c r="C9" s="27">
        <f t="shared" si="2"/>
        <v>109.8</v>
      </c>
      <c r="D9" s="32">
        <f>C9</f>
        <v>109.8</v>
      </c>
      <c r="E9" s="32">
        <f t="shared" ref="E9:N9" si="5">D9</f>
        <v>109.8</v>
      </c>
      <c r="F9" s="32">
        <f t="shared" si="5"/>
        <v>109.8</v>
      </c>
      <c r="G9" s="32">
        <f t="shared" si="5"/>
        <v>109.8</v>
      </c>
      <c r="H9" s="32">
        <f t="shared" si="5"/>
        <v>109.8</v>
      </c>
      <c r="I9" s="32">
        <f t="shared" si="5"/>
        <v>109.8</v>
      </c>
      <c r="J9" s="32">
        <f t="shared" si="5"/>
        <v>109.8</v>
      </c>
      <c r="K9" s="32">
        <f t="shared" si="5"/>
        <v>109.8</v>
      </c>
      <c r="L9" s="32">
        <f t="shared" si="5"/>
        <v>109.8</v>
      </c>
      <c r="M9" s="32">
        <f t="shared" si="5"/>
        <v>109.8</v>
      </c>
      <c r="N9" s="32">
        <f t="shared" si="5"/>
        <v>109.8</v>
      </c>
    </row>
    <row r="10" spans="1:14" x14ac:dyDescent="0.25">
      <c r="A10" s="42" t="s">
        <v>49</v>
      </c>
      <c r="B10" s="30">
        <v>0.22</v>
      </c>
      <c r="C10" s="27">
        <f t="shared" si="2"/>
        <v>402.6</v>
      </c>
      <c r="D10" s="32">
        <f t="shared" ref="D10:N11" si="6">C10</f>
        <v>402.6</v>
      </c>
      <c r="E10" s="32">
        <f t="shared" si="6"/>
        <v>402.6</v>
      </c>
      <c r="F10" s="32">
        <f t="shared" si="6"/>
        <v>402.6</v>
      </c>
      <c r="G10" s="32">
        <f t="shared" si="6"/>
        <v>402.6</v>
      </c>
      <c r="H10" s="32">
        <f t="shared" si="6"/>
        <v>402.6</v>
      </c>
      <c r="I10" s="32">
        <f t="shared" si="6"/>
        <v>402.6</v>
      </c>
      <c r="J10" s="32">
        <f t="shared" si="6"/>
        <v>402.6</v>
      </c>
      <c r="K10" s="32">
        <f t="shared" si="6"/>
        <v>402.6</v>
      </c>
      <c r="L10" s="32">
        <f t="shared" si="6"/>
        <v>402.6</v>
      </c>
      <c r="M10" s="32">
        <f t="shared" si="6"/>
        <v>402.6</v>
      </c>
      <c r="N10" s="32">
        <f t="shared" si="6"/>
        <v>402.6</v>
      </c>
    </row>
    <row r="11" spans="1:14" x14ac:dyDescent="0.25">
      <c r="A11" s="42" t="s">
        <v>50</v>
      </c>
      <c r="B11" s="30">
        <v>0.12</v>
      </c>
      <c r="C11" s="27">
        <f t="shared" si="2"/>
        <v>219.6</v>
      </c>
      <c r="D11" s="32">
        <f t="shared" si="6"/>
        <v>219.6</v>
      </c>
      <c r="E11" s="32">
        <f t="shared" si="6"/>
        <v>219.6</v>
      </c>
      <c r="F11" s="32">
        <f t="shared" si="6"/>
        <v>219.6</v>
      </c>
      <c r="G11" s="32">
        <f t="shared" si="6"/>
        <v>219.6</v>
      </c>
      <c r="H11" s="32">
        <f t="shared" si="6"/>
        <v>219.6</v>
      </c>
      <c r="I11" s="32">
        <f t="shared" si="6"/>
        <v>219.6</v>
      </c>
      <c r="J11" s="32">
        <f t="shared" si="6"/>
        <v>219.6</v>
      </c>
      <c r="K11" s="32">
        <f t="shared" si="6"/>
        <v>219.6</v>
      </c>
      <c r="L11" s="32">
        <f t="shared" si="6"/>
        <v>219.6</v>
      </c>
      <c r="M11" s="32">
        <f t="shared" si="6"/>
        <v>219.6</v>
      </c>
      <c r="N11" s="32">
        <f t="shared" si="6"/>
        <v>219.6</v>
      </c>
    </row>
    <row r="12" spans="1:14" x14ac:dyDescent="0.25">
      <c r="A12" s="25" t="s">
        <v>51</v>
      </c>
      <c r="B12" s="33">
        <f>SUM(B7:B11)</f>
        <v>0.82</v>
      </c>
      <c r="C12" s="27">
        <f t="shared" si="2"/>
        <v>1500.6</v>
      </c>
      <c r="D12" s="27">
        <f t="shared" ref="D12:N12" si="7">D$5*$B12</f>
        <v>1541.6</v>
      </c>
      <c r="E12" s="27">
        <f t="shared" si="7"/>
        <v>1584.6499999999999</v>
      </c>
      <c r="F12" s="27">
        <f t="shared" si="7"/>
        <v>1629.8525</v>
      </c>
      <c r="G12" s="27">
        <f t="shared" si="7"/>
        <v>1677.3151249999999</v>
      </c>
      <c r="H12" s="27">
        <f t="shared" si="7"/>
        <v>1727.1508812499997</v>
      </c>
      <c r="I12" s="27">
        <f t="shared" si="7"/>
        <v>1779.4784253124997</v>
      </c>
      <c r="J12" s="27">
        <f t="shared" si="7"/>
        <v>1834.4223465781249</v>
      </c>
      <c r="K12" s="27">
        <f t="shared" si="7"/>
        <v>1892.1134639070308</v>
      </c>
      <c r="L12" s="27">
        <f t="shared" si="7"/>
        <v>1952.6891371023826</v>
      </c>
      <c r="M12" s="27">
        <f t="shared" si="7"/>
        <v>2016.2935939575013</v>
      </c>
      <c r="N12" s="27">
        <f t="shared" si="7"/>
        <v>2083.0782736553765</v>
      </c>
    </row>
    <row r="13" spans="1:14" x14ac:dyDescent="0.25">
      <c r="A13" s="25" t="s">
        <v>52</v>
      </c>
      <c r="B13" s="34" t="s">
        <v>53</v>
      </c>
      <c r="C13" s="27">
        <f t="shared" ref="C13:N13" si="8">C5-C12</f>
        <v>329.40000000000009</v>
      </c>
      <c r="D13" s="32">
        <f t="shared" si="8"/>
        <v>338.40000000000009</v>
      </c>
      <c r="E13" s="32">
        <f t="shared" si="8"/>
        <v>347.85000000000014</v>
      </c>
      <c r="F13" s="32">
        <f t="shared" si="8"/>
        <v>357.77250000000004</v>
      </c>
      <c r="G13" s="32">
        <f t="shared" si="8"/>
        <v>368.19112500000006</v>
      </c>
      <c r="H13" s="32">
        <f t="shared" si="8"/>
        <v>379.13068125000018</v>
      </c>
      <c r="I13" s="32">
        <f t="shared" si="8"/>
        <v>390.61721531250009</v>
      </c>
      <c r="J13" s="32">
        <f t="shared" si="8"/>
        <v>402.67807607812506</v>
      </c>
      <c r="K13" s="32">
        <f t="shared" si="8"/>
        <v>415.34197988203118</v>
      </c>
      <c r="L13" s="32">
        <f t="shared" si="8"/>
        <v>428.63907887613277</v>
      </c>
      <c r="M13" s="32">
        <f t="shared" si="8"/>
        <v>442.60103281993952</v>
      </c>
      <c r="N13" s="32">
        <f t="shared" si="8"/>
        <v>457.26108446093667</v>
      </c>
    </row>
    <row r="14" spans="1:14" x14ac:dyDescent="0.25">
      <c r="A14" s="25" t="s">
        <v>54</v>
      </c>
      <c r="B14" s="35">
        <v>-3000</v>
      </c>
      <c r="C14" s="27">
        <f>B14+C13</f>
        <v>-2670.6</v>
      </c>
      <c r="D14" s="27">
        <f>C14+D13</f>
        <v>-2332.1999999999998</v>
      </c>
      <c r="E14" s="27">
        <f>D14+E13</f>
        <v>-1984.3499999999997</v>
      </c>
      <c r="F14" s="27">
        <f>E14+F13</f>
        <v>-1626.5774999999996</v>
      </c>
      <c r="G14" s="27">
        <f t="shared" ref="G14:N14" si="9">F14+G13</f>
        <v>-1258.3863749999996</v>
      </c>
      <c r="H14" s="27">
        <f t="shared" si="9"/>
        <v>-879.25569374999941</v>
      </c>
      <c r="I14" s="27">
        <f>H14+I13</f>
        <v>-488.63847843749932</v>
      </c>
      <c r="J14" s="27">
        <f t="shared" si="9"/>
        <v>-85.960402359374257</v>
      </c>
      <c r="K14" s="27">
        <f t="shared" si="9"/>
        <v>329.38157752265693</v>
      </c>
      <c r="L14" s="27">
        <f t="shared" si="9"/>
        <v>758.0206563987897</v>
      </c>
      <c r="M14" s="27">
        <f t="shared" si="9"/>
        <v>1200.6216892187292</v>
      </c>
      <c r="N14" s="27">
        <f t="shared" si="9"/>
        <v>1657.8827736796659</v>
      </c>
    </row>
    <row r="16" spans="1:14" x14ac:dyDescent="0.25">
      <c r="A16" s="29" t="s">
        <v>55</v>
      </c>
      <c r="B16" s="30">
        <v>0.05</v>
      </c>
    </row>
    <row r="17" spans="1:2" x14ac:dyDescent="0.25">
      <c r="A17" s="29" t="s">
        <v>56</v>
      </c>
      <c r="B17" s="31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zoomScale="160" zoomScaleNormal="160" workbookViewId="0">
      <selection activeCell="I4" sqref="I4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6" bestFit="1" customWidth="1"/>
    <col min="4" max="5" width="5" bestFit="1" customWidth="1"/>
    <col min="6" max="6" width="8.42578125" bestFit="1" customWidth="1"/>
    <col min="7" max="7" width="5" bestFit="1" customWidth="1"/>
    <col min="8" max="8" width="3.85546875" bestFit="1" customWidth="1"/>
    <col min="9" max="9" width="8.42578125" bestFit="1" customWidth="1"/>
    <col min="10" max="10" width="11.85546875" bestFit="1" customWidth="1"/>
    <col min="12" max="19" width="3.28515625" customWidth="1"/>
    <col min="20" max="27" width="3" customWidth="1"/>
    <col min="29" max="29" width="12.140625" bestFit="1" customWidth="1"/>
    <col min="30" max="31" width="23.7109375" bestFit="1" customWidth="1"/>
  </cols>
  <sheetData>
    <row r="1" spans="1:30" ht="15.75" thickBo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"/>
      <c r="K1" s="5"/>
      <c r="L1" s="5"/>
      <c r="M1" s="5"/>
      <c r="N1" s="5"/>
      <c r="O1" s="5"/>
      <c r="P1" s="5"/>
      <c r="Q1" s="5"/>
      <c r="R1" s="5"/>
      <c r="S1" s="5"/>
    </row>
    <row r="2" spans="1:30" ht="15.75" thickBot="1" x14ac:dyDescent="0.3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6"/>
      <c r="K2" s="5"/>
      <c r="L2" s="59" t="s">
        <v>2</v>
      </c>
      <c r="M2" s="55"/>
      <c r="N2" s="60"/>
      <c r="O2" s="54" t="s">
        <v>3</v>
      </c>
      <c r="P2" s="55"/>
      <c r="Q2" s="55"/>
      <c r="R2" s="55"/>
      <c r="S2" s="60"/>
      <c r="T2" s="54" t="s">
        <v>4</v>
      </c>
      <c r="U2" s="55"/>
      <c r="V2" s="55"/>
      <c r="W2" s="60"/>
      <c r="X2" s="54" t="s">
        <v>5</v>
      </c>
      <c r="Y2" s="55"/>
      <c r="Z2" s="55"/>
      <c r="AA2" s="56"/>
      <c r="AC2" s="37" t="s">
        <v>19</v>
      </c>
      <c r="AD2" s="40">
        <v>44785</v>
      </c>
    </row>
    <row r="3" spans="1:30" x14ac:dyDescent="0.25">
      <c r="A3" s="11" t="s">
        <v>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1" t="s">
        <v>14</v>
      </c>
      <c r="J3" s="5"/>
      <c r="K3" s="5"/>
      <c r="L3" s="10">
        <f>AD2</f>
        <v>44785</v>
      </c>
      <c r="M3" s="10">
        <f t="shared" ref="M3:T3" si="0">L3+7</f>
        <v>44792</v>
      </c>
      <c r="N3" s="10">
        <f t="shared" si="0"/>
        <v>44799</v>
      </c>
      <c r="O3" s="10">
        <f t="shared" si="0"/>
        <v>44806</v>
      </c>
      <c r="P3" s="10">
        <f t="shared" si="0"/>
        <v>44813</v>
      </c>
      <c r="Q3" s="10">
        <f t="shared" si="0"/>
        <v>44820</v>
      </c>
      <c r="R3" s="10">
        <f t="shared" si="0"/>
        <v>44827</v>
      </c>
      <c r="S3" s="10">
        <f t="shared" si="0"/>
        <v>44834</v>
      </c>
      <c r="T3" s="10">
        <f t="shared" si="0"/>
        <v>44841</v>
      </c>
      <c r="U3" s="10">
        <f t="shared" ref="U3:AA3" si="1">T3+7</f>
        <v>44848</v>
      </c>
      <c r="V3" s="10">
        <f t="shared" si="1"/>
        <v>44855</v>
      </c>
      <c r="W3" s="10">
        <f t="shared" si="1"/>
        <v>44862</v>
      </c>
      <c r="X3" s="10">
        <f t="shared" si="1"/>
        <v>44869</v>
      </c>
      <c r="Y3" s="10">
        <f t="shared" si="1"/>
        <v>44876</v>
      </c>
      <c r="Z3" s="10">
        <f t="shared" si="1"/>
        <v>44883</v>
      </c>
      <c r="AA3" s="10">
        <f t="shared" si="1"/>
        <v>44890</v>
      </c>
      <c r="AC3" s="53" t="s">
        <v>58</v>
      </c>
      <c r="AD3" s="53"/>
    </row>
    <row r="4" spans="1:30" x14ac:dyDescent="0.25">
      <c r="A4" s="15">
        <v>123456</v>
      </c>
      <c r="B4" s="5" t="s">
        <v>15</v>
      </c>
      <c r="C4" s="16">
        <f>SUM(L4:AA4)</f>
        <v>24</v>
      </c>
      <c r="D4" s="13">
        <v>6</v>
      </c>
      <c r="E4" s="13"/>
      <c r="F4" s="13">
        <f>IF(OR(D4="",E4=""),(D4+E4)/2,AVERAGE(D4,E4))</f>
        <v>3</v>
      </c>
      <c r="G4" s="13">
        <v>7</v>
      </c>
      <c r="H4" s="12"/>
      <c r="I4" s="21" t="str">
        <f>IF(C4&gt;20,"RF",IF(OR(F4="",G4=""),"",IF(H4="",FLOOR(AVERAGE(F4,G4),0.5),AVERAGE(H4,LARGE(F4:G4,1)))))</f>
        <v>RF</v>
      </c>
      <c r="J4" s="15" t="str">
        <f>IF(C4&gt;20,"Reprovado F",IF(I4&lt;6,"Reprovado ","Aprovado"))</f>
        <v>Reprovado F</v>
      </c>
      <c r="K4" s="7"/>
      <c r="L4" s="9">
        <v>0</v>
      </c>
      <c r="M4" s="9">
        <v>4</v>
      </c>
      <c r="N4" s="9">
        <v>4</v>
      </c>
      <c r="O4" s="9">
        <v>4</v>
      </c>
      <c r="P4" s="9">
        <v>4</v>
      </c>
      <c r="Q4" s="9">
        <v>4</v>
      </c>
      <c r="R4" s="9">
        <v>4</v>
      </c>
      <c r="S4" s="9">
        <v>0</v>
      </c>
      <c r="T4" s="41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3"/>
      <c r="AC4" s="38">
        <v>44811</v>
      </c>
      <c r="AD4" s="12" t="s">
        <v>59</v>
      </c>
    </row>
    <row r="5" spans="1:30" x14ac:dyDescent="0.25">
      <c r="A5" s="15">
        <v>124563</v>
      </c>
      <c r="B5" s="12" t="s">
        <v>16</v>
      </c>
      <c r="C5" s="16">
        <f>SUM(L5:AA5)</f>
        <v>8</v>
      </c>
      <c r="D5" s="13"/>
      <c r="E5" s="13">
        <v>6</v>
      </c>
      <c r="F5" s="13">
        <f t="shared" ref="F5:F7" si="2">IF(OR(D5="",E5=""),(D5+E5)/2,AVERAGE(D5,E5))</f>
        <v>3</v>
      </c>
      <c r="G5" s="13">
        <v>6</v>
      </c>
      <c r="H5" s="12"/>
      <c r="I5" s="21">
        <f t="shared" ref="I5:I7" si="3">IF(C5&gt;20,"RF",IF(OR(F5="",G5=""),"",IF(H5="",FLOOR(AVERAGE(F5,G5),0.5),AVERAGE(H5,LARGE(F5:G5,1)))))</f>
        <v>4.5</v>
      </c>
      <c r="J5" s="15" t="str">
        <f t="shared" ref="J5:J7" si="4">IF(C5&gt;20,"Reprovado F",IF(I5&lt;6,"Reprovado ","Aprovado"))</f>
        <v xml:space="preserve">Reprovado </v>
      </c>
      <c r="K5" s="5"/>
      <c r="L5" s="9">
        <v>0</v>
      </c>
      <c r="M5" s="9">
        <v>2</v>
      </c>
      <c r="N5" s="9">
        <v>4</v>
      </c>
      <c r="O5" s="9">
        <v>0</v>
      </c>
      <c r="P5" s="9">
        <v>2</v>
      </c>
      <c r="Q5" s="9">
        <v>0</v>
      </c>
      <c r="R5" s="9">
        <v>0</v>
      </c>
      <c r="S5" s="9">
        <v>0</v>
      </c>
      <c r="T5" s="41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C5" s="38">
        <v>44812</v>
      </c>
      <c r="AD5" s="12" t="s">
        <v>60</v>
      </c>
    </row>
    <row r="6" spans="1:30" x14ac:dyDescent="0.25">
      <c r="A6" s="15">
        <v>125436</v>
      </c>
      <c r="B6" s="12" t="s">
        <v>17</v>
      </c>
      <c r="C6" s="16">
        <f>SUM(L6:AA6)</f>
        <v>20</v>
      </c>
      <c r="D6" s="13">
        <v>4</v>
      </c>
      <c r="E6" s="13">
        <v>5</v>
      </c>
      <c r="F6" s="13">
        <f t="shared" si="2"/>
        <v>4.5</v>
      </c>
      <c r="G6" s="13">
        <v>6</v>
      </c>
      <c r="H6" s="12">
        <v>9</v>
      </c>
      <c r="I6" s="21">
        <f t="shared" si="3"/>
        <v>7.5</v>
      </c>
      <c r="J6" s="15" t="str">
        <f t="shared" si="4"/>
        <v>Aprovado</v>
      </c>
      <c r="K6" s="5"/>
      <c r="L6" s="9">
        <v>2</v>
      </c>
      <c r="M6" s="9">
        <v>4</v>
      </c>
      <c r="N6" s="9">
        <v>4</v>
      </c>
      <c r="O6" s="9">
        <v>4</v>
      </c>
      <c r="P6" s="9">
        <v>2</v>
      </c>
      <c r="Q6" s="9">
        <v>4</v>
      </c>
      <c r="R6" s="9">
        <v>0</v>
      </c>
      <c r="S6" s="9">
        <v>0</v>
      </c>
      <c r="T6" s="41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C6" s="38">
        <v>44846</v>
      </c>
      <c r="AD6" s="12" t="s">
        <v>61</v>
      </c>
    </row>
    <row r="7" spans="1:30" x14ac:dyDescent="0.25">
      <c r="A7" s="15">
        <v>126354</v>
      </c>
      <c r="B7" s="12" t="s">
        <v>18</v>
      </c>
      <c r="C7" s="16">
        <f>SUM(L7:AA7)</f>
        <v>8</v>
      </c>
      <c r="D7" s="13">
        <v>10</v>
      </c>
      <c r="E7" s="13">
        <v>10</v>
      </c>
      <c r="F7" s="13">
        <f t="shared" si="2"/>
        <v>10</v>
      </c>
      <c r="G7" s="13">
        <v>9</v>
      </c>
      <c r="H7" s="12"/>
      <c r="I7" s="21">
        <f t="shared" si="3"/>
        <v>9.5</v>
      </c>
      <c r="J7" s="15" t="str">
        <f t="shared" si="4"/>
        <v>Aprovado</v>
      </c>
      <c r="K7" s="5"/>
      <c r="L7" s="9">
        <v>0</v>
      </c>
      <c r="M7" s="9">
        <v>2</v>
      </c>
      <c r="N7" s="9">
        <v>4</v>
      </c>
      <c r="O7" s="9">
        <v>0</v>
      </c>
      <c r="P7" s="9">
        <v>2</v>
      </c>
      <c r="Q7" s="9">
        <v>0</v>
      </c>
      <c r="R7" s="9">
        <v>0</v>
      </c>
      <c r="S7" s="9">
        <v>0</v>
      </c>
      <c r="T7" s="41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C7" s="39">
        <v>44867</v>
      </c>
      <c r="AD7" s="12" t="s">
        <v>62</v>
      </c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AC8" s="38">
        <v>44880</v>
      </c>
      <c r="AD8" s="12" t="s">
        <v>63</v>
      </c>
    </row>
    <row r="9" spans="1:30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AC9" s="38">
        <v>44885</v>
      </c>
      <c r="AD9" s="12" t="s">
        <v>64</v>
      </c>
    </row>
    <row r="10" spans="1:30" x14ac:dyDescent="0.25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30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30" x14ac:dyDescent="0.25">
      <c r="A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30" x14ac:dyDescent="0.25">
      <c r="A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30" x14ac:dyDescent="0.25">
      <c r="A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30" x14ac:dyDescent="0.25">
      <c r="A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30" x14ac:dyDescent="0.25">
      <c r="A16" s="5"/>
      <c r="B16" s="8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</sheetData>
  <mergeCells count="7">
    <mergeCell ref="AC3:AD3"/>
    <mergeCell ref="X2:AA2"/>
    <mergeCell ref="A1:I1"/>
    <mergeCell ref="A2:I2"/>
    <mergeCell ref="L2:N2"/>
    <mergeCell ref="O2:S2"/>
    <mergeCell ref="T2:W2"/>
  </mergeCells>
  <conditionalFormatting sqref="D4:I7">
    <cfRule type="cellIs" dxfId="19" priority="2" operator="lessThan">
      <formula>6</formula>
    </cfRule>
  </conditionalFormatting>
  <conditionalFormatting sqref="C4:C7">
    <cfRule type="cellIs" dxfId="18" priority="1" operator="greaterThan">
      <formula>20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190" zoomScaleNormal="190" workbookViewId="0">
      <selection activeCell="A3" sqref="A3"/>
    </sheetView>
  </sheetViews>
  <sheetFormatPr defaultRowHeight="15" x14ac:dyDescent="0.25"/>
  <cols>
    <col min="1" max="1" width="12.7109375" bestFit="1" customWidth="1"/>
    <col min="2" max="3" width="3.28515625" customWidth="1"/>
    <col min="4" max="4" width="3" customWidth="1"/>
    <col min="5" max="14" width="3.28515625" customWidth="1"/>
    <col min="15" max="15" width="6.42578125" bestFit="1" customWidth="1"/>
    <col min="16" max="16" width="9.42578125" bestFit="1" customWidth="1"/>
    <col min="17" max="17" width="9.28515625" bestFit="1" customWidth="1"/>
    <col min="18" max="18" width="6.140625" bestFit="1" customWidth="1"/>
  </cols>
  <sheetData>
    <row r="1" spans="1:18" x14ac:dyDescent="0.25">
      <c r="A1" s="20" t="s">
        <v>20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O1" s="18" t="s">
        <v>21</v>
      </c>
      <c r="P1" s="18" t="s">
        <v>22</v>
      </c>
      <c r="Q1" s="18" t="s">
        <v>23</v>
      </c>
      <c r="R1" s="18" t="s">
        <v>24</v>
      </c>
    </row>
    <row r="2" spans="1:18" x14ac:dyDescent="0.25">
      <c r="A2" s="22" t="s">
        <v>57</v>
      </c>
      <c r="C2" s="24" t="str">
        <f t="shared" ref="C2:M2" si="0">MID($A$2,C1,1)</f>
        <v>2</v>
      </c>
      <c r="D2" s="24" t="str">
        <f t="shared" si="0"/>
        <v>5</v>
      </c>
      <c r="E2" s="24" t="str">
        <f t="shared" si="0"/>
        <v>8</v>
      </c>
      <c r="F2" s="24" t="str">
        <f t="shared" si="0"/>
        <v>8</v>
      </c>
      <c r="G2" s="24" t="str">
        <f t="shared" si="0"/>
        <v>9</v>
      </c>
      <c r="H2" s="24" t="str">
        <f t="shared" si="0"/>
        <v>1</v>
      </c>
      <c r="I2" s="24" t="str">
        <f t="shared" si="0"/>
        <v>8</v>
      </c>
      <c r="J2" s="24" t="str">
        <f t="shared" si="0"/>
        <v>6</v>
      </c>
      <c r="K2" s="24" t="str">
        <f t="shared" si="0"/>
        <v>8</v>
      </c>
      <c r="L2" s="24" t="str">
        <f t="shared" si="0"/>
        <v>9</v>
      </c>
      <c r="M2" s="24" t="str">
        <f t="shared" si="0"/>
        <v>2</v>
      </c>
      <c r="O2" s="17">
        <f>SUM(C3:K3)</f>
        <v>310</v>
      </c>
      <c r="P2" s="17">
        <f>MOD(O2,11)</f>
        <v>2</v>
      </c>
      <c r="Q2" s="17">
        <f>11-P2</f>
        <v>9</v>
      </c>
      <c r="R2" s="17">
        <f>IF($Q2&gt;9,0,$Q2)</f>
        <v>9</v>
      </c>
    </row>
    <row r="3" spans="1:18" x14ac:dyDescent="0.25">
      <c r="A3" s="36" t="str">
        <f>IF(AND(VALUE(MID(A2,10,1))=R2,VALUE(MID(A2,11,1))=R3),"Válido","Inválido")</f>
        <v>Válido</v>
      </c>
      <c r="C3" s="19">
        <f>C2*(11-C1)</f>
        <v>20</v>
      </c>
      <c r="D3" s="19">
        <f t="shared" ref="D3:K3" si="1">D2*(11-D1)</f>
        <v>45</v>
      </c>
      <c r="E3" s="19">
        <f t="shared" si="1"/>
        <v>64</v>
      </c>
      <c r="F3" s="19">
        <f t="shared" si="1"/>
        <v>56</v>
      </c>
      <c r="G3" s="19">
        <f t="shared" si="1"/>
        <v>54</v>
      </c>
      <c r="H3" s="19">
        <f t="shared" si="1"/>
        <v>5</v>
      </c>
      <c r="I3" s="19">
        <f t="shared" si="1"/>
        <v>32</v>
      </c>
      <c r="J3" s="19">
        <f t="shared" si="1"/>
        <v>18</v>
      </c>
      <c r="K3" s="19">
        <f t="shared" si="1"/>
        <v>16</v>
      </c>
      <c r="L3" s="4"/>
      <c r="O3" s="17">
        <f>SUM(C4:L4)</f>
        <v>383</v>
      </c>
      <c r="P3" s="17">
        <f>MOD(O3,11)</f>
        <v>9</v>
      </c>
      <c r="Q3" s="17">
        <f>11-P3</f>
        <v>2</v>
      </c>
      <c r="R3" s="17">
        <f>IF($Q3&gt;9,0,$Q3)</f>
        <v>2</v>
      </c>
    </row>
    <row r="4" spans="1:18" x14ac:dyDescent="0.25">
      <c r="C4" s="19">
        <f>C2*(12-C1)</f>
        <v>22</v>
      </c>
      <c r="D4" s="19">
        <f t="shared" ref="D4:L4" si="2">D2*(12-D1)</f>
        <v>50</v>
      </c>
      <c r="E4" s="19">
        <f t="shared" si="2"/>
        <v>72</v>
      </c>
      <c r="F4" s="19">
        <f t="shared" si="2"/>
        <v>64</v>
      </c>
      <c r="G4" s="19">
        <f t="shared" si="2"/>
        <v>63</v>
      </c>
      <c r="H4" s="19">
        <f t="shared" si="2"/>
        <v>6</v>
      </c>
      <c r="I4" s="19">
        <f t="shared" si="2"/>
        <v>40</v>
      </c>
      <c r="J4" s="19">
        <f t="shared" si="2"/>
        <v>24</v>
      </c>
      <c r="K4" s="19">
        <f t="shared" si="2"/>
        <v>24</v>
      </c>
      <c r="L4" s="19">
        <f t="shared" si="2"/>
        <v>18</v>
      </c>
    </row>
    <row r="6" spans="1:18" x14ac:dyDescent="0.25">
      <c r="A6" s="20" t="s">
        <v>20</v>
      </c>
      <c r="C6" s="23">
        <v>1</v>
      </c>
      <c r="D6" s="23">
        <v>2</v>
      </c>
      <c r="E6" s="23">
        <v>3</v>
      </c>
      <c r="F6" s="23">
        <v>4</v>
      </c>
      <c r="G6" s="23">
        <v>5</v>
      </c>
      <c r="H6" s="23">
        <v>6</v>
      </c>
      <c r="I6" s="23">
        <v>7</v>
      </c>
      <c r="J6" s="23">
        <v>8</v>
      </c>
      <c r="K6" s="23">
        <v>9</v>
      </c>
      <c r="L6" s="23">
        <v>10</v>
      </c>
      <c r="M6" s="23">
        <v>11</v>
      </c>
      <c r="O6" s="18" t="s">
        <v>21</v>
      </c>
      <c r="P6" s="18" t="s">
        <v>22</v>
      </c>
      <c r="Q6" s="18" t="s">
        <v>23</v>
      </c>
      <c r="R6" s="18" t="s">
        <v>24</v>
      </c>
    </row>
    <row r="7" spans="1:18" x14ac:dyDescent="0.25">
      <c r="A7" s="22" t="s">
        <v>25</v>
      </c>
      <c r="C7" s="24" t="str">
        <f>MID($A$7,C6,1)</f>
        <v>4</v>
      </c>
      <c r="D7" s="24" t="str">
        <f t="shared" ref="D7:M7" si="3">MID($A$7,D6,1)</f>
        <v>3</v>
      </c>
      <c r="E7" s="24" t="str">
        <f t="shared" si="3"/>
        <v>4</v>
      </c>
      <c r="F7" s="24" t="str">
        <f t="shared" si="3"/>
        <v>6</v>
      </c>
      <c r="G7" s="24" t="str">
        <f t="shared" si="3"/>
        <v>5</v>
      </c>
      <c r="H7" s="24" t="str">
        <f t="shared" si="3"/>
        <v>9</v>
      </c>
      <c r="I7" s="24" t="str">
        <f t="shared" si="3"/>
        <v>2</v>
      </c>
      <c r="J7" s="24" t="str">
        <f t="shared" si="3"/>
        <v>5</v>
      </c>
      <c r="K7" s="24" t="str">
        <f t="shared" si="3"/>
        <v>8</v>
      </c>
      <c r="L7" s="24" t="str">
        <f t="shared" si="3"/>
        <v>9</v>
      </c>
      <c r="M7" s="24" t="str">
        <f t="shared" si="3"/>
        <v>0</v>
      </c>
      <c r="O7" s="17">
        <f>SUM(C8:K8)</f>
        <v>255</v>
      </c>
      <c r="P7" s="17">
        <f>MOD(O7,11)</f>
        <v>2</v>
      </c>
      <c r="Q7" s="17">
        <f>11-P7</f>
        <v>9</v>
      </c>
      <c r="R7" s="17">
        <f>IF($Q7&gt;9,0,$Q7)</f>
        <v>9</v>
      </c>
    </row>
    <row r="8" spans="1:18" x14ac:dyDescent="0.25">
      <c r="A8" s="36" t="str">
        <f>IF(AND(VALUE(MID(A7,10,1))=R7,VALUE(MID(A7,11,1))=R8),"Válido","Inválido")</f>
        <v>Válido</v>
      </c>
      <c r="C8" s="19">
        <f>C7*(11-C6)</f>
        <v>40</v>
      </c>
      <c r="D8" s="19">
        <f t="shared" ref="D8" si="4">D7*(11-D6)</f>
        <v>27</v>
      </c>
      <c r="E8" s="19">
        <f t="shared" ref="E8" si="5">E7*(11-E6)</f>
        <v>32</v>
      </c>
      <c r="F8" s="19">
        <f t="shared" ref="F8" si="6">F7*(11-F6)</f>
        <v>42</v>
      </c>
      <c r="G8" s="19">
        <f t="shared" ref="G8" si="7">G7*(11-G6)</f>
        <v>30</v>
      </c>
      <c r="H8" s="19">
        <f t="shared" ref="H8" si="8">H7*(11-H6)</f>
        <v>45</v>
      </c>
      <c r="I8" s="19">
        <f t="shared" ref="I8" si="9">I7*(11-I6)</f>
        <v>8</v>
      </c>
      <c r="J8" s="19">
        <f t="shared" ref="J8" si="10">J7*(11-J6)</f>
        <v>15</v>
      </c>
      <c r="K8" s="19">
        <f t="shared" ref="K8" si="11">K7*(11-K6)</f>
        <v>16</v>
      </c>
      <c r="L8" s="4"/>
      <c r="O8" s="17">
        <f>SUM(C9:L9)</f>
        <v>319</v>
      </c>
      <c r="P8" s="17">
        <f>MOD(O8,11)</f>
        <v>0</v>
      </c>
      <c r="Q8" s="17">
        <f>11-P8</f>
        <v>11</v>
      </c>
      <c r="R8" s="17">
        <f>IF($Q8&gt;9,0,$Q8)</f>
        <v>0</v>
      </c>
    </row>
    <row r="9" spans="1:18" x14ac:dyDescent="0.25">
      <c r="C9" s="19">
        <f>C7*(12-C6)</f>
        <v>44</v>
      </c>
      <c r="D9" s="19">
        <f t="shared" ref="D9:L9" si="12">D7*(12-D6)</f>
        <v>30</v>
      </c>
      <c r="E9" s="19">
        <f t="shared" si="12"/>
        <v>36</v>
      </c>
      <c r="F9" s="19">
        <f t="shared" si="12"/>
        <v>48</v>
      </c>
      <c r="G9" s="19">
        <f t="shared" si="12"/>
        <v>35</v>
      </c>
      <c r="H9" s="19">
        <f t="shared" si="12"/>
        <v>54</v>
      </c>
      <c r="I9" s="19">
        <f t="shared" si="12"/>
        <v>10</v>
      </c>
      <c r="J9" s="19">
        <f t="shared" si="12"/>
        <v>20</v>
      </c>
      <c r="K9" s="19">
        <f t="shared" si="12"/>
        <v>24</v>
      </c>
      <c r="L9" s="19">
        <f t="shared" si="12"/>
        <v>18</v>
      </c>
    </row>
    <row r="11" spans="1:18" x14ac:dyDescent="0.25">
      <c r="A11" s="20" t="s">
        <v>20</v>
      </c>
      <c r="C11" s="23">
        <v>1</v>
      </c>
      <c r="D11" s="23">
        <v>2</v>
      </c>
      <c r="E11" s="23">
        <v>3</v>
      </c>
      <c r="F11" s="23">
        <v>4</v>
      </c>
      <c r="G11" s="23">
        <v>5</v>
      </c>
      <c r="H11" s="23">
        <v>6</v>
      </c>
      <c r="I11" s="23">
        <v>7</v>
      </c>
      <c r="J11" s="23">
        <v>8</v>
      </c>
      <c r="K11" s="23">
        <v>9</v>
      </c>
      <c r="L11" s="23">
        <v>10</v>
      </c>
      <c r="M11" s="23">
        <v>11</v>
      </c>
      <c r="O11" s="18" t="s">
        <v>21</v>
      </c>
      <c r="P11" s="18" t="s">
        <v>22</v>
      </c>
      <c r="Q11" s="18" t="s">
        <v>23</v>
      </c>
      <c r="R11" s="18" t="s">
        <v>24</v>
      </c>
    </row>
    <row r="12" spans="1:18" x14ac:dyDescent="0.25">
      <c r="A12" s="22" t="s">
        <v>26</v>
      </c>
      <c r="C12" s="24" t="str">
        <f>MID($A$12,C11,1)</f>
        <v>3</v>
      </c>
      <c r="D12" s="24" t="str">
        <f t="shared" ref="D12:M12" si="13">MID($A$12,D11,1)</f>
        <v>5</v>
      </c>
      <c r="E12" s="24" t="str">
        <f t="shared" si="13"/>
        <v>9</v>
      </c>
      <c r="F12" s="24" t="str">
        <f t="shared" si="13"/>
        <v>7</v>
      </c>
      <c r="G12" s="24" t="str">
        <f t="shared" si="13"/>
        <v>5</v>
      </c>
      <c r="H12" s="24" t="str">
        <f t="shared" si="13"/>
        <v>3</v>
      </c>
      <c r="I12" s="24" t="str">
        <f t="shared" si="13"/>
        <v>9</v>
      </c>
      <c r="J12" s="24" t="str">
        <f t="shared" si="13"/>
        <v>1</v>
      </c>
      <c r="K12" s="24" t="str">
        <f t="shared" si="13"/>
        <v>8</v>
      </c>
      <c r="L12" s="24" t="str">
        <f t="shared" si="13"/>
        <v>1</v>
      </c>
      <c r="M12" s="24" t="str">
        <f t="shared" si="13"/>
        <v>4</v>
      </c>
      <c r="O12" s="17">
        <f>SUM(C13:K13)</f>
        <v>296</v>
      </c>
      <c r="P12" s="17">
        <f>MOD(O12,11)</f>
        <v>10</v>
      </c>
      <c r="Q12" s="17">
        <f>11-P12</f>
        <v>1</v>
      </c>
      <c r="R12" s="17">
        <f>IF($Q12&gt;9,0,$Q12)</f>
        <v>1</v>
      </c>
    </row>
    <row r="13" spans="1:18" x14ac:dyDescent="0.25">
      <c r="A13" s="36" t="str">
        <f>IF(AND(VALUE(MID(A12,10,1))=R12,VALUE(MID(A12,11,1))=R13),"Válido","Inválido")</f>
        <v>Válido</v>
      </c>
      <c r="C13" s="19">
        <f>C12*(11-C11)</f>
        <v>30</v>
      </c>
      <c r="D13" s="19">
        <f t="shared" ref="D13" si="14">D12*(11-D11)</f>
        <v>45</v>
      </c>
      <c r="E13" s="19">
        <f t="shared" ref="E13" si="15">E12*(11-E11)</f>
        <v>72</v>
      </c>
      <c r="F13" s="19">
        <f t="shared" ref="F13" si="16">F12*(11-F11)</f>
        <v>49</v>
      </c>
      <c r="G13" s="19">
        <f t="shared" ref="G13" si="17">G12*(11-G11)</f>
        <v>30</v>
      </c>
      <c r="H13" s="19">
        <f t="shared" ref="H13" si="18">H12*(11-H11)</f>
        <v>15</v>
      </c>
      <c r="I13" s="19">
        <f t="shared" ref="I13" si="19">I12*(11-I11)</f>
        <v>36</v>
      </c>
      <c r="J13" s="19">
        <f t="shared" ref="J13" si="20">J12*(11-J11)</f>
        <v>3</v>
      </c>
      <c r="K13" s="19">
        <f t="shared" ref="K13" si="21">K12*(11-K11)</f>
        <v>16</v>
      </c>
      <c r="L13" s="4"/>
      <c r="O13" s="17">
        <f>SUM(C14:L14)</f>
        <v>348</v>
      </c>
      <c r="P13" s="17">
        <f>MOD(O13,11)</f>
        <v>7</v>
      </c>
      <c r="Q13" s="17">
        <f>11-P13</f>
        <v>4</v>
      </c>
      <c r="R13" s="17">
        <f>IF($Q13&gt;9,0,$Q13)</f>
        <v>4</v>
      </c>
    </row>
    <row r="14" spans="1:18" x14ac:dyDescent="0.25">
      <c r="C14" s="19">
        <f>C12*(12-C11)</f>
        <v>33</v>
      </c>
      <c r="D14" s="19">
        <f t="shared" ref="D14:L14" si="22">D12*(12-D11)</f>
        <v>50</v>
      </c>
      <c r="E14" s="19">
        <f t="shared" si="22"/>
        <v>81</v>
      </c>
      <c r="F14" s="19">
        <f t="shared" si="22"/>
        <v>56</v>
      </c>
      <c r="G14" s="19">
        <f t="shared" si="22"/>
        <v>35</v>
      </c>
      <c r="H14" s="19">
        <f t="shared" si="22"/>
        <v>18</v>
      </c>
      <c r="I14" s="19">
        <f t="shared" si="22"/>
        <v>45</v>
      </c>
      <c r="J14" s="19">
        <f t="shared" si="22"/>
        <v>4</v>
      </c>
      <c r="K14" s="19">
        <f t="shared" si="22"/>
        <v>24</v>
      </c>
      <c r="L14" s="19">
        <f t="shared" si="22"/>
        <v>2</v>
      </c>
    </row>
  </sheetData>
  <conditionalFormatting sqref="A3">
    <cfRule type="containsText" dxfId="17" priority="3" operator="containsText" text="&quot;Válido&quot;">
      <formula>NOT(ISERROR(SEARCH("""Válido""",A3)))</formula>
    </cfRule>
  </conditionalFormatting>
  <conditionalFormatting sqref="A3 A8 A13">
    <cfRule type="containsText" dxfId="16" priority="1" operator="containsText" text="Inválido">
      <formula>NOT(ISERROR(SEARCH("Inválido",A3)))</formula>
    </cfRule>
    <cfRule type="containsText" dxfId="15" priority="2" operator="containsText" text="Válido">
      <formula>NOT(ISERROR(SEARCH("Válido",A3)))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45" zoomScaleNormal="145" workbookViewId="0">
      <selection activeCell="B5" sqref="B5"/>
    </sheetView>
  </sheetViews>
  <sheetFormatPr defaultRowHeight="15" x14ac:dyDescent="0.25"/>
  <cols>
    <col min="1" max="1" width="16.28515625" bestFit="1" customWidth="1"/>
    <col min="2" max="2" width="11.140625" bestFit="1" customWidth="1"/>
    <col min="3" max="3" width="11.7109375" bestFit="1" customWidth="1"/>
    <col min="4" max="4" width="11" bestFit="1" customWidth="1"/>
    <col min="5" max="5" width="21.28515625" bestFit="1" customWidth="1"/>
    <col min="6" max="6" width="11" customWidth="1"/>
    <col min="8" max="8" width="16.42578125" bestFit="1" customWidth="1"/>
    <col min="9" max="9" width="22.7109375" bestFit="1" customWidth="1"/>
    <col min="10" max="10" width="15.140625" bestFit="1" customWidth="1"/>
    <col min="11" max="11" width="10.28515625" bestFit="1" customWidth="1"/>
    <col min="12" max="12" width="9.85546875" bestFit="1" customWidth="1"/>
  </cols>
  <sheetData>
    <row r="1" spans="1:12" x14ac:dyDescent="0.25">
      <c r="A1" s="63" t="s">
        <v>65</v>
      </c>
      <c r="B1" s="63"/>
      <c r="C1" s="62" t="s">
        <v>75</v>
      </c>
      <c r="D1" s="62"/>
      <c r="E1" s="62"/>
      <c r="F1" s="62"/>
      <c r="G1" s="62"/>
      <c r="H1" s="62" t="s">
        <v>76</v>
      </c>
      <c r="I1" s="62"/>
      <c r="J1" s="62"/>
      <c r="K1" s="63"/>
    </row>
    <row r="2" spans="1:12" x14ac:dyDescent="0.25">
      <c r="A2" s="63" t="s">
        <v>66</v>
      </c>
      <c r="B2" s="63" t="s">
        <v>67</v>
      </c>
      <c r="C2" s="63" t="s">
        <v>68</v>
      </c>
      <c r="D2" s="63" t="s">
        <v>69</v>
      </c>
      <c r="E2" s="63" t="s">
        <v>78</v>
      </c>
      <c r="F2" s="63" t="s">
        <v>91</v>
      </c>
      <c r="G2" s="63" t="s">
        <v>70</v>
      </c>
      <c r="H2" s="63" t="s">
        <v>71</v>
      </c>
      <c r="I2" s="63" t="s">
        <v>72</v>
      </c>
      <c r="J2" s="63" t="s">
        <v>73</v>
      </c>
      <c r="K2" s="63" t="s">
        <v>74</v>
      </c>
      <c r="L2" s="63" t="s">
        <v>94</v>
      </c>
    </row>
    <row r="3" spans="1:12" x14ac:dyDescent="0.25">
      <c r="A3" s="71" t="s">
        <v>79</v>
      </c>
      <c r="B3" s="67">
        <v>44834</v>
      </c>
      <c r="C3" s="69" t="s">
        <v>79</v>
      </c>
      <c r="D3" s="63" t="str">
        <f>VLOOKUP(Serviços[Código],Cadastro[],2,FALSE)</f>
        <v>Ayrton</v>
      </c>
      <c r="E3" s="67">
        <f>VLOOKUP(Serviços[[#This Row],[Código]],Cadastro[],4,FALSE)</f>
        <v>23717</v>
      </c>
      <c r="F3" s="68">
        <f ca="1">(TODAY()-Serviços[[#This Row],[Data_Nascimento]])/365</f>
        <v>57.854794520547948</v>
      </c>
      <c r="G3" s="63" t="str">
        <f>VLOOKUP(Serviços[Código],Cadastro[],3,FALSE)</f>
        <v>M</v>
      </c>
      <c r="H3" s="66" t="s">
        <v>96</v>
      </c>
      <c r="I3" s="63" t="str">
        <f>VLOOKUP(Serviços[[#This Row],[Cod_Serviço]],T_Serviço[],2,FALSE)</f>
        <v>Manutenção Micro</v>
      </c>
      <c r="J3" s="73">
        <f>VLOOKUP(Serviços[[#This Row],[Cod_Serviço]],T_Serviço[],3,FALSE)</f>
        <v>150</v>
      </c>
      <c r="K3" s="74">
        <v>200</v>
      </c>
      <c r="L3" s="63" t="s">
        <v>82</v>
      </c>
    </row>
    <row r="4" spans="1:12" x14ac:dyDescent="0.25">
      <c r="A4" s="71" t="s">
        <v>87</v>
      </c>
      <c r="B4" s="67">
        <v>44837</v>
      </c>
      <c r="C4" s="69" t="s">
        <v>87</v>
      </c>
      <c r="D4" s="63" t="str">
        <f>VLOOKUP(Serviços[Código],Cadastro[],2,FALSE)</f>
        <v>Maria</v>
      </c>
      <c r="E4" s="67">
        <f>VLOOKUP(Serviços[[#This Row],[Código]],Cadastro[],4,FALSE)</f>
        <v>36316</v>
      </c>
      <c r="F4" s="68">
        <f ca="1">(TODAY()-Serviços[[#This Row],[Data_Nascimento]])/365</f>
        <v>23.336986301369862</v>
      </c>
      <c r="G4" s="63" t="str">
        <f>VLOOKUP(Serviços[Código],Cadastro[],3,FALSE)</f>
        <v>F</v>
      </c>
      <c r="H4" s="66" t="s">
        <v>111</v>
      </c>
      <c r="I4" s="63" t="str">
        <f>VLOOKUP(Serviços[[#This Row],[Cod_Serviço]],T_Serviço[],2,FALSE)</f>
        <v>Instalação de Programas</v>
      </c>
      <c r="J4" s="73">
        <f>VLOOKUP(Serviços[[#This Row],[Cod_Serviço]],T_Serviço[],3,FALSE)</f>
        <v>150</v>
      </c>
      <c r="K4" s="74">
        <v>180</v>
      </c>
      <c r="L4" s="63" t="s">
        <v>83</v>
      </c>
    </row>
    <row r="5" spans="1:12" x14ac:dyDescent="0.25">
      <c r="A5" s="71" t="s">
        <v>89</v>
      </c>
      <c r="B5" s="67">
        <v>44838</v>
      </c>
      <c r="C5" s="69" t="s">
        <v>89</v>
      </c>
      <c r="D5" s="63" t="str">
        <f>VLOOKUP(Serviços[Código],Cadastro[],2,FALSE)</f>
        <v>José</v>
      </c>
      <c r="E5" s="67">
        <f>VLOOKUP(Serviços[[#This Row],[Código]],Cadastro[],4,FALSE)</f>
        <v>36141</v>
      </c>
      <c r="F5" s="68">
        <f ca="1">(TODAY()-Serviços[[#This Row],[Data_Nascimento]])/365</f>
        <v>23.816438356164383</v>
      </c>
      <c r="G5" s="63" t="str">
        <f>VLOOKUP(Serviços[Código],Cadastro[],3,FALSE)</f>
        <v>M</v>
      </c>
      <c r="H5" s="66" t="s">
        <v>113</v>
      </c>
      <c r="I5" s="63" t="str">
        <f>VLOOKUP(Serviços[[#This Row],[Cod_Serviço]],T_Serviço[],2,FALSE)</f>
        <v>Troca Disco Fixo - SDD</v>
      </c>
      <c r="J5" s="73">
        <f>VLOOKUP(Serviços[[#This Row],[Cod_Serviço]],T_Serviço[],3,FALSE)</f>
        <v>350</v>
      </c>
      <c r="K5" s="74">
        <v>400</v>
      </c>
      <c r="L5" s="63" t="s">
        <v>85</v>
      </c>
    </row>
    <row r="6" spans="1:12" x14ac:dyDescent="0.25">
      <c r="A6" s="71" t="s">
        <v>90</v>
      </c>
      <c r="B6" s="67">
        <v>44839</v>
      </c>
      <c r="C6" s="69" t="s">
        <v>90</v>
      </c>
      <c r="D6" s="63" t="str">
        <f>VLOOKUP(Serviços[Código],Cadastro[],2,FALSE)</f>
        <v>Fernanda</v>
      </c>
      <c r="E6" s="67">
        <f>VLOOKUP(Serviços[[#This Row],[Código]],Cadastro[],4,FALSE)</f>
        <v>37502</v>
      </c>
      <c r="F6" s="68">
        <f ca="1">(TODAY()-Serviços[[#This Row],[Data_Nascimento]])/365</f>
        <v>20.087671232876712</v>
      </c>
      <c r="G6" s="63" t="str">
        <f>VLOOKUP(Serviços[Código],Cadastro[],3,FALSE)</f>
        <v>F</v>
      </c>
      <c r="H6" s="66" t="s">
        <v>99</v>
      </c>
      <c r="I6" s="63" t="str">
        <f>VLOOKUP(Serviços[[#This Row],[Cod_Serviço]],T_Serviço[],2,FALSE)</f>
        <v>Troca de Memória</v>
      </c>
      <c r="J6" s="73">
        <f>VLOOKUP(Serviços[[#This Row],[Cod_Serviço]],T_Serviço[],3,FALSE)</f>
        <v>50</v>
      </c>
      <c r="K6" s="74">
        <v>50</v>
      </c>
      <c r="L6" s="63" t="s">
        <v>82</v>
      </c>
    </row>
    <row r="7" spans="1:12" x14ac:dyDescent="0.25">
      <c r="A7" s="71" t="s">
        <v>92</v>
      </c>
      <c r="B7" s="67">
        <v>44839</v>
      </c>
      <c r="C7" s="69" t="s">
        <v>92</v>
      </c>
      <c r="D7" s="63" t="str">
        <f>VLOOKUP(Serviços[Código],Cadastro[],2,FALSE)</f>
        <v>Júlia</v>
      </c>
      <c r="E7" s="67">
        <f>VLOOKUP(Serviços[[#This Row],[Código]],Cadastro[],4,FALSE)</f>
        <v>36043</v>
      </c>
      <c r="F7" s="68">
        <f ca="1">(TODAY()-Serviços[[#This Row],[Data_Nascimento]])/365</f>
        <v>24.084931506849315</v>
      </c>
      <c r="G7" s="63" t="str">
        <f>VLOOKUP(Serviços[Código],Cadastro[],3,FALSE)</f>
        <v>F</v>
      </c>
      <c r="H7" s="66" t="s">
        <v>101</v>
      </c>
      <c r="I7" s="72" t="str">
        <f>VLOOKUP(Serviços[[#This Row],[Cod_Serviço]],T_Serviço[],2,FALSE)</f>
        <v>Formatação de S.O.</v>
      </c>
      <c r="J7" s="73">
        <f>VLOOKUP(Serviços[[#This Row],[Cod_Serviço]],T_Serviço[],3,FALSE)</f>
        <v>200</v>
      </c>
      <c r="K7" s="74">
        <v>500</v>
      </c>
      <c r="L7" s="63" t="s">
        <v>84</v>
      </c>
    </row>
    <row r="8" spans="1:12" x14ac:dyDescent="0.25">
      <c r="A8" s="71" t="s">
        <v>93</v>
      </c>
      <c r="B8" s="67">
        <v>44840</v>
      </c>
      <c r="C8" s="69" t="s">
        <v>93</v>
      </c>
      <c r="D8" s="63" t="str">
        <f>VLOOKUP(Serviços[Código],Cadastro[],2,FALSE)</f>
        <v>Ana</v>
      </c>
      <c r="E8" s="67">
        <f>VLOOKUP(Serviços[[#This Row],[Código]],Cadastro[],4,FALSE)</f>
        <v>37255</v>
      </c>
      <c r="F8" s="68">
        <f ca="1">(TODAY()-Serviços[[#This Row],[Data_Nascimento]])/365</f>
        <v>20.764383561643836</v>
      </c>
      <c r="G8" s="63" t="str">
        <f>VLOOKUP(Serviços[Código],Cadastro[],3,FALSE)</f>
        <v>F</v>
      </c>
      <c r="H8" s="66" t="s">
        <v>100</v>
      </c>
      <c r="I8" s="72" t="str">
        <f>VLOOKUP(Serviços[[#This Row],[Cod_Serviço]],T_Serviço[],2,FALSE)</f>
        <v>Troca de Fonte</v>
      </c>
      <c r="J8" s="73">
        <f>VLOOKUP(Serviços[[#This Row],[Cod_Serviço]],T_Serviço[],3,FALSE)</f>
        <v>120</v>
      </c>
      <c r="K8" s="74">
        <v>135</v>
      </c>
      <c r="L8" s="63" t="s">
        <v>83</v>
      </c>
    </row>
    <row r="9" spans="1:12" x14ac:dyDescent="0.25">
      <c r="G9" t="s">
        <v>77</v>
      </c>
    </row>
  </sheetData>
  <mergeCells count="2">
    <mergeCell ref="C1:G1"/>
    <mergeCell ref="H1:J1"/>
  </mergeCells>
  <dataValidations count="1">
    <dataValidation type="list" allowBlank="1" showInputMessage="1" showErrorMessage="1" sqref="L3:L8">
      <formula1>Tipos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zoomScale="205" zoomScaleNormal="205" workbookViewId="0">
      <selection activeCell="D10" sqref="D10"/>
    </sheetView>
  </sheetViews>
  <sheetFormatPr defaultRowHeight="15" x14ac:dyDescent="0.25"/>
  <cols>
    <col min="4" max="4" width="19" bestFit="1" customWidth="1"/>
  </cols>
  <sheetData>
    <row r="2" spans="1:4" x14ac:dyDescent="0.25">
      <c r="A2" t="s">
        <v>68</v>
      </c>
      <c r="B2" t="s">
        <v>69</v>
      </c>
      <c r="C2" t="s">
        <v>70</v>
      </c>
      <c r="D2" t="s">
        <v>78</v>
      </c>
    </row>
    <row r="3" spans="1:4" x14ac:dyDescent="0.25">
      <c r="A3" s="64" t="s">
        <v>79</v>
      </c>
      <c r="B3" t="s">
        <v>80</v>
      </c>
      <c r="C3" t="s">
        <v>81</v>
      </c>
      <c r="D3" s="65">
        <v>23717</v>
      </c>
    </row>
    <row r="4" spans="1:4" x14ac:dyDescent="0.25">
      <c r="A4" s="64" t="s">
        <v>87</v>
      </c>
      <c r="B4" t="s">
        <v>18</v>
      </c>
      <c r="C4" t="s">
        <v>88</v>
      </c>
      <c r="D4" s="65">
        <v>36316</v>
      </c>
    </row>
    <row r="5" spans="1:4" x14ac:dyDescent="0.25">
      <c r="A5" s="64" t="s">
        <v>89</v>
      </c>
      <c r="B5" t="s">
        <v>17</v>
      </c>
      <c r="C5" t="s">
        <v>81</v>
      </c>
      <c r="D5" s="65">
        <v>36141</v>
      </c>
    </row>
    <row r="6" spans="1:4" x14ac:dyDescent="0.25">
      <c r="A6" s="64" t="s">
        <v>90</v>
      </c>
      <c r="B6" t="s">
        <v>119</v>
      </c>
      <c r="C6" t="s">
        <v>88</v>
      </c>
      <c r="D6" s="65">
        <v>37502</v>
      </c>
    </row>
    <row r="7" spans="1:4" x14ac:dyDescent="0.25">
      <c r="A7" s="64" t="s">
        <v>92</v>
      </c>
      <c r="B7" t="s">
        <v>118</v>
      </c>
      <c r="C7" t="s">
        <v>88</v>
      </c>
      <c r="D7" s="65">
        <v>36043</v>
      </c>
    </row>
    <row r="8" spans="1:4" x14ac:dyDescent="0.25">
      <c r="A8" s="64" t="s">
        <v>93</v>
      </c>
      <c r="B8" t="s">
        <v>15</v>
      </c>
      <c r="C8" t="s">
        <v>88</v>
      </c>
      <c r="D8" s="65">
        <v>37255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75" zoomScaleNormal="175" workbookViewId="0"/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82</v>
      </c>
    </row>
    <row r="3" spans="1:1" x14ac:dyDescent="0.25">
      <c r="A3" t="s">
        <v>85</v>
      </c>
    </row>
    <row r="4" spans="1:1" x14ac:dyDescent="0.25">
      <c r="A4" t="s">
        <v>83</v>
      </c>
    </row>
    <row r="5" spans="1:1" x14ac:dyDescent="0.25">
      <c r="A5" t="s">
        <v>86</v>
      </c>
    </row>
    <row r="6" spans="1:1" x14ac:dyDescent="0.25">
      <c r="A6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90" zoomScaleNormal="190" workbookViewId="0">
      <selection activeCell="C8" sqref="C8"/>
    </sheetView>
  </sheetViews>
  <sheetFormatPr defaultRowHeight="15" x14ac:dyDescent="0.25"/>
  <cols>
    <col min="2" max="2" width="23.7109375" bestFit="1" customWidth="1"/>
    <col min="3" max="3" width="10.85546875" customWidth="1"/>
  </cols>
  <sheetData>
    <row r="1" spans="1:3" x14ac:dyDescent="0.25">
      <c r="A1" t="s">
        <v>68</v>
      </c>
      <c r="B1" t="s">
        <v>95</v>
      </c>
      <c r="C1" t="s">
        <v>73</v>
      </c>
    </row>
    <row r="2" spans="1:3" x14ac:dyDescent="0.25">
      <c r="A2" s="64" t="s">
        <v>96</v>
      </c>
      <c r="B2" t="s">
        <v>97</v>
      </c>
      <c r="C2" s="70">
        <v>150</v>
      </c>
    </row>
    <row r="3" spans="1:3" x14ac:dyDescent="0.25">
      <c r="A3" s="64" t="s">
        <v>98</v>
      </c>
      <c r="B3" t="s">
        <v>102</v>
      </c>
      <c r="C3" s="70">
        <v>200</v>
      </c>
    </row>
    <row r="4" spans="1:3" x14ac:dyDescent="0.25">
      <c r="A4" s="64" t="s">
        <v>99</v>
      </c>
      <c r="B4" t="s">
        <v>103</v>
      </c>
      <c r="C4" s="70">
        <v>50</v>
      </c>
    </row>
    <row r="5" spans="1:3" x14ac:dyDescent="0.25">
      <c r="A5" s="64" t="s">
        <v>100</v>
      </c>
      <c r="B5" t="s">
        <v>104</v>
      </c>
      <c r="C5" s="70">
        <v>120</v>
      </c>
    </row>
    <row r="6" spans="1:3" x14ac:dyDescent="0.25">
      <c r="A6" s="64" t="s">
        <v>101</v>
      </c>
      <c r="B6" t="s">
        <v>105</v>
      </c>
      <c r="C6" s="70">
        <v>200</v>
      </c>
    </row>
    <row r="7" spans="1:3" x14ac:dyDescent="0.25">
      <c r="A7" s="64" t="s">
        <v>111</v>
      </c>
      <c r="B7" t="s">
        <v>106</v>
      </c>
      <c r="C7" s="70">
        <v>150</v>
      </c>
    </row>
    <row r="8" spans="1:3" x14ac:dyDescent="0.25">
      <c r="A8" s="64" t="s">
        <v>112</v>
      </c>
      <c r="B8" t="s">
        <v>107</v>
      </c>
      <c r="C8" s="70">
        <v>50</v>
      </c>
    </row>
    <row r="9" spans="1:3" x14ac:dyDescent="0.25">
      <c r="A9" s="64" t="s">
        <v>113</v>
      </c>
      <c r="B9" t="s">
        <v>108</v>
      </c>
      <c r="C9" s="70">
        <v>350</v>
      </c>
    </row>
    <row r="10" spans="1:3" x14ac:dyDescent="0.25">
      <c r="A10" s="64" t="s">
        <v>114</v>
      </c>
      <c r="B10" t="s">
        <v>109</v>
      </c>
      <c r="C10" s="70">
        <v>580</v>
      </c>
    </row>
    <row r="11" spans="1:3" x14ac:dyDescent="0.25">
      <c r="A11" s="64" t="s">
        <v>115</v>
      </c>
      <c r="B11" t="s">
        <v>110</v>
      </c>
      <c r="C11" s="70">
        <v>180</v>
      </c>
    </row>
    <row r="12" spans="1:3" x14ac:dyDescent="0.25">
      <c r="A12" s="64" t="s">
        <v>116</v>
      </c>
      <c r="B12" t="s">
        <v>117</v>
      </c>
      <c r="C12" s="70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Orçamento</vt:lpstr>
      <vt:lpstr>BOLETIM</vt:lpstr>
      <vt:lpstr>CPF</vt:lpstr>
      <vt:lpstr>Movimento</vt:lpstr>
      <vt:lpstr>Cad_Cliente</vt:lpstr>
      <vt:lpstr>Pagamento</vt:lpstr>
      <vt:lpstr>Serviços</vt:lpstr>
      <vt:lpstr>Tipos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lab53</dc:creator>
  <cp:keywords/>
  <dc:description/>
  <cp:lastModifiedBy>lab53</cp:lastModifiedBy>
  <cp:revision/>
  <dcterms:created xsi:type="dcterms:W3CDTF">2022-09-02T12:43:55Z</dcterms:created>
  <dcterms:modified xsi:type="dcterms:W3CDTF">2022-09-30T15:48:30Z</dcterms:modified>
  <cp:category/>
  <cp:contentStatus/>
</cp:coreProperties>
</file>