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richPivotRecords1.xml" ContentType="application/vnd.openxmlformats-officedocument.spreadsheetml.richPivot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ivotTables/pivotTable1.xml" ContentType="application/vnd.openxmlformats-officedocument.spreadsheetml.pivotTable+xml"/>
  <Override PartName="/xl/tables/table7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a\OneDrive\Documentos\github\FATEC-Aulas\Programação em microinformatica\"/>
    </mc:Choice>
  </mc:AlternateContent>
  <xr:revisionPtr revIDLastSave="0" documentId="13_ncr:1_{60ADB184-023C-4840-9D09-81697C9B9E75}" xr6:coauthVersionLast="47" xr6:coauthVersionMax="47" xr10:uidLastSave="{00000000-0000-0000-0000-000000000000}"/>
  <bookViews>
    <workbookView xWindow="-108" yWindow="-108" windowWidth="23256" windowHeight="12456" firstSheet="2" activeTab="9" xr2:uid="{638BBB0D-7911-4F79-9DFF-80DA470C685B}"/>
  </bookViews>
  <sheets>
    <sheet name="FLuxo de caixa" sheetId="1" r:id="rId1"/>
    <sheet name="Planilha1" sheetId="8" r:id="rId2"/>
    <sheet name="GUT" sheetId="2" r:id="rId3"/>
    <sheet name="Média notas" sheetId="3" r:id="rId4"/>
    <sheet name="CPF" sheetId="4" r:id="rId5"/>
    <sheet name="Tbl_Clientes" sheetId="5" r:id="rId6"/>
    <sheet name="Produtos" sheetId="6" r:id="rId7"/>
    <sheet name="Lista" sheetId="7" r:id="rId8"/>
    <sheet name="Investimento" sheetId="9" r:id="rId9"/>
    <sheet name="Dashboard" sheetId="10" r:id="rId10"/>
  </sheets>
  <definedNames>
    <definedName name="Classificação" comment="Clas">Lista!$B$9:$B$15</definedName>
    <definedName name="sexo">Lista!$B$4:$B$5</definedName>
  </definedNames>
  <calcPr calcId="191029"/>
  <pivotCaches>
    <pivotCache cacheId="0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1" i="4" l="1"/>
  <c r="G21" i="4"/>
  <c r="F21" i="4"/>
  <c r="E21" i="4"/>
  <c r="D21" i="4"/>
  <c r="C21" i="4"/>
  <c r="H20" i="4"/>
  <c r="G20" i="4"/>
  <c r="F20" i="4"/>
  <c r="E20" i="4"/>
  <c r="D20" i="4"/>
  <c r="C20" i="4"/>
  <c r="M19" i="4"/>
  <c r="L19" i="4"/>
  <c r="L21" i="4" s="1"/>
  <c r="K19" i="4"/>
  <c r="K21" i="4" s="1"/>
  <c r="J19" i="4"/>
  <c r="J21" i="4" s="1"/>
  <c r="I19" i="4"/>
  <c r="I20" i="4" s="1"/>
  <c r="H19" i="4"/>
  <c r="G19" i="4"/>
  <c r="F19" i="4"/>
  <c r="E19" i="4"/>
  <c r="D19" i="4"/>
  <c r="C19" i="4"/>
  <c r="H3" i="9" a="1"/>
  <c r="H3" i="9" s="1"/>
  <c r="H4" i="9" a="1"/>
  <c r="H4" i="9" s="1"/>
  <c r="H5" i="9" a="1"/>
  <c r="H5" i="9" s="1"/>
  <c r="H6" i="9" a="1"/>
  <c r="H6" i="9" s="1"/>
  <c r="H7" i="9" a="1"/>
  <c r="H7" i="9" s="1"/>
  <c r="H8" i="9" a="1"/>
  <c r="H8" i="9" s="1"/>
  <c r="H9" i="9" a="1"/>
  <c r="H9" i="9" s="1"/>
  <c r="H10" i="9" a="1"/>
  <c r="H10" i="9" s="1"/>
  <c r="H11" i="9" a="1"/>
  <c r="H11" i="9" s="1"/>
  <c r="H12" i="9" a="1"/>
  <c r="H12" i="9" s="1"/>
  <c r="H13" i="9" a="1"/>
  <c r="H13" i="9" s="1"/>
  <c r="H14" i="9" a="1"/>
  <c r="H14" i="9" s="1"/>
  <c r="H15" i="9" a="1"/>
  <c r="H15" i="9" s="1"/>
  <c r="H16" i="9" a="1"/>
  <c r="H16" i="9" s="1"/>
  <c r="D7" i="9" a="1"/>
  <c r="D7" i="9" s="1"/>
  <c r="E7" i="9" a="1"/>
  <c r="E7" i="9" s="1"/>
  <c r="G7" i="9" s="1"/>
  <c r="D11" i="9" a="1"/>
  <c r="D11" i="9" s="1"/>
  <c r="E11" i="9" a="1"/>
  <c r="E11" i="9" s="1"/>
  <c r="G11" i="9" s="1"/>
  <c r="D5" i="9" a="1"/>
  <c r="D5" i="9" s="1"/>
  <c r="E5" i="9" a="1"/>
  <c r="E5" i="9" s="1"/>
  <c r="G5" i="9" s="1"/>
  <c r="D12" i="9" a="1"/>
  <c r="D12" i="9" s="1"/>
  <c r="E12" i="9" a="1"/>
  <c r="E12" i="9" s="1"/>
  <c r="G12" i="9" s="1"/>
  <c r="D10" i="9" a="1"/>
  <c r="D10" i="9" s="1"/>
  <c r="E10" i="9" a="1"/>
  <c r="E10" i="9" s="1"/>
  <c r="G10" i="9" s="1"/>
  <c r="D9" i="9" a="1"/>
  <c r="D9" i="9" s="1"/>
  <c r="E9" i="9" a="1"/>
  <c r="E9" i="9" s="1"/>
  <c r="G9" i="9" s="1"/>
  <c r="D3" i="9" a="1"/>
  <c r="D3" i="9" s="1"/>
  <c r="E3" i="9" a="1"/>
  <c r="E3" i="9" s="1"/>
  <c r="G3" i="9" s="1"/>
  <c r="F16" i="5"/>
  <c r="F17" i="5"/>
  <c r="D13" i="9" a="1"/>
  <c r="D13" i="9" s="1"/>
  <c r="E13" i="9" a="1"/>
  <c r="E13" i="9" s="1"/>
  <c r="G13" i="9" s="1"/>
  <c r="E8" i="9" a="1"/>
  <c r="E8" i="9" s="1"/>
  <c r="G8" i="9" s="1"/>
  <c r="D8" i="9" a="1"/>
  <c r="D8" i="9" s="1"/>
  <c r="E14" i="9" a="1"/>
  <c r="E14" i="9" s="1"/>
  <c r="G14" i="9" s="1"/>
  <c r="D14" i="9" a="1"/>
  <c r="D14" i="9" s="1"/>
  <c r="E16" i="9" a="1"/>
  <c r="E16" i="9" s="1"/>
  <c r="G16" i="9" s="1"/>
  <c r="D16" i="9" a="1"/>
  <c r="D16" i="9" s="1"/>
  <c r="E6" i="9" a="1"/>
  <c r="E6" i="9" s="1"/>
  <c r="G6" i="9" s="1"/>
  <c r="D6" i="9" a="1"/>
  <c r="D6" i="9" s="1"/>
  <c r="E15" i="9" a="1"/>
  <c r="E15" i="9" s="1"/>
  <c r="G15" i="9" s="1"/>
  <c r="D15" i="9" a="1"/>
  <c r="D15" i="9" s="1"/>
  <c r="E4" i="9" a="1"/>
  <c r="E4" i="9" s="1"/>
  <c r="G4" i="9" s="1"/>
  <c r="D4" i="9" a="1"/>
  <c r="D4" i="9" s="1"/>
  <c r="J20" i="4" l="1"/>
  <c r="U19" i="4" s="1"/>
  <c r="V19" i="4" s="1"/>
  <c r="W19" i="4" s="1"/>
  <c r="X19" i="4" s="1"/>
  <c r="K20" i="4"/>
  <c r="I21" i="4"/>
  <c r="U20" i="4" s="1"/>
  <c r="V20" i="4" s="1"/>
  <c r="W20" i="4" s="1"/>
  <c r="X20" i="4" s="1"/>
  <c r="M12" i="4"/>
  <c r="L12" i="4"/>
  <c r="L14" i="4" s="1"/>
  <c r="K12" i="4"/>
  <c r="K14" i="4" s="1"/>
  <c r="J12" i="4"/>
  <c r="J13" i="4" s="1"/>
  <c r="I12" i="4"/>
  <c r="I14" i="4" s="1"/>
  <c r="H12" i="4"/>
  <c r="H14" i="4" s="1"/>
  <c r="G12" i="4"/>
  <c r="G14" i="4" s="1"/>
  <c r="F12" i="4"/>
  <c r="F14" i="4" s="1"/>
  <c r="E12" i="4"/>
  <c r="E14" i="4" s="1"/>
  <c r="D12" i="4"/>
  <c r="D14" i="4" s="1"/>
  <c r="C12" i="4"/>
  <c r="C14" i="4" s="1"/>
  <c r="E9" i="4"/>
  <c r="D9" i="4"/>
  <c r="C9" i="4"/>
  <c r="E8" i="4"/>
  <c r="D8" i="4"/>
  <c r="C8" i="4"/>
  <c r="M7" i="4"/>
  <c r="L7" i="4"/>
  <c r="L9" i="4" s="1"/>
  <c r="K7" i="4"/>
  <c r="K9" i="4" s="1"/>
  <c r="J7" i="4"/>
  <c r="J9" i="4" s="1"/>
  <c r="I7" i="4"/>
  <c r="I9" i="4" s="1"/>
  <c r="H7" i="4"/>
  <c r="H9" i="4" s="1"/>
  <c r="G7" i="4"/>
  <c r="G9" i="4" s="1"/>
  <c r="F7" i="4"/>
  <c r="F9" i="4" s="1"/>
  <c r="E7" i="4"/>
  <c r="D7" i="4"/>
  <c r="C7" i="4"/>
  <c r="H4" i="4"/>
  <c r="G4" i="4"/>
  <c r="F4" i="4"/>
  <c r="E4" i="4"/>
  <c r="D4" i="4"/>
  <c r="H3" i="4"/>
  <c r="G3" i="4"/>
  <c r="F3" i="4"/>
  <c r="E3" i="4"/>
  <c r="M2" i="4"/>
  <c r="L2" i="4"/>
  <c r="L4" i="4" s="1"/>
  <c r="K2" i="4"/>
  <c r="K4" i="4" s="1"/>
  <c r="J2" i="4"/>
  <c r="J4" i="4" s="1"/>
  <c r="I2" i="4"/>
  <c r="I4" i="4" s="1"/>
  <c r="H2" i="4"/>
  <c r="G2" i="4"/>
  <c r="F2" i="4"/>
  <c r="E2" i="4"/>
  <c r="D2" i="4"/>
  <c r="D3" i="4" s="1"/>
  <c r="C2" i="4"/>
  <c r="C4" i="4" s="1"/>
  <c r="A20" i="4" l="1"/>
  <c r="J14" i="4"/>
  <c r="O13" i="4" s="1"/>
  <c r="P13" i="4" s="1"/>
  <c r="Q13" i="4" s="1"/>
  <c r="R13" i="4" s="1"/>
  <c r="K13" i="4"/>
  <c r="O8" i="4"/>
  <c r="P8" i="4" s="1"/>
  <c r="Q8" i="4" s="1"/>
  <c r="R8" i="4" s="1"/>
  <c r="O3" i="4"/>
  <c r="P3" i="4" s="1"/>
  <c r="Q3" i="4" s="1"/>
  <c r="R3" i="4" s="1"/>
  <c r="I3" i="4"/>
  <c r="F8" i="4"/>
  <c r="C13" i="4"/>
  <c r="J3" i="4"/>
  <c r="G8" i="4"/>
  <c r="O7" i="4" s="1"/>
  <c r="P7" i="4" s="1"/>
  <c r="Q7" i="4" s="1"/>
  <c r="R7" i="4" s="1"/>
  <c r="A8" i="4" s="1"/>
  <c r="D13" i="4"/>
  <c r="K3" i="4"/>
  <c r="H8" i="4"/>
  <c r="E13" i="4"/>
  <c r="I8" i="4"/>
  <c r="F13" i="4"/>
  <c r="J8" i="4"/>
  <c r="G13" i="4"/>
  <c r="K8" i="4"/>
  <c r="H13" i="4"/>
  <c r="C3" i="4"/>
  <c r="I13" i="4"/>
  <c r="O2" i="4" l="1"/>
  <c r="P2" i="4" s="1"/>
  <c r="Q2" i="4" s="1"/>
  <c r="R2" i="4" s="1"/>
  <c r="A3" i="4" s="1"/>
  <c r="O12" i="4"/>
  <c r="P12" i="4" s="1"/>
  <c r="Q12" i="4" s="1"/>
  <c r="R12" i="4" s="1"/>
  <c r="A13" i="4" s="1"/>
  <c r="G7" i="6" l="1"/>
  <c r="G8" i="6"/>
  <c r="G9" i="6"/>
  <c r="G10" i="6"/>
  <c r="G6" i="6"/>
  <c r="D8" i="5"/>
  <c r="F8" i="5" s="1"/>
  <c r="F9" i="5"/>
  <c r="F10" i="5"/>
  <c r="F11" i="5"/>
  <c r="F12" i="5"/>
  <c r="F13" i="5"/>
  <c r="F14" i="5"/>
  <c r="F15" i="5"/>
  <c r="F7" i="5"/>
  <c r="F6" i="5"/>
  <c r="F4" i="3"/>
  <c r="F7" i="3"/>
  <c r="C7" i="3"/>
  <c r="F6" i="3"/>
  <c r="C6" i="3"/>
  <c r="F5" i="3"/>
  <c r="C5" i="3"/>
  <c r="C4" i="3"/>
  <c r="J4" i="3" s="1"/>
  <c r="L3" i="3"/>
  <c r="M3" i="3" s="1"/>
  <c r="N3" i="3" s="1"/>
  <c r="O3" i="3" s="1"/>
  <c r="P3" i="3" s="1"/>
  <c r="Q3" i="3" s="1"/>
  <c r="R3" i="3" s="1"/>
  <c r="S3" i="3" s="1"/>
  <c r="T3" i="3" s="1"/>
  <c r="U3" i="3" s="1"/>
  <c r="V3" i="3" s="1"/>
  <c r="W3" i="3" s="1"/>
  <c r="X3" i="3" s="1"/>
  <c r="Y3" i="3" s="1"/>
  <c r="Z3" i="3" s="1"/>
  <c r="AA3" i="3" s="1"/>
  <c r="I5" i="3" l="1"/>
  <c r="J5" i="3" s="1"/>
  <c r="I6" i="3"/>
  <c r="J6" i="3" s="1"/>
  <c r="I4" i="3"/>
  <c r="I7" i="3"/>
  <c r="J7" i="3" s="1"/>
  <c r="G5" i="2" l="1"/>
  <c r="G6" i="2"/>
  <c r="G7" i="2"/>
  <c r="G9" i="2"/>
  <c r="G10" i="2"/>
  <c r="G8" i="2"/>
  <c r="G4" i="2"/>
  <c r="G3" i="2"/>
  <c r="E13" i="1"/>
  <c r="F13" i="1"/>
  <c r="G13" i="1"/>
  <c r="H13" i="1"/>
  <c r="I13" i="1"/>
  <c r="J13" i="1"/>
  <c r="K13" i="1"/>
  <c r="L13" i="1"/>
  <c r="M13" i="1"/>
  <c r="N13" i="1"/>
  <c r="E14" i="1"/>
  <c r="F14" i="1"/>
  <c r="G14" i="1" s="1"/>
  <c r="H14" i="1" s="1"/>
  <c r="I14" i="1" s="1"/>
  <c r="J14" i="1" s="1"/>
  <c r="K14" i="1" s="1"/>
  <c r="L14" i="1" s="1"/>
  <c r="M14" i="1" s="1"/>
  <c r="N14" i="1" s="1"/>
  <c r="E15" i="1"/>
  <c r="F15" i="1"/>
  <c r="G15" i="1"/>
  <c r="H15" i="1"/>
  <c r="I15" i="1" s="1"/>
  <c r="J15" i="1" s="1"/>
  <c r="K15" i="1" s="1"/>
  <c r="L15" i="1" s="1"/>
  <c r="M15" i="1" s="1"/>
  <c r="N15" i="1" s="1"/>
  <c r="E16" i="1"/>
  <c r="F16" i="1"/>
  <c r="G16" i="1"/>
  <c r="H16" i="1"/>
  <c r="I16" i="1"/>
  <c r="J16" i="1"/>
  <c r="K16" i="1" s="1"/>
  <c r="L16" i="1" s="1"/>
  <c r="M16" i="1" s="1"/>
  <c r="N16" i="1" s="1"/>
  <c r="E17" i="1"/>
  <c r="F17" i="1"/>
  <c r="G17" i="1"/>
  <c r="H17" i="1"/>
  <c r="I17" i="1"/>
  <c r="J17" i="1"/>
  <c r="K17" i="1"/>
  <c r="L17" i="1"/>
  <c r="M17" i="1" s="1"/>
  <c r="N17" i="1" s="1"/>
  <c r="E18" i="1"/>
  <c r="F18" i="1"/>
  <c r="G18" i="1"/>
  <c r="H18" i="1"/>
  <c r="I18" i="1"/>
  <c r="J18" i="1"/>
  <c r="K18" i="1"/>
  <c r="L18" i="1"/>
  <c r="M18" i="1"/>
  <c r="N18" i="1"/>
  <c r="E19" i="1"/>
  <c r="F19" i="1"/>
  <c r="G19" i="1"/>
  <c r="G20" i="1" s="1"/>
  <c r="H19" i="1"/>
  <c r="H20" i="1" s="1"/>
  <c r="I19" i="1"/>
  <c r="I20" i="1" s="1"/>
  <c r="J19" i="1"/>
  <c r="J20" i="1" s="1"/>
  <c r="K19" i="1"/>
  <c r="K20" i="1" s="1"/>
  <c r="L19" i="1"/>
  <c r="L20" i="1" s="1"/>
  <c r="M19" i="1"/>
  <c r="M20" i="1" s="1"/>
  <c r="N19" i="1"/>
  <c r="N20" i="1" s="1"/>
  <c r="E20" i="1"/>
  <c r="E21" i="1" s="1"/>
  <c r="F21" i="1" s="1"/>
  <c r="F20" i="1"/>
  <c r="D14" i="1"/>
  <c r="D15" i="1"/>
  <c r="D16" i="1"/>
  <c r="D17" i="1"/>
  <c r="D18" i="1"/>
  <c r="D19" i="1"/>
  <c r="D13" i="1"/>
  <c r="E5" i="1"/>
  <c r="F5" i="1"/>
  <c r="G5" i="1"/>
  <c r="H5" i="1"/>
  <c r="I5" i="1"/>
  <c r="J5" i="1"/>
  <c r="K5" i="1"/>
  <c r="L5" i="1"/>
  <c r="M5" i="1"/>
  <c r="N5" i="1"/>
  <c r="E6" i="1"/>
  <c r="F6" i="1"/>
  <c r="G6" i="1" s="1"/>
  <c r="H6" i="1" s="1"/>
  <c r="I6" i="1" s="1"/>
  <c r="J6" i="1" s="1"/>
  <c r="K6" i="1" s="1"/>
  <c r="L6" i="1" s="1"/>
  <c r="M6" i="1" s="1"/>
  <c r="N6" i="1" s="1"/>
  <c r="E7" i="1"/>
  <c r="F7" i="1"/>
  <c r="G7" i="1"/>
  <c r="H7" i="1"/>
  <c r="I7" i="1" s="1"/>
  <c r="J7" i="1" s="1"/>
  <c r="K7" i="1" s="1"/>
  <c r="L7" i="1" s="1"/>
  <c r="M7" i="1" s="1"/>
  <c r="N7" i="1" s="1"/>
  <c r="D6" i="1"/>
  <c r="D7" i="1"/>
  <c r="D5" i="1"/>
  <c r="C13" i="1"/>
  <c r="C21" i="1"/>
  <c r="C20" i="1"/>
  <c r="C18" i="1"/>
  <c r="C19" i="1"/>
  <c r="B19" i="1"/>
  <c r="C11" i="1"/>
  <c r="G21" i="1" l="1"/>
  <c r="H21" i="1" s="1"/>
  <c r="I21" i="1" s="1"/>
  <c r="J21" i="1" s="1"/>
  <c r="K21" i="1" s="1"/>
  <c r="L21" i="1" s="1"/>
  <c r="M21" i="1" s="1"/>
  <c r="N21" i="1" s="1"/>
  <c r="E11" i="1"/>
  <c r="D11" i="1"/>
  <c r="F11" i="1"/>
  <c r="H11" i="1"/>
  <c r="G11" i="1"/>
  <c r="C17" i="1"/>
  <c r="C15" i="1"/>
  <c r="B5" i="1"/>
  <c r="B7" i="1"/>
  <c r="B6" i="1"/>
  <c r="C14" i="1"/>
  <c r="C16" i="1"/>
  <c r="D20" i="1" l="1"/>
  <c r="D21" i="1" s="1"/>
  <c r="I11" i="1"/>
  <c r="B11" i="1"/>
  <c r="J11" i="1" l="1"/>
  <c r="K11" i="1" l="1"/>
  <c r="L11" i="1" l="1"/>
  <c r="N11" i="1" l="1"/>
  <c r="M1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8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3"/>
        </ext>
      </extLst>
    </bk>
  </futureMetadata>
  <cellMetadata count="1">
    <bk>
      <rc t="1" v="0"/>
    </bk>
  </cellMetadata>
  <valueMetadata count="1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</valueMetadata>
</metadata>
</file>

<file path=xl/sharedStrings.xml><?xml version="1.0" encoding="utf-8"?>
<sst xmlns="http://schemas.openxmlformats.org/spreadsheetml/2006/main" count="259" uniqueCount="152">
  <si>
    <t>Receitas</t>
  </si>
  <si>
    <t>Salario1</t>
  </si>
  <si>
    <t>Salario2</t>
  </si>
  <si>
    <t>Salario3</t>
  </si>
  <si>
    <t>Salario4</t>
  </si>
  <si>
    <t>Salario5</t>
  </si>
  <si>
    <t>Salario6</t>
  </si>
  <si>
    <t>%</t>
  </si>
  <si>
    <t>total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</si>
  <si>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</si>
  <si>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</si>
  <si>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</si>
  <si>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</si>
  <si>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</si>
  <si>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</si>
  <si>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</si>
  <si>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</si>
  <si>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</si>
  <si>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</si>
  <si>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</si>
  <si>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</si>
  <si>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 das receitas</t>
  </si>
  <si>
    <t>Despesas</t>
  </si>
  <si>
    <t>Despesa1</t>
  </si>
  <si>
    <t>Despesa2</t>
  </si>
  <si>
    <t>Despesa3</t>
  </si>
  <si>
    <t>Despesa4</t>
  </si>
  <si>
    <t>Despesa5</t>
  </si>
  <si>
    <t>Despesa6</t>
  </si>
  <si>
    <t>Total das despesas</t>
  </si>
  <si>
    <t>Resto</t>
  </si>
  <si>
    <t>Acumulado</t>
  </si>
  <si>
    <t>Cap inicial</t>
  </si>
  <si>
    <t>Meta</t>
  </si>
  <si>
    <t>Inflação</t>
  </si>
  <si>
    <t>Pasta</t>
  </si>
  <si>
    <t>Data</t>
  </si>
  <si>
    <t>Tarefa</t>
  </si>
  <si>
    <t>Gravidade</t>
  </si>
  <si>
    <t>Urgencia</t>
  </si>
  <si>
    <t>Tendencia</t>
  </si>
  <si>
    <t>G.U.T</t>
  </si>
  <si>
    <t>Montar Plano de Aula ILM</t>
  </si>
  <si>
    <t>FATEC-RL</t>
  </si>
  <si>
    <t>Agosto</t>
  </si>
  <si>
    <t>Setembro</t>
  </si>
  <si>
    <t>Outubro</t>
  </si>
  <si>
    <t>Novembro</t>
  </si>
  <si>
    <t>Matrícula</t>
  </si>
  <si>
    <t>Nome do  Aluno</t>
  </si>
  <si>
    <t>Faltas</t>
  </si>
  <si>
    <t>A1</t>
  </si>
  <si>
    <t>A2</t>
  </si>
  <si>
    <t>P1</t>
  </si>
  <si>
    <t>P2</t>
  </si>
  <si>
    <t>P3</t>
  </si>
  <si>
    <t>Média</t>
  </si>
  <si>
    <t>Ana</t>
  </si>
  <si>
    <t>João</t>
  </si>
  <si>
    <t>José</t>
  </si>
  <si>
    <t>Maria</t>
  </si>
  <si>
    <t>ILM - NOITE</t>
  </si>
  <si>
    <t>CPF</t>
  </si>
  <si>
    <t>25889186892</t>
  </si>
  <si>
    <t>Cod_cli</t>
  </si>
  <si>
    <t xml:space="preserve">Nome </t>
  </si>
  <si>
    <t>Dt_Nasc</t>
  </si>
  <si>
    <t>Sexo</t>
  </si>
  <si>
    <t>Idade</t>
  </si>
  <si>
    <t>M</t>
  </si>
  <si>
    <t>Gustavo</t>
  </si>
  <si>
    <t>001</t>
  </si>
  <si>
    <t>002</t>
  </si>
  <si>
    <t>003</t>
  </si>
  <si>
    <t>Marcia</t>
  </si>
  <si>
    <t>F</t>
  </si>
  <si>
    <t>004</t>
  </si>
  <si>
    <t>005</t>
  </si>
  <si>
    <t>006</t>
  </si>
  <si>
    <t>007</t>
  </si>
  <si>
    <t>008</t>
  </si>
  <si>
    <t>009</t>
  </si>
  <si>
    <t>010</t>
  </si>
  <si>
    <t>Ricardo</t>
  </si>
  <si>
    <t>Sonia</t>
  </si>
  <si>
    <t>Flavia</t>
  </si>
  <si>
    <t>Roberta</t>
  </si>
  <si>
    <t>Mauricio</t>
  </si>
  <si>
    <t>Claudio</t>
  </si>
  <si>
    <t>Claudia</t>
  </si>
  <si>
    <t>Roberval</t>
  </si>
  <si>
    <t>Cod_Prod</t>
  </si>
  <si>
    <t>Descricao</t>
  </si>
  <si>
    <t>Classificacao</t>
  </si>
  <si>
    <t>Preco_Compra</t>
  </si>
  <si>
    <t>Preco_venda</t>
  </si>
  <si>
    <t>Lucro</t>
  </si>
  <si>
    <t>Blue Label</t>
  </si>
  <si>
    <t>Classificação</t>
  </si>
  <si>
    <t>Whisky</t>
  </si>
  <si>
    <t>Cachaça</t>
  </si>
  <si>
    <t>Cerveja</t>
  </si>
  <si>
    <t>Refrigerante</t>
  </si>
  <si>
    <t>Agua</t>
  </si>
  <si>
    <t>Licor</t>
  </si>
  <si>
    <t>Saquê</t>
  </si>
  <si>
    <t>Velho Barreiro</t>
  </si>
  <si>
    <t>SOMA</t>
  </si>
  <si>
    <t>RESTO/11</t>
  </si>
  <si>
    <t>11-RESTO</t>
  </si>
  <si>
    <t>Dígito</t>
  </si>
  <si>
    <t>43465925890</t>
  </si>
  <si>
    <t>35975391814</t>
  </si>
  <si>
    <t>TIPO</t>
  </si>
  <si>
    <t>RAZÃO SOCIAL</t>
  </si>
  <si>
    <t>TICKER</t>
  </si>
  <si>
    <t>PREÇO</t>
  </si>
  <si>
    <t>COTAS</t>
  </si>
  <si>
    <t>VALOR</t>
  </si>
  <si>
    <t>FI</t>
  </si>
  <si>
    <t>AÇÃO</t>
  </si>
  <si>
    <t>Rótulos de Linha</t>
  </si>
  <si>
    <t>Total Geral</t>
  </si>
  <si>
    <t>BBAS3</t>
  </si>
  <si>
    <t>USIM5</t>
  </si>
  <si>
    <t>BRCR11</t>
  </si>
  <si>
    <t>CNES11</t>
  </si>
  <si>
    <t>DEVA11</t>
  </si>
  <si>
    <t>KISU11</t>
  </si>
  <si>
    <t>MXRF11</t>
  </si>
  <si>
    <t>Soma de VALOR</t>
  </si>
  <si>
    <t>Soma de COTAS</t>
  </si>
  <si>
    <t>011</t>
  </si>
  <si>
    <t>012</t>
  </si>
  <si>
    <t>Tipo</t>
  </si>
  <si>
    <t>ETF</t>
  </si>
  <si>
    <t>CDB</t>
  </si>
  <si>
    <t>TESOURO DIRETO</t>
  </si>
  <si>
    <t>LCI</t>
  </si>
  <si>
    <t>LCA</t>
  </si>
  <si>
    <t>Titulo</t>
  </si>
  <si>
    <t>PETR4</t>
  </si>
  <si>
    <t>VALE3</t>
  </si>
  <si>
    <t>KNIP11</t>
  </si>
  <si>
    <t>XPML11</t>
  </si>
  <si>
    <t>RAIZ4</t>
  </si>
  <si>
    <t>BOVB11</t>
  </si>
  <si>
    <t>XBOV11</t>
  </si>
  <si>
    <t>Variação (%)</t>
  </si>
  <si>
    <t>Variação dia (%)</t>
  </si>
  <si>
    <t>Soma de Variação (%)</t>
  </si>
  <si>
    <t>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</si>
</sst>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164" formatCode="&quot;R$&quot;\ #,##0.00"/>
    <numFmt numFmtId="165" formatCode="dd"/>
    <numFmt numFmtId="166" formatCode="0.0"/>
    <numFmt numFmtId="167" formatCode="_-[$R$-416]\ * #,##0.00_-;\-[$R$-416]\ * #,##0.00_-;_-[$R$-416]\ * &quot;-&quot;??_-;_-@_-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Display"/>
      <family val="2"/>
      <scheme val="major"/>
    </font>
    <font>
      <sz val="11"/>
      <name val="Aptos Display"/>
      <family val="2"/>
      <scheme val="major"/>
    </font>
    <font>
      <sz val="1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4">
    <xf numFmtId="0" fontId="0" fillId="0" borderId="0" xfId="0"/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1" xfId="0" applyBorder="1"/>
    <xf numFmtId="0" fontId="0" fillId="3" borderId="1" xfId="0" applyFill="1" applyBorder="1"/>
    <xf numFmtId="44" fontId="0" fillId="3" borderId="1" xfId="0" applyNumberFormat="1" applyFill="1" applyBorder="1"/>
    <xf numFmtId="44" fontId="0" fillId="0" borderId="0" xfId="0" applyNumberFormat="1"/>
    <xf numFmtId="9" fontId="0" fillId="0" borderId="1" xfId="1" applyFont="1" applyBorder="1"/>
    <xf numFmtId="9" fontId="0" fillId="0" borderId="0" xfId="0" applyNumberFormat="1"/>
    <xf numFmtId="9" fontId="0" fillId="3" borderId="1" xfId="1" applyFont="1" applyFill="1" applyBorder="1"/>
    <xf numFmtId="9" fontId="0" fillId="3" borderId="1" xfId="0" applyNumberFormat="1" applyFill="1" applyBorder="1"/>
    <xf numFmtId="44" fontId="0" fillId="0" borderId="1" xfId="0" applyNumberFormat="1" applyBorder="1"/>
    <xf numFmtId="164" fontId="0" fillId="0" borderId="1" xfId="0" applyNumberFormat="1" applyBorder="1"/>
    <xf numFmtId="164" fontId="0" fillId="3" borderId="1" xfId="0" applyNumberFormat="1" applyFill="1" applyBorder="1"/>
    <xf numFmtId="9" fontId="0" fillId="3" borderId="0" xfId="1" applyFont="1" applyFill="1"/>
    <xf numFmtId="0" fontId="0" fillId="0" borderId="0" xfId="0" applyAlignment="1">
      <alignment horizontal="center"/>
    </xf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7" xfId="0" applyBorder="1"/>
    <xf numFmtId="14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5" fillId="0" borderId="0" xfId="0" applyFont="1"/>
    <xf numFmtId="1" fontId="5" fillId="0" borderId="0" xfId="0" applyNumberFormat="1" applyFont="1"/>
    <xf numFmtId="0" fontId="5" fillId="5" borderId="3" xfId="0" applyFont="1" applyFill="1" applyBorder="1"/>
    <xf numFmtId="14" fontId="5" fillId="0" borderId="1" xfId="0" applyNumberFormat="1" applyFont="1" applyBorder="1"/>
    <xf numFmtId="0" fontId="6" fillId="5" borderId="1" xfId="0" applyFont="1" applyFill="1" applyBorder="1"/>
    <xf numFmtId="0" fontId="6" fillId="7" borderId="1" xfId="0" applyFont="1" applyFill="1" applyBorder="1"/>
    <xf numFmtId="165" fontId="5" fillId="7" borderId="5" xfId="0" applyNumberFormat="1" applyFont="1" applyFill="1" applyBorder="1" applyAlignment="1">
      <alignment horizontal="center" vertical="center"/>
    </xf>
    <xf numFmtId="0" fontId="5" fillId="6" borderId="1" xfId="0" applyFont="1" applyFill="1" applyBorder="1"/>
    <xf numFmtId="166" fontId="5" fillId="6" borderId="1" xfId="0" applyNumberFormat="1" applyFont="1" applyFill="1" applyBorder="1"/>
    <xf numFmtId="166" fontId="5" fillId="0" borderId="1" xfId="0" applyNumberFormat="1" applyFont="1" applyBorder="1"/>
    <xf numFmtId="0" fontId="5" fillId="0" borderId="1" xfId="0" applyFont="1" applyBorder="1"/>
    <xf numFmtId="166" fontId="6" fillId="6" borderId="1" xfId="0" applyNumberFormat="1" applyFont="1" applyFill="1" applyBorder="1"/>
    <xf numFmtId="166" fontId="5" fillId="0" borderId="0" xfId="0" applyNumberFormat="1" applyFont="1"/>
    <xf numFmtId="0" fontId="5" fillId="0" borderId="1" xfId="0" applyFont="1" applyBorder="1" applyAlignment="1">
      <alignment horizontal="center" vertical="center"/>
    </xf>
    <xf numFmtId="165" fontId="0" fillId="0" borderId="0" xfId="0" applyNumberFormat="1"/>
    <xf numFmtId="14" fontId="5" fillId="6" borderId="1" xfId="0" applyNumberFormat="1" applyFont="1" applyFill="1" applyBorder="1"/>
    <xf numFmtId="14" fontId="5" fillId="6" borderId="1" xfId="0" applyNumberFormat="1" applyFont="1" applyFill="1" applyBorder="1" applyAlignment="1">
      <alignment wrapText="1"/>
    </xf>
    <xf numFmtId="14" fontId="5" fillId="0" borderId="0" xfId="0" applyNumberFormat="1" applyFont="1"/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7" fillId="5" borderId="1" xfId="0" applyFont="1" applyFill="1" applyBorder="1" applyAlignment="1">
      <alignment horizontal="left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49" fontId="7" fillId="6" borderId="1" xfId="0" applyNumberFormat="1" applyFont="1" applyFill="1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7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8" borderId="16" xfId="0" applyFill="1" applyBorder="1"/>
    <xf numFmtId="0" fontId="0" fillId="8" borderId="16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8" borderId="17" xfId="0" applyFill="1" applyBorder="1" applyAlignment="1">
      <alignment horizontal="center"/>
    </xf>
    <xf numFmtId="10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  <xf numFmtId="44" fontId="0" fillId="0" borderId="0" xfId="0" applyNumberFormat="1" applyAlignment="1">
      <alignment horizontal="center"/>
    </xf>
    <xf numFmtId="0" fontId="5" fillId="5" borderId="15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51">
    <dxf>
      <fill>
        <patternFill>
          <bgColor rgb="FFD8E9CD"/>
        </patternFill>
      </fill>
    </dxf>
    <dxf>
      <fill>
        <patternFill>
          <bgColor rgb="FFFEFE9C"/>
        </patternFill>
      </fill>
    </dxf>
    <dxf>
      <font>
        <b/>
        <i val="0"/>
        <color theme="0"/>
      </font>
    </dxf>
    <dxf>
      <fill>
        <patternFill>
          <bgColor rgb="FFD8E9CD"/>
        </patternFill>
      </fill>
    </dxf>
    <dxf>
      <fill>
        <patternFill>
          <bgColor rgb="FFFEFE9C"/>
        </patternFill>
      </fill>
    </dxf>
    <dxf>
      <font>
        <b val="0"/>
        <i val="0"/>
        <color rgb="FFC00000"/>
      </font>
    </dxf>
    <dxf>
      <font>
        <color rgb="FFC00000"/>
      </font>
    </dxf>
    <dxf>
      <numFmt numFmtId="13" formatCode="0%"/>
    </dxf>
    <dxf>
      <numFmt numFmtId="167" formatCode="_-[$R$-416]\ * #,##0.00_-;\-[$R$-416]\ * #,##0.00_-;_-[$R$-416]\ * &quot;-&quot;??_-;_-@_-"/>
      <alignment horizontal="center" vertical="bottom" textRotation="0" wrapText="0" indent="0" justifyLastLine="0" shrinkToFit="0" readingOrder="0"/>
    </dxf>
    <dxf>
      <numFmt numFmtId="167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numFmt numFmtId="167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</dxf>
    <dxf>
      <alignment horizontal="center"/>
    </dxf>
    <dxf>
      <alignment horizontal="center"/>
    </dxf>
    <dxf>
      <alignment horizontal="center"/>
    </dxf>
    <dxf>
      <numFmt numFmtId="0" formatCode="General"/>
    </dxf>
    <dxf>
      <numFmt numFmtId="0" formatCode="General"/>
    </dxf>
    <dxf>
      <numFmt numFmtId="0" formatCode="General"/>
    </dxf>
    <dxf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30" formatCode="@"/>
    </dxf>
    <dxf>
      <numFmt numFmtId="0" formatCode="General"/>
    </dxf>
    <dxf>
      <numFmt numFmtId="19" formatCode="dd/mm/yyyy"/>
    </dxf>
    <dxf>
      <numFmt numFmtId="0" formatCode="General"/>
    </dxf>
    <dxf>
      <numFmt numFmtId="30" formatCode="@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microsoft.com/office/2017/06/relationships/rdArray" Target="richData/rdarray.xml"/><Relationship Id="rId3" Type="http://schemas.openxmlformats.org/officeDocument/2006/relationships/worksheet" Target="worksheets/sheet3.xml"/><Relationship Id="rId21" Type="http://schemas.microsoft.com/office/2017/06/relationships/rdSupportingPropertyBag" Target="richData/rdsupportingpropertybag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microsoft.com/office/2017/06/relationships/rdRichValue" Target="richData/rdrichvalue.xml"/><Relationship Id="rId20" Type="http://schemas.microsoft.com/office/2017/06/relationships/rdSupportingPropertyBagStructure" Target="richData/rdsupportingpropertybag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microsoft.com/office/2017/06/relationships/richStyles" Target="richData/rich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Relationship Id="rId22" Type="http://schemas.microsoft.com/office/2017/06/relationships/rdRichValueTypes" Target="richData/rdRichValueTyp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[Aula ILM-2-2024.xlsx]Dashboard!Tabela dinâmica1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3183136482939631"/>
          <c:y val="0.26328484981044037"/>
          <c:w val="0.68458048993875764"/>
          <c:h val="0.5381142461358996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Dashboard!$C$2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Dashboard!$B$3:$B$6</c:f>
              <c:strCache>
                <c:ptCount val="3"/>
                <c:pt idx="0">
                  <c:v>FI</c:v>
                </c:pt>
                <c:pt idx="1">
                  <c:v>AÇÃO</c:v>
                </c:pt>
                <c:pt idx="2">
                  <c:v>ETF</c:v>
                </c:pt>
              </c:strCache>
            </c:strRef>
          </c:cat>
          <c:val>
            <c:numRef>
              <c:f>Dashboard!$C$3:$C$6</c:f>
              <c:numCache>
                <c:formatCode>_-[$R$-416]\ * #,##0.00_-;\-[$R$-416]\ * #,##0.00_-;_-[$R$-416]\ * "-"??_-;_-@_-</c:formatCode>
                <c:ptCount val="3"/>
                <c:pt idx="0">
                  <c:v>4018.4</c:v>
                </c:pt>
                <c:pt idx="1">
                  <c:v>3531.8599999999997</c:v>
                </c:pt>
                <c:pt idx="2">
                  <c:v>1399.56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8E-4AB3-B16F-DDD27E18262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349061920"/>
        <c:axId val="349060480"/>
      </c:barChart>
      <c:catAx>
        <c:axId val="349061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49060480"/>
        <c:crosses val="autoZero"/>
        <c:auto val="1"/>
        <c:lblAlgn val="ctr"/>
        <c:lblOffset val="100"/>
        <c:noMultiLvlLbl val="0"/>
      </c:catAx>
      <c:valAx>
        <c:axId val="34906048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crossAx val="349061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[Aula ILM-2-2024.xlsx]Dashboard!Tabela dinâmica2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pattFill prst="ltUpDiag">
            <a:fgClr>
              <a:schemeClr val="accent2"/>
            </a:fgClr>
            <a:bgClr>
              <a:schemeClr val="lt1"/>
            </a:bgClr>
          </a:patt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rgbClr val="E97132">
                <a:alpha val="70000"/>
              </a:srgb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Dashboard!$C$8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ltUpDiag">
              <a:fgClr>
                <a:schemeClr val="accent2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cat>
            <c:strRef>
              <c:f>Dashboard!$B$9:$B$23</c:f>
              <c:strCache>
                <c:ptCount val="14"/>
                <c:pt idx="0">
                  <c:v>VALE3</c:v>
                </c:pt>
                <c:pt idx="1">
                  <c:v>MXRF11</c:v>
                </c:pt>
                <c:pt idx="2">
                  <c:v>XPML11</c:v>
                </c:pt>
                <c:pt idx="3">
                  <c:v>BRCR11</c:v>
                </c:pt>
                <c:pt idx="4">
                  <c:v>XBOV11</c:v>
                </c:pt>
                <c:pt idx="5">
                  <c:v>PETR4</c:v>
                </c:pt>
                <c:pt idx="6">
                  <c:v>KNIP11</c:v>
                </c:pt>
                <c:pt idx="7">
                  <c:v>USIM5</c:v>
                </c:pt>
                <c:pt idx="8">
                  <c:v>BBAS3</c:v>
                </c:pt>
                <c:pt idx="9">
                  <c:v>BOVB11</c:v>
                </c:pt>
                <c:pt idx="10">
                  <c:v>RAIZ4</c:v>
                </c:pt>
                <c:pt idx="11">
                  <c:v>DEVA11</c:v>
                </c:pt>
                <c:pt idx="12">
                  <c:v>KISU11</c:v>
                </c:pt>
                <c:pt idx="13">
                  <c:v>CNES11</c:v>
                </c:pt>
              </c:strCache>
            </c:strRef>
          </c:cat>
          <c:val>
            <c:numRef>
              <c:f>Dashboard!$C$9:$C$23</c:f>
              <c:numCache>
                <c:formatCode>_-[$R$-416]\ * #,##0.00_-;\-[$R$-416]\ * #,##0.00_-;_-[$R$-416]\ * "-"??_-;_-@_-</c:formatCode>
                <c:ptCount val="14"/>
                <c:pt idx="0">
                  <c:v>857.4</c:v>
                </c:pt>
                <c:pt idx="1">
                  <c:v>835.36</c:v>
                </c:pt>
                <c:pt idx="2">
                  <c:v>826.16</c:v>
                </c:pt>
                <c:pt idx="3">
                  <c:v>765</c:v>
                </c:pt>
                <c:pt idx="4">
                  <c:v>751.26</c:v>
                </c:pt>
                <c:pt idx="5">
                  <c:v>737.6</c:v>
                </c:pt>
                <c:pt idx="6">
                  <c:v>725.36</c:v>
                </c:pt>
                <c:pt idx="7">
                  <c:v>700.35</c:v>
                </c:pt>
                <c:pt idx="8">
                  <c:v>648.75</c:v>
                </c:pt>
                <c:pt idx="9">
                  <c:v>648.29999999999995</c:v>
                </c:pt>
                <c:pt idx="10">
                  <c:v>587.76</c:v>
                </c:pt>
                <c:pt idx="11">
                  <c:v>454.5</c:v>
                </c:pt>
                <c:pt idx="12">
                  <c:v>390.42</c:v>
                </c:pt>
                <c:pt idx="13">
                  <c:v>21.599999999999998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46-438B-967C-C47B355660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1591893792"/>
        <c:axId val="1586751728"/>
      </c:barChart>
      <c:catAx>
        <c:axId val="1591893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2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86751728"/>
        <c:crosses val="autoZero"/>
        <c:auto val="1"/>
        <c:lblAlgn val="ctr"/>
        <c:lblOffset val="100"/>
        <c:noMultiLvlLbl val="0"/>
      </c:catAx>
      <c:valAx>
        <c:axId val="1586751728"/>
        <c:scaling>
          <c:orientation val="minMax"/>
        </c:scaling>
        <c:delete val="0"/>
        <c:axPos val="l"/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91893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2"/>
    </a:solidFill>
    <a:ln w="9525" cap="flat" cmpd="sng" algn="ctr">
      <a:solidFill>
        <a:schemeClr val="accent2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[Aula ILM-2-2024.xlsx]Dashboard!Tabela dinâmica3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Dashboard!$C$25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Dashboard!$B$26:$B$54</c:f>
              <c:multiLvlStrCache>
                <c:ptCount val="14"/>
                <c:lvl>
                  <c:pt idx="0">
                    <c:v>FI</c:v>
                  </c:pt>
                  <c:pt idx="1">
                    <c:v>AÇÃO</c:v>
                  </c:pt>
                  <c:pt idx="2">
                    <c:v>FI</c:v>
                  </c:pt>
                  <c:pt idx="3">
                    <c:v>ETF</c:v>
                  </c:pt>
                  <c:pt idx="4">
                    <c:v>ETF</c:v>
                  </c:pt>
                  <c:pt idx="5">
                    <c:v>AÇÃO</c:v>
                  </c:pt>
                  <c:pt idx="6">
                    <c:v>AÇÃO</c:v>
                  </c:pt>
                  <c:pt idx="7">
                    <c:v>FI</c:v>
                  </c:pt>
                  <c:pt idx="8">
                    <c:v>AÇÃO</c:v>
                  </c:pt>
                  <c:pt idx="9">
                    <c:v>FI</c:v>
                  </c:pt>
                  <c:pt idx="10">
                    <c:v>FI</c:v>
                  </c:pt>
                  <c:pt idx="11">
                    <c:v>FI</c:v>
                  </c:pt>
                  <c:pt idx="12">
                    <c:v>AÇÃO</c:v>
                  </c:pt>
                  <c:pt idx="13">
                    <c:v>FI</c:v>
                  </c:pt>
                </c:lvl>
                <c:lvl>
                  <c:pt idx="0">
                    <c:v>KISU11</c:v>
                  </c:pt>
                  <c:pt idx="1">
                    <c:v>USIM5</c:v>
                  </c:pt>
                  <c:pt idx="2">
                    <c:v>XPML11</c:v>
                  </c:pt>
                  <c:pt idx="3">
                    <c:v>BOVB11</c:v>
                  </c:pt>
                  <c:pt idx="4">
                    <c:v>XBOV11</c:v>
                  </c:pt>
                  <c:pt idx="5">
                    <c:v>BBAS3</c:v>
                  </c:pt>
                  <c:pt idx="6">
                    <c:v>PETR4</c:v>
                  </c:pt>
                  <c:pt idx="7">
                    <c:v>KNIP11</c:v>
                  </c:pt>
                  <c:pt idx="8">
                    <c:v>VALE3</c:v>
                  </c:pt>
                  <c:pt idx="9">
                    <c:v>BRCR11</c:v>
                  </c:pt>
                  <c:pt idx="10">
                    <c:v>MXRF11</c:v>
                  </c:pt>
                  <c:pt idx="11">
                    <c:v>DEVA11</c:v>
                  </c:pt>
                  <c:pt idx="12">
                    <c:v>RAIZ4</c:v>
                  </c:pt>
                  <c:pt idx="13">
                    <c:v>CNES11</c:v>
                  </c:pt>
                </c:lvl>
              </c:multiLvlStrCache>
            </c:multiLvlStrRef>
          </c:cat>
          <c:val>
            <c:numRef>
              <c:f>Dashboard!$C$26:$C$54</c:f>
              <c:numCache>
                <c:formatCode>0%</c:formatCode>
                <c:ptCount val="14"/>
                <c:pt idx="0">
                  <c:v>1.5448999999999999E-2</c:v>
                </c:pt>
                <c:pt idx="1">
                  <c:v>1.4999999999999999E-2</c:v>
                </c:pt>
                <c:pt idx="2">
                  <c:v>2.7189999999999996E-3</c:v>
                </c:pt>
                <c:pt idx="3">
                  <c:v>3.0859999999999997E-4</c:v>
                </c:pt>
                <c:pt idx="4">
                  <c:v>0</c:v>
                </c:pt>
                <c:pt idx="5">
                  <c:v>0</c:v>
                </c:pt>
                <c:pt idx="6">
                  <c:v>-1.354E-3</c:v>
                </c:pt>
                <c:pt idx="7">
                  <c:v>-1.8709999999999998E-3</c:v>
                </c:pt>
                <c:pt idx="8">
                  <c:v>-2.7910000000000001E-3</c:v>
                </c:pt>
                <c:pt idx="9">
                  <c:v>-7.0089999999999996E-3</c:v>
                </c:pt>
                <c:pt idx="10">
                  <c:v>-1.0893E-2</c:v>
                </c:pt>
                <c:pt idx="11">
                  <c:v>-2.1002E-2</c:v>
                </c:pt>
                <c:pt idx="12">
                  <c:v>-6.4151E-2</c:v>
                </c:pt>
                <c:pt idx="13">
                  <c:v>-8.3969000000000002E-2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74-4EB1-8231-33A72CDB6A7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535052432"/>
        <c:axId val="535053872"/>
      </c:barChart>
      <c:catAx>
        <c:axId val="535052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35053872"/>
        <c:crosses val="autoZero"/>
        <c:auto val="1"/>
        <c:lblAlgn val="ctr"/>
        <c:lblOffset val="100"/>
        <c:noMultiLvlLbl val="0"/>
      </c:catAx>
      <c:valAx>
        <c:axId val="53505387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535052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381001</xdr:colOff>
      <xdr:row>6</xdr:row>
      <xdr:rowOff>37171</xdr:rowOff>
    </xdr:from>
    <xdr:to>
      <xdr:col>11</xdr:col>
      <xdr:colOff>269488</xdr:colOff>
      <xdr:row>21</xdr:row>
      <xdr:rowOff>148681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9897B81-FE33-69F9-3191-CA69E39CB8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386947</xdr:colOff>
      <xdr:row>6</xdr:row>
      <xdr:rowOff>55756</xdr:rowOff>
    </xdr:from>
    <xdr:to>
      <xdr:col>17</xdr:col>
      <xdr:colOff>27878</xdr:colOff>
      <xdr:row>21</xdr:row>
      <xdr:rowOff>160298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386BC9F-BC72-EFB2-94B1-ACE580E5C0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375030</xdr:colOff>
      <xdr:row>22</xdr:row>
      <xdr:rowOff>37789</xdr:rowOff>
    </xdr:from>
    <xdr:to>
      <xdr:col>17</xdr:col>
      <xdr:colOff>9293</xdr:colOff>
      <xdr:row>39</xdr:row>
      <xdr:rowOff>158872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54E35C3-6405-540E-0504-7F5386954D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richPivotRecords" Target="richPivot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invalid="1" refreshedBy="Gustavo Rebelo" refreshedDate="45609.848562037034" createdVersion="8" refreshedVersion="8" minRefreshableVersion="3" recordCount="14" xr:uid="{DC97B902-0B00-47C8-BEFA-437C2BFE2564}">
  <cacheSource type="worksheet">
    <worksheetSource name="Tabela5"/>
  </cacheSource>
  <cacheFields count="7">
    <cacheField name="TIPO" numFmtId="0">
      <sharedItems containsBlank="1" count="4">
        <s v="AÇÃO"/>
        <s v="FI"/>
        <s v="ETF"/>
        <m u="1"/>
      </sharedItems>
    </cacheField>
    <cacheField name="RAZÃO SOCIAL" numFmtId="0">
      <sharedItems/>
    </cacheField>
    <cacheField name="TICKER" numFmtId="0">
      <sharedItems count="14">
        <s v="VALE3"/>
        <s v="MXRF11"/>
        <s v="XPML11"/>
        <s v="BRCR11"/>
        <s v="XBOV11"/>
        <s v="USIM5"/>
        <s v="KNIP11"/>
        <s v="PETR4"/>
        <s v="RAIZ4"/>
        <s v="BOVB11"/>
        <s v="BBAS3"/>
        <s v="DEVA11"/>
        <s v="KISU11"/>
        <s v="CNES11"/>
      </sharedItems>
    </cacheField>
    <cacheField name="PREÇO" numFmtId="167">
      <sharedItems containsSemiMixedTypes="0" containsString="0" containsNumber="1" minValue="1.2" maxValue="129.66"/>
    </cacheField>
    <cacheField name="COTAS" numFmtId="0">
      <sharedItems containsSemiMixedTypes="0" containsString="0" containsNumber="1" containsInteger="1" minValue="5" maxValue="237"/>
    </cacheField>
    <cacheField name="VALOR" numFmtId="167">
      <sharedItems containsSemiMixedTypes="0" containsString="0" containsNumber="1" minValue="21.599999999999998" maxValue="857.4"/>
    </cacheField>
    <cacheField name="Variação (%)" numFmtId="0">
      <sharedItems containsSemiMixedTypes="0" containsString="0" containsNumber="1" minValue="-8.3969000000000002E-2" maxValue="1.5448999999999999E-2"/>
    </cacheField>
  </cacheFields>
  <extLst>
    <ext xmlns:x14="http://schemas.microsoft.com/office/spreadsheetml/2009/9/main" uri="{725AE2AE-9491-48be-B2B4-4EB974FC3084}">
      <x14:pivotCacheDefinition/>
    </ext>
    <ext xmlns:xxpvi="http://schemas.microsoft.com/office/spreadsheetml/2022/pivotVersionInfo" uri="{9F748A41-CAEA-4470-BF7A-CE61E8FFA7F9}">
      <xxpvi:cacheVersionInfo>
        <xxpvi:lastRefreshFeature>RichData</xxpvi:lastRefreshFeature>
      </xxpvi:cacheVersionInfo>
    </ext>
    <ext xmlns:xprd="http://schemas.microsoft.com/office/spreadsheetml/2022/pivotRichData" uri="{2C874A73-7782-4A18-856F-96AC7E287872}">
      <xprd:richInfo pivotCacheGuid="{DC97B902-0B00-47C8-BEFA-437C2BFE2564}" pivotIgnoreInvalidCache="1" r:id="rId1"/>
    </ext>
  </extLst>
</pivotCacheDefinition>
</file>

<file path=xl/pivotCache/richPivot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x v="0"/>
    <s v="VALE S.A. (BVMF:VALE3)"/>
    <x v="0"/>
    <n v="57.16"/>
    <n v="15"/>
    <n v="857.4"/>
    <n v="-2.7910000000000001E-3"/>
  </r>
  <r>
    <x v="1"/>
    <s v="MAXI RENDA FII ETF (BVMF:MXRF11)"/>
    <x v="1"/>
    <n v="9.08"/>
    <n v="92"/>
    <n v="835.36"/>
    <n v="-1.0893E-2"/>
  </r>
  <r>
    <x v="1"/>
    <s v="XP MALLS FDO INV IMOB FII ETF (BVMF:XPML11)"/>
    <x v="2"/>
    <n v="103.27"/>
    <n v="8"/>
    <n v="826.16"/>
    <n v="2.7189999999999996E-3"/>
  </r>
  <r>
    <x v="1"/>
    <s v="FDO INV IMOB BTG PACTUAL CORP F REIT (BVMF:BRCR11)"/>
    <x v="3"/>
    <n v="42.5"/>
    <n v="18"/>
    <n v="765"/>
    <n v="-7.0089999999999996E-3"/>
  </r>
  <r>
    <x v="2"/>
    <s v="Caixa ETF Ibovespa FI (BVMF:XBOV11)"/>
    <x v="4"/>
    <n v="125.21"/>
    <n v="6"/>
    <n v="751.26"/>
    <n v="0"/>
  </r>
  <r>
    <x v="0"/>
    <s v="Usinas Siderúrgicas de Minas Gerais S/A - USIMINAS (BVMF:USIM5)"/>
    <x v="5"/>
    <n v="6.09"/>
    <n v="115"/>
    <n v="700.35"/>
    <n v="1.4999999999999999E-2"/>
  </r>
  <r>
    <x v="1"/>
    <s v="KINEA INDICES DE PRECOS FDO INV IMOB CF (BVMF:KNIP11)"/>
    <x v="6"/>
    <n v="90.67"/>
    <n v="8"/>
    <n v="725.36"/>
    <n v="-1.8709999999999998E-3"/>
  </r>
  <r>
    <x v="0"/>
    <s v="Petróleo Brasileiro S.A. (Petrobras) (BVMF:PETR4)"/>
    <x v="7"/>
    <n v="36.880000000000003"/>
    <n v="20"/>
    <n v="737.6"/>
    <n v="-1.354E-3"/>
  </r>
  <r>
    <x v="0"/>
    <s v="Raízen S.A. (BVMF:RAIZ4)"/>
    <x v="8"/>
    <n v="2.48"/>
    <n v="237"/>
    <n v="587.76"/>
    <n v="-6.4151E-2"/>
  </r>
  <r>
    <x v="2"/>
    <s v="ETF Bradesco Ibovespa (BVMF:BOVB11)"/>
    <x v="9"/>
    <n v="129.66"/>
    <n v="5"/>
    <n v="648.29999999999995"/>
    <n v="3.0859999999999997E-4"/>
  </r>
  <r>
    <x v="0"/>
    <s v="Banco do Brasil S.A. (BVMF:BBAS3)"/>
    <x v="10"/>
    <n v="25.95"/>
    <n v="25"/>
    <n v="648.75"/>
    <n v="0"/>
  </r>
  <r>
    <x v="1"/>
    <s v="DEVANT RECEBIVEIS IMOBILIARIOS FII CF (BVMF:DEVA11)"/>
    <x v="11"/>
    <n v="30.3"/>
    <n v="15"/>
    <n v="454.5"/>
    <n v="-2.1002E-2"/>
  </r>
  <r>
    <x v="1"/>
    <s v="KILIMA FI EM COTAS FDO IMOB SUNO 30 (BVMF:KISU11)"/>
    <x v="12"/>
    <n v="7.23"/>
    <n v="54"/>
    <n v="390.42"/>
    <n v="1.5448999999999999E-2"/>
  </r>
  <r>
    <x v="1"/>
    <s v="FDO INV IMOB FII CENESP CF (BVMF:CNES11)"/>
    <x v="13"/>
    <n v="1.2"/>
    <n v="18"/>
    <n v="21.599999999999998"/>
    <n v="-8.3969000000000002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375931-3B56-40BB-BED0-559455DBCCA8}" name="Tabela dinâmica8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J2:M20" firstHeaderRow="0" firstDataRow="1" firstDataCol="1"/>
  <pivotFields count="7">
    <pivotField axis="axisRow" showAll="0">
      <items count="5">
        <item x="0"/>
        <item x="1"/>
        <item m="1" x="3"/>
        <item x="2"/>
        <item t="default"/>
      </items>
    </pivotField>
    <pivotField showAll="0"/>
    <pivotField axis="axisRow" showAll="0">
      <items count="15">
        <item x="10"/>
        <item x="3"/>
        <item x="13"/>
        <item x="11"/>
        <item x="12"/>
        <item x="6"/>
        <item x="1"/>
        <item x="7"/>
        <item x="5"/>
        <item x="0"/>
        <item x="2"/>
        <item x="9"/>
        <item x="4"/>
        <item x="8"/>
        <item t="default"/>
      </items>
    </pivotField>
    <pivotField showAll="0"/>
    <pivotField dataField="1" showAll="0"/>
    <pivotField dataField="1" showAll="0"/>
    <pivotField dataField="1" showAll="0"/>
  </pivotFields>
  <rowFields count="2">
    <field x="0"/>
    <field x="2"/>
  </rowFields>
  <rowItems count="18">
    <i>
      <x/>
    </i>
    <i r="1">
      <x/>
    </i>
    <i r="1">
      <x v="7"/>
    </i>
    <i r="1">
      <x v="8"/>
    </i>
    <i r="1">
      <x v="9"/>
    </i>
    <i r="1">
      <x v="13"/>
    </i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10"/>
    </i>
    <i>
      <x v="3"/>
    </i>
    <i r="1">
      <x v="11"/>
    </i>
    <i r="1">
      <x v="1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Variação dia (%)" fld="6" baseField="0" baseItem="0" numFmtId="10"/>
    <dataField name="Soma de COTAS" fld="4" baseField="0" baseItem="0"/>
    <dataField name="Soma de VALOR" fld="5" baseField="0" baseItem="0" numFmtId="44"/>
  </dataFields>
  <formats count="8">
    <format dxfId="24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23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2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1">
      <pivotArea outline="0" fieldPosition="0">
        <references count="1">
          <reference field="4294967294" count="1">
            <x v="0"/>
          </reference>
        </references>
      </pivotArea>
    </format>
    <format dxfId="2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9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8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1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  <ext xmlns:xxpvi="http://schemas.microsoft.com/office/spreadsheetml/2022/pivotVersionInfo" uri="{9F748A41-CAEA-4470-BF7A-CE61E8FFA7F9}">
      <xxpvi:pivotVersionInfo>
        <xxpvi:lastUpdateFeature>RichData</xxpvi:lastUpdateFeature>
      </xxpvi:pivotVersionInfo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C034DF-8B9D-4860-A618-414A69CEAEB6}" name="Tabela dinâ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8">
  <location ref="B25:C54" firstHeaderRow="1" firstDataRow="1" firstDataCol="1"/>
  <pivotFields count="7">
    <pivotField axis="axisRow" showAll="0">
      <items count="5">
        <item x="0"/>
        <item x="2"/>
        <item x="1"/>
        <item m="1" x="3"/>
        <item t="default"/>
      </items>
    </pivotField>
    <pivotField showAll="0"/>
    <pivotField axis="axisRow" showAll="0" sortType="descending">
      <items count="15">
        <item x="10"/>
        <item x="9"/>
        <item x="3"/>
        <item x="13"/>
        <item x="11"/>
        <item x="12"/>
        <item x="6"/>
        <item x="1"/>
        <item x="7"/>
        <item x="8"/>
        <item x="5"/>
        <item x="0"/>
        <item x="4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7" showAll="0"/>
    <pivotField showAll="0"/>
    <pivotField numFmtId="167" showAll="0"/>
    <pivotField dataField="1" showAll="0"/>
  </pivotFields>
  <rowFields count="2">
    <field x="2"/>
    <field x="0"/>
  </rowFields>
  <rowItems count="29">
    <i>
      <x v="5"/>
    </i>
    <i r="1">
      <x v="2"/>
    </i>
    <i>
      <x v="10"/>
    </i>
    <i r="1">
      <x/>
    </i>
    <i>
      <x v="13"/>
    </i>
    <i r="1">
      <x v="2"/>
    </i>
    <i>
      <x v="1"/>
    </i>
    <i r="1">
      <x v="1"/>
    </i>
    <i>
      <x v="12"/>
    </i>
    <i r="1">
      <x v="1"/>
    </i>
    <i>
      <x/>
    </i>
    <i r="1">
      <x/>
    </i>
    <i>
      <x v="8"/>
    </i>
    <i r="1">
      <x/>
    </i>
    <i>
      <x v="6"/>
    </i>
    <i r="1">
      <x v="2"/>
    </i>
    <i>
      <x v="11"/>
    </i>
    <i r="1">
      <x/>
    </i>
    <i>
      <x v="2"/>
    </i>
    <i r="1">
      <x v="2"/>
    </i>
    <i>
      <x v="7"/>
    </i>
    <i r="1">
      <x v="2"/>
    </i>
    <i>
      <x v="4"/>
    </i>
    <i r="1">
      <x v="2"/>
    </i>
    <i>
      <x v="9"/>
    </i>
    <i r="1">
      <x/>
    </i>
    <i>
      <x v="3"/>
    </i>
    <i r="1">
      <x v="2"/>
    </i>
    <i t="grand">
      <x/>
    </i>
  </rowItems>
  <colItems count="1">
    <i/>
  </colItems>
  <dataFields count="1">
    <dataField name="Soma de Variação (%)" fld="6" baseField="0" baseItem="0" numFmtId="9"/>
  </dataFields>
  <formats count="1">
    <format dxfId="7">
      <pivotArea outline="0" collapsedLevelsAreSubtotals="1" fieldPosition="0"/>
    </format>
  </formats>
  <chartFormats count="1"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  <ext xmlns:xxpvi="http://schemas.microsoft.com/office/spreadsheetml/2022/pivotVersionInfo" uri="{9F748A41-CAEA-4470-BF7A-CE61E8FFA7F9}">
      <xxpvi:pivotVersionInfo>
        <xxpvi:lastUpdateFeature>RichData</xxpvi:lastUpdateFeature>
      </xxpvi:pivotVersionInfo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980CA2-D511-4E8B-9978-13BB44DCA27C}" name="Tabela dinâ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9">
  <location ref="B8:C23" firstHeaderRow="1" firstDataRow="1" firstDataCol="1"/>
  <pivotFields count="7">
    <pivotField showAll="0"/>
    <pivotField showAll="0"/>
    <pivotField axis="axisRow" showAll="0" sortType="descending">
      <items count="15">
        <item x="2"/>
        <item x="4"/>
        <item x="0"/>
        <item x="5"/>
        <item x="8"/>
        <item x="7"/>
        <item x="1"/>
        <item x="6"/>
        <item x="12"/>
        <item x="11"/>
        <item x="13"/>
        <item x="3"/>
        <item x="9"/>
        <item x="1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7" showAll="0"/>
    <pivotField showAll="0"/>
    <pivotField dataField="1" numFmtId="167" showAll="0"/>
    <pivotField showAll="0"/>
  </pivotFields>
  <rowFields count="1">
    <field x="2"/>
  </rowFields>
  <rowItems count="15">
    <i>
      <x v="2"/>
    </i>
    <i>
      <x v="6"/>
    </i>
    <i>
      <x/>
    </i>
    <i>
      <x v="11"/>
    </i>
    <i>
      <x v="1"/>
    </i>
    <i>
      <x v="5"/>
    </i>
    <i>
      <x v="7"/>
    </i>
    <i>
      <x v="3"/>
    </i>
    <i>
      <x v="13"/>
    </i>
    <i>
      <x v="12"/>
    </i>
    <i>
      <x v="4"/>
    </i>
    <i>
      <x v="9"/>
    </i>
    <i>
      <x v="8"/>
    </i>
    <i>
      <x v="10"/>
    </i>
    <i t="grand">
      <x/>
    </i>
  </rowItems>
  <colItems count="1">
    <i/>
  </colItems>
  <dataFields count="1">
    <dataField name="Soma de VALOR" fld="5" baseField="0" baseItem="0" numFmtId="167"/>
  </dataFields>
  <chartFormats count="1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  <ext xmlns:xxpvi="http://schemas.microsoft.com/office/spreadsheetml/2022/pivotVersionInfo" uri="{9F748A41-CAEA-4470-BF7A-CE61E8FFA7F9}">
      <xxpvi:pivotVersionInfo>
        <xxpvi:lastUpdateFeature>RichData</xxpvi:lastUpdateFeature>
      </xxpvi:pivotVersionInfo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4B1006-6FE2-477A-80C2-108284AAD217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6">
  <location ref="B2:C6" firstHeaderRow="1" firstDataRow="1" firstDataCol="1"/>
  <pivotFields count="7">
    <pivotField axis="axisRow" showAll="0" sortType="descending">
      <items count="5">
        <item x="0"/>
        <item x="2"/>
        <item x="1"/>
        <item m="1"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67" showAll="0"/>
    <pivotField showAll="0"/>
    <pivotField dataField="1" numFmtId="167" showAll="0"/>
    <pivotField showAll="0"/>
  </pivotFields>
  <rowFields count="1">
    <field x="0"/>
  </rowFields>
  <rowItems count="4">
    <i>
      <x v="2"/>
    </i>
    <i>
      <x/>
    </i>
    <i>
      <x v="1"/>
    </i>
    <i t="grand">
      <x/>
    </i>
  </rowItems>
  <colItems count="1">
    <i/>
  </colItems>
  <dataFields count="1">
    <dataField name="Soma de VALOR" fld="5" baseField="0" baseItem="0" numFmtId="167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  <ext xmlns:xxpvi="http://schemas.microsoft.com/office/spreadsheetml/2022/pivotVersionInfo" uri="{9F748A41-CAEA-4470-BF7A-CE61E8FFA7F9}">
      <xxpvi:pivotVersionInfo>
        <xxpvi:lastUpdateFeature>RichData</xxpvi:lastUpdateFeature>
      </xxpvi:pivotVersionInfo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array.xml><?xml version="1.0" encoding="utf-8"?>
<arrayData xmlns="http://schemas.microsoft.com/office/spreadsheetml/2017/richdata2" count="1">
  <a r="15">
    <v t="r">55</v>
    <v t="r">57</v>
    <v t="r">59</v>
    <v t="r">61</v>
    <v t="r">63</v>
    <v t="r">65</v>
    <v t="r">67</v>
    <v t="r">69</v>
    <v t="r">71</v>
    <v t="r">73</v>
    <v t="r">75</v>
    <v t="r">77</v>
    <v t="r">79</v>
    <v t="r">81</v>
    <v t="i">2</v>
  </a>
</arrayData>
</file>

<file path=xl/richData/rdrichvalue.xml><?xml version="1.0" encoding="utf-8"?>
<rvData xmlns="http://schemas.microsoft.com/office/spreadsheetml/2017/richdata" count="84">
  <rv s="0">
    <v>https://www.bing.com/financeapi/forcetrigger?t=apnjh7&amp;q=BVMF%3aUSIM5&amp;form=skydnc</v>
    <v>Learn more on Bing</v>
  </rv>
  <rv s="1">
    <v>pt-BR</v>
    <v>apnjh7</v>
    <v>268435456</v>
    <v>1</v>
    <v>Da plataforma Refinitiv</v>
    <v>0</v>
    <v>1</v>
    <v>Usinas Siderúrgicas de Minas Gerais S/A - USIMINAS (BVMF:USIM5)</v>
    <v>3</v>
    <v>4</v>
    <v>Finance</v>
    <v>5</v>
    <v>10.89</v>
    <v>5.42</v>
    <v>BVMF</v>
    <v>1253079000</v>
    <v>6.23</v>
    <v>1954</v>
    <v>6.09</v>
    <v>1.139</v>
    <v>B3 - Brazil Stock Exchange</v>
    <v>7719967000</v>
    <v>As Usinas Siderúrgicas de Minas Gerais SA USIMINAS e suas subsidiárias, sociedades controladas em conjunto e coligadas têm por objeto a siderurgia e outras atividades relacionadas. As atividades da Companhia incluem extração de minério de ferro, transformação do aço, produção de bens de capital e logística. Atua em quatro segmentos: Siderurgia, Mineração e Logística, Transformação do Aço e Bens de Capital. Produz e comercializa diversos produtos e matérias-primas, como aços planos, minério de ferro, peças estampadas de aço para a indústria automotiva e produtos para a construção civil e a indústria de bens de capital. Presta serviços de transferência de tecnologia na atividade siderúrgica, na gestão de projetos e prestação de serviços na área da construção civil e indústria de bens de capital, transporte rodoviário de aços planos, galvanização a quente de aços, texturização e cilindros de cromo. Possui mais de duas usinas siderúrgicas no Brasil localizadas nas cidades de Ipatinga, Estado de Minas Gerais, e de Cubatão, Estado de São Paulo.</v>
    <v>BVMF</v>
    <v>6.2</v>
    <v>51182</v>
    <v>45615.787916666668</v>
    <v>0</v>
    <v>14228970</v>
    <v>BRL</v>
    <v>Usinas Siderúrgicas de Minas Gerais S/A - USIMINAS</v>
    <v>Usinas Siderúrgicas de Minas Gerais S/A - USIMINAS</v>
    <v>6.23</v>
    <v>6.16</v>
    <v>Avenida do Contorno, 6.594, Savassi, BELO HORIZONTE, MINAS GERAIS, 30.110-044 BR</v>
    <v>Metals &amp; Mining</v>
    <v>USIM5</v>
    <v>Ações</v>
    <v>Usinas Siderúrgicas de Minas Gerais S/A - USIMINAS (BVMF:USIM5)</v>
    <v>-0.04</v>
    <v>-6.4520000000000003E-3</v>
    <v>3586500</v>
  </rv>
  <rv s="2">
    <v>1</v>
  </rv>
  <rv s="0">
    <v>https://www.bing.com/financeapi/forcetrigger?t=apn14c&amp;q=BVMF%3aMXRF11&amp;form=skydnc</v>
    <v>Learn more on Bing</v>
  </rv>
  <rv s="3">
    <v>pt-BR</v>
    <v>apn14c</v>
    <v>268435456</v>
    <v>1</v>
    <v>Da plataforma Refinitiv</v>
    <v>6</v>
    <v>7</v>
    <v>MAXI RENDA FII ETF (BVMF:MXRF11)</v>
    <v>8</v>
    <v>9</v>
    <v>Finance</v>
    <v>5</v>
    <v>10.02</v>
    <v>9.0299999999999994</v>
    <v>BVMF</v>
    <v>9.3000000000000007</v>
    <v>9.2200000000000006</v>
    <v>B3 - Brazil Stock Exchange</v>
    <v>9.1999999999999993</v>
    <v>45615.787935798435</v>
    <v>3</v>
    <v>BRL</v>
    <v>MAXI RENDA FII ETF</v>
    <v>9.23</v>
    <v>9.2200000000000006</v>
    <v>MXRF11</v>
    <v>Fundos mais negociados</v>
    <v>MAXI RENDA FII ETF (BVMF:MXRF11)</v>
    <v>0.02</v>
    <v>2.1740000000000002E-3</v>
    <v>1459482</v>
  </rv>
  <rv s="2">
    <v>4</v>
  </rv>
  <rv s="0">
    <v>https://www.bing.com/financeapi/forcetrigger?t=bxe577&amp;q=BVMF%3aKISU11&amp;form=skydnc</v>
    <v>Learn more on Bing</v>
  </rv>
  <rv s="3">
    <v>pt-BR</v>
    <v>bxe577</v>
    <v>268435456</v>
    <v>1</v>
    <v>Da plataforma Refinitiv</v>
    <v>6</v>
    <v>7</v>
    <v>KILIMA FI EM COTAS FDO IMOB SUNO 30 (BVMF:KISU11)</v>
    <v>8</v>
    <v>9</v>
    <v>Finance</v>
    <v>5</v>
    <v>8.27</v>
    <v>7.1</v>
    <v>BVMF</v>
    <v>7.36</v>
    <v>7.16</v>
    <v>B3 - Brazil Stock Exchange</v>
    <v>7.28</v>
    <v>45615.787334409375</v>
    <v>6</v>
    <v>BRL</v>
    <v>KILIMA FI EM COTAS FDO IMOB SUNO 30</v>
    <v>7.28</v>
    <v>7.21</v>
    <v>KISU11</v>
    <v>Fundos mais negociados</v>
    <v>KILIMA FI EM COTAS FDO IMOB SUNO 30 (BVMF:KISU11)</v>
    <v>-7.0000000000000007E-2</v>
    <v>-9.6150000000000003E-3</v>
    <v>54990</v>
  </rv>
  <rv s="2">
    <v>7</v>
  </rv>
  <rv s="0">
    <v>https://www.bing.com/financeapi/forcetrigger?t=apm3rw&amp;q=BVMF%3aBRCR11&amp;form=skydnc</v>
    <v>Learn more on Bing</v>
  </rv>
  <rv s="3">
    <v>pt-BR</v>
    <v>apm3rw</v>
    <v>268435456</v>
    <v>1</v>
    <v>Da plataforma Refinitiv</v>
    <v>6</v>
    <v>7</v>
    <v>FDO INV IMOB BTG PACTUAL CORP F REIT (BVMF:BRCR11)</v>
    <v>8</v>
    <v>9</v>
    <v>Finance</v>
    <v>5</v>
    <v>56.12</v>
    <v>42.15</v>
    <v>BVMF</v>
    <v>43.22</v>
    <v>43.05</v>
    <v>B3 - Brazil Stock Exchange</v>
    <v>43.05</v>
    <v>45615.787895601563</v>
    <v>9</v>
    <v>BRL</v>
    <v>FDO INV IMOB BTG PACTUAL CORP F REIT</v>
    <v>43.05</v>
    <v>43.16</v>
    <v>BRCR11</v>
    <v>Fundos mais negociados</v>
    <v>FDO INV IMOB BTG PACTUAL CORP F REIT (BVMF:BRCR11)</v>
    <v>0.11</v>
    <v>2.555E-3</v>
    <v>19316</v>
  </rv>
  <rv s="2">
    <v>10</v>
  </rv>
  <rv s="0">
    <v>https://www.bing.com/financeapi/forcetrigger?t=bwwglh&amp;q=BVMF%3aDEVA11&amp;form=skydnc</v>
    <v>Learn more on Bing</v>
  </rv>
  <rv s="3">
    <v>pt-BR</v>
    <v>bwwglh</v>
    <v>268435456</v>
    <v>1</v>
    <v>Da plataforma Refinitiv</v>
    <v>6</v>
    <v>7</v>
    <v>DEVANT RECEBIVEIS IMOBILIARIOS FII CF (BVMF:DEVA11)</v>
    <v>8</v>
    <v>9</v>
    <v>Finance</v>
    <v>5</v>
    <v>45.81</v>
    <v>30</v>
    <v>BVMF</v>
    <v>30.69</v>
    <v>30.34</v>
    <v>B3 - Brazil Stock Exchange</v>
    <v>30.5</v>
    <v>45615.787789351853</v>
    <v>12</v>
    <v>BRL</v>
    <v>DEVANT RECEBIVEIS IMOBILIARIOS FII CF</v>
    <v>30.5</v>
    <v>30.45</v>
    <v>DEVA11</v>
    <v>Fundos mais negociados</v>
    <v>DEVANT RECEBIVEIS IMOBILIARIOS FII CF (BVMF:DEVA11)</v>
    <v>-0.05</v>
    <v>-1.6389999999999998E-3</v>
    <v>13148</v>
  </rv>
  <rv s="2">
    <v>13</v>
  </rv>
  <rv s="0">
    <v>https://www.bing.com/financeapi/forcetrigger?t=aplygh&amp;q=BVMF%3aBBAS3&amp;form=skydnc</v>
    <v>Learn more on Bing</v>
  </rv>
  <rv s="1">
    <v>pt-BR</v>
    <v>aplygh</v>
    <v>268435456</v>
    <v>1</v>
    <v>Da plataforma Refinitiv</v>
    <v>0</v>
    <v>1</v>
    <v>Banco do Brasil S.A. (BVMF:BBAS3)</v>
    <v>3</v>
    <v>4</v>
    <v>Finance</v>
    <v>5</v>
    <v>29.1</v>
    <v>22.98</v>
    <v>BVMF</v>
    <v>5730834000</v>
    <v>25.95</v>
    <v>1808</v>
    <v>25.64</v>
    <v>1.0392999999999999</v>
    <v>B3 - Brazil Stock Exchange</v>
    <v>147339800000</v>
    <v>O BANCO DO BRASIL S.A. é uma empresa brasileira dedicada sobretudo ao setor financeiro. As atividades da Empresa estão divididas em cinco segmentos: bancário, investimentos, gestão de ativos, segurança e tipos de pagamento. O Banco também participa de outras atividades econômicas, como leasing e suporte operacional. O Banco tem clientes individuais e corporativos. Oferece uma variedade de produtos e serviços financeiros, como depósitos, contas poupança, gestão de ativos, empréstimos, e seguros de saúde, de vida e patrimonial. Além disso, oferece transações financeiras em várias formas, incluindo operações cambiais e atividades complementares, com ênfase na previdência privada, capitalização, valores mobiliários, corretagem, administração de cartões de crédito e de débito, consórcios, fundos de investimento e portfólios de gestão. O BANCO DO BRASIL S.A. atua nos mercados nacional e internacional.</v>
    <v>BVMF</v>
    <v>25.71</v>
    <v>85953</v>
    <v>45615.787916666668</v>
    <v>15</v>
    <v>22347200</v>
    <v>BRL</v>
    <v>Banco do Brasil S.A.</v>
    <v>Banco do Brasil S.A.</v>
    <v>25.77</v>
    <v>25.81</v>
    <v>Saun Quadra 05, Lote B Ed. BB, Asa Norte, BRASILIA, DISTRITO FEDERAL, 70.040-912 BR</v>
    <v>Banking Services</v>
    <v>BBAS3</v>
    <v>Ações</v>
    <v>Banco do Brasil S.A. (BVMF:BBAS3)</v>
    <v>0.1</v>
    <v>3.8900000000000002E-3</v>
    <v>21392600</v>
  </rv>
  <rv s="2">
    <v>16</v>
  </rv>
  <rv s="0">
    <v>https://www.bing.com/financeapi/forcetrigger?t=bgmhrw&amp;q=BVMF%3aCNES11&amp;form=skydnc</v>
    <v>Learn more on Bing</v>
  </rv>
  <rv s="3">
    <v>pt-BR</v>
    <v>bgmhrw</v>
    <v>268435456</v>
    <v>1</v>
    <v>Da plataforma Refinitiv</v>
    <v>6</v>
    <v>7</v>
    <v>FDO INV IMOB FII CENESP CF (BVMF:CNES11)</v>
    <v>8</v>
    <v>9</v>
    <v>Finance</v>
    <v>5</v>
    <v>3.73</v>
    <v>1.1499999999999999</v>
    <v>BVMF</v>
    <v>1.17</v>
    <v>1.1599999999999999</v>
    <v>B3 - Brazil Stock Exchange</v>
    <v>1.17</v>
    <v>45615.787789351853</v>
    <v>18</v>
    <v>BRL</v>
    <v>FDO INV IMOB FII CENESP CF</v>
    <v>1.17</v>
    <v>1.1599999999999999</v>
    <v>CNES11</v>
    <v>Fundos mais negociados</v>
    <v>FDO INV IMOB FII CENESP CF (BVMF:CNES11)</v>
    <v>-0.01</v>
    <v>-8.5470000000000008E-3</v>
    <v>65165</v>
  </rv>
  <rv s="2">
    <v>19</v>
  </rv>
  <rv s="0">
    <v>https://www.bing.com/financeapi/forcetrigger?t=apn4gh&amp;q=BVMF%3aPETR4&amp;form=skydnc</v>
    <v>Learn more on Bing</v>
  </rv>
  <rv s="1">
    <v>pt-BR</v>
    <v>apn4gh</v>
    <v>268435456</v>
    <v>1</v>
    <v>Da plataforma Refinitiv</v>
    <v>0</v>
    <v>1</v>
    <v>Petróleo Brasileiro S.A. (Petrobras) (BVMF:PETR4)</v>
    <v>3</v>
    <v>4</v>
    <v>Finance</v>
    <v>5</v>
    <v>39.86</v>
    <v>29.2</v>
    <v>BVMF</v>
    <v>13044500000</v>
    <v>38.299999999999997</v>
    <v>1953</v>
    <v>37.78</v>
    <v>1.2826</v>
    <v>B3 - Brazil Stock Exchange</v>
    <v>523232000000</v>
    <v>A PETRÓLEO BRASILEIRO S.A. - PETROBRAS é uma empresa especializada na indústria de petróleo, gás natural e energia. A Empresa está envolvida na prospecção, perfuração, refinação, transformação, comercialização e transporte de petróleo bruto proveniente da produção de campos petrolíferos onshore e offshore e de xisto ou outras rochas. Seus segmentos incluem Exploração e Produção, que abrange as atividades de exploração, desenvolvimento e produção de petróleo bruto, gás natural líquido e gás natural; Refinação, Transporte e Marketing, que abrange as atividades de refinação, logística, transporte e comercialização de petróleo, exportação de etanol e extração e processamento de xistos; Gás e Energia, que se dedica ao transporte e comercialização de gás natural produzido no Brasil e gás natural importado; Biocombustíveis, que abrange as atividades de produção de biodiesel e seus co-produtos, e atividades relacionadas ao etanol; Distribuição, que inclui as atividades de sua subsidiária Petrobras Distribuidora S.A. e Corporativa.</v>
    <v>BVMF</v>
    <v>38.200000000000003</v>
    <v>46730</v>
    <v>45615.787893518522</v>
    <v>21</v>
    <v>32432250</v>
    <v>BRL</v>
    <v>Petróleo Brasileiro S.A. (Petrobras)</v>
    <v>Petróleo Brasileiro S.A. (Petrobras)</v>
    <v>38.1</v>
    <v>37.83</v>
    <v>Av. Republica do Chile, n 65, 24 andar, Centro, RIO DE JANEIRO, RIO DE JANEIRO, 20.031-912 BR</v>
    <v>Oil &amp; Gas</v>
    <v>PETR4</v>
    <v>Ações</v>
    <v>Petróleo Brasileiro S.A. (Petrobras) (BVMF:PETR4)</v>
    <v>-0.37</v>
    <v>-9.6860000000000002E-3</v>
    <v>17921400</v>
  </rv>
  <rv s="2">
    <v>22</v>
  </rv>
  <rv s="0">
    <v>https://www.bing.com/financeapi/forcetrigger?t=apnjsm&amp;q=BVMF%3aVALE3&amp;form=skydnc</v>
    <v>Learn more on Bing</v>
  </rv>
  <rv s="1">
    <v>pt-BR</v>
    <v>apnjsm</v>
    <v>268435456</v>
    <v>1</v>
    <v>Da plataforma Refinitiv</v>
    <v>0</v>
    <v>1</v>
    <v>VALE S.A. (BVMF:VALE3)</v>
    <v>3</v>
    <v>4</v>
    <v>Finance</v>
    <v>5</v>
    <v>72.209999999999994</v>
    <v>55.48</v>
    <v>BVMF</v>
    <v>4539008000</v>
    <v>57.98</v>
    <v>1943</v>
    <v>57.46</v>
    <v>0.628</v>
    <v>B3 - Brazil Stock Exchange</v>
    <v>262036931840</v>
    <v>A Vale S.A. é uma produtora global de minério de ferro e pelotas de minério de ferro, principais matérias-primas para a produção de aço e produtora de níquel. A Companhia também produz cobre, carvão metalúrgico e térmico, potássio, fosfatos e outros nutrientes fertilizantes, minério de manganês, ferroligas, metais do grupo da platina, ouro, prata e cobalto. Os segmentos da Companhia incluem minerais Ferrosos, que engloba a produção e extração de minerais ferrosos, como finos de minério de ferro, pelotas de minério de ferro e seus serviços de logística, manganês e ferroligas e outros produtos e serviços ferrosos; Carvão, que compreende a extração de carvão metalúrgico e térmico e seus serviços logísticos; Metais básicos, que incluem a produção e extração de minerais não-ferrosos, e são apresentados como níquel e seus derivados, e cobre (concentrado de cobre), e Outros, que engloba as vendas e despesas de outros produtos, serviços e investimentos em joint ventures e associar em outros negócios.</v>
    <v>BVMF</v>
    <v>57.55</v>
    <v>66807</v>
    <v>45615.787902753909</v>
    <v>24</v>
    <v>23887800</v>
    <v>BRL</v>
    <v>VALE S.A.</v>
    <v>VALE S.A.</v>
    <v>57.8</v>
    <v>57.73</v>
    <v>Torre Oscar Niemeyer, Praia de Botafogo n 186 salas 1901 e outras, Botafogo, RIO DE JANEIRO, RIO DE JANEIRO, 34.855-000 BR</v>
    <v>Metals &amp; Mining</v>
    <v>VALE3</v>
    <v>Ações</v>
    <v>VALE S.A. (BVMF:VALE3)</v>
    <v>0.18</v>
    <v>3.1280000000000001E-3</v>
    <v>8463100</v>
  </rv>
  <rv s="2">
    <v>25</v>
  </rv>
  <rv s="0">
    <v>https://www.bing.com/financeapi/forcetrigger?t=apltyc&amp;q=BVMF%3aABEV3&amp;form=skydnc</v>
    <v>Learn more on Bing</v>
  </rv>
  <rv s="1">
    <v>pt-BR</v>
    <v>apltyc</v>
    <v>268435456</v>
    <v>1</v>
    <v>Da plataforma Refinitiv</v>
    <v>0</v>
    <v>1</v>
    <v>Ambev S.A. (BVMF:ABEV3)</v>
    <v>3</v>
    <v>4</v>
    <v>Finance</v>
    <v>5</v>
    <v>14.13</v>
    <v>10.98</v>
    <v>BVMF</v>
    <v>15757660000</v>
    <v>12.6</v>
    <v>2005</v>
    <v>12.42</v>
    <v>0.69589999999999996</v>
    <v>B3 - Brazil Stock Exchange</v>
    <v>196970750000</v>
    <v>A Ambev SA, anteriormente Inbev Participações Societarias SA, é uma empresa brasileira com sede no setor cervejeiro. A Companhia produz, distribui e vende cerveja, refrigerantes com gás (CSDs) e outras bebidas não alcoólicas e não carbonatadas (NANC) nas Américas. As atividades da Companhia estão divididas em três segmentos: América Latina do Norte, incluindo venda de cerveja, refrigerantes e bebidas NANC no Brasil, além de operações na República Dominicana, São Vicente, Antígua, Dominica, Cuba, Guatemala, El Salvador, Honduras, Nicarágua, Barbados e Panamá; América Latina Sul, distribuindo produtos na Argentina, Bolívia, Paraguai, Uruguai, Chile; e Canadá, representado pelas operações da Labatt, que inclui vendas no Canadá e algumas exportações para o mercado dos EUA. A Companhia comercializa produtos com várias marcas, como Adriatica, Brahma, Leffe, Budweiser, Corona, PepsiCo e Lipton. É uma subsidiária da Interbrew International BV.</v>
    <v>BVMF</v>
    <v>12.42</v>
    <v>43000</v>
    <v>45615.787902673437</v>
    <v>27</v>
    <v>28899540</v>
    <v>BRL</v>
    <v>Ambev S.A.</v>
    <v>Ambev S.A.</v>
    <v>12.45</v>
    <v>12.5</v>
    <v>Rua Dr. Renato Paes de Barros, 1.017, 4 andar, Itaim Bibi, SAO PAULO, SAO PAULO, 04.530-001 BR</v>
    <v>Beverages</v>
    <v>ABEV3</v>
    <v>Ações</v>
    <v>Ambev S.A. (BVMF:ABEV3)</v>
    <v>0.08</v>
    <v>6.4409999999999997E-3</v>
    <v>12845800</v>
  </rv>
  <rv s="2">
    <v>28</v>
  </rv>
  <rv s="0">
    <v>https://www.bing.com/financeapi/forcetrigger?t=c2yvmw&amp;q=BVMF%3aRAIZ4&amp;form=skydnc</v>
    <v>Learn more on Bing</v>
  </rv>
  <rv s="1">
    <v>pt-BR</v>
    <v>c2yvmw</v>
    <v>268435456</v>
    <v>1</v>
    <v>Da plataforma Refinitiv</v>
    <v>0</v>
    <v>1</v>
    <v>Raízen S.A. (BVMF:RAIZ4)</v>
    <v>3</v>
    <v>4</v>
    <v>Finance</v>
    <v>5</v>
    <v>4.1900000000000004</v>
    <v>2.41</v>
    <v>BVMF</v>
    <v>1358937000</v>
    <v>2.5</v>
    <v>1961</v>
    <v>2.46</v>
    <v>1.411</v>
    <v>B3 - Brazil Stock Exchange</v>
    <v>3342985020</v>
    <v>A Raízen SA, anteriormente conhecida como Raízen Combustiveis SA, é uma empresa com sede no Brasil que atua no setor de energia. As atividades da Empresa são divididas em quatro linhas de negócios: Renováveis, Marketing e Serviços, Proximidade e Açúcar. A divisão Renewables atua na produção de etanol, etanol de segunda geração, bioeletricidade, biogás e bioprodutos. A divisão de Marketing e Serviços está focada na distribuição e venda de combustíveis para postos de gasolina da Shell, aeroportos e outros clientes Business-to-Business (B2B). A divisão Proximity está envolvida na operação de lojas de conveniência sob as marcas OXXO e Shell Select. A divisão Açúcar consiste na produção de açúcar, como cristalino, líquido, refinado, orgânico e Polarização Muito Alta (VHP), entre outros. A empresa atua no Brasil e na Argentina.</v>
    <v>BVMF</v>
    <v>2.5</v>
    <v>45417</v>
    <v>45615.787881944445</v>
    <v>30</v>
    <v>19253090</v>
    <v>BRL</v>
    <v>Raízen S.A.</v>
    <v>Raízen S.A.</v>
    <v>2.5</v>
    <v>2.46</v>
    <v>Avenida Almirante Barroso, n. 81, Sala 32B109 36 andar, Centro, RIO DE JANEIRO, RIO DE JANEIRO, 20.031-004 BR</v>
    <v>Oil &amp; Gas</v>
    <v>RAIZ4</v>
    <v>Ações</v>
    <v>Raízen S.A. (BVMF:RAIZ4)</v>
    <v>-0.04</v>
    <v>-1.6E-2</v>
    <v>6776000</v>
  </rv>
  <rv s="2">
    <v>31</v>
  </rv>
  <rv s="0">
    <v>https://www.bing.com/financeapi/forcetrigger?t=apmubh&amp;q=BVMF%3aKNIP11&amp;form=skydnc</v>
    <v>Learn more on Bing</v>
  </rv>
  <rv s="3">
    <v>pt-BR</v>
    <v>apmubh</v>
    <v>268435456</v>
    <v>1</v>
    <v>Da plataforma Refinitiv</v>
    <v>6</v>
    <v>7</v>
    <v>KINEA INDICES DE PRECOS FDO INV IMOB CF (BVMF:KNIP11)</v>
    <v>8</v>
    <v>9</v>
    <v>Finance</v>
    <v>5</v>
    <v>94.7</v>
    <v>81.709999999999994</v>
    <v>BVMF</v>
    <v>90.8</v>
    <v>90.41</v>
    <v>B3 - Brazil Stock Exchange</v>
    <v>90.93</v>
    <v>45615.787928240738</v>
    <v>33</v>
    <v>BRL</v>
    <v>KINEA INDICES DE PRECOS FDO INV IMOB CF</v>
    <v>90.63</v>
    <v>90.78</v>
    <v>KNIP11</v>
    <v>Fundos mais negociados</v>
    <v>KINEA INDICES DE PRECOS FDO INV IMOB CF (BVMF:KNIP11)</v>
    <v>-0.15</v>
    <v>-1.65E-3</v>
    <v>56587</v>
  </rv>
  <rv s="2">
    <v>34</v>
  </rv>
  <rv s="0">
    <v>https://www.bing.com/financeapi/forcetrigger?t=apmuh7&amp;q=BVMF%3aKNRI11&amp;form=skydnc</v>
    <v>Learn more on Bing</v>
  </rv>
  <rv s="3">
    <v>pt-BR</v>
    <v>apmuh7</v>
    <v>268435456</v>
    <v>1</v>
    <v>Da plataforma Refinitiv</v>
    <v>6</v>
    <v>7</v>
    <v>FDO INV IMOB KINEA RENDA IMOBILIARIA CF (BVMF:KNRI11)</v>
    <v>8</v>
    <v>9</v>
    <v>Finance</v>
    <v>5</v>
    <v>158.47999999999999</v>
    <v>134.29</v>
    <v>BVMF</v>
    <v>135.59</v>
    <v>135</v>
    <v>B3 - Brazil Stock Exchange</v>
    <v>134.94</v>
    <v>45615.787939814814</v>
    <v>36</v>
    <v>BRL</v>
    <v>FDO INV IMOB KINEA RENDA IMOBILIARIA CF</v>
    <v>135</v>
    <v>135.06</v>
    <v>KNRI11</v>
    <v>Fundos mais negociados</v>
    <v>FDO INV IMOB KINEA RENDA IMOBILIARIA CF (BVMF:KNRI11)</v>
    <v>0.12</v>
    <v>8.8929999999999999E-4</v>
    <v>29903</v>
  </rv>
  <rv s="2">
    <v>37</v>
  </rv>
  <rv s="0">
    <v>https://www.bing.com/financeapi/forcetrigger?t=apmqh7&amp;q=BVMF%3aHGLG11&amp;form=skydnc</v>
    <v>Learn more on Bing</v>
  </rv>
  <rv s="3">
    <v>pt-BR</v>
    <v>apmqh7</v>
    <v>268435456</v>
    <v>1</v>
    <v>Da plataforma Refinitiv</v>
    <v>6</v>
    <v>7</v>
    <v>FDO INV IMOB CSHG LOGISTICA CF (BVMF:HGLG11)</v>
    <v>8</v>
    <v>9</v>
    <v>Finance</v>
    <v>5</v>
    <v>161.66</v>
    <v>143.87</v>
    <v>BVMF</v>
    <v>154.97</v>
    <v>153.72</v>
    <v>B3 - Brazil Stock Exchange</v>
    <v>153.22</v>
    <v>45615.787938807814</v>
    <v>39</v>
    <v>BRL</v>
    <v>FDO INV IMOB CSHG LOGISTICA CF</v>
    <v>154.74</v>
    <v>153.82</v>
    <v>HGLG11</v>
    <v>Fundos mais negociados</v>
    <v>FDO INV IMOB CSHG LOGISTICA CF (BVMF:HGLG11)</v>
    <v>0.6</v>
    <v>3.9160000000000002E-3</v>
    <v>37201</v>
  </rv>
  <rv s="2">
    <v>40</v>
  </rv>
  <rv s="0">
    <v>https://www.bing.com/financeapi/forcetrigger?t=bgly3m&amp;q=BVMF%3aXPML11&amp;form=skydnc</v>
    <v>Learn more on Bing</v>
  </rv>
  <rv s="3">
    <v>pt-BR</v>
    <v>bgly3m</v>
    <v>268435456</v>
    <v>1</v>
    <v>Da plataforma Refinitiv</v>
    <v>6</v>
    <v>7</v>
    <v>XP MALLS FDO INV IMOB FII ETF (BVMF:XPML11)</v>
    <v>8</v>
    <v>9</v>
    <v>Finance</v>
    <v>5</v>
    <v>111.78</v>
    <v>99.41</v>
    <v>BVMF</v>
    <v>103.7</v>
    <v>103.3</v>
    <v>B3 - Brazil Stock Exchange</v>
    <v>103.29</v>
    <v>45615.787918240625</v>
    <v>42</v>
    <v>BRL</v>
    <v>XP MALLS FDO INV IMOB FII ETF</v>
    <v>103.49</v>
    <v>103.55</v>
    <v>XPML11</v>
    <v>Fundos mais negociados</v>
    <v>XP MALLS FDO INV IMOB FII ETF (BVMF:XPML11)</v>
    <v>0.26</v>
    <v>2.5169999999999997E-3</v>
    <v>69992</v>
  </rv>
  <rv s="2">
    <v>43</v>
  </rv>
  <rv s="0">
    <v>https://www.bing.com/financeapi/forcetrigger?t=bx3d27&amp;q=BVMF%3aGOLD11&amp;form=skydnc</v>
    <v>Learn more on Bing</v>
  </rv>
  <rv s="4">
    <v>pt-BR</v>
    <v>bx3d27</v>
    <v>268435456</v>
    <v>1</v>
    <v>Da plataforma Refinitiv</v>
    <v>10</v>
    <v>11</v>
    <v>Trend ETF LBMA Ouro FIInd IE (BVMF:GOLD11)</v>
    <v>8</v>
    <v>12</v>
    <v>Finance</v>
    <v>5</v>
    <v>16.91</v>
    <v>10.11</v>
    <v>BVMF</v>
    <v>16.059999999999999</v>
    <v>15.87</v>
    <v>0.98429999999999995</v>
    <v>B3 - Brazil Stock Exchange</v>
    <v>852866523.01999998</v>
    <v>15.76</v>
    <v>45615.787916666668</v>
    <v>45</v>
    <v>BRL</v>
    <v>Trend ETF LBMA Ouro FIInd IE</v>
    <v>15.92</v>
    <v>15.95</v>
    <v>GOLD11</v>
    <v>Fundos mais negociados</v>
    <v>Trend ETF LBMA Ouro FIInd IE (BVMF:GOLD11)</v>
    <v>0.19</v>
    <v>1.2056000000000001E-2</v>
    <v>437807</v>
  </rv>
  <rv s="2">
    <v>46</v>
  </rv>
  <rv s="0">
    <v>https://www.bing.com/financeapi/forcetrigger?t=bqq2sm&amp;q=BVMF%3aBOVB11&amp;form=skydnc</v>
    <v>Learn more on Bing</v>
  </rv>
  <rv s="4">
    <v>pt-BR</v>
    <v>bqq2sm</v>
    <v>268435456</v>
    <v>1</v>
    <v>Da plataforma Refinitiv</v>
    <v>10</v>
    <v>11</v>
    <v>ETF Bradesco Ibovespa (BVMF:BOVB11)</v>
    <v>8</v>
    <v>12</v>
    <v>Finance</v>
    <v>5</v>
    <v>139.37</v>
    <v>118.8</v>
    <v>BVMF</v>
    <v>130.53</v>
    <v>129.38</v>
    <v>1.0012000000000001</v>
    <v>B3 - Brazil Stock Exchange</v>
    <v>1495097041.0699999</v>
    <v>129.69999999999999</v>
    <v>45615.787893518522</v>
    <v>48</v>
    <v>BRL</v>
    <v>ETF Bradesco Ibovespa</v>
    <v>129.38</v>
    <v>130.04</v>
    <v>BOVB11</v>
    <v>Fundos mais negociados</v>
    <v>ETF Bradesco Ibovespa (BVMF:BOVB11)</v>
    <v>0.34</v>
    <v>2.6210000000000001E-3</v>
    <v>21</v>
  </rv>
  <rv s="2">
    <v>49</v>
  </rv>
  <rv s="0">
    <v>https://www.bing.com/financeapi/forcetrigger?t=bglxww&amp;q=BVMF%3aXBOV11&amp;form=skydnc</v>
    <v>Learn more on Bing</v>
  </rv>
  <rv s="4">
    <v>pt-BR</v>
    <v>bglxww</v>
    <v>268435456</v>
    <v>1</v>
    <v>Da plataforma Refinitiv</v>
    <v>10</v>
    <v>11</v>
    <v>Caixa ETF Ibovespa FI (BVMF:XBOV11)</v>
    <v>8</v>
    <v>12</v>
    <v>Finance</v>
    <v>5</v>
    <v>135.33000000000001</v>
    <v>116.13</v>
    <v>BVMF</v>
    <v>125.66</v>
    <v>125.66</v>
    <v>0.98380000000000001</v>
    <v>B3 - Brazil Stock Exchange</v>
    <v>76298870.719999999</v>
    <v>125.28</v>
    <v>45615.787499999999</v>
    <v>51</v>
    <v>BRL</v>
    <v>Caixa ETF Ibovespa FI</v>
    <v>125.66</v>
    <v>125.66</v>
    <v>XBOV11</v>
    <v>Fundos mais negociados</v>
    <v>Caixa ETF Ibovespa FI (BVMF:XBOV11)</v>
    <v>0.38</v>
    <v>3.0330000000000001E-3</v>
    <v>51</v>
  </rv>
  <rv s="2">
    <v>52</v>
  </rv>
  <rv s="1">
    <v>pt-BR</v>
    <v>apnjsm</v>
    <v>268435456</v>
    <v>1</v>
    <v>Da plataforma Refinitiv</v>
    <v>0</v>
    <v>1</v>
    <v>VALE S.A. (BVMF:VALE3)</v>
    <v>3</v>
    <v>4</v>
    <v>Finance</v>
    <v>5</v>
    <v>72.209999999999994</v>
    <v>55.48</v>
    <v>BVMF</v>
    <v>4539008000</v>
    <v>57.72</v>
    <v>1943</v>
    <v>57.11</v>
    <v>0.62839999999999996</v>
    <v>B3 - Brazil Stock Exchange</v>
    <v>259449697279</v>
    <v>A Vale S.A. é uma produtora global de minério de ferro e pelotas de minério de ferro, principais matérias-primas para a produção de aço e produtora de níquel. A Companhia também produz cobre, carvão metalúrgico e térmico, potássio, fosfatos e outros nutrientes fertilizantes, minério de manganês, ferroligas, metais do grupo da platina, ouro, prata e cobalto. Os segmentos da Companhia incluem minerais Ferrosos, que engloba a produção e extração de minerais ferrosos, como finos de minério de ferro, pelotas de minério de ferro e seus serviços de logística, manganês e ferroligas e outros produtos e serviços ferrosos; Carvão, que compreende a extração de carvão metalúrgico e térmico e seus serviços logísticos; Metais básicos, que incluem a produção e extração de minerais não-ferrosos, e são apresentados como níquel e seus derivados, e cobre (concentrado de cobre), e Outros, que engloba as vendas e despesas de outros produtos, serviços e investimentos em joint ventures e associar em outros negócios.</v>
    <v>BVMF</v>
    <v>57.32</v>
    <v>66807</v>
    <v>45609.947916666664</v>
    <v>24</v>
    <v>23029160</v>
    <v>BRL</v>
    <v>VALE S.A.</v>
    <v>VALE S.A.</v>
    <v>57.32</v>
    <v>57.16</v>
    <v>Torre Oscar Niemeyer, Praia de Botafogo n 186 salas 1901 e outras, Botafogo, RIO DE JANEIRO, RIO DE JANEIRO, 34.855-000 BR</v>
    <v>Metals &amp; Mining</v>
    <v>VALE3</v>
    <v>Ações</v>
    <v>VALE S.A. (BVMF:VALE3)</v>
    <v>-0.16</v>
    <v>-2.7910000000000001E-3</v>
    <v>20354900</v>
  </rv>
  <rv s="2">
    <v>54</v>
  </rv>
  <rv s="3">
    <v>pt-BR</v>
    <v>apn14c</v>
    <v>268435456</v>
    <v>1</v>
    <v>Da plataforma Refinitiv</v>
    <v>6</v>
    <v>7</v>
    <v>MAXI RENDA FII ETF (BVMF:MXRF11)</v>
    <v>8</v>
    <v>9</v>
    <v>Finance</v>
    <v>5</v>
    <v>10.02</v>
    <v>9.0299999999999994</v>
    <v>BVMF</v>
    <v>9.24</v>
    <v>9.0299999999999994</v>
    <v>B3 - Brazil Stock Exchange</v>
    <v>9.18</v>
    <v>45609.947916666664</v>
    <v>3</v>
    <v>BRL</v>
    <v>MAXI RENDA FII ETF</v>
    <v>9.1999999999999993</v>
    <v>9.08</v>
    <v>MXRF11</v>
    <v>Fundos mais negociados</v>
    <v>MAXI RENDA FII ETF (BVMF:MXRF11)</v>
    <v>-0.1</v>
    <v>-1.0893E-2</v>
    <v>2251788</v>
  </rv>
  <rv s="2">
    <v>56</v>
  </rv>
  <rv s="3">
    <v>pt-BR</v>
    <v>bgly3m</v>
    <v>268435456</v>
    <v>1</v>
    <v>Da plataforma Refinitiv</v>
    <v>6</v>
    <v>7</v>
    <v>XP MALLS FDO INV IMOB FII ETF (BVMF:XPML11)</v>
    <v>8</v>
    <v>9</v>
    <v>Finance</v>
    <v>5</v>
    <v>112.78</v>
    <v>100.3</v>
    <v>BVMF</v>
    <v>103.63</v>
    <v>102.99</v>
    <v>B3 - Brazil Stock Exchange</v>
    <v>102.99</v>
    <v>45609.947916666664</v>
    <v>42</v>
    <v>BRL</v>
    <v>XP MALLS FDO INV IMOB FII ETF</v>
    <v>103.1</v>
    <v>103.27</v>
    <v>XPML11</v>
    <v>Fundos mais negociados</v>
    <v>XP MALLS FDO INV IMOB FII ETF (BVMF:XPML11)</v>
    <v>0.28000000000000003</v>
    <v>2.7189999999999996E-3</v>
    <v>108577</v>
  </rv>
  <rv s="2">
    <v>58</v>
  </rv>
  <rv s="3">
    <v>pt-BR</v>
    <v>apm3rw</v>
    <v>268435456</v>
    <v>1</v>
    <v>Da plataforma Refinitiv</v>
    <v>6</v>
    <v>7</v>
    <v>FDO INV IMOB BTG PACTUAL CORP F REIT (BVMF:BRCR11)</v>
    <v>8</v>
    <v>9</v>
    <v>Finance</v>
    <v>5</v>
    <v>56.12</v>
    <v>42.33</v>
    <v>BVMF</v>
    <v>43.07</v>
    <v>42.5</v>
    <v>B3 - Brazil Stock Exchange</v>
    <v>42.8</v>
    <v>45609.947916666664</v>
    <v>9</v>
    <v>BRL</v>
    <v>FDO INV IMOB BTG PACTUAL CORP F REIT</v>
    <v>43.06</v>
    <v>42.5</v>
    <v>BRCR11</v>
    <v>Fundos mais negociados</v>
    <v>FDO INV IMOB BTG PACTUAL CORP F REIT (BVMF:BRCR11)</v>
    <v>-0.3</v>
    <v>-7.0089999999999996E-3</v>
    <v>29862</v>
  </rv>
  <rv s="2">
    <v>60</v>
  </rv>
  <rv s="4">
    <v>pt-BR</v>
    <v>bglxww</v>
    <v>268435456</v>
    <v>1</v>
    <v>Da plataforma Refinitiv</v>
    <v>10</v>
    <v>11</v>
    <v>Caixa ETF Ibovespa FI (BVMF:XBOV11)</v>
    <v>8</v>
    <v>12</v>
    <v>Finance</v>
    <v>5</v>
    <v>135.33000000000001</v>
    <v>116.13</v>
    <v>BVMF</v>
    <v>125.21</v>
    <v>124.63</v>
    <v>0.98380000000000001</v>
    <v>B3 - Brazil Stock Exchange</v>
    <v>76298870.719999999</v>
    <v>125.21</v>
    <v>45609.947916666664</v>
    <v>51</v>
    <v>BRL</v>
    <v>Caixa ETF Ibovespa FI</v>
    <v>125.15</v>
    <v>125.21</v>
    <v>XBOV11</v>
    <v>Fundos mais negociados</v>
    <v>Caixa ETF Ibovespa FI (BVMF:XBOV11)</v>
    <v>0</v>
    <v>0</v>
    <v>38</v>
  </rv>
  <rv s="2">
    <v>62</v>
  </rv>
  <rv s="1">
    <v>pt-BR</v>
    <v>apnjh7</v>
    <v>268435456</v>
    <v>1</v>
    <v>Da plataforma Refinitiv</v>
    <v>0</v>
    <v>1</v>
    <v>Usinas Siderúrgicas de Minas Gerais S/A - USIMINAS (BVMF:USIM5)</v>
    <v>3</v>
    <v>4</v>
    <v>Finance</v>
    <v>5</v>
    <v>10.89</v>
    <v>5.42</v>
    <v>BVMF</v>
    <v>1253079000</v>
    <v>6.12</v>
    <v>1954</v>
    <v>5.97</v>
    <v>1.1413</v>
    <v>B3 - Brazil Stock Exchange</v>
    <v>7469365000</v>
    <v>As Usinas Siderúrgicas de Minas Gerais SA USIMINAS e suas subsidiárias, sociedades controladas em conjunto e coligadas têm por objeto a siderurgia e outras atividades relacionadas. As atividades da Companhia incluem extração de minério de ferro, transformação do aço, produção de bens de capital e logística. Atua em quatro segmentos: Siderurgia, Mineração e Logística, Transformação do Aço e Bens de Capital. Produz e comercializa diversos produtos e matérias-primas, como aços planos, minério de ferro, peças estampadas de aço para a indústria automotiva e produtos para a construção civil e a indústria de bens de capital. Presta serviços de transferência de tecnologia na atividade siderúrgica, na gestão de projetos e prestação de serviços na área da construção civil e indústria de bens de capital, transporte rodoviário de aços planos, galvanização a quente de aços, texturização e cilindros de cromo. Possui mais de duas usinas siderúrgicas no Brasil localizadas nas cidades de Ipatinga, Estado de Minas Gerais, e de Cubatão, Estado de São Paulo.</v>
    <v>BVMF</v>
    <v>6</v>
    <v>51182</v>
    <v>45609.947916666664</v>
    <v>0</v>
    <v>13408050</v>
    <v>BRL</v>
    <v>Usinas Siderúrgicas de Minas Gerais S/A - USIMINAS</v>
    <v>Usinas Siderúrgicas de Minas Gerais S/A - USIMINAS</v>
    <v>6</v>
    <v>6.09</v>
    <v>Avenida do Contorno, 6.594, Savassi, BELO HORIZONTE, MINAS GERAIS, 30.110-044 BR</v>
    <v>Metals &amp; Mining</v>
    <v>USIM5</v>
    <v>Ações</v>
    <v>Usinas Siderúrgicas de Minas Gerais S/A - USIMINAS (BVMF:USIM5)</v>
    <v>0.09</v>
    <v>1.4999999999999999E-2</v>
    <v>17476200</v>
  </rv>
  <rv s="2">
    <v>64</v>
  </rv>
  <rv s="3">
    <v>pt-BR</v>
    <v>apmubh</v>
    <v>268435456</v>
    <v>1</v>
    <v>Da plataforma Refinitiv</v>
    <v>6</v>
    <v>7</v>
    <v>KINEA INDICES DE PRECOS FDO INV IMOB CF (BVMF:KNIP11)</v>
    <v>8</v>
    <v>9</v>
    <v>Finance</v>
    <v>5</v>
    <v>94.7</v>
    <v>81.709999999999994</v>
    <v>BVMF</v>
    <v>91.3</v>
    <v>90.41</v>
    <v>B3 - Brazil Stock Exchange</v>
    <v>90.84</v>
    <v>45609.947916666664</v>
    <v>33</v>
    <v>BRL</v>
    <v>KINEA INDICES DE PRECOS FDO INV IMOB CF</v>
    <v>90.8</v>
    <v>90.67</v>
    <v>KNIP11</v>
    <v>Fundos mais negociados</v>
    <v>KINEA INDICES DE PRECOS FDO INV IMOB CF (BVMF:KNIP11)</v>
    <v>-0.17</v>
    <v>-1.8709999999999998E-3</v>
    <v>72302</v>
  </rv>
  <rv s="2">
    <v>66</v>
  </rv>
  <rv s="5">
    <v>pt-BR</v>
    <v>apn4gh</v>
    <v>268435456</v>
    <v>1</v>
    <v>Da plataforma Refinitiv</v>
    <v>14</v>
    <v>15</v>
    <v>Petróleo Brasileiro S.A. (Petrobras) (BVMF:PETR4)</v>
    <v>3</v>
    <v>16</v>
    <v>Finance</v>
    <v>17</v>
    <v>39.86</v>
    <v>29.2</v>
    <v>BVMF</v>
    <v>13044500000</v>
    <v>37.07</v>
    <v>1953</v>
    <v>36.53</v>
    <v>1.2849999999999999</v>
    <v>B3 - Brazil Stock Exchange</v>
    <v>501009200000</v>
    <v>A PETRÓLEO BRASILEIRO S.A. - PETROBRAS é uma empresa especializada na indústria de petróleo, gás natural e energia. A Empresa está envolvida na prospecção, perfuração, refinação, transformação, comercialização e transporte de petróleo bruto proveniente da produção de campos petrolíferos onshore e offshore e de xisto ou outras rochas. Seus segmentos incluem Exploração e Produção, que abrange as atividades de exploração, desenvolvimento e produção de petróleo bruto, gás natural líquido e gás natural; Refinação, Transporte e Marketing, que abrange as atividades de refinação, logística, transporte e comercialização de petróleo, exportação de etanol e extração e processamento de xistos; Gás e Energia, que se dedica ao transporte e comercialização de gás natural produzido no Brasil e gás natural importado; Biocombustíveis, que abrange as atividades de produção de biodiesel e seus co-produtos, e atividades relacionadas ao etanol; Distribuição, que inclui as atividades de sua subsidiária Petrobras Distribuidora S.A. e Corporativa.</v>
    <v>BVMF</v>
    <v>36.93</v>
    <v>46730</v>
    <v>45609.947916666664</v>
    <v>21</v>
    <v>30301470</v>
    <v>BRL</v>
    <v>Petróleo Brasileiro S.A. (Petrobras)</v>
    <v>Petróleo Brasileiro S.A. (Petrobras)</v>
    <v>36.950000000000003</v>
    <v>36.880000000000003</v>
    <v>36.799999999999997</v>
    <v>Av. Republica do Chile, n 65, 24 andar, Centro, RIO DE JANEIRO, RIO DE JANEIRO, 20.031-912 BR</v>
    <v>Oil &amp; Gas</v>
    <v>PETR4</v>
    <v>Ações</v>
    <v>Petróleo Brasileiro S.A. (Petrobras) (BVMF:PETR4)</v>
    <v>-0.05</v>
    <v>-1.354E-3</v>
    <v>34090000</v>
  </rv>
  <rv s="2">
    <v>68</v>
  </rv>
  <rv s="1">
    <v>pt-BR</v>
    <v>c2yvmw</v>
    <v>268435456</v>
    <v>1</v>
    <v>Da plataforma Refinitiv</v>
    <v>0</v>
    <v>1</v>
    <v>Raízen S.A. (BVMF:RAIZ4)</v>
    <v>3</v>
    <v>4</v>
    <v>Finance</v>
    <v>5</v>
    <v>4.1900000000000004</v>
    <v>2.48</v>
    <v>BVMF</v>
    <v>1358937000</v>
    <v>2.64</v>
    <v>1961</v>
    <v>2.48</v>
    <v>1.411</v>
    <v>B3 - Brazil Stock Exchange</v>
    <v>3370163760</v>
    <v>A Raízen SA, anteriormente conhecida como Raízen Combustiveis SA, é uma empresa com sede no Brasil que atua no setor de energia. As atividades da Empresa são divididas em quatro linhas de negócios: Renováveis, Marketing e Serviços, Proximidade e Açúcar. A divisão Renewables atua na produção de etanol, etanol de segunda geração, bioeletricidade, biogás e bioprodutos. A divisão de Marketing e Serviços está focada na distribuição e venda de combustíveis para postos de gasolina da Shell, aeroportos e outros clientes Business-to-Business (B2B). A divisão Proximity está envolvida na operação de lojas de conveniência sob as marcas OXXO e Shell Select. A divisão Açúcar consiste na produção de açúcar, como cristalino, líquido, refinado, orgânico e Polarização Muito Alta (VHP), entre outros. A empresa atua no Brasil e na Argentina.</v>
    <v>BVMF</v>
    <v>2.65</v>
    <v>45417</v>
    <v>45609.947916666664</v>
    <v>30</v>
    <v>15900490</v>
    <v>BRL</v>
    <v>Raízen S.A.</v>
    <v>Raízen S.A.</v>
    <v>2.63</v>
    <v>2.48</v>
    <v>Avenida Almirante Barroso, n. 81, Sala 32B109 36 andar, Centro, RIO DE JANEIRO, RIO DE JANEIRO, 20.031-004 BR</v>
    <v>Oil &amp; Gas</v>
    <v>RAIZ4</v>
    <v>Ações</v>
    <v>Raízen S.A. (BVMF:RAIZ4)</v>
    <v>-0.17</v>
    <v>-6.4151E-2</v>
    <v>35585100</v>
  </rv>
  <rv s="2">
    <v>70</v>
  </rv>
  <rv s="4">
    <v>pt-BR</v>
    <v>bqq2sm</v>
    <v>268435456</v>
    <v>1</v>
    <v>Da plataforma Refinitiv</v>
    <v>10</v>
    <v>11</v>
    <v>ETF Bradesco Ibovespa (BVMF:BOVB11)</v>
    <v>8</v>
    <v>12</v>
    <v>Finance</v>
    <v>5</v>
    <v>139.37</v>
    <v>118.8</v>
    <v>BVMF</v>
    <v>129.82</v>
    <v>129.66</v>
    <v>1.0012000000000001</v>
    <v>B3 - Brazil Stock Exchange</v>
    <v>1495097041.0699999</v>
    <v>129.62</v>
    <v>45609.947916666664</v>
    <v>48</v>
    <v>BRL</v>
    <v>ETF Bradesco Ibovespa</v>
    <v>129.82</v>
    <v>129.66</v>
    <v>BOVB11</v>
    <v>Fundos mais negociados</v>
    <v>ETF Bradesco Ibovespa (BVMF:BOVB11)</v>
    <v>0.04</v>
    <v>3.0859999999999997E-4</v>
    <v>1011</v>
  </rv>
  <rv s="2">
    <v>72</v>
  </rv>
  <rv s="1">
    <v>pt-BR</v>
    <v>aplygh</v>
    <v>268435456</v>
    <v>1</v>
    <v>Da plataforma Refinitiv</v>
    <v>0</v>
    <v>1</v>
    <v>Banco do Brasil S.A. (BVMF:BBAS3)</v>
    <v>3</v>
    <v>4</v>
    <v>Finance</v>
    <v>5</v>
    <v>29.1</v>
    <v>22.77</v>
    <v>BVMF</v>
    <v>5730834000</v>
    <v>26.07</v>
    <v>1808</v>
    <v>25.88</v>
    <v>1.0386</v>
    <v>B3 - Brazil Stock Exchange</v>
    <v>148715142300</v>
    <v>O BANCO DO BRASIL S.A. é uma empresa brasileira dedicada sobretudo ao setor financeiro. As atividades da Empresa estão divididas em cinco segmentos: bancário, investimentos, gestão de ativos, segurança e tipos de pagamento. O Banco também participa de outras atividades econômicas, como leasing e suporte operacional. O Banco tem clientes individuais e corporativos. Oferece uma variedade de produtos e serviços financeiros, como depósitos, contas poupança, gestão de ativos, empréstimos, e seguros de saúde, de vida e patrimonial. Além disso, oferece transações financeiras em várias formas, incluindo operações cambiais e atividades complementares, com ênfase na previdência privada, capitalização, valores mobiliários, corretagem, administração de cartões de crédito e de débito, consórcios, fundos de investimento e portfólios de gestão. O BANCO DO BRASIL S.A. atua nos mercados nacional e internacional.</v>
    <v>BVMF</v>
    <v>25.95</v>
    <v>85953</v>
    <v>45609.947916666664</v>
    <v>15</v>
    <v>13279730</v>
    <v>BRL</v>
    <v>Banco do Brasil S.A.</v>
    <v>Banco do Brasil S.A.</v>
    <v>25.99</v>
    <v>25.95</v>
    <v>Saun Quadra 05, Lote B Ed. BB, Asa Norte, BRASILIA, DISTRITO FEDERAL, 70.040-912 BR</v>
    <v>Banking Services</v>
    <v>BBAS3</v>
    <v>Ações</v>
    <v>Banco do Brasil S.A. (BVMF:BBAS3)</v>
    <v>0</v>
    <v>0</v>
    <v>27198100</v>
  </rv>
  <rv s="2">
    <v>74</v>
  </rv>
  <rv s="3">
    <v>pt-BR</v>
    <v>bwwglh</v>
    <v>268435456</v>
    <v>1</v>
    <v>Da plataforma Refinitiv</v>
    <v>6</v>
    <v>7</v>
    <v>DEVANT RECEBIVEIS IMOBILIARIOS FII CF (BVMF:DEVA11)</v>
    <v>8</v>
    <v>9</v>
    <v>Finance</v>
    <v>5</v>
    <v>45.81</v>
    <v>30</v>
    <v>BVMF</v>
    <v>30.94</v>
    <v>30</v>
    <v>B3 - Brazil Stock Exchange</v>
    <v>30.95</v>
    <v>45609.947916666664</v>
    <v>12</v>
    <v>BRL</v>
    <v>DEVANT RECEBIVEIS IMOBILIARIOS FII CF</v>
    <v>30.7</v>
    <v>30.3</v>
    <v>DEVA11</v>
    <v>Fundos mais negociados</v>
    <v>DEVANT RECEBIVEIS IMOBILIARIOS FII CF (BVMF:DEVA11)</v>
    <v>-0.65</v>
    <v>-2.1002E-2</v>
    <v>38532</v>
  </rv>
  <rv s="2">
    <v>76</v>
  </rv>
  <rv s="3">
    <v>pt-BR</v>
    <v>bxe577</v>
    <v>268435456</v>
    <v>1</v>
    <v>Da plataforma Refinitiv</v>
    <v>6</v>
    <v>7</v>
    <v>KILIMA FI EM COTAS FDO IMOB SUNO 30 (BVMF:KISU11)</v>
    <v>8</v>
    <v>9</v>
    <v>Finance</v>
    <v>5</v>
    <v>8.27</v>
    <v>7.1</v>
    <v>BVMF</v>
    <v>7.3</v>
    <v>7.1</v>
    <v>B3 - Brazil Stock Exchange</v>
    <v>7.12</v>
    <v>45609.947916666664</v>
    <v>6</v>
    <v>BRL</v>
    <v>KILIMA FI EM COTAS FDO IMOB SUNO 30</v>
    <v>7.1</v>
    <v>7.23</v>
    <v>KISU11</v>
    <v>Fundos mais negociados</v>
    <v>KILIMA FI EM COTAS FDO IMOB SUNO 30 (BVMF:KISU11)</v>
    <v>0.11</v>
    <v>1.5448999999999999E-2</v>
    <v>128200</v>
  </rv>
  <rv s="2">
    <v>78</v>
  </rv>
  <rv s="3">
    <v>pt-BR</v>
    <v>bgmhrw</v>
    <v>268435456</v>
    <v>1</v>
    <v>Da plataforma Refinitiv</v>
    <v>6</v>
    <v>7</v>
    <v>FDO INV IMOB FII CENESP CF (BVMF:CNES11)</v>
    <v>8</v>
    <v>9</v>
    <v>Finance</v>
    <v>5</v>
    <v>3.73</v>
    <v>1.18</v>
    <v>BVMF</v>
    <v>1.31</v>
    <v>1.18</v>
    <v>B3 - Brazil Stock Exchange</v>
    <v>1.31</v>
    <v>45609.947916666664</v>
    <v>18</v>
    <v>BRL</v>
    <v>FDO INV IMOB FII CENESP CF</v>
    <v>1.3</v>
    <v>1.2</v>
    <v>CNES11</v>
    <v>Fundos mais negociados</v>
    <v>FDO INV IMOB FII CENESP CF (BVMF:CNES11)</v>
    <v>-0.11</v>
    <v>-8.3969000000000002E-2</v>
    <v>301196</v>
  </rv>
  <rv s="2">
    <v>80</v>
  </rv>
  <rv s="6">
    <v>0</v>
  </rv>
  <rv s="7">
    <v>{DC97B902-0B00-47C8-BEFA-437C2BFE2564}</v>
    <v>0</v>
    <v>13</v>
    <v>82</v>
  </rv>
</rvData>
</file>

<file path=xl/richData/rdrichvaluestructure.xml><?xml version="1.0" encoding="utf-8"?>
<rvStructures xmlns="http://schemas.microsoft.com/office/spreadsheetml/2017/richdata" count="8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52 semanas de alta"/>
    <k n="52 semanas de baixa"/>
    <k n="Abreviatura do câmbio" t="s"/>
    <k n="Ações em circulação"/>
    <k n="Alto"/>
    <k n="Ano de incorporação"/>
    <k n="Baixo"/>
    <k n="Beta"/>
    <k n="Bolsa" t="s"/>
    <k n="Capitalização de mercado"/>
    <k n="Descrição" t="s"/>
    <k n="ExchangeID" t="s"/>
    <k n="Fechamento anterior"/>
    <k n="Funcionários"/>
    <k n="Hora da última transação"/>
    <k n="LearnMoreOnLink" t="r"/>
    <k n="Média de volume"/>
    <k n="Moeda" t="s"/>
    <k n="Nome" t="s"/>
    <k n="Nome oficial" t="s"/>
    <k n="Pendência"/>
    <k n="Preço"/>
    <k n="Sede" t="s"/>
    <k n="Setor" t="s"/>
    <k n="Símbolo do ticker" t="s"/>
    <k n="Tipo de instrumento" t="s"/>
    <k n="UniqueName" t="s"/>
    <k n="Variação"/>
    <k n="Variação (%)"/>
    <k n="Volume"/>
  </s>
  <s t="_linkedentity">
    <k n="%cvi" t="r"/>
  </s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52 semanas de alta"/>
    <k n="52 semanas de baixa"/>
    <k n="Abreviatura do câmbio" t="s"/>
    <k n="Alto"/>
    <k n="Baixo"/>
    <k n="Bolsa" t="s"/>
    <k n="Fechamento anterior"/>
    <k n="Hora da última transação"/>
    <k n="LearnMoreOnLink" t="r"/>
    <k n="Moeda" t="s"/>
    <k n="Nome" t="s"/>
    <k n="Pendência"/>
    <k n="Preço"/>
    <k n="Símbolo do ticker" t="s"/>
    <k n="Tipo de instrumento" t="s"/>
    <k n="UniqueName" t="s"/>
    <k n="Variação"/>
    <k n="Variação (%)"/>
    <k n="Volume"/>
  </s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52 semanas de alta"/>
    <k n="52 semanas de baixa"/>
    <k n="Abreviatura do câmbio" t="s"/>
    <k n="Alto"/>
    <k n="Baixo"/>
    <k n="Beta"/>
    <k n="Bolsa" t="s"/>
    <k n="Capitalização de mercado"/>
    <k n="Fechamento anterior"/>
    <k n="Hora da última transação"/>
    <k n="LearnMoreOnLink" t="r"/>
    <k n="Moeda" t="s"/>
    <k n="Nome" t="s"/>
    <k n="Pendência"/>
    <k n="Preço"/>
    <k n="Símbolo do ticker" t="s"/>
    <k n="Tipo de instrumento" t="s"/>
    <k n="UniqueName" t="s"/>
    <k n="Variação"/>
    <k n="Variação (%)"/>
    <k n="Volume"/>
  </s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52 semanas de alta"/>
    <k n="52 semanas de baixa"/>
    <k n="Abreviatura do câmbio" t="s"/>
    <k n="Ações em circulação"/>
    <k n="Alto"/>
    <k n="Ano de incorporação"/>
    <k n="Baixo"/>
    <k n="Beta"/>
    <k n="Bolsa" t="s"/>
    <k n="Capitalização de mercado"/>
    <k n="Descrição" t="s"/>
    <k n="ExchangeID" t="s"/>
    <k n="Fechamento anterior"/>
    <k n="Funcionários"/>
    <k n="Hora da última transação"/>
    <k n="LearnMoreOnLink" t="r"/>
    <k n="Média de volume"/>
    <k n="Moeda" t="s"/>
    <k n="Nome" t="s"/>
    <k n="Nome oficial" t="s"/>
    <k n="Pendência"/>
    <k n="Preço"/>
    <k n="Preço (Horário prolongado)"/>
    <k n="Sede" t="s"/>
    <k n="Setor" t="s"/>
    <k n="Símbolo do ticker" t="s"/>
    <k n="Tipo de instrumento" t="s"/>
    <k n="UniqueName" t="s"/>
    <k n="Variação"/>
    <k n="Variação (%)"/>
    <k n="Volume"/>
  </s>
  <s t="_array">
    <k n="array" t="a"/>
  </s>
  <s t="_datasourcecontainer">
    <k n="%XLUID" t="s"/>
    <k n="_CRID" t="i"/>
    <k n="_Display" t="spb"/>
    <k n="RAZÃO SOCIAL" t="r"/>
  </s>
</rvStructures>
</file>

<file path=xl/richData/rdsupportingpropertybag.xml><?xml version="1.0" encoding="utf-8"?>
<supportingPropertyBags xmlns="http://schemas.microsoft.com/office/spreadsheetml/2017/richdata2">
  <spbArrays count="5">
    <a count="42">
      <v t="s">%EntityServiceId</v>
      <v t="s">_Format</v>
      <v t="s">%IsRefreshable</v>
      <v t="s">_CanonicalPropertyNames</v>
      <v t="s">%EntityCulture</v>
      <v t="s">%EntityId</v>
      <v t="s">_Icon</v>
      <v t="s">_Display</v>
      <v t="s">Nome</v>
      <v t="s">_SubLabel</v>
      <v t="s">Preço</v>
      <v t="s">Bolsa</v>
      <v t="s">Nome oficial</v>
      <v t="s">Hora da última transação</v>
      <v t="s">Símbolo do ticker</v>
      <v t="s">Abreviatura do câmbio</v>
      <v t="s">Variação</v>
      <v t="s">Variação (%)</v>
      <v t="s">Moeda</v>
      <v t="s">Fechamento anterior</v>
      <v t="s">Pendência</v>
      <v t="s">Alto</v>
      <v t="s">Baixo</v>
      <v t="s">52 semanas de alta</v>
      <v t="s">52 semanas de baixa</v>
      <v t="s">Volume</v>
      <v t="s">Média de volume</v>
      <v t="s">Capitalização de mercado</v>
      <v t="s">Beta</v>
      <v t="s">Ações em circulação</v>
      <v t="s">Descrição</v>
      <v t="s">Funcionários</v>
      <v t="s">Sede</v>
      <v t="s">Setor</v>
      <v t="s">Tipo de instrumento</v>
      <v t="s">Ano de incorporação</v>
      <v t="s">_Flags</v>
      <v t="s">UniqueName</v>
      <v t="s">_DisplayString</v>
      <v t="s">LearnMoreOnLink</v>
      <v t="s">ExchangeID</v>
      <v t="s">%ProviderInfo</v>
    </a>
    <a count="31">
      <v t="s">%EntityServiceId</v>
      <v t="s">_Format</v>
      <v t="s">%IsRefreshable</v>
      <v t="s">_CanonicalPropertyNames</v>
      <v t="s">%EntityCulture</v>
      <v t="s">%EntityId</v>
      <v t="s">_Icon</v>
      <v t="s">_Display</v>
      <v t="s">Nome</v>
      <v t="s">_SubLabel</v>
      <v t="s">Preço</v>
      <v t="s">Bolsa</v>
      <v t="s">Hora da última transação</v>
      <v t="s">Símbolo do ticker</v>
      <v t="s">Abreviatura do câmbio</v>
      <v t="s">Variação</v>
      <v t="s">Variação (%)</v>
      <v t="s">Moeda</v>
      <v t="s">Fechamento anterior</v>
      <v t="s">Pendência</v>
      <v t="s">Alto</v>
      <v t="s">Baixo</v>
      <v t="s">52 semanas de alta</v>
      <v t="s">52 semanas de baixa</v>
      <v t="s">Volume</v>
      <v t="s">Tipo de instrumento</v>
      <v t="s">_Flags</v>
      <v t="s">UniqueName</v>
      <v t="s">_DisplayString</v>
      <v t="s">LearnMoreOnLink</v>
      <v t="s">%ProviderInfo</v>
    </a>
    <a count="33">
      <v t="s">%EntityServiceId</v>
      <v t="s">_Format</v>
      <v t="s">%IsRefreshable</v>
      <v t="s">_CanonicalPropertyNames</v>
      <v t="s">%EntityCulture</v>
      <v t="s">%EntityId</v>
      <v t="s">_Icon</v>
      <v t="s">_Display</v>
      <v t="s">Nome</v>
      <v t="s">_SubLabel</v>
      <v t="s">Preço</v>
      <v t="s">Bolsa</v>
      <v t="s">Hora da última transação</v>
      <v t="s">Símbolo do ticker</v>
      <v t="s">Abreviatura do câmbio</v>
      <v t="s">Variação</v>
      <v t="s">Variação (%)</v>
      <v t="s">Moeda</v>
      <v t="s">Fechamento anterior</v>
      <v t="s">Pendência</v>
      <v t="s">Alto</v>
      <v t="s">Baixo</v>
      <v t="s">52 semanas de alta</v>
      <v t="s">52 semanas de baixa</v>
      <v t="s">Volume</v>
      <v t="s">Capitalização de mercado</v>
      <v t="s">Beta</v>
      <v t="s">Tipo de instrumento</v>
      <v t="s">_Flags</v>
      <v t="s">UniqueName</v>
      <v t="s">_DisplayString</v>
      <v t="s">LearnMoreOnLink</v>
      <v t="s">%ProviderInfo</v>
    </a>
    <a count="4">
      <v t="s">RAZÃO SOCIAL</v>
      <v t="s">_CRID</v>
      <v t="s">%XLUID</v>
      <v t="s">_Display</v>
    </a>
    <a count="43">
      <v t="s">%EntityServiceId</v>
      <v t="s">_Format</v>
      <v t="s">%IsRefreshable</v>
      <v t="s">_CanonicalPropertyNames</v>
      <v t="s">%EntityCulture</v>
      <v t="s">%EntityId</v>
      <v t="s">_Icon</v>
      <v t="s">_Display</v>
      <v t="s">Nome</v>
      <v t="s">_SubLabel</v>
      <v t="s">Preço</v>
      <v t="s">Preço (Horário prolongado)</v>
      <v t="s">Bolsa</v>
      <v t="s">Nome oficial</v>
      <v t="s">Hora da última transação</v>
      <v t="s">Símbolo do ticker</v>
      <v t="s">Abreviatura do câmbio</v>
      <v t="s">Variação</v>
      <v t="s">Variação (%)</v>
      <v t="s">Moeda</v>
      <v t="s">Fechamento anterior</v>
      <v t="s">Pendência</v>
      <v t="s">Alto</v>
      <v t="s">Baixo</v>
      <v t="s">52 semanas de alta</v>
      <v t="s">52 semanas de baixa</v>
      <v t="s">Volume</v>
      <v t="s">Média de volume</v>
      <v t="s">Capitalização de mercado</v>
      <v t="s">Beta</v>
      <v t="s">Ações em circulação</v>
      <v t="s">Descrição</v>
      <v t="s">Funcionários</v>
      <v t="s">Sede</v>
      <v t="s">Setor</v>
      <v t="s">Tipo de instrumento</v>
      <v t="s">Ano de incorporação</v>
      <v t="s">_Flags</v>
      <v t="s">UniqueName</v>
      <v t="s">_DisplayString</v>
      <v t="s">LearnMoreOnLink</v>
      <v t="s">ExchangeID</v>
      <v t="s">%ProviderInfo</v>
    </a>
  </spbArrays>
  <spbData count="18">
    <spb s="0">
      <v>High</v>
      <v>Beta</v>
      <v>Name</v>
      <v>Headquarters</v>
      <v>Low</v>
      <v>Exchange</v>
      <v>Currency</v>
      <v>Price</v>
      <v>Industry</v>
      <v>Volume</v>
      <v>Change</v>
      <v>Description</v>
      <v>Open</v>
      <v>ExchangeID</v>
      <v>UniqueName</v>
      <v>Employees</v>
      <v>Official name</v>
      <v>Change (%)</v>
      <v>%ProviderInfo</v>
      <v>LearnMoreOnLink</v>
      <v>Volume average</v>
      <v>Ticker symbol</v>
      <v>52 week high</v>
      <v>52 week low</v>
      <v>Year incorporated</v>
      <v>Shares outstanding</v>
      <v>Previous close</v>
      <v>Instrument type</v>
      <v>Exchange abbreviation</v>
      <v>Market cap</v>
      <v>Last trade time</v>
    </spb>
    <spb s="1">
      <v>0</v>
      <v>Name</v>
      <v>LearnMoreOnLink</v>
    </spb>
    <spb s="2">
      <v>0</v>
      <v>0</v>
      <v>0</v>
    </spb>
    <spb s="3">
      <v>2</v>
      <v>2</v>
      <v>2</v>
      <v>2</v>
    </spb>
    <spb s="4">
      <v>1</v>
      <v>2</v>
      <v>3</v>
      <v>1</v>
      <v>1</v>
      <v>4</v>
      <v>1</v>
      <v>1</v>
      <v>4</v>
      <v>5</v>
      <v>4</v>
      <v>6</v>
      <v>1</v>
      <v>1</v>
      <v>7</v>
      <v>4</v>
      <v>1</v>
      <v>8</v>
      <v>9</v>
    </spb>
    <spb s="5">
      <v>Atraso de 30 minutos</v>
      <v xml:space="preserve">do fechamento anterior </v>
      <v xml:space="preserve">do fechamento anterior </v>
      <v>GMT</v>
    </spb>
    <spb s="6">
      <v>High</v>
      <v>Name</v>
      <v>Low</v>
      <v>Exchange</v>
      <v>Currency</v>
      <v>Price</v>
      <v>Volume</v>
      <v>Change</v>
      <v>Open</v>
      <v>UniqueName</v>
      <v>Change (%)</v>
      <v>%ProviderInfo</v>
      <v>LearnMoreOnLink</v>
      <v>Ticker symbol</v>
      <v>52 week high</v>
      <v>52 week low</v>
      <v>Previous close</v>
      <v>Instrument type</v>
      <v>Exchange abbreviation</v>
      <v>Last trade time</v>
    </spb>
    <spb s="1">
      <v>1</v>
      <v>Name</v>
      <v>LearnMoreOnLink</v>
    </spb>
    <spb s="7">
      <v>2</v>
      <v>2</v>
      <v>2</v>
    </spb>
    <spb s="8">
      <v>1</v>
      <v>3</v>
      <v>1</v>
      <v>1</v>
      <v>4</v>
      <v>1</v>
      <v>1</v>
      <v>5</v>
      <v>6</v>
      <v>1</v>
      <v>1</v>
      <v>1</v>
      <v>9</v>
    </spb>
    <spb s="9">
      <v>High</v>
      <v>Beta</v>
      <v>Name</v>
      <v>Low</v>
      <v>Exchange</v>
      <v>Currency</v>
      <v>Price</v>
      <v>Volume</v>
      <v>Change</v>
      <v>Open</v>
      <v>UniqueName</v>
      <v>Change (%)</v>
      <v>%ProviderInfo</v>
      <v>LearnMoreOnLink</v>
      <v>Ticker symbol</v>
      <v>52 week high</v>
      <v>52 week low</v>
      <v>Previous close</v>
      <v>Instrument type</v>
      <v>Exchange abbreviation</v>
      <v>Market cap</v>
      <v>Last trade time</v>
    </spb>
    <spb s="1">
      <v>2</v>
      <v>Name</v>
      <v>LearnMoreOnLink</v>
    </spb>
    <spb s="10">
      <v>1</v>
      <v>2</v>
      <v>3</v>
      <v>1</v>
      <v>1</v>
      <v>4</v>
      <v>1</v>
      <v>1</v>
      <v>5</v>
      <v>6</v>
      <v>1</v>
      <v>1</v>
      <v>1</v>
      <v>8</v>
      <v>9</v>
    </spb>
    <spb s="11">
      <v>3</v>
    </spb>
    <spb s="12">
      <v>High</v>
      <v>Beta</v>
      <v>Name</v>
      <v>Headquarters</v>
      <v>Low</v>
      <v>Exchange</v>
      <v>Currency</v>
      <v>Price</v>
      <v>Industry</v>
      <v>Volume</v>
      <v>Change</v>
      <v>Description</v>
      <v>Open</v>
      <v>ExchangeID</v>
      <v>UniqueName</v>
      <v>Employees</v>
      <v>Official name</v>
      <v>Change (%)</v>
      <v>%ProviderInfo</v>
      <v>LearnMoreOnLink</v>
      <v>Volume average</v>
      <v>Ticker symbol</v>
      <v>52 week high</v>
      <v>52 week low</v>
      <v>Year incorporated</v>
      <v>Shares outstanding</v>
      <v>Previous close</v>
      <v>Instrument type</v>
      <v>Exchange abbreviation</v>
      <v>Market cap</v>
      <v>Last trade time</v>
      <v>Price (Extended hours)</v>
    </spb>
    <spb s="1">
      <v>4</v>
      <v>Name</v>
      <v>LearnMoreOnLink</v>
    </spb>
    <spb s="13">
      <v>1</v>
      <v>2</v>
      <v>3</v>
      <v>1</v>
      <v>1</v>
      <v>4</v>
      <v>1</v>
      <v>1</v>
      <v>4</v>
      <v>5</v>
      <v>4</v>
      <v>6</v>
      <v>1</v>
      <v>1</v>
      <v>7</v>
      <v>4</v>
      <v>1</v>
      <v>8</v>
      <v>9</v>
      <v>1</v>
    </spb>
    <spb s="14">
      <v xml:space="preserve">no fechamento </v>
      <v xml:space="preserve">do fechamento anterior </v>
      <v xml:space="preserve">do fechamento anterior </v>
      <v>GMT</v>
      <v>Atraso de 30 minutos</v>
    </spb>
  </spbData>
</supportingPropertyBags>
</file>

<file path=xl/richData/rdsupportingpropertybagstructure.xml><?xml version="1.0" encoding="utf-8"?>
<spbStructures xmlns="http://schemas.microsoft.com/office/spreadsheetml/2017/richdata2" count="15">
  <s>
    <k n="Alto" t="s"/>
    <k n="Beta" t="s"/>
    <k n="Nome" t="s"/>
    <k n="Sede" t="s"/>
    <k n="Baixo" t="s"/>
    <k n="Bolsa" t="s"/>
    <k n="Moeda" t="s"/>
    <k n="Preço" t="s"/>
    <k n="Setor" t="s"/>
    <k n="Volume" t="s"/>
    <k n="Variação" t="s"/>
    <k n="Descrição" t="s"/>
    <k n="Pendência" t="s"/>
    <k n="ExchangeID" t="s"/>
    <k n="UniqueName" t="s"/>
    <k n="Funcionários" t="s"/>
    <k n="Nome oficial" t="s"/>
    <k n="Variação (%)" t="s"/>
    <k n="%ProviderInfo" t="s"/>
    <k n="LearnMoreOnLink" t="s"/>
    <k n="Média de volume" t="s"/>
    <k n="Símbolo do ticker" t="s"/>
    <k n="52 semanas de alta" t="s"/>
    <k n="52 semanas de baixa" t="s"/>
    <k n="Ano de incorporação" t="s"/>
    <k n="Ações em circulação" t="s"/>
    <k n="Fechamento anterior" t="s"/>
    <k n="Tipo de instrumento" t="s"/>
    <k n="Abreviatura do câmbio" t="s"/>
    <k n="Capitalização de mercado" t="s"/>
    <k n="Hora da última transação" t="s"/>
  </s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Alto" t="i"/>
    <k n="Beta" t="i"/>
    <k n="Nome" t="i"/>
    <k n="Baixo" t="i"/>
    <k n="Preço" t="i"/>
    <k n="Volume" t="i"/>
    <k n="Variação" t="i"/>
    <k n="Pendência" t="i"/>
    <k n="Funcionários" t="i"/>
    <k n="Variação (%)" t="i"/>
    <k n="Média de volume" t="i"/>
    <k n="`%EntityServiceId" t="i"/>
    <k n="52 semanas de alta" t="i"/>
    <k n="52 semanas de baixa" t="i"/>
    <k n="Ano de incorporação" t="i"/>
    <k n="Ações em circulação" t="i"/>
    <k n="Fechamento anterior" t="i"/>
    <k n="Capitalização de mercado" t="i"/>
    <k n="Hora da última transação" t="i"/>
  </s>
  <s>
    <k n="Preço" t="s"/>
    <k n="Variação" t="s"/>
    <k n="Variação (%)" t="s"/>
    <k n="Hora da última transação" t="s"/>
  </s>
  <s>
    <k n="Alto" t="s"/>
    <k n="Nome" t="s"/>
    <k n="Baixo" t="s"/>
    <k n="Bolsa" t="s"/>
    <k n="Moeda" t="s"/>
    <k n="Preço" t="s"/>
    <k n="Volume" t="s"/>
    <k n="Variação" t="s"/>
    <k n="Pendência" t="s"/>
    <k n="UniqueName" t="s"/>
    <k n="Variação (%)" t="s"/>
    <k n="%ProviderInfo" t="s"/>
    <k n="LearnMoreOnLink" t="s"/>
    <k n="Símbolo do ticker" t="s"/>
    <k n="52 semanas de alta" t="s"/>
    <k n="52 semanas de baixa" t="s"/>
    <k n="Fechamento anterior" t="s"/>
    <k n="Tipo de instrumento" t="s"/>
    <k n="Abreviatura do câmbio" t="s"/>
    <k n="Hora da última transação" t="s"/>
  </s>
  <s>
    <k n="UniqueName" t="spb"/>
    <k n="`%ProviderInfo" t="spb"/>
    <k n="LearnMoreOnLink" t="spb"/>
  </s>
  <s>
    <k n="Alto" t="i"/>
    <k n="Nome" t="i"/>
    <k n="Baixo" t="i"/>
    <k n="Preço" t="i"/>
    <k n="Volume" t="i"/>
    <k n="Variação" t="i"/>
    <k n="Pendência" t="i"/>
    <k n="Variação (%)" t="i"/>
    <k n="`%EntityServiceId" t="i"/>
    <k n="52 semanas de alta" t="i"/>
    <k n="52 semanas de baixa" t="i"/>
    <k n="Fechamento anterior" t="i"/>
    <k n="Hora da última transação" t="i"/>
  </s>
  <s>
    <k n="Alto" t="s"/>
    <k n="Beta" t="s"/>
    <k n="Nome" t="s"/>
    <k n="Baixo" t="s"/>
    <k n="Bolsa" t="s"/>
    <k n="Moeda" t="s"/>
    <k n="Preço" t="s"/>
    <k n="Volume" t="s"/>
    <k n="Variação" t="s"/>
    <k n="Pendência" t="s"/>
    <k n="UniqueName" t="s"/>
    <k n="Variação (%)" t="s"/>
    <k n="%ProviderInfo" t="s"/>
    <k n="LearnMoreOnLink" t="s"/>
    <k n="Símbolo do ticker" t="s"/>
    <k n="52 semanas de alta" t="s"/>
    <k n="52 semanas de baixa" t="s"/>
    <k n="Fechamento anterior" t="s"/>
    <k n="Tipo de instrumento" t="s"/>
    <k n="Abreviatura do câmbio" t="s"/>
    <k n="Capitalização de mercado" t="s"/>
    <k n="Hora da última transação" t="s"/>
  </s>
  <s>
    <k n="Alto" t="i"/>
    <k n="Beta" t="i"/>
    <k n="Nome" t="i"/>
    <k n="Baixo" t="i"/>
    <k n="Preço" t="i"/>
    <k n="Volume" t="i"/>
    <k n="Variação" t="i"/>
    <k n="Pendência" t="i"/>
    <k n="Variação (%)" t="i"/>
    <k n="`%EntityServiceId" t="i"/>
    <k n="52 semanas de alta" t="i"/>
    <k n="52 semanas de baixa" t="i"/>
    <k n="Fechamento anterior" t="i"/>
    <k n="Capitalização de mercado" t="i"/>
    <k n="Hora da última transação" t="i"/>
  </s>
  <s>
    <k n="^Order" t="spba"/>
  </s>
  <s>
    <k n="Alto" t="s"/>
    <k n="Beta" t="s"/>
    <k n="Nome" t="s"/>
    <k n="Sede" t="s"/>
    <k n="Baixo" t="s"/>
    <k n="Bolsa" t="s"/>
    <k n="Moeda" t="s"/>
    <k n="Preço" t="s"/>
    <k n="Setor" t="s"/>
    <k n="Volume" t="s"/>
    <k n="Variação" t="s"/>
    <k n="Descrição" t="s"/>
    <k n="Pendência" t="s"/>
    <k n="ExchangeID" t="s"/>
    <k n="UniqueName" t="s"/>
    <k n="Funcionários" t="s"/>
    <k n="Nome oficial" t="s"/>
    <k n="Variação (%)" t="s"/>
    <k n="%ProviderInfo" t="s"/>
    <k n="LearnMoreOnLink" t="s"/>
    <k n="Média de volume" t="s"/>
    <k n="Símbolo do ticker" t="s"/>
    <k n="52 semanas de alta" t="s"/>
    <k n="52 semanas de baixa" t="s"/>
    <k n="Ano de incorporação" t="s"/>
    <k n="Ações em circulação" t="s"/>
    <k n="Fechamento anterior" t="s"/>
    <k n="Tipo de instrumento" t="s"/>
    <k n="Abreviatura do câmbio" t="s"/>
    <k n="Capitalização de mercado" t="s"/>
    <k n="Hora da última transação" t="s"/>
    <k n="Preço (Horário prolongado)" t="s"/>
  </s>
  <s>
    <k n="Alto" t="i"/>
    <k n="Beta" t="i"/>
    <k n="Nome" t="i"/>
    <k n="Baixo" t="i"/>
    <k n="Preço" t="i"/>
    <k n="Volume" t="i"/>
    <k n="Variação" t="i"/>
    <k n="Pendência" t="i"/>
    <k n="Funcionários" t="i"/>
    <k n="Variação (%)" t="i"/>
    <k n="Média de volume" t="i"/>
    <k n="`%EntityServiceId" t="i"/>
    <k n="52 semanas de alta" t="i"/>
    <k n="52 semanas de baixa" t="i"/>
    <k n="Ano de incorporação" t="i"/>
    <k n="Ações em circulação" t="i"/>
    <k n="Fechamento anterior" t="i"/>
    <k n="Capitalização de mercado" t="i"/>
    <k n="Hora da última transação" t="i"/>
    <k n="Preço (Horário prolongado)" t="i"/>
  </s>
  <s>
    <k n="Preço" t="s"/>
    <k n="Variação" t="s"/>
    <k n="Variação (%)" t="s"/>
    <k n="Hora da última transação" t="s"/>
    <k n="Preço (Horário prolongado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0" formatCode="General"/>
    </x:dxf>
    <x:dxf>
      <x:numFmt numFmtId="3" formatCode="#,##0"/>
    </x:dxf>
    <x:dxf>
      <x:numFmt numFmtId="14" formatCode="0.00%"/>
    </x:dxf>
    <x:dxf>
      <x:numFmt numFmtId="2" formatCode="0.00"/>
    </x:dxf>
    <x:dxf>
      <x:numFmt numFmtId="27" formatCode="dd/mm/yyyy\ hh:mm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0">
      <rpv i="0">_-[$R$-pt-BR] * #,##0.00_-;-[$R$-pt-BR] * #,##0.00_-;_-[$R$-pt-BR] * "-"??_-;_-@_-</rpv>
    </rSty>
    <rSty dxfid="5">
      <rpv i="0">#,##0.00</rpv>
    </rSty>
    <rSty>
      <rpv i="1">1</rpv>
    </rSty>
    <rSty dxfid="1">
      <rpv i="0">#,##0</rpv>
    </rSty>
    <rSty dxfid="2"/>
    <rSty dxfid="3">
      <rpv i="0">0.00</rpv>
    </rSty>
    <rSty dxfid="6">
      <rpv i="0">0</rpv>
    </rSty>
    <rSty dxfid="0">
      <rpv i="0">_-[$R$-pt-BR] * #,##0_-;-[$R$-pt-BR] * #,##0_-;_-[$R$-pt-BR] * "-"_-;_-@_-</rpv>
    </rSty>
    <rSty dxfid="4"/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B3C1FF-57E5-4955-9BB8-FF6D89179D6F}" name="Tabela1" displayName="Tabela1" ref="A2:G10" totalsRowShown="0" headerRowDxfId="50" headerRowBorderDxfId="49" tableBorderDxfId="48" totalsRowBorderDxfId="47">
  <autoFilter ref="A2:G10" xr:uid="{D1B3C1FF-57E5-4955-9BB8-FF6D89179D6F}"/>
  <sortState xmlns:xlrd2="http://schemas.microsoft.com/office/spreadsheetml/2017/richdata2" ref="A3:G10">
    <sortCondition ref="A2:A10"/>
  </sortState>
  <tableColumns count="7">
    <tableColumn id="1" xr3:uid="{4F467100-4979-4A10-896A-D7E484BEB975}" name="Pasta" dataDxfId="46"/>
    <tableColumn id="2" xr3:uid="{74776D16-10E2-49C8-BB51-D1539A6D648A}" name="Data" dataDxfId="45"/>
    <tableColumn id="3" xr3:uid="{C15E3BD2-8B50-48D5-9143-99A2C32E1992}" name="Tarefa" dataDxfId="44"/>
    <tableColumn id="4" xr3:uid="{97B4F4E2-913B-4D64-AA6B-A942E2C4D7F6}" name="Gravidade" dataDxfId="43"/>
    <tableColumn id="5" xr3:uid="{E4F03044-8527-4B68-89F2-4AE0C07FED19}" name="Urgencia" dataDxfId="42"/>
    <tableColumn id="6" xr3:uid="{FAFC27EE-8DEC-4109-B340-385E897909D3}" name="Tendencia" dataDxfId="41"/>
    <tableColumn id="7" xr3:uid="{DA6341C4-6EF9-4502-809A-435052FFD8D4}" name="G.U.T" dataDxfId="40">
      <calculatedColumnFormula>D3*E3*F3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9D02A9-0BE6-4984-A1CE-1AD7731C66F3}" name="TBL_Clientes" displayName="TBL_Clientes" ref="B5:F17" totalsRowShown="0">
  <autoFilter ref="B5:F17" xr:uid="{C19D02A9-0BE6-4984-A1CE-1AD7731C66F3}"/>
  <tableColumns count="5">
    <tableColumn id="1" xr3:uid="{23038E81-44D0-452A-A8D9-0D3CEAC13C8B}" name="Cod_cli" dataDxfId="39"/>
    <tableColumn id="2" xr3:uid="{894BC177-F0E3-4E5B-B116-57D4460B629A}" name="Nome "/>
    <tableColumn id="3" xr3:uid="{948DF251-C979-4887-A731-44B192AA10CB}" name="Dt_Nasc" dataDxfId="38"/>
    <tableColumn id="4" xr3:uid="{0D85402E-EC3E-4E67-B25F-013F0B9C9383}" name="Sexo" dataDxfId="37"/>
    <tableColumn id="5" xr3:uid="{7A77DD0A-A662-4E0C-B96A-CA4259DFC73A}" name="Idade" dataDxfId="36">
      <calculatedColumnFormula>(NOW()-TBL_Clientes[[#This Row],[Dt_Nasc]])/360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940C1D-8577-4697-8E1B-15635F9FB156}" name="Tabela4" displayName="Tabela4" ref="B5:G10" totalsRowShown="0">
  <autoFilter ref="B5:G10" xr:uid="{F5940C1D-8577-4697-8E1B-15635F9FB156}"/>
  <tableColumns count="6">
    <tableColumn id="1" xr3:uid="{ECC98801-EACC-4E9B-906C-D7B18F171983}" name="Cod_Prod" dataDxfId="35"/>
    <tableColumn id="2" xr3:uid="{A293641D-B0BA-4BE6-8B27-19907B582309}" name="Descricao"/>
    <tableColumn id="3" xr3:uid="{715ACBE7-D796-468F-B4E9-B8C922438808}" name="Classificacao"/>
    <tableColumn id="4" xr3:uid="{AA35D4C4-46B9-4BDF-AA26-50B4C6E8839C}" name="Preco_Compra" dataDxfId="34"/>
    <tableColumn id="5" xr3:uid="{922B920B-B8E5-4ABF-AAF1-7C2EFEA7AEF4}" name="Preco_venda" dataDxfId="33"/>
    <tableColumn id="6" xr3:uid="{96EB52B4-A679-4549-9C2F-D57696CC191D}" name="Lucro" dataDxfId="32">
      <calculatedColumnFormula>Tabela4[[#This Row],[Preco_venda]]-Tabela4[[#This Row],[Preco_Compra]]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4F18BA-F0BC-4841-B673-6919E5F5048F}" name="Tabela3" displayName="Tabela3" ref="B2:B5" totalsRowShown="0">
  <autoFilter ref="B2:B5" xr:uid="{5E4F18BA-F0BC-4841-B673-6919E5F5048F}"/>
  <tableColumns count="1">
    <tableColumn id="1" xr3:uid="{769B8D5F-8369-41A1-A29F-973F9CB388D0}" name="Sexo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267B685-7D36-46F9-B738-CDBF4D0BB675}" name="tIpo" displayName="tIpo" ref="E2:E9" totalsRowShown="0" headerRowDxfId="31" dataDxfId="30">
  <autoFilter ref="E2:E9" xr:uid="{E267B685-7D36-46F9-B738-CDBF4D0BB675}"/>
  <tableColumns count="1">
    <tableColumn id="1" xr3:uid="{89A66B9E-3D51-4A24-ABCE-38F165F38F0A}" name="Tipo" dataDxfId="29"/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BB6A6C6-0C1A-4CBE-808D-3F90843EB979}" name="Titulo" displayName="Titulo" ref="G2:G20" totalsRowShown="0" headerRowDxfId="28" dataDxfId="27" tableBorderDxfId="26">
  <autoFilter ref="G2:G20" xr:uid="{8BB6A6C6-0C1A-4CBE-808D-3F90843EB979}"/>
  <tableColumns count="1">
    <tableColumn id="1" xr3:uid="{86479B66-7B9B-4831-8F81-262A0A4E6407}" name="Titulo" dataDxfId="25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C38C743-6B5D-4D13-A789-9D9BFAC0E379}" name="Tabela5" displayName="Tabela5" ref="B2:H16" totalsRowShown="0" headerRowDxfId="16" dataDxfId="15">
  <autoFilter ref="B2:H16" xr:uid="{3C38C743-6B5D-4D13-A789-9D9BFAC0E379}"/>
  <sortState xmlns:xlrd2="http://schemas.microsoft.com/office/spreadsheetml/2017/richdata2" ref="B3:G16">
    <sortCondition descending="1" ref="G2:G16"/>
  </sortState>
  <tableColumns count="7">
    <tableColumn id="1" xr3:uid="{125D3CAC-639A-4C75-9F2E-A38ACF9B0C9E}" name="TIPO" dataDxfId="14"/>
    <tableColumn id="2" xr3:uid="{EA2929FB-C119-41D1-80DB-9D7620BA21C0}" name="RAZÃO SOCIAL" dataDxfId="13"/>
    <tableColumn id="3" xr3:uid="{BAF330D1-FCFF-48B5-96DC-F6F389D484BB}" name="TICKER" dataDxfId="12">
      <calculatedColumnFormula array="1">_FV(C3,"Símbolo do ticker",TRUE)</calculatedColumnFormula>
    </tableColumn>
    <tableColumn id="4" xr3:uid="{1A83B17D-1755-4282-AA5B-2916DF9967D3}" name="PREÇO" dataDxfId="11">
      <calculatedColumnFormula array="1">_FV(C3,"Preço")</calculatedColumnFormula>
    </tableColumn>
    <tableColumn id="5" xr3:uid="{C1F3360D-55B4-46E9-86BB-04F0D733E20D}" name="COTAS" dataDxfId="10"/>
    <tableColumn id="6" xr3:uid="{CC9EABBA-17AA-4B50-85AB-8228EA7070BC}" name="VALOR" dataDxfId="9">
      <calculatedColumnFormula>E3*F3</calculatedColumnFormula>
    </tableColumn>
    <tableColumn id="7" xr3:uid="{78AA16E8-6C85-42CC-8936-05F69A715AF4}" name="Variação (%)" dataDxfId="8">
      <calculatedColumnFormula array="1">_FV(Tabela5[[#This Row],[RAZÃO SOCIAL]],"Variação (%)",TRUE)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E51FC-6B08-4BFD-BC7E-82A79928CBC8}">
  <dimension ref="A4:O24"/>
  <sheetViews>
    <sheetView zoomScale="120" zoomScaleNormal="120" workbookViewId="0">
      <selection activeCell="B24" sqref="B24"/>
    </sheetView>
  </sheetViews>
  <sheetFormatPr defaultRowHeight="14.4" x14ac:dyDescent="0.3"/>
  <cols>
    <col min="1" max="1" width="16.5546875" bestFit="1" customWidth="1"/>
    <col min="2" max="2" width="12.33203125" bestFit="1" customWidth="1"/>
    <col min="3" max="3" width="16.44140625" customWidth="1"/>
    <col min="4" max="5" width="16.5546875" bestFit="1" customWidth="1"/>
    <col min="6" max="14" width="15.33203125" customWidth="1"/>
  </cols>
  <sheetData>
    <row r="4" spans="1:15" x14ac:dyDescent="0.3">
      <c r="A4" s="1" t="s">
        <v>0</v>
      </c>
      <c r="B4" s="2" t="s">
        <v>7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J4" s="2" t="s">
        <v>16</v>
      </c>
      <c r="K4" s="2" t="s">
        <v>17</v>
      </c>
      <c r="L4" s="2" t="s">
        <v>18</v>
      </c>
      <c r="M4" s="2" t="s">
        <v>19</v>
      </c>
      <c r="N4" s="2" t="s">
        <v>20</v>
      </c>
      <c r="O4" s="2" t="s">
        <v>8</v>
      </c>
    </row>
    <row r="5" spans="1:15" x14ac:dyDescent="0.3">
      <c r="A5" s="1" t="s">
        <v>1</v>
      </c>
      <c r="B5" s="7">
        <f>C5/$C$11</f>
        <v>0.52631578947368418</v>
      </c>
      <c r="C5" s="5">
        <v>5000</v>
      </c>
      <c r="D5" s="5">
        <f>C5+(C5*$B$23)</f>
        <v>5100</v>
      </c>
      <c r="E5" s="5">
        <f t="shared" ref="E5:N5" si="0">D5+(D5*$B$23)</f>
        <v>5202</v>
      </c>
      <c r="F5" s="5">
        <f t="shared" si="0"/>
        <v>5306.04</v>
      </c>
      <c r="G5" s="5">
        <f t="shared" si="0"/>
        <v>5412.1607999999997</v>
      </c>
      <c r="H5" s="5">
        <f t="shared" si="0"/>
        <v>5520.4040159999995</v>
      </c>
      <c r="I5" s="5">
        <f t="shared" si="0"/>
        <v>5630.8120963199999</v>
      </c>
      <c r="J5" s="5">
        <f t="shared" si="0"/>
        <v>5743.4283382464</v>
      </c>
      <c r="K5" s="5">
        <f t="shared" si="0"/>
        <v>5858.2969050113279</v>
      </c>
      <c r="L5" s="5">
        <f t="shared" si="0"/>
        <v>5975.4628431115543</v>
      </c>
      <c r="M5" s="5">
        <f t="shared" si="0"/>
        <v>6094.9720999737856</v>
      </c>
      <c r="N5" s="5">
        <f t="shared" si="0"/>
        <v>6216.8715419732616</v>
      </c>
      <c r="O5" s="3"/>
    </row>
    <row r="6" spans="1:15" x14ac:dyDescent="0.3">
      <c r="A6" s="1" t="s">
        <v>2</v>
      </c>
      <c r="B6" s="7">
        <f>C6/$C$11</f>
        <v>0.31578947368421051</v>
      </c>
      <c r="C6" s="5">
        <v>3000</v>
      </c>
      <c r="D6" s="5">
        <f t="shared" ref="D6:N7" si="1">C6+(C6*$B$23)</f>
        <v>3060</v>
      </c>
      <c r="E6" s="5">
        <f t="shared" si="1"/>
        <v>3121.2</v>
      </c>
      <c r="F6" s="5">
        <f t="shared" si="1"/>
        <v>3183.6239999999998</v>
      </c>
      <c r="G6" s="5">
        <f t="shared" si="1"/>
        <v>3247.29648</v>
      </c>
      <c r="H6" s="5">
        <f t="shared" si="1"/>
        <v>3312.2424096</v>
      </c>
      <c r="I6" s="5">
        <f t="shared" si="1"/>
        <v>3378.487257792</v>
      </c>
      <c r="J6" s="5">
        <f t="shared" si="1"/>
        <v>3446.0570029478399</v>
      </c>
      <c r="K6" s="5">
        <f t="shared" si="1"/>
        <v>3514.9781430067969</v>
      </c>
      <c r="L6" s="5">
        <f t="shared" si="1"/>
        <v>3585.277705866933</v>
      </c>
      <c r="M6" s="5">
        <f t="shared" si="1"/>
        <v>3656.9832599842716</v>
      </c>
      <c r="N6" s="5">
        <f t="shared" si="1"/>
        <v>3730.1229251839572</v>
      </c>
      <c r="O6" s="3"/>
    </row>
    <row r="7" spans="1:15" x14ac:dyDescent="0.3">
      <c r="A7" s="1" t="s">
        <v>3</v>
      </c>
      <c r="B7" s="7">
        <f>C7/$C$11</f>
        <v>0.15789473684210525</v>
      </c>
      <c r="C7" s="5">
        <v>1500</v>
      </c>
      <c r="D7" s="5">
        <f t="shared" si="1"/>
        <v>1530</v>
      </c>
      <c r="E7" s="5">
        <f t="shared" si="1"/>
        <v>1560.6</v>
      </c>
      <c r="F7" s="5">
        <f t="shared" si="1"/>
        <v>1591.8119999999999</v>
      </c>
      <c r="G7" s="5">
        <f t="shared" si="1"/>
        <v>1623.64824</v>
      </c>
      <c r="H7" s="5">
        <f t="shared" si="1"/>
        <v>1656.1212048</v>
      </c>
      <c r="I7" s="5">
        <f t="shared" si="1"/>
        <v>1689.243628896</v>
      </c>
      <c r="J7" s="5">
        <f t="shared" si="1"/>
        <v>1723.02850147392</v>
      </c>
      <c r="K7" s="5">
        <f t="shared" si="1"/>
        <v>1757.4890715033985</v>
      </c>
      <c r="L7" s="5">
        <f t="shared" si="1"/>
        <v>1792.6388529334665</v>
      </c>
      <c r="M7" s="5">
        <f t="shared" si="1"/>
        <v>1828.4916299921358</v>
      </c>
      <c r="N7" s="5">
        <f t="shared" si="1"/>
        <v>1865.0614625919786</v>
      </c>
      <c r="O7" s="3"/>
    </row>
    <row r="8" spans="1:15" x14ac:dyDescent="0.3">
      <c r="A8" s="1" t="s">
        <v>4</v>
      </c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3"/>
    </row>
    <row r="9" spans="1:15" x14ac:dyDescent="0.3">
      <c r="A9" s="1" t="s">
        <v>5</v>
      </c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3"/>
    </row>
    <row r="10" spans="1:15" x14ac:dyDescent="0.3">
      <c r="A10" s="1" t="s">
        <v>6</v>
      </c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3"/>
    </row>
    <row r="11" spans="1:15" x14ac:dyDescent="0.3">
      <c r="A11" s="1" t="s">
        <v>21</v>
      </c>
      <c r="B11" s="8">
        <f>SUM(B5:B10)</f>
        <v>1</v>
      </c>
      <c r="C11" s="6">
        <f>SUM(C5:C7)</f>
        <v>9500</v>
      </c>
      <c r="D11" s="6">
        <f>SUM(D5:D10)</f>
        <v>9690</v>
      </c>
      <c r="E11" s="6">
        <f t="shared" ref="E11:N11" si="2">SUM(E5:E10)</f>
        <v>9883.8000000000011</v>
      </c>
      <c r="F11" s="6">
        <f t="shared" si="2"/>
        <v>10081.476000000001</v>
      </c>
      <c r="G11" s="6">
        <f t="shared" si="2"/>
        <v>10283.105519999999</v>
      </c>
      <c r="H11" s="6">
        <f t="shared" si="2"/>
        <v>10488.7676304</v>
      </c>
      <c r="I11" s="6">
        <f t="shared" si="2"/>
        <v>10698.542983007999</v>
      </c>
      <c r="J11" s="6">
        <f t="shared" si="2"/>
        <v>10912.513842668161</v>
      </c>
      <c r="K11" s="6">
        <f t="shared" si="2"/>
        <v>11130.764119521522</v>
      </c>
      <c r="L11" s="6">
        <f t="shared" si="2"/>
        <v>11353.379401911954</v>
      </c>
      <c r="M11" s="6">
        <f t="shared" si="2"/>
        <v>11580.446989950193</v>
      </c>
      <c r="N11" s="6">
        <f t="shared" si="2"/>
        <v>11812.055929749198</v>
      </c>
    </row>
    <row r="12" spans="1:15" x14ac:dyDescent="0.3">
      <c r="A12" s="1" t="s">
        <v>22</v>
      </c>
    </row>
    <row r="13" spans="1:15" x14ac:dyDescent="0.3">
      <c r="A13" s="1" t="s">
        <v>23</v>
      </c>
      <c r="B13" s="10">
        <v>0.18</v>
      </c>
      <c r="C13" s="11">
        <f>C11*B13</f>
        <v>1710</v>
      </c>
      <c r="D13" s="11">
        <f>C13+(C13*$B$24)</f>
        <v>1718.55</v>
      </c>
      <c r="E13" s="11">
        <f t="shared" ref="E13:N13" si="3">D13+(D13*$B$24)</f>
        <v>1727.14275</v>
      </c>
      <c r="F13" s="11">
        <f t="shared" si="3"/>
        <v>1735.7784637499999</v>
      </c>
      <c r="G13" s="11">
        <f t="shared" si="3"/>
        <v>1744.45735606875</v>
      </c>
      <c r="H13" s="11">
        <f t="shared" si="3"/>
        <v>1753.1796428490936</v>
      </c>
      <c r="I13" s="11">
        <f t="shared" si="3"/>
        <v>1761.9455410633391</v>
      </c>
      <c r="J13" s="11">
        <f t="shared" si="3"/>
        <v>1770.7552687686557</v>
      </c>
      <c r="K13" s="11">
        <f t="shared" si="3"/>
        <v>1779.609045112499</v>
      </c>
      <c r="L13" s="11">
        <f t="shared" si="3"/>
        <v>1788.5070903380615</v>
      </c>
      <c r="M13" s="11">
        <f t="shared" si="3"/>
        <v>1797.4496257897517</v>
      </c>
      <c r="N13" s="11">
        <f t="shared" si="3"/>
        <v>1806.4368739187005</v>
      </c>
      <c r="O13" s="3"/>
    </row>
    <row r="14" spans="1:15" x14ac:dyDescent="0.3">
      <c r="A14" s="1" t="s">
        <v>24</v>
      </c>
      <c r="B14" s="9">
        <v>7.0000000000000007E-2</v>
      </c>
      <c r="C14" s="11">
        <f t="shared" ref="C14:C19" si="4">$C$11*B14</f>
        <v>665.00000000000011</v>
      </c>
      <c r="D14" s="11">
        <f t="shared" ref="D14:N19" si="5">C14+(C14*$B$24)</f>
        <v>668.32500000000016</v>
      </c>
      <c r="E14" s="11">
        <f t="shared" si="5"/>
        <v>671.66662500000018</v>
      </c>
      <c r="F14" s="11">
        <f t="shared" si="5"/>
        <v>675.02495812500013</v>
      </c>
      <c r="G14" s="11">
        <f t="shared" si="5"/>
        <v>678.40008291562515</v>
      </c>
      <c r="H14" s="11">
        <f t="shared" si="5"/>
        <v>681.79208333020324</v>
      </c>
      <c r="I14" s="11">
        <f t="shared" si="5"/>
        <v>685.20104374685422</v>
      </c>
      <c r="J14" s="11">
        <f t="shared" si="5"/>
        <v>688.62704896558853</v>
      </c>
      <c r="K14" s="11">
        <f t="shared" si="5"/>
        <v>692.07018421041653</v>
      </c>
      <c r="L14" s="11">
        <f t="shared" si="5"/>
        <v>695.53053513146858</v>
      </c>
      <c r="M14" s="11">
        <f t="shared" si="5"/>
        <v>699.00818780712598</v>
      </c>
      <c r="N14" s="11">
        <f t="shared" si="5"/>
        <v>702.50322874616165</v>
      </c>
      <c r="O14" s="3"/>
    </row>
    <row r="15" spans="1:15" x14ac:dyDescent="0.3">
      <c r="A15" s="1" t="s">
        <v>25</v>
      </c>
      <c r="B15" s="9">
        <v>0.05</v>
      </c>
      <c r="C15" s="11">
        <f t="shared" si="4"/>
        <v>475</v>
      </c>
      <c r="D15" s="11">
        <f t="shared" si="5"/>
        <v>477.375</v>
      </c>
      <c r="E15" s="11">
        <f t="shared" si="5"/>
        <v>479.76187499999997</v>
      </c>
      <c r="F15" s="11">
        <f t="shared" si="5"/>
        <v>482.16068437499996</v>
      </c>
      <c r="G15" s="11">
        <f t="shared" si="5"/>
        <v>484.57148779687498</v>
      </c>
      <c r="H15" s="11">
        <f t="shared" si="5"/>
        <v>486.99434523585933</v>
      </c>
      <c r="I15" s="11">
        <f t="shared" si="5"/>
        <v>489.42931696203863</v>
      </c>
      <c r="J15" s="11">
        <f t="shared" si="5"/>
        <v>491.87646354684881</v>
      </c>
      <c r="K15" s="11">
        <f t="shared" si="5"/>
        <v>494.33584586458306</v>
      </c>
      <c r="L15" s="11">
        <f t="shared" si="5"/>
        <v>496.80752509390595</v>
      </c>
      <c r="M15" s="11">
        <f t="shared" si="5"/>
        <v>499.29156271937546</v>
      </c>
      <c r="N15" s="11">
        <f t="shared" si="5"/>
        <v>501.78802053297233</v>
      </c>
      <c r="O15" s="3"/>
    </row>
    <row r="16" spans="1:15" x14ac:dyDescent="0.3">
      <c r="A16" s="1" t="s">
        <v>26</v>
      </c>
      <c r="B16" s="9">
        <v>0.02</v>
      </c>
      <c r="C16" s="11">
        <f t="shared" si="4"/>
        <v>190</v>
      </c>
      <c r="D16" s="11">
        <f t="shared" si="5"/>
        <v>190.95</v>
      </c>
      <c r="E16" s="11">
        <f t="shared" si="5"/>
        <v>191.90474999999998</v>
      </c>
      <c r="F16" s="11">
        <f t="shared" si="5"/>
        <v>192.86427374999997</v>
      </c>
      <c r="G16" s="11">
        <f t="shared" si="5"/>
        <v>193.82859511874997</v>
      </c>
      <c r="H16" s="11">
        <f t="shared" si="5"/>
        <v>194.79773809434371</v>
      </c>
      <c r="I16" s="11">
        <f t="shared" si="5"/>
        <v>195.77172678481543</v>
      </c>
      <c r="J16" s="11">
        <f t="shared" si="5"/>
        <v>196.75058541873952</v>
      </c>
      <c r="K16" s="11">
        <f t="shared" si="5"/>
        <v>197.73433834583321</v>
      </c>
      <c r="L16" s="11">
        <f t="shared" si="5"/>
        <v>198.72301003756237</v>
      </c>
      <c r="M16" s="11">
        <f t="shared" si="5"/>
        <v>199.71662508775017</v>
      </c>
      <c r="N16" s="11">
        <f t="shared" si="5"/>
        <v>200.71520821318893</v>
      </c>
      <c r="O16" s="3"/>
    </row>
    <row r="17" spans="1:15" x14ac:dyDescent="0.3">
      <c r="A17" s="1" t="s">
        <v>27</v>
      </c>
      <c r="B17" s="9">
        <v>0.2</v>
      </c>
      <c r="C17" s="11">
        <f t="shared" si="4"/>
        <v>1900</v>
      </c>
      <c r="D17" s="11">
        <f t="shared" si="5"/>
        <v>1909.5</v>
      </c>
      <c r="E17" s="11">
        <f t="shared" si="5"/>
        <v>1919.0474999999999</v>
      </c>
      <c r="F17" s="11">
        <f t="shared" si="5"/>
        <v>1928.6427374999998</v>
      </c>
      <c r="G17" s="11">
        <f t="shared" si="5"/>
        <v>1938.2859511874999</v>
      </c>
      <c r="H17" s="11">
        <f t="shared" si="5"/>
        <v>1947.9773809434373</v>
      </c>
      <c r="I17" s="11">
        <f t="shared" si="5"/>
        <v>1957.7172678481545</v>
      </c>
      <c r="J17" s="11">
        <f t="shared" si="5"/>
        <v>1967.5058541873952</v>
      </c>
      <c r="K17" s="11">
        <f t="shared" si="5"/>
        <v>1977.3433834583323</v>
      </c>
      <c r="L17" s="11">
        <f t="shared" si="5"/>
        <v>1987.2301003756238</v>
      </c>
      <c r="M17" s="11">
        <f t="shared" si="5"/>
        <v>1997.1662508775019</v>
      </c>
      <c r="N17" s="11">
        <f t="shared" si="5"/>
        <v>2007.1520821318893</v>
      </c>
      <c r="O17" s="3"/>
    </row>
    <row r="18" spans="1:15" x14ac:dyDescent="0.3">
      <c r="A18" s="1" t="s">
        <v>28</v>
      </c>
      <c r="B18" s="9"/>
      <c r="C18" s="11">
        <f t="shared" si="4"/>
        <v>0</v>
      </c>
      <c r="D18" s="11">
        <f t="shared" si="5"/>
        <v>0</v>
      </c>
      <c r="E18" s="11">
        <f t="shared" si="5"/>
        <v>0</v>
      </c>
      <c r="F18" s="11">
        <f t="shared" si="5"/>
        <v>0</v>
      </c>
      <c r="G18" s="11">
        <f t="shared" si="5"/>
        <v>0</v>
      </c>
      <c r="H18" s="11">
        <f t="shared" si="5"/>
        <v>0</v>
      </c>
      <c r="I18" s="11">
        <f t="shared" si="5"/>
        <v>0</v>
      </c>
      <c r="J18" s="11">
        <f t="shared" si="5"/>
        <v>0</v>
      </c>
      <c r="K18" s="11">
        <f t="shared" si="5"/>
        <v>0</v>
      </c>
      <c r="L18" s="11">
        <f t="shared" si="5"/>
        <v>0</v>
      </c>
      <c r="M18" s="11">
        <f t="shared" si="5"/>
        <v>0</v>
      </c>
      <c r="N18" s="11">
        <f t="shared" si="5"/>
        <v>0</v>
      </c>
      <c r="O18" s="3"/>
    </row>
    <row r="19" spans="1:15" x14ac:dyDescent="0.3">
      <c r="A19" s="1" t="s">
        <v>29</v>
      </c>
      <c r="B19" s="8">
        <f>SUM(B13:B18)</f>
        <v>0.52</v>
      </c>
      <c r="C19" s="11">
        <f t="shared" si="4"/>
        <v>4940</v>
      </c>
      <c r="D19" s="11">
        <f t="shared" si="5"/>
        <v>4964.7</v>
      </c>
      <c r="E19" s="11">
        <f t="shared" si="5"/>
        <v>4989.5235000000002</v>
      </c>
      <c r="F19" s="11">
        <f t="shared" si="5"/>
        <v>5014.4711175000002</v>
      </c>
      <c r="G19" s="11">
        <f t="shared" si="5"/>
        <v>5039.5434730875004</v>
      </c>
      <c r="H19" s="11">
        <f t="shared" si="5"/>
        <v>5064.7411904529381</v>
      </c>
      <c r="I19" s="11">
        <f t="shared" si="5"/>
        <v>5090.0648964052025</v>
      </c>
      <c r="J19" s="11">
        <f t="shared" si="5"/>
        <v>5115.5152208872287</v>
      </c>
      <c r="K19" s="11">
        <f t="shared" si="5"/>
        <v>5141.0927969916647</v>
      </c>
      <c r="L19" s="11">
        <f t="shared" si="5"/>
        <v>5166.7982609766232</v>
      </c>
      <c r="M19" s="11">
        <f t="shared" si="5"/>
        <v>5192.6322522815062</v>
      </c>
      <c r="N19" s="11">
        <f t="shared" si="5"/>
        <v>5218.5954135429138</v>
      </c>
    </row>
    <row r="20" spans="1:15" x14ac:dyDescent="0.3">
      <c r="A20" s="1" t="s">
        <v>30</v>
      </c>
      <c r="B20" s="3" t="s">
        <v>32</v>
      </c>
      <c r="C20" s="11">
        <f>C11-C19</f>
        <v>4560</v>
      </c>
      <c r="D20" s="11">
        <f>D11-D19</f>
        <v>4725.3</v>
      </c>
      <c r="E20" s="11">
        <f t="shared" ref="E20:N20" si="6">E11-E19</f>
        <v>4894.2765000000009</v>
      </c>
      <c r="F20" s="11">
        <f t="shared" si="6"/>
        <v>5067.0048825000003</v>
      </c>
      <c r="G20" s="11">
        <f t="shared" si="6"/>
        <v>5243.5620469124988</v>
      </c>
      <c r="H20" s="11">
        <f t="shared" si="6"/>
        <v>5424.0264399470616</v>
      </c>
      <c r="I20" s="11">
        <f t="shared" si="6"/>
        <v>5608.4780866027968</v>
      </c>
      <c r="J20" s="11">
        <f t="shared" si="6"/>
        <v>5796.9986217809319</v>
      </c>
      <c r="K20" s="11">
        <f t="shared" si="6"/>
        <v>5989.6713225298572</v>
      </c>
      <c r="L20" s="11">
        <f t="shared" si="6"/>
        <v>6186.581140935331</v>
      </c>
      <c r="M20" s="11">
        <f t="shared" si="6"/>
        <v>6387.8147376686866</v>
      </c>
      <c r="N20" s="11">
        <f t="shared" si="6"/>
        <v>6593.4605162062844</v>
      </c>
      <c r="O20" s="3"/>
    </row>
    <row r="21" spans="1:15" x14ac:dyDescent="0.3">
      <c r="A21" s="1" t="s">
        <v>31</v>
      </c>
      <c r="B21" s="13">
        <v>-30000</v>
      </c>
      <c r="C21" s="12">
        <f>B21+C20</f>
        <v>-25440</v>
      </c>
      <c r="D21" s="12">
        <f>C21+D20</f>
        <v>-20714.7</v>
      </c>
      <c r="E21" s="12">
        <f t="shared" ref="E21:N21" si="7">D21+E20</f>
        <v>-15820.423500000001</v>
      </c>
      <c r="F21" s="12">
        <f t="shared" si="7"/>
        <v>-10753.4186175</v>
      </c>
      <c r="G21" s="12">
        <f t="shared" si="7"/>
        <v>-5509.8565705875008</v>
      </c>
      <c r="H21" s="12">
        <f t="shared" si="7"/>
        <v>-85.830130640439165</v>
      </c>
      <c r="I21" s="12">
        <f t="shared" si="7"/>
        <v>5522.6479559623576</v>
      </c>
      <c r="J21" s="12">
        <f t="shared" si="7"/>
        <v>11319.64657774329</v>
      </c>
      <c r="K21" s="12">
        <f t="shared" si="7"/>
        <v>17309.317900273149</v>
      </c>
      <c r="L21" s="12">
        <f t="shared" si="7"/>
        <v>23495.899041208479</v>
      </c>
      <c r="M21" s="12">
        <f t="shared" si="7"/>
        <v>29883.713778877165</v>
      </c>
      <c r="N21" s="12">
        <f t="shared" si="7"/>
        <v>36477.174295083452</v>
      </c>
      <c r="O21" s="3"/>
    </row>
    <row r="23" spans="1:15" x14ac:dyDescent="0.3">
      <c r="A23" s="1" t="s">
        <v>33</v>
      </c>
      <c r="B23" s="14">
        <v>0.02</v>
      </c>
    </row>
    <row r="24" spans="1:15" x14ac:dyDescent="0.3">
      <c r="A24" s="1" t="s">
        <v>34</v>
      </c>
      <c r="B24" s="14">
        <v>5.0000000000000001E-3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93AE4-029D-443A-AA76-FF6852E54626}">
  <dimension ref="A1"/>
  <sheetViews>
    <sheetView workbookViewId="0">
      <selection sqref="A1:S16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64929-C98C-407E-96FB-AB05E75DD443}">
  <dimension ref="A2:G10"/>
  <sheetViews>
    <sheetView zoomScale="94" workbookViewId="0">
      <selection activeCell="A3" sqref="A3"/>
    </sheetView>
  </sheetViews>
  <sheetFormatPr defaultRowHeight="14.4" x14ac:dyDescent="0.3"/>
  <cols>
    <col min="1" max="2" width="14.33203125" customWidth="1"/>
    <col min="3" max="3" width="21.109375" bestFit="1" customWidth="1"/>
    <col min="4" max="7" width="14.33203125" customWidth="1"/>
  </cols>
  <sheetData>
    <row r="2" spans="1:7" x14ac:dyDescent="0.3">
      <c r="A2" s="19" t="s">
        <v>35</v>
      </c>
      <c r="B2" s="20" t="s">
        <v>36</v>
      </c>
      <c r="C2" s="20" t="s">
        <v>37</v>
      </c>
      <c r="D2" s="20" t="s">
        <v>38</v>
      </c>
      <c r="E2" s="20" t="s">
        <v>39</v>
      </c>
      <c r="F2" s="20" t="s">
        <v>40</v>
      </c>
      <c r="G2" s="21" t="s">
        <v>41</v>
      </c>
    </row>
    <row r="3" spans="1:7" x14ac:dyDescent="0.3">
      <c r="A3" s="17">
        <v>1</v>
      </c>
      <c r="B3" s="16">
        <v>45548</v>
      </c>
      <c r="C3" s="3" t="s">
        <v>42</v>
      </c>
      <c r="D3" s="3">
        <v>7</v>
      </c>
      <c r="E3" s="3">
        <v>6</v>
      </c>
      <c r="F3" s="3">
        <v>3</v>
      </c>
      <c r="G3" s="18">
        <f t="shared" ref="G3:G10" si="0">D3*E3*F3</f>
        <v>126</v>
      </c>
    </row>
    <row r="4" spans="1:7" x14ac:dyDescent="0.3">
      <c r="A4" s="17">
        <v>2</v>
      </c>
      <c r="B4" s="16">
        <v>45407</v>
      </c>
      <c r="C4" s="3"/>
      <c r="D4" s="3">
        <v>8</v>
      </c>
      <c r="E4" s="3">
        <v>4</v>
      </c>
      <c r="F4" s="3">
        <v>2</v>
      </c>
      <c r="G4" s="18">
        <f t="shared" si="0"/>
        <v>64</v>
      </c>
    </row>
    <row r="5" spans="1:7" x14ac:dyDescent="0.3">
      <c r="A5" s="17">
        <v>3</v>
      </c>
      <c r="B5" s="16">
        <v>45319</v>
      </c>
      <c r="C5" s="3"/>
      <c r="D5" s="3">
        <v>7</v>
      </c>
      <c r="E5" s="3">
        <v>6</v>
      </c>
      <c r="F5" s="3">
        <v>2</v>
      </c>
      <c r="G5" s="18">
        <f t="shared" si="0"/>
        <v>84</v>
      </c>
    </row>
    <row r="6" spans="1:7" x14ac:dyDescent="0.3">
      <c r="A6" s="17">
        <v>4</v>
      </c>
      <c r="B6" s="16">
        <v>45397</v>
      </c>
      <c r="C6" s="3"/>
      <c r="D6" s="3">
        <v>8</v>
      </c>
      <c r="E6" s="3">
        <v>6</v>
      </c>
      <c r="F6" s="3">
        <v>1</v>
      </c>
      <c r="G6" s="18">
        <f t="shared" si="0"/>
        <v>48</v>
      </c>
    </row>
    <row r="7" spans="1:7" x14ac:dyDescent="0.3">
      <c r="A7" s="17">
        <v>5</v>
      </c>
      <c r="B7" s="16">
        <v>45622</v>
      </c>
      <c r="C7" s="3"/>
      <c r="D7" s="3">
        <v>9</v>
      </c>
      <c r="E7" s="3">
        <v>6</v>
      </c>
      <c r="F7" s="3">
        <v>3</v>
      </c>
      <c r="G7" s="18">
        <f t="shared" si="0"/>
        <v>162</v>
      </c>
    </row>
    <row r="8" spans="1:7" x14ac:dyDescent="0.3">
      <c r="A8" s="17">
        <v>6</v>
      </c>
      <c r="B8" s="16">
        <v>45317</v>
      </c>
      <c r="C8" s="3"/>
      <c r="D8" s="3">
        <v>7</v>
      </c>
      <c r="E8" s="3">
        <v>4</v>
      </c>
      <c r="F8" s="3">
        <v>3</v>
      </c>
      <c r="G8" s="18">
        <f t="shared" si="0"/>
        <v>84</v>
      </c>
    </row>
    <row r="9" spans="1:7" x14ac:dyDescent="0.3">
      <c r="A9" s="17">
        <v>7</v>
      </c>
      <c r="B9" s="16">
        <v>45368</v>
      </c>
      <c r="C9" s="3"/>
      <c r="D9" s="3">
        <v>8</v>
      </c>
      <c r="E9" s="3">
        <v>6</v>
      </c>
      <c r="F9" s="3">
        <v>1</v>
      </c>
      <c r="G9" s="18">
        <f t="shared" si="0"/>
        <v>48</v>
      </c>
    </row>
    <row r="10" spans="1:7" x14ac:dyDescent="0.3">
      <c r="A10" s="22">
        <v>8</v>
      </c>
      <c r="B10" s="23">
        <v>45459</v>
      </c>
      <c r="C10" s="24"/>
      <c r="D10" s="24">
        <v>9</v>
      </c>
      <c r="E10" s="24">
        <v>5</v>
      </c>
      <c r="F10" s="24">
        <v>3</v>
      </c>
      <c r="G10" s="25">
        <f t="shared" si="0"/>
        <v>135</v>
      </c>
    </row>
  </sheetData>
  <sortState xmlns:xlrd2="http://schemas.microsoft.com/office/spreadsheetml/2017/richdata2" ref="A3:G10">
    <sortCondition ref="B3:B10"/>
  </sortState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6862A-07F6-4132-921D-A9C28D86C4B8}">
  <dimension ref="A1:AD18"/>
  <sheetViews>
    <sheetView workbookViewId="0">
      <selection activeCell="J9" sqref="J9"/>
    </sheetView>
  </sheetViews>
  <sheetFormatPr defaultRowHeight="14.4" x14ac:dyDescent="0.3"/>
  <cols>
    <col min="1" max="1" width="12.109375" bestFit="1" customWidth="1"/>
    <col min="2" max="2" width="15.44140625" bestFit="1" customWidth="1"/>
    <col min="3" max="3" width="6" bestFit="1" customWidth="1"/>
    <col min="4" max="5" width="5" bestFit="1" customWidth="1"/>
    <col min="6" max="6" width="8.44140625" bestFit="1" customWidth="1"/>
    <col min="7" max="7" width="5" bestFit="1" customWidth="1"/>
    <col min="8" max="8" width="3.88671875" bestFit="1" customWidth="1"/>
    <col min="9" max="9" width="8.44140625" bestFit="1" customWidth="1"/>
    <col min="10" max="10" width="11.88671875" bestFit="1" customWidth="1"/>
    <col min="12" max="19" width="3.33203125" customWidth="1"/>
    <col min="20" max="27" width="3" customWidth="1"/>
    <col min="29" max="29" width="12.109375" bestFit="1" customWidth="1"/>
    <col min="30" max="31" width="23.6640625" bestFit="1" customWidth="1"/>
  </cols>
  <sheetData>
    <row r="1" spans="1:30" ht="15" thickBot="1" x14ac:dyDescent="0.35">
      <c r="A1" s="67" t="s">
        <v>43</v>
      </c>
      <c r="B1" s="67"/>
      <c r="C1" s="67"/>
      <c r="D1" s="67"/>
      <c r="E1" s="67"/>
      <c r="F1" s="67"/>
      <c r="G1" s="67"/>
      <c r="H1" s="67"/>
      <c r="I1" s="67"/>
      <c r="J1" s="26"/>
      <c r="K1" s="26"/>
      <c r="L1" s="26"/>
      <c r="M1" s="26"/>
      <c r="N1" s="26"/>
      <c r="O1" s="26"/>
      <c r="P1" s="26"/>
      <c r="Q1" s="26"/>
      <c r="R1" s="26"/>
      <c r="S1" s="26"/>
    </row>
    <row r="2" spans="1:30" ht="15" thickBot="1" x14ac:dyDescent="0.35">
      <c r="A2" s="68" t="s">
        <v>61</v>
      </c>
      <c r="B2" s="68"/>
      <c r="C2" s="68"/>
      <c r="D2" s="68"/>
      <c r="E2" s="68"/>
      <c r="F2" s="68"/>
      <c r="G2" s="68"/>
      <c r="H2" s="68"/>
      <c r="I2" s="68"/>
      <c r="J2" s="27"/>
      <c r="K2" s="26"/>
      <c r="L2" s="69" t="s">
        <v>44</v>
      </c>
      <c r="M2" s="70"/>
      <c r="N2" s="71"/>
      <c r="O2" s="72" t="s">
        <v>45</v>
      </c>
      <c r="P2" s="70"/>
      <c r="Q2" s="70"/>
      <c r="R2" s="70"/>
      <c r="S2" s="71"/>
      <c r="T2" s="72" t="s">
        <v>46</v>
      </c>
      <c r="U2" s="70"/>
      <c r="V2" s="70"/>
      <c r="W2" s="71"/>
      <c r="X2" s="72" t="s">
        <v>47</v>
      </c>
      <c r="Y2" s="70"/>
      <c r="Z2" s="70"/>
      <c r="AA2" s="73"/>
      <c r="AC2" s="28"/>
      <c r="AD2" s="29"/>
    </row>
    <row r="3" spans="1:30" x14ac:dyDescent="0.3">
      <c r="A3" s="30" t="s">
        <v>48</v>
      </c>
      <c r="B3" s="31" t="s">
        <v>49</v>
      </c>
      <c r="C3" s="31" t="s">
        <v>50</v>
      </c>
      <c r="D3" s="31" t="s">
        <v>51</v>
      </c>
      <c r="E3" s="31" t="s">
        <v>52</v>
      </c>
      <c r="F3" s="31" t="s">
        <v>53</v>
      </c>
      <c r="G3" s="31" t="s">
        <v>54</v>
      </c>
      <c r="H3" s="31" t="s">
        <v>55</v>
      </c>
      <c r="I3" s="30" t="s">
        <v>56</v>
      </c>
      <c r="J3" s="26"/>
      <c r="K3" s="26"/>
      <c r="L3" s="32">
        <f>AD2</f>
        <v>0</v>
      </c>
      <c r="M3" s="32">
        <f t="shared" ref="M3:AA3" si="0">L3+7</f>
        <v>7</v>
      </c>
      <c r="N3" s="32">
        <f t="shared" si="0"/>
        <v>14</v>
      </c>
      <c r="O3" s="32">
        <f t="shared" si="0"/>
        <v>21</v>
      </c>
      <c r="P3" s="32">
        <f t="shared" si="0"/>
        <v>28</v>
      </c>
      <c r="Q3" s="32">
        <f t="shared" si="0"/>
        <v>35</v>
      </c>
      <c r="R3" s="32">
        <f t="shared" si="0"/>
        <v>42</v>
      </c>
      <c r="S3" s="32">
        <f t="shared" si="0"/>
        <v>49</v>
      </c>
      <c r="T3" s="32">
        <f t="shared" si="0"/>
        <v>56</v>
      </c>
      <c r="U3" s="32">
        <f t="shared" si="0"/>
        <v>63</v>
      </c>
      <c r="V3" s="32">
        <f t="shared" si="0"/>
        <v>70</v>
      </c>
      <c r="W3" s="32">
        <f t="shared" si="0"/>
        <v>77</v>
      </c>
      <c r="X3" s="32">
        <f t="shared" si="0"/>
        <v>84</v>
      </c>
      <c r="Y3" s="32">
        <f t="shared" si="0"/>
        <v>91</v>
      </c>
      <c r="Z3" s="32">
        <f t="shared" si="0"/>
        <v>98</v>
      </c>
      <c r="AA3" s="32">
        <f t="shared" si="0"/>
        <v>105</v>
      </c>
      <c r="AC3" s="66"/>
      <c r="AD3" s="66"/>
    </row>
    <row r="4" spans="1:30" x14ac:dyDescent="0.3">
      <c r="A4" s="33">
        <v>123456</v>
      </c>
      <c r="B4" s="26" t="s">
        <v>57</v>
      </c>
      <c r="C4" s="34">
        <f>SUM(L4:AA4)</f>
        <v>24</v>
      </c>
      <c r="D4" s="35">
        <v>6</v>
      </c>
      <c r="E4" s="35"/>
      <c r="F4" s="35">
        <f>IF(OR(D4="",E4=""),(D4+E4)/2,AVERAGE(D4,E4))</f>
        <v>3</v>
      </c>
      <c r="G4" s="35">
        <v>7</v>
      </c>
      <c r="H4" s="36"/>
      <c r="I4" s="37" t="str">
        <f>IF(C4&gt;20,"RF",IF(OR(F4="",G4=""),"",IF(H4="",FLOOR(AVERAGE(F4,G4),0.5),AVERAGE(H4,LARGE(F4:G4,1)))))</f>
        <v>RF</v>
      </c>
      <c r="J4" s="33" t="str">
        <f>IF(C4&gt;20,"Reprovado F",IF(I4&lt;6,"Reprovado ","Aprovado"))</f>
        <v>Reprovado F</v>
      </c>
      <c r="K4" s="38"/>
      <c r="L4" s="39">
        <v>0</v>
      </c>
      <c r="M4" s="39">
        <v>4</v>
      </c>
      <c r="N4" s="39">
        <v>4</v>
      </c>
      <c r="O4" s="39">
        <v>4</v>
      </c>
      <c r="P4" s="39">
        <v>4</v>
      </c>
      <c r="Q4" s="39">
        <v>4</v>
      </c>
      <c r="R4" s="39">
        <v>4</v>
      </c>
      <c r="S4" s="39">
        <v>0</v>
      </c>
      <c r="T4" s="39">
        <v>0</v>
      </c>
      <c r="U4" s="39">
        <v>0</v>
      </c>
      <c r="V4" s="39">
        <v>0</v>
      </c>
      <c r="W4" s="39">
        <v>0</v>
      </c>
      <c r="X4" s="39">
        <v>0</v>
      </c>
      <c r="Y4" s="39">
        <v>0</v>
      </c>
      <c r="Z4" s="39">
        <v>0</v>
      </c>
      <c r="AA4" s="39">
        <v>0</v>
      </c>
      <c r="AB4" s="40"/>
      <c r="AC4" s="41"/>
      <c r="AD4" s="36"/>
    </row>
    <row r="5" spans="1:30" x14ac:dyDescent="0.3">
      <c r="A5" s="33">
        <v>124563</v>
      </c>
      <c r="B5" s="36" t="s">
        <v>58</v>
      </c>
      <c r="C5" s="34">
        <f>SUM(L5:AA5)</f>
        <v>8</v>
      </c>
      <c r="D5" s="35"/>
      <c r="E5" s="35">
        <v>6</v>
      </c>
      <c r="F5" s="35">
        <f>IF(OR(D5="",E5=""),(D5+E5)/2,AVERAGE(D5,E5))</f>
        <v>3</v>
      </c>
      <c r="G5" s="35">
        <v>6</v>
      </c>
      <c r="H5" s="36"/>
      <c r="I5" s="37">
        <f>IF(C5&gt;20,"RF",IF(OR(F5="",G5=""),"",IF(H5="",FLOOR(AVERAGE(F5,G5),0.5),AVERAGE(H5,LARGE(F5:G5,1)))))</f>
        <v>4.5</v>
      </c>
      <c r="J5" s="33" t="str">
        <f>IF(C5&gt;20,"Reprovado F",IF(I5&lt;6,"Reprovado ","Aprovado"))</f>
        <v xml:space="preserve">Reprovado </v>
      </c>
      <c r="K5" s="26"/>
      <c r="L5" s="39">
        <v>0</v>
      </c>
      <c r="M5" s="39">
        <v>2</v>
      </c>
      <c r="N5" s="39">
        <v>4</v>
      </c>
      <c r="O5" s="39">
        <v>0</v>
      </c>
      <c r="P5" s="39">
        <v>2</v>
      </c>
      <c r="Q5" s="39">
        <v>0</v>
      </c>
      <c r="R5" s="39">
        <v>0</v>
      </c>
      <c r="S5" s="39">
        <v>0</v>
      </c>
      <c r="T5" s="39">
        <v>0</v>
      </c>
      <c r="U5" s="39">
        <v>0</v>
      </c>
      <c r="V5" s="39">
        <v>0</v>
      </c>
      <c r="W5" s="39">
        <v>0</v>
      </c>
      <c r="X5" s="39">
        <v>0</v>
      </c>
      <c r="Y5" s="39">
        <v>0</v>
      </c>
      <c r="Z5" s="39">
        <v>0</v>
      </c>
      <c r="AA5" s="39">
        <v>0</v>
      </c>
      <c r="AC5" s="41"/>
      <c r="AD5" s="36"/>
    </row>
    <row r="6" spans="1:30" x14ac:dyDescent="0.3">
      <c r="A6" s="33">
        <v>125436</v>
      </c>
      <c r="B6" s="36" t="s">
        <v>59</v>
      </c>
      <c r="C6" s="34">
        <f>SUM(L6:AA6)</f>
        <v>20</v>
      </c>
      <c r="D6" s="35">
        <v>4</v>
      </c>
      <c r="E6" s="35">
        <v>5</v>
      </c>
      <c r="F6" s="35">
        <f>IF(OR(D6="",E6=""),(D6+E6)/2,AVERAGE(D6,E6))</f>
        <v>4.5</v>
      </c>
      <c r="G6" s="35">
        <v>6</v>
      </c>
      <c r="H6" s="36">
        <v>9</v>
      </c>
      <c r="I6" s="37">
        <f>IF(C6&gt;20,"RF",IF(OR(F6="",G6=""),"",IF(H6="",FLOOR(AVERAGE(F6,G6),0.5),AVERAGE(H6,LARGE(F6:G6,1)))))</f>
        <v>7.5</v>
      </c>
      <c r="J6" s="33" t="str">
        <f>IF(C6&gt;20,"Reprovado F",IF(I6&lt;6,"Reprovado ","Aprovado"))</f>
        <v>Aprovado</v>
      </c>
      <c r="K6" s="26"/>
      <c r="L6" s="39">
        <v>2</v>
      </c>
      <c r="M6" s="39">
        <v>4</v>
      </c>
      <c r="N6" s="39">
        <v>4</v>
      </c>
      <c r="O6" s="39">
        <v>4</v>
      </c>
      <c r="P6" s="39">
        <v>2</v>
      </c>
      <c r="Q6" s="39">
        <v>4</v>
      </c>
      <c r="R6" s="39">
        <v>0</v>
      </c>
      <c r="S6" s="39">
        <v>0</v>
      </c>
      <c r="T6" s="39">
        <v>0</v>
      </c>
      <c r="U6" s="39">
        <v>0</v>
      </c>
      <c r="V6" s="39">
        <v>0</v>
      </c>
      <c r="W6" s="39">
        <v>0</v>
      </c>
      <c r="X6" s="39">
        <v>0</v>
      </c>
      <c r="Y6" s="39">
        <v>0</v>
      </c>
      <c r="Z6" s="39">
        <v>0</v>
      </c>
      <c r="AA6" s="39">
        <v>0</v>
      </c>
      <c r="AC6" s="41"/>
      <c r="AD6" s="36"/>
    </row>
    <row r="7" spans="1:30" x14ac:dyDescent="0.3">
      <c r="A7" s="33">
        <v>126354</v>
      </c>
      <c r="B7" s="36" t="s">
        <v>60</v>
      </c>
      <c r="C7" s="34">
        <f>SUM(L7:AA7)</f>
        <v>8</v>
      </c>
      <c r="D7" s="35">
        <v>10</v>
      </c>
      <c r="E7" s="35">
        <v>10</v>
      </c>
      <c r="F7" s="35">
        <f>IF(OR(D7="",E7=""),(D7+E7)/2,AVERAGE(D7,E7))</f>
        <v>10</v>
      </c>
      <c r="G7" s="35">
        <v>9</v>
      </c>
      <c r="H7" s="36"/>
      <c r="I7" s="37">
        <f>IF(C7&gt;20,"RF",IF(OR(F7="",G7=""),"",IF(H7="",FLOOR(AVERAGE(F7,G7),0.5),AVERAGE(H7,LARGE(F7:G7,1)))))</f>
        <v>9.5</v>
      </c>
      <c r="J7" s="33" t="str">
        <f>IF(C7&gt;20,"Reprovado F",IF(I7&lt;6,"Reprovado ","Aprovado"))</f>
        <v>Aprovado</v>
      </c>
      <c r="K7" s="26"/>
      <c r="L7" s="39">
        <v>0</v>
      </c>
      <c r="M7" s="39">
        <v>2</v>
      </c>
      <c r="N7" s="39">
        <v>4</v>
      </c>
      <c r="O7" s="39">
        <v>0</v>
      </c>
      <c r="P7" s="39">
        <v>2</v>
      </c>
      <c r="Q7" s="39">
        <v>0</v>
      </c>
      <c r="R7" s="39">
        <v>0</v>
      </c>
      <c r="S7" s="39">
        <v>0</v>
      </c>
      <c r="T7" s="39">
        <v>0</v>
      </c>
      <c r="U7" s="39">
        <v>0</v>
      </c>
      <c r="V7" s="39">
        <v>0</v>
      </c>
      <c r="W7" s="39">
        <v>0</v>
      </c>
      <c r="X7" s="39">
        <v>0</v>
      </c>
      <c r="Y7" s="39">
        <v>0</v>
      </c>
      <c r="Z7" s="39">
        <v>0</v>
      </c>
      <c r="AA7" s="39">
        <v>0</v>
      </c>
      <c r="AC7" s="42"/>
      <c r="AD7" s="36"/>
    </row>
    <row r="8" spans="1:30" x14ac:dyDescent="0.3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AC8" s="41"/>
      <c r="AD8" s="36"/>
    </row>
    <row r="9" spans="1:30" x14ac:dyDescent="0.3"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AC9" s="41"/>
      <c r="AD9" s="36"/>
    </row>
    <row r="10" spans="1:30" x14ac:dyDescent="0.3"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</row>
    <row r="11" spans="1:30" x14ac:dyDescent="0.3"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</row>
    <row r="12" spans="1:30" x14ac:dyDescent="0.3">
      <c r="A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</row>
    <row r="13" spans="1:30" x14ac:dyDescent="0.3">
      <c r="A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</row>
    <row r="14" spans="1:30" x14ac:dyDescent="0.3">
      <c r="A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</row>
    <row r="15" spans="1:30" x14ac:dyDescent="0.3">
      <c r="A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</row>
    <row r="16" spans="1:30" x14ac:dyDescent="0.3">
      <c r="A16" s="26"/>
      <c r="B16" s="43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</row>
    <row r="17" spans="1:19" x14ac:dyDescent="0.3">
      <c r="A17" s="26"/>
      <c r="B17" s="26"/>
      <c r="C17" s="26"/>
      <c r="D17" s="26"/>
      <c r="E17" s="26"/>
      <c r="F17" s="26"/>
      <c r="G17" s="43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</row>
    <row r="18" spans="1:19" x14ac:dyDescent="0.3">
      <c r="A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</row>
  </sheetData>
  <mergeCells count="7">
    <mergeCell ref="AC3:AD3"/>
    <mergeCell ref="A1:I1"/>
    <mergeCell ref="A2:I2"/>
    <mergeCell ref="L2:N2"/>
    <mergeCell ref="O2:S2"/>
    <mergeCell ref="T2:W2"/>
    <mergeCell ref="X2:AA2"/>
  </mergeCells>
  <conditionalFormatting sqref="C4:C7">
    <cfRule type="cellIs" dxfId="6" priority="1" operator="greaterThan">
      <formula>20</formula>
    </cfRule>
  </conditionalFormatting>
  <conditionalFormatting sqref="D4:I7">
    <cfRule type="cellIs" dxfId="5" priority="2" operator="lessThan">
      <formula>6</formula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C70C3-494C-44B3-9109-6EB6764A30E1}">
  <dimension ref="A1:X21"/>
  <sheetViews>
    <sheetView topLeftCell="A4" zoomScale="90" zoomScaleNormal="70" workbookViewId="0">
      <selection activeCell="D2" sqref="D2"/>
    </sheetView>
  </sheetViews>
  <sheetFormatPr defaultRowHeight="14.4" x14ac:dyDescent="0.3"/>
  <cols>
    <col min="1" max="1" width="23.33203125" customWidth="1"/>
  </cols>
  <sheetData>
    <row r="1" spans="1:18" x14ac:dyDescent="0.3">
      <c r="A1" s="47" t="s">
        <v>62</v>
      </c>
      <c r="C1" s="48">
        <v>1</v>
      </c>
      <c r="D1" s="48">
        <v>2</v>
      </c>
      <c r="E1" s="48">
        <v>3</v>
      </c>
      <c r="F1" s="48">
        <v>4</v>
      </c>
      <c r="G1" s="48">
        <v>5</v>
      </c>
      <c r="H1" s="48">
        <v>6</v>
      </c>
      <c r="I1" s="48">
        <v>7</v>
      </c>
      <c r="J1" s="48">
        <v>8</v>
      </c>
      <c r="K1" s="48">
        <v>9</v>
      </c>
      <c r="L1" s="48">
        <v>10</v>
      </c>
      <c r="M1" s="48">
        <v>11</v>
      </c>
      <c r="O1" s="49" t="s">
        <v>107</v>
      </c>
      <c r="P1" s="49" t="s">
        <v>108</v>
      </c>
      <c r="Q1" s="49" t="s">
        <v>109</v>
      </c>
      <c r="R1" s="49" t="s">
        <v>110</v>
      </c>
    </row>
    <row r="2" spans="1:18" x14ac:dyDescent="0.3">
      <c r="A2" s="50" t="s">
        <v>63</v>
      </c>
      <c r="C2" s="51" t="str">
        <f t="shared" ref="C2:M2" si="0">MID($A$2,C1,1)</f>
        <v>2</v>
      </c>
      <c r="D2" s="51" t="str">
        <f t="shared" si="0"/>
        <v>5</v>
      </c>
      <c r="E2" s="51" t="str">
        <f t="shared" si="0"/>
        <v>8</v>
      </c>
      <c r="F2" s="51" t="str">
        <f t="shared" si="0"/>
        <v>8</v>
      </c>
      <c r="G2" s="51" t="str">
        <f t="shared" si="0"/>
        <v>9</v>
      </c>
      <c r="H2" s="51" t="str">
        <f t="shared" si="0"/>
        <v>1</v>
      </c>
      <c r="I2" s="51" t="str">
        <f t="shared" si="0"/>
        <v>8</v>
      </c>
      <c r="J2" s="51" t="str">
        <f t="shared" si="0"/>
        <v>6</v>
      </c>
      <c r="K2" s="51" t="str">
        <f t="shared" si="0"/>
        <v>8</v>
      </c>
      <c r="L2" s="51" t="str">
        <f t="shared" si="0"/>
        <v>9</v>
      </c>
      <c r="M2" s="51" t="str">
        <f t="shared" si="0"/>
        <v>2</v>
      </c>
      <c r="O2" s="52">
        <f>SUM(C3:K3)</f>
        <v>310</v>
      </c>
      <c r="P2" s="52">
        <f>MOD(O2,11)</f>
        <v>2</v>
      </c>
      <c r="Q2" s="52">
        <f>11-P2</f>
        <v>9</v>
      </c>
      <c r="R2" s="52">
        <f>IF($Q2&gt;9,0,$Q2)</f>
        <v>9</v>
      </c>
    </row>
    <row r="3" spans="1:18" x14ac:dyDescent="0.3">
      <c r="A3" s="53" t="str">
        <f>IF(AND(VALUE(MID(A2,10,1))=R2,VALUE(MID(A2,11,1))=R3),"Válido","Inválido")</f>
        <v>Válido</v>
      </c>
      <c r="C3" s="54">
        <f>C2*(11-C1)</f>
        <v>20</v>
      </c>
      <c r="D3" s="54">
        <f t="shared" ref="D3:K3" si="1">D2*(11-D1)</f>
        <v>45</v>
      </c>
      <c r="E3" s="54">
        <f t="shared" si="1"/>
        <v>64</v>
      </c>
      <c r="F3" s="54">
        <f t="shared" si="1"/>
        <v>56</v>
      </c>
      <c r="G3" s="54">
        <f t="shared" si="1"/>
        <v>54</v>
      </c>
      <c r="H3" s="54">
        <f t="shared" si="1"/>
        <v>5</v>
      </c>
      <c r="I3" s="54">
        <f t="shared" si="1"/>
        <v>32</v>
      </c>
      <c r="J3" s="54">
        <f t="shared" si="1"/>
        <v>18</v>
      </c>
      <c r="K3" s="54">
        <f t="shared" si="1"/>
        <v>16</v>
      </c>
      <c r="L3" s="15"/>
      <c r="O3" s="52">
        <f>SUM(C4:L4)</f>
        <v>383</v>
      </c>
      <c r="P3" s="52">
        <f>MOD(O3,11)</f>
        <v>9</v>
      </c>
      <c r="Q3" s="52">
        <f>11-P3</f>
        <v>2</v>
      </c>
      <c r="R3" s="52">
        <f>IF($Q3&gt;9,0,$Q3)</f>
        <v>2</v>
      </c>
    </row>
    <row r="4" spans="1:18" x14ac:dyDescent="0.3">
      <c r="C4" s="54">
        <f>C2*(12-C1)</f>
        <v>22</v>
      </c>
      <c r="D4" s="54">
        <f t="shared" ref="D4:L4" si="2">D2*(12-D1)</f>
        <v>50</v>
      </c>
      <c r="E4" s="54">
        <f t="shared" si="2"/>
        <v>72</v>
      </c>
      <c r="F4" s="54">
        <f t="shared" si="2"/>
        <v>64</v>
      </c>
      <c r="G4" s="54">
        <f t="shared" si="2"/>
        <v>63</v>
      </c>
      <c r="H4" s="54">
        <f t="shared" si="2"/>
        <v>6</v>
      </c>
      <c r="I4" s="54">
        <f t="shared" si="2"/>
        <v>40</v>
      </c>
      <c r="J4" s="54">
        <f t="shared" si="2"/>
        <v>24</v>
      </c>
      <c r="K4" s="54">
        <f t="shared" si="2"/>
        <v>24</v>
      </c>
      <c r="L4" s="54">
        <f t="shared" si="2"/>
        <v>18</v>
      </c>
    </row>
    <row r="6" spans="1:18" x14ac:dyDescent="0.3">
      <c r="A6" s="47" t="s">
        <v>62</v>
      </c>
      <c r="C6" s="48">
        <v>1</v>
      </c>
      <c r="D6" s="48">
        <v>2</v>
      </c>
      <c r="E6" s="48">
        <v>3</v>
      </c>
      <c r="F6" s="48">
        <v>4</v>
      </c>
      <c r="G6" s="48">
        <v>5</v>
      </c>
      <c r="H6" s="48">
        <v>6</v>
      </c>
      <c r="I6" s="48">
        <v>7</v>
      </c>
      <c r="J6" s="48">
        <v>8</v>
      </c>
      <c r="K6" s="48">
        <v>9</v>
      </c>
      <c r="L6" s="48">
        <v>10</v>
      </c>
      <c r="M6" s="48">
        <v>11</v>
      </c>
      <c r="O6" s="49" t="s">
        <v>107</v>
      </c>
      <c r="P6" s="49" t="s">
        <v>108</v>
      </c>
      <c r="Q6" s="49" t="s">
        <v>109</v>
      </c>
      <c r="R6" s="49" t="s">
        <v>110</v>
      </c>
    </row>
    <row r="7" spans="1:18" x14ac:dyDescent="0.3">
      <c r="A7" s="50" t="s">
        <v>111</v>
      </c>
      <c r="C7" s="51" t="str">
        <f>MID($A$7,C6,1)</f>
        <v>4</v>
      </c>
      <c r="D7" s="51" t="str">
        <f t="shared" ref="D7:M7" si="3">MID($A$7,D6,1)</f>
        <v>3</v>
      </c>
      <c r="E7" s="51" t="str">
        <f t="shared" si="3"/>
        <v>4</v>
      </c>
      <c r="F7" s="51" t="str">
        <f t="shared" si="3"/>
        <v>6</v>
      </c>
      <c r="G7" s="51" t="str">
        <f t="shared" si="3"/>
        <v>5</v>
      </c>
      <c r="H7" s="51" t="str">
        <f t="shared" si="3"/>
        <v>9</v>
      </c>
      <c r="I7" s="51" t="str">
        <f t="shared" si="3"/>
        <v>2</v>
      </c>
      <c r="J7" s="51" t="str">
        <f t="shared" si="3"/>
        <v>5</v>
      </c>
      <c r="K7" s="51" t="str">
        <f t="shared" si="3"/>
        <v>8</v>
      </c>
      <c r="L7" s="51" t="str">
        <f t="shared" si="3"/>
        <v>9</v>
      </c>
      <c r="M7" s="51" t="str">
        <f t="shared" si="3"/>
        <v>0</v>
      </c>
      <c r="O7" s="52">
        <f>SUM(C8:K8)</f>
        <v>255</v>
      </c>
      <c r="P7" s="52">
        <f>MOD(O7,11)</f>
        <v>2</v>
      </c>
      <c r="Q7" s="52">
        <f>11-P7</f>
        <v>9</v>
      </c>
      <c r="R7" s="52">
        <f>IF($Q7&gt;9,0,$Q7)</f>
        <v>9</v>
      </c>
    </row>
    <row r="8" spans="1:18" x14ac:dyDescent="0.3">
      <c r="A8" s="53" t="str">
        <f>IF(AND(VALUE(MID(A7,10,1))=R7,VALUE(MID(A7,11,1))=R8),"Válido","Inválido")</f>
        <v>Válido</v>
      </c>
      <c r="C8" s="54">
        <f>C7*(11-C6)</f>
        <v>40</v>
      </c>
      <c r="D8" s="54">
        <f t="shared" ref="D8:K8" si="4">D7*(11-D6)</f>
        <v>27</v>
      </c>
      <c r="E8" s="54">
        <f t="shared" si="4"/>
        <v>32</v>
      </c>
      <c r="F8" s="54">
        <f t="shared" si="4"/>
        <v>42</v>
      </c>
      <c r="G8" s="54">
        <f t="shared" si="4"/>
        <v>30</v>
      </c>
      <c r="H8" s="54">
        <f t="shared" si="4"/>
        <v>45</v>
      </c>
      <c r="I8" s="54">
        <f t="shared" si="4"/>
        <v>8</v>
      </c>
      <c r="J8" s="54">
        <f t="shared" si="4"/>
        <v>15</v>
      </c>
      <c r="K8" s="54">
        <f t="shared" si="4"/>
        <v>16</v>
      </c>
      <c r="L8" s="15"/>
      <c r="O8" s="52">
        <f>SUM(C9:L9)</f>
        <v>319</v>
      </c>
      <c r="P8" s="52">
        <f>MOD(O8,11)</f>
        <v>0</v>
      </c>
      <c r="Q8" s="52">
        <f>11-P8</f>
        <v>11</v>
      </c>
      <c r="R8" s="52">
        <f>IF($Q8&gt;9,0,$Q8)</f>
        <v>0</v>
      </c>
    </row>
    <row r="9" spans="1:18" x14ac:dyDescent="0.3">
      <c r="C9" s="54">
        <f>C7*(12-C6)</f>
        <v>44</v>
      </c>
      <c r="D9" s="54">
        <f t="shared" ref="D9:L9" si="5">D7*(12-D6)</f>
        <v>30</v>
      </c>
      <c r="E9" s="54">
        <f t="shared" si="5"/>
        <v>36</v>
      </c>
      <c r="F9" s="54">
        <f t="shared" si="5"/>
        <v>48</v>
      </c>
      <c r="G9" s="54">
        <f t="shared" si="5"/>
        <v>35</v>
      </c>
      <c r="H9" s="54">
        <f t="shared" si="5"/>
        <v>54</v>
      </c>
      <c r="I9" s="54">
        <f t="shared" si="5"/>
        <v>10</v>
      </c>
      <c r="J9" s="54">
        <f t="shared" si="5"/>
        <v>20</v>
      </c>
      <c r="K9" s="54">
        <f t="shared" si="5"/>
        <v>24</v>
      </c>
      <c r="L9" s="54">
        <f t="shared" si="5"/>
        <v>18</v>
      </c>
    </row>
    <row r="11" spans="1:18" x14ac:dyDescent="0.3">
      <c r="A11" s="47" t="s">
        <v>62</v>
      </c>
      <c r="C11" s="48">
        <v>1</v>
      </c>
      <c r="D11" s="48">
        <v>2</v>
      </c>
      <c r="E11" s="48">
        <v>3</v>
      </c>
      <c r="F11" s="48">
        <v>4</v>
      </c>
      <c r="G11" s="48">
        <v>5</v>
      </c>
      <c r="H11" s="48">
        <v>6</v>
      </c>
      <c r="I11" s="48">
        <v>7</v>
      </c>
      <c r="J11" s="48">
        <v>8</v>
      </c>
      <c r="K11" s="48">
        <v>9</v>
      </c>
      <c r="L11" s="48">
        <v>10</v>
      </c>
      <c r="M11" s="48">
        <v>11</v>
      </c>
      <c r="O11" s="49" t="s">
        <v>107</v>
      </c>
      <c r="P11" s="49" t="s">
        <v>108</v>
      </c>
      <c r="Q11" s="49" t="s">
        <v>109</v>
      </c>
      <c r="R11" s="49" t="s">
        <v>110</v>
      </c>
    </row>
    <row r="12" spans="1:18" x14ac:dyDescent="0.3">
      <c r="A12" s="50" t="s">
        <v>112</v>
      </c>
      <c r="C12" s="51" t="str">
        <f>MID($A$12,C11,1)</f>
        <v>3</v>
      </c>
      <c r="D12" s="51" t="str">
        <f t="shared" ref="D12:M12" si="6">MID($A$12,D11,1)</f>
        <v>5</v>
      </c>
      <c r="E12" s="51" t="str">
        <f t="shared" si="6"/>
        <v>9</v>
      </c>
      <c r="F12" s="51" t="str">
        <f t="shared" si="6"/>
        <v>7</v>
      </c>
      <c r="G12" s="51" t="str">
        <f t="shared" si="6"/>
        <v>5</v>
      </c>
      <c r="H12" s="51" t="str">
        <f t="shared" si="6"/>
        <v>3</v>
      </c>
      <c r="I12" s="51" t="str">
        <f t="shared" si="6"/>
        <v>9</v>
      </c>
      <c r="J12" s="51" t="str">
        <f t="shared" si="6"/>
        <v>1</v>
      </c>
      <c r="K12" s="51" t="str">
        <f t="shared" si="6"/>
        <v>8</v>
      </c>
      <c r="L12" s="51" t="str">
        <f t="shared" si="6"/>
        <v>1</v>
      </c>
      <c r="M12" s="51" t="str">
        <f t="shared" si="6"/>
        <v>4</v>
      </c>
      <c r="O12" s="52">
        <f>SUM(C13:K13)</f>
        <v>296</v>
      </c>
      <c r="P12" s="52">
        <f>MOD(O12,11)</f>
        <v>10</v>
      </c>
      <c r="Q12" s="52">
        <f>11-P12</f>
        <v>1</v>
      </c>
      <c r="R12" s="52">
        <f>IF($Q12&gt;9,0,$Q12)</f>
        <v>1</v>
      </c>
    </row>
    <row r="13" spans="1:18" x14ac:dyDescent="0.3">
      <c r="A13" s="53" t="str">
        <f>IF(AND(VALUE(MID(A12,10,1))=R12,VALUE(MID(A12,11,1))=R13),"Válido","Inválido")</f>
        <v>Válido</v>
      </c>
      <c r="C13" s="54">
        <f>C12*(11-C11)</f>
        <v>30</v>
      </c>
      <c r="D13" s="54">
        <f t="shared" ref="D13:K13" si="7">D12*(11-D11)</f>
        <v>45</v>
      </c>
      <c r="E13" s="54">
        <f t="shared" si="7"/>
        <v>72</v>
      </c>
      <c r="F13" s="54">
        <f t="shared" si="7"/>
        <v>49</v>
      </c>
      <c r="G13" s="54">
        <f t="shared" si="7"/>
        <v>30</v>
      </c>
      <c r="H13" s="54">
        <f t="shared" si="7"/>
        <v>15</v>
      </c>
      <c r="I13" s="54">
        <f t="shared" si="7"/>
        <v>36</v>
      </c>
      <c r="J13" s="54">
        <f t="shared" si="7"/>
        <v>3</v>
      </c>
      <c r="K13" s="54">
        <f t="shared" si="7"/>
        <v>16</v>
      </c>
      <c r="L13" s="15"/>
      <c r="O13" s="52">
        <f>SUM(C14:L14)</f>
        <v>348</v>
      </c>
      <c r="P13" s="52">
        <f>MOD(O13,11)</f>
        <v>7</v>
      </c>
      <c r="Q13" s="52">
        <f>11-P13</f>
        <v>4</v>
      </c>
      <c r="R13" s="52">
        <f>IF($Q13&gt;9,0,$Q13)</f>
        <v>4</v>
      </c>
    </row>
    <row r="14" spans="1:18" x14ac:dyDescent="0.3">
      <c r="C14" s="54">
        <f>C12*(12-C11)</f>
        <v>33</v>
      </c>
      <c r="D14" s="54">
        <f t="shared" ref="D14:L14" si="8">D12*(12-D11)</f>
        <v>50</v>
      </c>
      <c r="E14" s="54">
        <f t="shared" si="8"/>
        <v>81</v>
      </c>
      <c r="F14" s="54">
        <f t="shared" si="8"/>
        <v>56</v>
      </c>
      <c r="G14" s="54">
        <f t="shared" si="8"/>
        <v>35</v>
      </c>
      <c r="H14" s="54">
        <f t="shared" si="8"/>
        <v>18</v>
      </c>
      <c r="I14" s="54">
        <f t="shared" si="8"/>
        <v>45</v>
      </c>
      <c r="J14" s="54">
        <f t="shared" si="8"/>
        <v>4</v>
      </c>
      <c r="K14" s="54">
        <f t="shared" si="8"/>
        <v>24</v>
      </c>
      <c r="L14" s="54">
        <f t="shared" si="8"/>
        <v>2</v>
      </c>
    </row>
    <row r="18" spans="1:24" x14ac:dyDescent="0.3">
      <c r="A18" s="47" t="s">
        <v>151</v>
      </c>
      <c r="C18" s="48">
        <v>1</v>
      </c>
      <c r="D18" s="48">
        <v>2</v>
      </c>
      <c r="E18" s="48">
        <v>3</v>
      </c>
      <c r="F18" s="48">
        <v>4</v>
      </c>
      <c r="G18" s="48">
        <v>5</v>
      </c>
      <c r="H18" s="48">
        <v>6</v>
      </c>
      <c r="I18" s="48">
        <v>7</v>
      </c>
      <c r="J18" s="48">
        <v>8</v>
      </c>
      <c r="K18" s="48">
        <v>9</v>
      </c>
      <c r="L18" s="48">
        <v>10</v>
      </c>
      <c r="M18" s="48">
        <v>11</v>
      </c>
      <c r="N18" s="48">
        <v>12</v>
      </c>
      <c r="O18" s="48">
        <v>13</v>
      </c>
      <c r="P18" s="48">
        <v>14</v>
      </c>
      <c r="U18" s="49" t="s">
        <v>107</v>
      </c>
      <c r="V18" s="49" t="s">
        <v>108</v>
      </c>
      <c r="W18" s="49" t="s">
        <v>109</v>
      </c>
      <c r="X18" s="49" t="s">
        <v>110</v>
      </c>
    </row>
    <row r="19" spans="1:24" x14ac:dyDescent="0.3">
      <c r="A19" s="50" t="s">
        <v>112</v>
      </c>
      <c r="C19" s="51" t="str">
        <f>MID($A$12,C18,1)</f>
        <v>3</v>
      </c>
      <c r="D19" s="51" t="str">
        <f t="shared" ref="D19:M19" si="9">MID($A$12,D18,1)</f>
        <v>5</v>
      </c>
      <c r="E19" s="51" t="str">
        <f t="shared" si="9"/>
        <v>9</v>
      </c>
      <c r="F19" s="51" t="str">
        <f t="shared" si="9"/>
        <v>7</v>
      </c>
      <c r="G19" s="51" t="str">
        <f t="shared" si="9"/>
        <v>5</v>
      </c>
      <c r="H19" s="51" t="str">
        <f t="shared" si="9"/>
        <v>3</v>
      </c>
      <c r="I19" s="51" t="str">
        <f t="shared" si="9"/>
        <v>9</v>
      </c>
      <c r="J19" s="51" t="str">
        <f t="shared" si="9"/>
        <v>1</v>
      </c>
      <c r="K19" s="51" t="str">
        <f t="shared" si="9"/>
        <v>8</v>
      </c>
      <c r="L19" s="51" t="str">
        <f t="shared" si="9"/>
        <v>1</v>
      </c>
      <c r="M19" s="51" t="str">
        <f t="shared" si="9"/>
        <v>4</v>
      </c>
      <c r="U19" s="52">
        <f>SUM(C20:K20)</f>
        <v>296</v>
      </c>
      <c r="V19" s="52">
        <f>MOD(U19,11)</f>
        <v>10</v>
      </c>
      <c r="W19" s="52">
        <f>11-V19</f>
        <v>1</v>
      </c>
      <c r="X19" s="52">
        <f>IF($W19&gt;9,0,$W19)</f>
        <v>1</v>
      </c>
    </row>
    <row r="20" spans="1:24" x14ac:dyDescent="0.3">
      <c r="A20" s="53" t="str">
        <f>IF(AND(VALUE(MID(A19,10,1))=X19,VALUE(MID(A19,11,1))=X20),"Válido","Inválido")</f>
        <v>Válido</v>
      </c>
      <c r="C20" s="54">
        <f>C19*(11-C18)</f>
        <v>30</v>
      </c>
      <c r="D20" s="54">
        <f t="shared" ref="D20:K20" si="10">D19*(11-D18)</f>
        <v>45</v>
      </c>
      <c r="E20" s="54">
        <f t="shared" si="10"/>
        <v>72</v>
      </c>
      <c r="F20" s="54">
        <f t="shared" si="10"/>
        <v>49</v>
      </c>
      <c r="G20" s="54">
        <f t="shared" si="10"/>
        <v>30</v>
      </c>
      <c r="H20" s="54">
        <f t="shared" si="10"/>
        <v>15</v>
      </c>
      <c r="I20" s="54">
        <f t="shared" si="10"/>
        <v>36</v>
      </c>
      <c r="J20" s="54">
        <f t="shared" si="10"/>
        <v>3</v>
      </c>
      <c r="K20" s="54">
        <f t="shared" si="10"/>
        <v>16</v>
      </c>
      <c r="L20" s="15"/>
      <c r="U20" s="52">
        <f>SUM(C21:L21)</f>
        <v>348</v>
      </c>
      <c r="V20" s="52">
        <f>MOD(U20,11)</f>
        <v>7</v>
      </c>
      <c r="W20" s="52">
        <f>11-V20</f>
        <v>4</v>
      </c>
      <c r="X20" s="52">
        <f>IF($W20&gt;9,0,$W20)</f>
        <v>4</v>
      </c>
    </row>
    <row r="21" spans="1:24" x14ac:dyDescent="0.3">
      <c r="C21" s="54">
        <f>C19*(12-C18)</f>
        <v>33</v>
      </c>
      <c r="D21" s="54">
        <f t="shared" ref="D21:L21" si="11">D19*(12-D18)</f>
        <v>50</v>
      </c>
      <c r="E21" s="54">
        <f t="shared" si="11"/>
        <v>81</v>
      </c>
      <c r="F21" s="54">
        <f t="shared" si="11"/>
        <v>56</v>
      </c>
      <c r="G21" s="54">
        <f t="shared" si="11"/>
        <v>35</v>
      </c>
      <c r="H21" s="54">
        <f t="shared" si="11"/>
        <v>18</v>
      </c>
      <c r="I21" s="54">
        <f t="shared" si="11"/>
        <v>45</v>
      </c>
      <c r="J21" s="54">
        <f t="shared" si="11"/>
        <v>4</v>
      </c>
      <c r="K21" s="54">
        <f t="shared" si="11"/>
        <v>24</v>
      </c>
      <c r="L21" s="54">
        <f t="shared" si="11"/>
        <v>2</v>
      </c>
    </row>
  </sheetData>
  <conditionalFormatting sqref="A3 A8 A13">
    <cfRule type="containsText" dxfId="4" priority="3" operator="containsText" text="Inválido">
      <formula>NOT(ISERROR(SEARCH("Inválido",A3)))</formula>
    </cfRule>
    <cfRule type="containsText" dxfId="3" priority="4" operator="containsText" text="Válido">
      <formula>NOT(ISERROR(SEARCH("Válido",A3)))</formula>
    </cfRule>
  </conditionalFormatting>
  <conditionalFormatting sqref="A3">
    <cfRule type="containsText" dxfId="2" priority="5" operator="containsText" text="&quot;Válido&quot;">
      <formula>NOT(ISERROR(SEARCH("""Válido""",A3)))</formula>
    </cfRule>
  </conditionalFormatting>
  <conditionalFormatting sqref="A20">
    <cfRule type="containsText" dxfId="1" priority="1" operator="containsText" text="Inválido">
      <formula>NOT(ISERROR(SEARCH("Inválido",A20)))</formula>
    </cfRule>
    <cfRule type="containsText" dxfId="0" priority="2" operator="containsText" text="Válido">
      <formula>NOT(ISERROR(SEARCH("Válido",A20)))</formula>
    </cfRule>
  </conditionalFormatting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6AA87-C3B1-4FF7-8646-6E57AE747502}">
  <dimension ref="B5:F17"/>
  <sheetViews>
    <sheetView zoomScale="87" workbookViewId="0">
      <selection activeCell="E7" sqref="E7"/>
    </sheetView>
  </sheetViews>
  <sheetFormatPr defaultRowHeight="14.4" x14ac:dyDescent="0.3"/>
  <cols>
    <col min="2" max="2" width="9.109375" customWidth="1"/>
    <col min="4" max="4" width="21.33203125" customWidth="1"/>
    <col min="6" max="6" width="11.33203125" customWidth="1"/>
  </cols>
  <sheetData>
    <row r="5" spans="2:6" x14ac:dyDescent="0.3">
      <c r="B5" t="s">
        <v>64</v>
      </c>
      <c r="C5" t="s">
        <v>65</v>
      </c>
      <c r="D5" t="s">
        <v>66</v>
      </c>
      <c r="E5" t="s">
        <v>67</v>
      </c>
      <c r="F5" t="s">
        <v>68</v>
      </c>
    </row>
    <row r="6" spans="2:6" x14ac:dyDescent="0.3">
      <c r="B6" s="45" t="s">
        <v>71</v>
      </c>
      <c r="C6" t="s">
        <v>70</v>
      </c>
      <c r="D6" s="44">
        <v>33488</v>
      </c>
      <c r="E6" s="44" t="s">
        <v>69</v>
      </c>
      <c r="F6">
        <f ca="1">(NOW()-TBL_Clientes[[#This Row],[Dt_Nasc]])/360</f>
        <v>33.687981694958843</v>
      </c>
    </row>
    <row r="7" spans="2:6" x14ac:dyDescent="0.3">
      <c r="B7" s="45" t="s">
        <v>72</v>
      </c>
      <c r="C7" t="s">
        <v>74</v>
      </c>
      <c r="D7" s="44">
        <v>37615</v>
      </c>
      <c r="E7" s="44" t="s">
        <v>75</v>
      </c>
      <c r="F7">
        <f ca="1">(NOW()-TBL_Clientes[[#This Row],[Dt_Nasc]])/360</f>
        <v>22.224092806069955</v>
      </c>
    </row>
    <row r="8" spans="2:6" x14ac:dyDescent="0.3">
      <c r="B8" s="45" t="s">
        <v>73</v>
      </c>
      <c r="C8" t="s">
        <v>83</v>
      </c>
      <c r="D8" t="e">
        <f ca="1">(_xleta.DATE=RAND())</f>
        <v>#VALUE!</v>
      </c>
      <c r="E8" s="44" t="s">
        <v>69</v>
      </c>
      <c r="F8" t="e">
        <f ca="1">(NOW()-TBL_Clientes[[#This Row],[Dt_Nasc]])/360</f>
        <v>#VALUE!</v>
      </c>
    </row>
    <row r="9" spans="2:6" x14ac:dyDescent="0.3">
      <c r="B9" s="45" t="s">
        <v>76</v>
      </c>
      <c r="C9" t="s">
        <v>84</v>
      </c>
      <c r="E9" s="44" t="s">
        <v>75</v>
      </c>
      <c r="F9">
        <f ca="1">(NOW()-TBL_Clientes[[#This Row],[Dt_Nasc]])/360</f>
        <v>126.71020391718106</v>
      </c>
    </row>
    <row r="10" spans="2:6" x14ac:dyDescent="0.3">
      <c r="B10" s="45" t="s">
        <v>77</v>
      </c>
      <c r="C10" t="s">
        <v>85</v>
      </c>
      <c r="E10" s="44" t="s">
        <v>75</v>
      </c>
      <c r="F10">
        <f ca="1">(NOW()-TBL_Clientes[[#This Row],[Dt_Nasc]])/360</f>
        <v>126.71020391718106</v>
      </c>
    </row>
    <row r="11" spans="2:6" x14ac:dyDescent="0.3">
      <c r="B11" s="45" t="s">
        <v>78</v>
      </c>
      <c r="C11" t="s">
        <v>86</v>
      </c>
      <c r="E11" s="44" t="s">
        <v>75</v>
      </c>
      <c r="F11">
        <f ca="1">(NOW()-TBL_Clientes[[#This Row],[Dt_Nasc]])/360</f>
        <v>126.71020391718106</v>
      </c>
    </row>
    <row r="12" spans="2:6" x14ac:dyDescent="0.3">
      <c r="B12" s="45" t="s">
        <v>79</v>
      </c>
      <c r="C12" t="s">
        <v>87</v>
      </c>
      <c r="E12" s="44" t="s">
        <v>69</v>
      </c>
      <c r="F12">
        <f ca="1">(NOW()-TBL_Clientes[[#This Row],[Dt_Nasc]])/360</f>
        <v>126.71020391718106</v>
      </c>
    </row>
    <row r="13" spans="2:6" x14ac:dyDescent="0.3">
      <c r="B13" s="45" t="s">
        <v>80</v>
      </c>
      <c r="C13" t="s">
        <v>88</v>
      </c>
      <c r="E13" s="44" t="s">
        <v>69</v>
      </c>
      <c r="F13">
        <f ca="1">(NOW()-TBL_Clientes[[#This Row],[Dt_Nasc]])/360</f>
        <v>126.71020391718106</v>
      </c>
    </row>
    <row r="14" spans="2:6" x14ac:dyDescent="0.3">
      <c r="B14" s="45" t="s">
        <v>81</v>
      </c>
      <c r="C14" t="s">
        <v>89</v>
      </c>
      <c r="E14" s="44" t="s">
        <v>75</v>
      </c>
      <c r="F14">
        <f ca="1">(NOW()-TBL_Clientes[[#This Row],[Dt_Nasc]])/360</f>
        <v>126.71020391718106</v>
      </c>
    </row>
    <row r="15" spans="2:6" x14ac:dyDescent="0.3">
      <c r="B15" s="45" t="s">
        <v>82</v>
      </c>
      <c r="C15" t="s">
        <v>90</v>
      </c>
      <c r="E15" s="44" t="s">
        <v>69</v>
      </c>
      <c r="F15">
        <f ca="1">(NOW()-TBL_Clientes[[#This Row],[Dt_Nasc]])/360</f>
        <v>126.71020391718106</v>
      </c>
    </row>
    <row r="16" spans="2:6" x14ac:dyDescent="0.3">
      <c r="B16" s="45" t="s">
        <v>132</v>
      </c>
      <c r="C16" t="s">
        <v>90</v>
      </c>
      <c r="E16" s="44" t="s">
        <v>69</v>
      </c>
      <c r="F16">
        <f ca="1">(NOW()-TBL_Clientes[[#This Row],[Dt_Nasc]])/360</f>
        <v>126.71020391718106</v>
      </c>
    </row>
    <row r="17" spans="2:6" x14ac:dyDescent="0.3">
      <c r="B17" s="45" t="s">
        <v>133</v>
      </c>
      <c r="C17" t="s">
        <v>90</v>
      </c>
      <c r="E17" s="44" t="s">
        <v>69</v>
      </c>
      <c r="F17">
        <f ca="1">(NOW()-TBL_Clientes[[#This Row],[Dt_Nasc]])/360</f>
        <v>126.71020391718106</v>
      </c>
    </row>
  </sheetData>
  <phoneticPr fontId="4" type="noConversion"/>
  <dataValidations count="1">
    <dataValidation type="list" allowBlank="1" showInputMessage="1" showErrorMessage="1" sqref="E6:E17" xr:uid="{361175EA-D978-4C5A-A0C0-FE37761443BA}">
      <formula1>sexo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E84A8-77BA-47B1-930D-0859E7955B5F}">
  <dimension ref="B5:G10"/>
  <sheetViews>
    <sheetView workbookViewId="0">
      <selection activeCell="C8" sqref="C8"/>
    </sheetView>
  </sheetViews>
  <sheetFormatPr defaultRowHeight="14.4" x14ac:dyDescent="0.3"/>
  <cols>
    <col min="2" max="2" width="10.88671875" customWidth="1"/>
    <col min="3" max="3" width="12.44140625" bestFit="1" customWidth="1"/>
    <col min="4" max="4" width="14.109375" customWidth="1"/>
    <col min="5" max="5" width="15.109375" customWidth="1"/>
    <col min="6" max="6" width="13.44140625" customWidth="1"/>
  </cols>
  <sheetData>
    <row r="5" spans="2:7" x14ac:dyDescent="0.3">
      <c r="B5" t="s">
        <v>91</v>
      </c>
      <c r="C5" t="s">
        <v>92</v>
      </c>
      <c r="D5" t="s">
        <v>93</v>
      </c>
      <c r="E5" t="s">
        <v>94</v>
      </c>
      <c r="F5" t="s">
        <v>95</v>
      </c>
      <c r="G5" t="s">
        <v>96</v>
      </c>
    </row>
    <row r="6" spans="2:7" x14ac:dyDescent="0.3">
      <c r="B6" s="45" t="s">
        <v>71</v>
      </c>
      <c r="C6" t="s">
        <v>97</v>
      </c>
      <c r="D6" t="s">
        <v>99</v>
      </c>
      <c r="E6" s="46">
        <v>655</v>
      </c>
      <c r="F6" s="46">
        <v>890</v>
      </c>
      <c r="G6" s="46">
        <f>Tabela4[[#This Row],[Preco_venda]]-Tabela4[[#This Row],[Preco_Compra]]</f>
        <v>235</v>
      </c>
    </row>
    <row r="7" spans="2:7" x14ac:dyDescent="0.3">
      <c r="B7" s="45" t="s">
        <v>72</v>
      </c>
      <c r="C7" t="s">
        <v>106</v>
      </c>
      <c r="D7" t="s">
        <v>100</v>
      </c>
      <c r="E7" s="46">
        <v>7.5</v>
      </c>
      <c r="F7" s="46">
        <v>15</v>
      </c>
      <c r="G7" s="46">
        <f>Tabela4[[#This Row],[Preco_venda]]-Tabela4[[#This Row],[Preco_Compra]]</f>
        <v>7.5</v>
      </c>
    </row>
    <row r="8" spans="2:7" x14ac:dyDescent="0.3">
      <c r="B8" s="45" t="s">
        <v>73</v>
      </c>
      <c r="E8" s="46"/>
      <c r="F8" s="46"/>
      <c r="G8" s="46">
        <f>Tabela4[[#This Row],[Preco_venda]]-Tabela4[[#This Row],[Preco_Compra]]</f>
        <v>0</v>
      </c>
    </row>
    <row r="9" spans="2:7" x14ac:dyDescent="0.3">
      <c r="B9" s="45" t="s">
        <v>76</v>
      </c>
      <c r="E9" s="46"/>
      <c r="F9" s="46"/>
      <c r="G9" s="46">
        <f>Tabela4[[#This Row],[Preco_venda]]-Tabela4[[#This Row],[Preco_Compra]]</f>
        <v>0</v>
      </c>
    </row>
    <row r="10" spans="2:7" x14ac:dyDescent="0.3">
      <c r="B10" s="45" t="s">
        <v>77</v>
      </c>
      <c r="E10" s="46"/>
      <c r="F10" s="46"/>
      <c r="G10" s="46">
        <f>Tabela4[[#This Row],[Preco_venda]]-Tabela4[[#This Row],[Preco_Compra]]</f>
        <v>0</v>
      </c>
    </row>
  </sheetData>
  <phoneticPr fontId="4" type="noConversion"/>
  <dataValidations count="1">
    <dataValidation type="list" allowBlank="1" showInputMessage="1" showErrorMessage="1" sqref="D6:D10" xr:uid="{96A954D9-F0AB-4F42-AC1E-EA4FFB885917}">
      <formula1>Classificação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003B7-8D9A-4A40-894C-501A7BB2F555}">
  <dimension ref="B2:G20"/>
  <sheetViews>
    <sheetView workbookViewId="0">
      <selection activeCell="G21" sqref="G21"/>
    </sheetView>
  </sheetViews>
  <sheetFormatPr defaultRowHeight="14.4" x14ac:dyDescent="0.3"/>
  <cols>
    <col min="2" max="2" width="11.88671875" bestFit="1" customWidth="1"/>
    <col min="5" max="5" width="16.33203125" bestFit="1" customWidth="1"/>
    <col min="7" max="7" width="63.44140625" bestFit="1" customWidth="1"/>
  </cols>
  <sheetData>
    <row r="2" spans="2:7" x14ac:dyDescent="0.3">
      <c r="B2" t="s">
        <v>67</v>
      </c>
      <c r="E2" s="15" t="s">
        <v>134</v>
      </c>
      <c r="G2" s="15" t="s">
        <v>140</v>
      </c>
    </row>
    <row r="3" spans="2:7" x14ac:dyDescent="0.3">
      <c r="E3" s="15" t="s">
        <v>119</v>
      </c>
      <c r="G3" s="59" t="e" vm="1">
        <v>#VALUE!</v>
      </c>
    </row>
    <row r="4" spans="2:7" x14ac:dyDescent="0.3">
      <c r="B4" t="s">
        <v>69</v>
      </c>
      <c r="E4" s="15" t="s">
        <v>120</v>
      </c>
      <c r="G4" s="61" t="e" vm="2">
        <v>#VALUE!</v>
      </c>
    </row>
    <row r="5" spans="2:7" x14ac:dyDescent="0.3">
      <c r="B5" t="s">
        <v>75</v>
      </c>
      <c r="E5" s="15" t="s">
        <v>135</v>
      </c>
      <c r="G5" s="60" t="e" vm="3">
        <v>#VALUE!</v>
      </c>
    </row>
    <row r="6" spans="2:7" x14ac:dyDescent="0.3">
      <c r="E6" s="15" t="s">
        <v>136</v>
      </c>
      <c r="G6" s="61" t="e" vm="4">
        <v>#VALUE!</v>
      </c>
    </row>
    <row r="7" spans="2:7" x14ac:dyDescent="0.3">
      <c r="B7" s="3" t="s">
        <v>98</v>
      </c>
      <c r="E7" s="15" t="s">
        <v>137</v>
      </c>
      <c r="G7" s="60" t="e" vm="5">
        <v>#VALUE!</v>
      </c>
    </row>
    <row r="8" spans="2:7" x14ac:dyDescent="0.3">
      <c r="B8" s="3"/>
      <c r="E8" s="15" t="s">
        <v>138</v>
      </c>
      <c r="G8" s="61" t="e" vm="6">
        <v>#VALUE!</v>
      </c>
    </row>
    <row r="9" spans="2:7" x14ac:dyDescent="0.3">
      <c r="B9" s="3" t="s">
        <v>99</v>
      </c>
      <c r="E9" s="15" t="s">
        <v>139</v>
      </c>
      <c r="G9" s="62" t="e" vm="7">
        <v>#VALUE!</v>
      </c>
    </row>
    <row r="10" spans="2:7" x14ac:dyDescent="0.3">
      <c r="B10" s="3" t="s">
        <v>100</v>
      </c>
      <c r="G10" s="62" t="e" vm="8">
        <v>#VALUE!</v>
      </c>
    </row>
    <row r="11" spans="2:7" x14ac:dyDescent="0.3">
      <c r="B11" s="3" t="s">
        <v>101</v>
      </c>
      <c r="G11" s="62" t="e" vm="9">
        <v>#VALUE!</v>
      </c>
    </row>
    <row r="12" spans="2:7" x14ac:dyDescent="0.3">
      <c r="B12" s="3" t="s">
        <v>102</v>
      </c>
      <c r="G12" s="62" t="e" vm="10">
        <v>#VALUE!</v>
      </c>
    </row>
    <row r="13" spans="2:7" x14ac:dyDescent="0.3">
      <c r="B13" s="3" t="s">
        <v>103</v>
      </c>
      <c r="G13" s="62" t="e" vm="11">
        <v>#VALUE!</v>
      </c>
    </row>
    <row r="14" spans="2:7" x14ac:dyDescent="0.3">
      <c r="B14" s="3" t="s">
        <v>104</v>
      </c>
      <c r="G14" s="62" t="e" vm="12">
        <v>#VALUE!</v>
      </c>
    </row>
    <row r="15" spans="2:7" x14ac:dyDescent="0.3">
      <c r="B15" s="3" t="s">
        <v>105</v>
      </c>
      <c r="G15" s="62" t="e" vm="13">
        <v>#VALUE!</v>
      </c>
    </row>
    <row r="16" spans="2:7" x14ac:dyDescent="0.3">
      <c r="G16" s="62" t="e" vm="14">
        <v>#VALUE!</v>
      </c>
    </row>
    <row r="17" spans="7:7" x14ac:dyDescent="0.3">
      <c r="G17" s="62" t="e" vm="15">
        <v>#VALUE!</v>
      </c>
    </row>
    <row r="18" spans="7:7" x14ac:dyDescent="0.3">
      <c r="G18" s="62" t="e" vm="16">
        <v>#VALUE!</v>
      </c>
    </row>
    <row r="19" spans="7:7" x14ac:dyDescent="0.3">
      <c r="G19" s="62" t="e" vm="17">
        <v>#VALUE!</v>
      </c>
    </row>
    <row r="20" spans="7:7" x14ac:dyDescent="0.3">
      <c r="G20" s="62" t="e" vm="18">
        <v>#VALUE!</v>
      </c>
    </row>
  </sheetData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9BCED-8FA9-40B2-88B4-47252BB8367C}">
  <dimension ref="B2:M20"/>
  <sheetViews>
    <sheetView zoomScale="76" workbookViewId="0">
      <selection activeCell="B2" sqref="B2:H16"/>
    </sheetView>
  </sheetViews>
  <sheetFormatPr defaultRowHeight="14.4" x14ac:dyDescent="0.3"/>
  <cols>
    <col min="2" max="2" width="11.5546875" customWidth="1"/>
    <col min="3" max="3" width="63.44140625" bestFit="1" customWidth="1"/>
    <col min="4" max="4" width="15.33203125" customWidth="1"/>
    <col min="5" max="5" width="12" bestFit="1" customWidth="1"/>
    <col min="6" max="6" width="13.88671875" customWidth="1"/>
    <col min="7" max="7" width="19.88671875" customWidth="1"/>
    <col min="8" max="8" width="16" customWidth="1"/>
    <col min="9" max="9" width="18.44140625" bestFit="1" customWidth="1"/>
    <col min="10" max="10" width="17.77734375" bestFit="1" customWidth="1"/>
    <col min="11" max="11" width="15" bestFit="1" customWidth="1"/>
    <col min="12" max="12" width="14.77734375" bestFit="1" customWidth="1"/>
    <col min="13" max="13" width="14.5546875" bestFit="1" customWidth="1"/>
    <col min="14" max="14" width="15.33203125" bestFit="1" customWidth="1"/>
    <col min="15" max="15" width="15.44140625" bestFit="1" customWidth="1"/>
    <col min="16" max="16" width="15.33203125" bestFit="1" customWidth="1"/>
    <col min="17" max="25" width="10.6640625" bestFit="1" customWidth="1"/>
    <col min="26" max="26" width="9.6640625" bestFit="1" customWidth="1"/>
    <col min="27" max="27" width="10.6640625" bestFit="1" customWidth="1"/>
    <col min="28" max="28" width="15.44140625" bestFit="1" customWidth="1"/>
    <col min="29" max="32" width="9.6640625" bestFit="1" customWidth="1"/>
    <col min="33" max="33" width="10.6640625" bestFit="1" customWidth="1"/>
    <col min="34" max="34" width="4" bestFit="1" customWidth="1"/>
    <col min="35" max="37" width="9" bestFit="1" customWidth="1"/>
    <col min="38" max="38" width="8" bestFit="1" customWidth="1"/>
    <col min="39" max="41" width="9" bestFit="1" customWidth="1"/>
    <col min="42" max="42" width="20.33203125" bestFit="1" customWidth="1"/>
    <col min="43" max="43" width="20.44140625" bestFit="1" customWidth="1"/>
  </cols>
  <sheetData>
    <row r="2" spans="2:13" x14ac:dyDescent="0.3">
      <c r="B2" s="15" t="s">
        <v>113</v>
      </c>
      <c r="C2" s="15" t="s">
        <v>114</v>
      </c>
      <c r="D2" s="15" t="s">
        <v>115</v>
      </c>
      <c r="E2" s="15" t="s">
        <v>116</v>
      </c>
      <c r="F2" s="15" t="s">
        <v>117</v>
      </c>
      <c r="G2" s="15" t="s">
        <v>118</v>
      </c>
      <c r="H2" s="15" t="s">
        <v>148</v>
      </c>
      <c r="J2" s="56" t="s">
        <v>121</v>
      </c>
      <c r="K2" t="s">
        <v>149</v>
      </c>
      <c r="L2" t="s">
        <v>131</v>
      </c>
      <c r="M2" t="s">
        <v>130</v>
      </c>
    </row>
    <row r="3" spans="2:13" x14ac:dyDescent="0.3">
      <c r="B3" s="15" t="s">
        <v>120</v>
      </c>
      <c r="C3" s="15" t="e" vm="9">
        <v>#VALUE!</v>
      </c>
      <c r="D3" s="15" t="str" cm="1">
        <f t="array" aca="1" ref="D3" ca="1">_FV(C3,"Símbolo do ticker",TRUE)</f>
        <v>VALE3</v>
      </c>
      <c r="E3" s="55" cm="1">
        <f t="array" aca="1" ref="E3" ca="1">_FV(C3,"Preço")</f>
        <v>57.73</v>
      </c>
      <c r="F3" s="15">
        <v>15</v>
      </c>
      <c r="G3" s="55">
        <f t="shared" ref="G3:G16" ca="1" si="0">E3*F3</f>
        <v>865.94999999999993</v>
      </c>
      <c r="H3" s="64" cm="1">
        <f t="array" aca="1" ref="H3" ca="1">_FV(Tabela5[[#This Row],[RAZÃO SOCIAL]],"Variação (%)",TRUE)</f>
        <v>3.1280000000000001E-3</v>
      </c>
      <c r="J3" s="57" t="s">
        <v>120</v>
      </c>
      <c r="K3" s="63">
        <v>-5.3295999999999996E-2</v>
      </c>
      <c r="L3" s="15">
        <v>412</v>
      </c>
      <c r="M3" s="65">
        <v>3531.8599999999997</v>
      </c>
    </row>
    <row r="4" spans="2:13" x14ac:dyDescent="0.3">
      <c r="B4" s="15" t="s">
        <v>119</v>
      </c>
      <c r="C4" s="15" t="e" vm="2">
        <v>#VALUE!</v>
      </c>
      <c r="D4" s="15" t="str" cm="1">
        <f t="array" aca="1" ref="D4" ca="1">_FV(C4,"Símbolo do ticker",TRUE)</f>
        <v>MXRF11</v>
      </c>
      <c r="E4" s="55" cm="1">
        <f t="array" aca="1" ref="E4" ca="1">_FV(C4,"Preço")</f>
        <v>9.2200000000000006</v>
      </c>
      <c r="F4" s="15">
        <v>92</v>
      </c>
      <c r="G4" s="55">
        <f t="shared" ca="1" si="0"/>
        <v>848.24</v>
      </c>
      <c r="H4" s="63" cm="1">
        <f t="array" aca="1" ref="H4" ca="1">_FV(Tabela5[[#This Row],[RAZÃO SOCIAL]],"Variação (%)",TRUE)</f>
        <v>2.1740000000000002E-3</v>
      </c>
      <c r="J4" s="58" t="s">
        <v>123</v>
      </c>
      <c r="K4" s="63">
        <v>0</v>
      </c>
      <c r="L4" s="15">
        <v>25</v>
      </c>
      <c r="M4" s="65">
        <v>648.75</v>
      </c>
    </row>
    <row r="5" spans="2:13" x14ac:dyDescent="0.3">
      <c r="B5" s="15" t="s">
        <v>119</v>
      </c>
      <c r="C5" s="15" t="e" vm="15">
        <v>#VALUE!</v>
      </c>
      <c r="D5" s="15" t="str" cm="1">
        <f t="array" aca="1" ref="D5" ca="1">_FV(C5,"Símbolo do ticker",TRUE)</f>
        <v>XPML11</v>
      </c>
      <c r="E5" s="55" cm="1">
        <f t="array" aca="1" ref="E5" ca="1">_FV(C5,"Preço")</f>
        <v>103.55</v>
      </c>
      <c r="F5" s="15">
        <v>8</v>
      </c>
      <c r="G5" s="55">
        <f t="shared" ca="1" si="0"/>
        <v>828.4</v>
      </c>
      <c r="H5" s="63" cm="1">
        <f t="array" aca="1" ref="H5" ca="1">_FV(Tabela5[[#This Row],[RAZÃO SOCIAL]],"Variação (%)",TRUE)</f>
        <v>2.5169999999999997E-3</v>
      </c>
      <c r="J5" s="58" t="s">
        <v>141</v>
      </c>
      <c r="K5" s="63">
        <v>-1.354E-3</v>
      </c>
      <c r="L5" s="15">
        <v>20</v>
      </c>
      <c r="M5" s="65">
        <v>737.6</v>
      </c>
    </row>
    <row r="6" spans="2:13" x14ac:dyDescent="0.3">
      <c r="B6" s="15" t="s">
        <v>119</v>
      </c>
      <c r="C6" s="15" t="e" vm="4">
        <v>#VALUE!</v>
      </c>
      <c r="D6" s="15" t="str" cm="1">
        <f t="array" aca="1" ref="D6" ca="1">_FV(C6,"Símbolo do ticker",TRUE)</f>
        <v>BRCR11</v>
      </c>
      <c r="E6" s="55" cm="1">
        <f t="array" aca="1" ref="E6" ca="1">_FV(C6,"Preço")</f>
        <v>43.16</v>
      </c>
      <c r="F6" s="15">
        <v>18</v>
      </c>
      <c r="G6" s="55">
        <f t="shared" ca="1" si="0"/>
        <v>776.87999999999988</v>
      </c>
      <c r="H6" s="63" cm="1">
        <f t="array" aca="1" ref="H6" ca="1">_FV(Tabela5[[#This Row],[RAZÃO SOCIAL]],"Variação (%)",TRUE)</f>
        <v>2.555E-3</v>
      </c>
      <c r="J6" s="58" t="s">
        <v>124</v>
      </c>
      <c r="K6" s="63">
        <v>1.4999999999999999E-2</v>
      </c>
      <c r="L6" s="15">
        <v>115</v>
      </c>
      <c r="M6" s="65">
        <v>700.35</v>
      </c>
    </row>
    <row r="7" spans="2:13" x14ac:dyDescent="0.3">
      <c r="B7" s="15" t="s">
        <v>135</v>
      </c>
      <c r="C7" s="15" t="e" vm="18">
        <v>#VALUE!</v>
      </c>
      <c r="D7" s="15" t="str" cm="1">
        <f t="array" aca="1" ref="D7" ca="1">_FV(C7,"Símbolo do ticker",TRUE)</f>
        <v>XBOV11</v>
      </c>
      <c r="E7" s="55" cm="1">
        <f t="array" aca="1" ref="E7" ca="1">_FV(C7,"Preço")</f>
        <v>125.66</v>
      </c>
      <c r="F7" s="15">
        <v>6</v>
      </c>
      <c r="G7" s="55">
        <f t="shared" ca="1" si="0"/>
        <v>753.96</v>
      </c>
      <c r="H7" s="63" cm="1">
        <f t="array" aca="1" ref="H7" ca="1">_FV(Tabela5[[#This Row],[RAZÃO SOCIAL]],"Variação (%)",TRUE)</f>
        <v>3.0330000000000001E-3</v>
      </c>
      <c r="J7" s="58" t="s">
        <v>142</v>
      </c>
      <c r="K7" s="63">
        <v>-2.7910000000000001E-3</v>
      </c>
      <c r="L7" s="15">
        <v>15</v>
      </c>
      <c r="M7" s="65">
        <v>857.4</v>
      </c>
    </row>
    <row r="8" spans="2:13" x14ac:dyDescent="0.3">
      <c r="B8" s="15" t="s">
        <v>120</v>
      </c>
      <c r="C8" t="e" vm="1">
        <v>#VALUE!</v>
      </c>
      <c r="D8" s="15" t="str" cm="1">
        <f t="array" aca="1" ref="D8" ca="1">_FV(C8,"Símbolo do ticker",TRUE)</f>
        <v>USIM5</v>
      </c>
      <c r="E8" s="55" cm="1">
        <f t="array" aca="1" ref="E8" ca="1">_FV(C8,"Preço")</f>
        <v>6.16</v>
      </c>
      <c r="F8" s="15">
        <v>115</v>
      </c>
      <c r="G8" s="55">
        <f t="shared" ca="1" si="0"/>
        <v>708.4</v>
      </c>
      <c r="H8" s="63" cm="1">
        <f t="array" aca="1" ref="H8" ca="1">_FV(Tabela5[[#This Row],[RAZÃO SOCIAL]],"Variação (%)",TRUE)</f>
        <v>-6.4520000000000003E-3</v>
      </c>
      <c r="J8" s="58" t="s">
        <v>145</v>
      </c>
      <c r="K8" s="63">
        <v>-6.4151E-2</v>
      </c>
      <c r="L8" s="15">
        <v>237</v>
      </c>
      <c r="M8" s="65">
        <v>587.76</v>
      </c>
    </row>
    <row r="9" spans="2:13" x14ac:dyDescent="0.3">
      <c r="B9" s="15" t="s">
        <v>119</v>
      </c>
      <c r="C9" s="15" t="e" vm="12">
        <v>#VALUE!</v>
      </c>
      <c r="D9" s="15" t="str" cm="1">
        <f t="array" aca="1" ref="D9" ca="1">_FV(C9,"Símbolo do ticker",TRUE)</f>
        <v>KNIP11</v>
      </c>
      <c r="E9" s="55" cm="1">
        <f t="array" aca="1" ref="E9" ca="1">_FV(C9,"Preço")</f>
        <v>90.78</v>
      </c>
      <c r="F9" s="15">
        <v>8</v>
      </c>
      <c r="G9" s="55">
        <f t="shared" ca="1" si="0"/>
        <v>726.24</v>
      </c>
      <c r="H9" s="63" cm="1">
        <f t="array" aca="1" ref="H9" ca="1">_FV(Tabela5[[#This Row],[RAZÃO SOCIAL]],"Variação (%)",TRUE)</f>
        <v>-1.65E-3</v>
      </c>
      <c r="J9" s="57" t="s">
        <v>119</v>
      </c>
      <c r="K9" s="63">
        <v>-0.10657599999999999</v>
      </c>
      <c r="L9" s="15">
        <v>213</v>
      </c>
      <c r="M9" s="65">
        <v>4018.4</v>
      </c>
    </row>
    <row r="10" spans="2:13" x14ac:dyDescent="0.3">
      <c r="B10" s="15" t="s">
        <v>120</v>
      </c>
      <c r="C10" s="15" t="e" vm="8">
        <v>#VALUE!</v>
      </c>
      <c r="D10" s="15" t="str" cm="1">
        <f t="array" aca="1" ref="D10" ca="1">_FV(C10,"Símbolo do ticker",TRUE)</f>
        <v>PETR4</v>
      </c>
      <c r="E10" s="55" cm="1">
        <f t="array" aca="1" ref="E10" ca="1">_FV(C10,"Preço")</f>
        <v>37.83</v>
      </c>
      <c r="F10" s="15">
        <v>20</v>
      </c>
      <c r="G10" s="55">
        <f t="shared" ca="1" si="0"/>
        <v>756.59999999999991</v>
      </c>
      <c r="H10" s="64" cm="1">
        <f t="array" aca="1" ref="H10" ca="1">_FV(Tabela5[[#This Row],[RAZÃO SOCIAL]],"Variação (%)",TRUE)</f>
        <v>-9.6860000000000002E-3</v>
      </c>
      <c r="J10" s="58" t="s">
        <v>125</v>
      </c>
      <c r="K10" s="63">
        <v>-7.0089999999999996E-3</v>
      </c>
      <c r="L10" s="15">
        <v>18</v>
      </c>
      <c r="M10" s="65">
        <v>765</v>
      </c>
    </row>
    <row r="11" spans="2:13" x14ac:dyDescent="0.3">
      <c r="B11" s="15" t="s">
        <v>120</v>
      </c>
      <c r="C11" s="15" t="e" vm="11">
        <v>#VALUE!</v>
      </c>
      <c r="D11" s="15" t="str" cm="1">
        <f t="array" aca="1" ref="D11" ca="1">_FV(C11,"Símbolo do ticker",TRUE)</f>
        <v>RAIZ4</v>
      </c>
      <c r="E11" s="55" cm="1">
        <f t="array" aca="1" ref="E11" ca="1">_FV(C11,"Preço")</f>
        <v>2.46</v>
      </c>
      <c r="F11" s="15">
        <v>237</v>
      </c>
      <c r="G11" s="55">
        <f t="shared" ca="1" si="0"/>
        <v>583.02</v>
      </c>
      <c r="H11" s="63" cm="1">
        <f t="array" aca="1" ref="H11" ca="1">_FV(Tabela5[[#This Row],[RAZÃO SOCIAL]],"Variação (%)",TRUE)</f>
        <v>-1.6E-2</v>
      </c>
      <c r="J11" s="58" t="s">
        <v>126</v>
      </c>
      <c r="K11" s="63">
        <v>-8.3969000000000002E-2</v>
      </c>
      <c r="L11" s="15">
        <v>18</v>
      </c>
      <c r="M11" s="65">
        <v>21.599999999999998</v>
      </c>
    </row>
    <row r="12" spans="2:13" x14ac:dyDescent="0.3">
      <c r="B12" s="15" t="s">
        <v>135</v>
      </c>
      <c r="C12" s="15" t="e" vm="17">
        <v>#VALUE!</v>
      </c>
      <c r="D12" s="15" t="str" cm="1">
        <f t="array" aca="1" ref="D12" ca="1">_FV(C12,"Símbolo do ticker",TRUE)</f>
        <v>BOVB11</v>
      </c>
      <c r="E12" s="55" cm="1">
        <f t="array" aca="1" ref="E12" ca="1">_FV(C12,"Preço")</f>
        <v>130.04</v>
      </c>
      <c r="F12" s="15">
        <v>5</v>
      </c>
      <c r="G12" s="55">
        <f t="shared" ca="1" si="0"/>
        <v>650.19999999999993</v>
      </c>
      <c r="H12" s="63" cm="1">
        <f t="array" aca="1" ref="H12" ca="1">_FV(Tabela5[[#This Row],[RAZÃO SOCIAL]],"Variação (%)",TRUE)</f>
        <v>2.6210000000000001E-3</v>
      </c>
      <c r="J12" s="58" t="s">
        <v>127</v>
      </c>
      <c r="K12" s="63">
        <v>-2.1002E-2</v>
      </c>
      <c r="L12" s="15">
        <v>15</v>
      </c>
      <c r="M12" s="65">
        <v>454.5</v>
      </c>
    </row>
    <row r="13" spans="2:13" x14ac:dyDescent="0.3">
      <c r="B13" s="15" t="s">
        <v>120</v>
      </c>
      <c r="C13" s="15" t="e" vm="6">
        <v>#VALUE!</v>
      </c>
      <c r="D13" s="15" t="str" cm="1">
        <f t="array" aca="1" ref="D13" ca="1">_FV(C13,"Símbolo do ticker",TRUE)</f>
        <v>BBAS3</v>
      </c>
      <c r="E13" s="55" cm="1">
        <f t="array" aca="1" ref="E13" ca="1">_FV(C13,"Preço")</f>
        <v>25.81</v>
      </c>
      <c r="F13" s="15">
        <v>25</v>
      </c>
      <c r="G13" s="55">
        <f t="shared" ca="1" si="0"/>
        <v>645.25</v>
      </c>
      <c r="H13" s="63" cm="1">
        <f t="array" aca="1" ref="H13" ca="1">_FV(Tabela5[[#This Row],[RAZÃO SOCIAL]],"Variação (%)",TRUE)</f>
        <v>3.8900000000000002E-3</v>
      </c>
      <c r="J13" s="58" t="s">
        <v>128</v>
      </c>
      <c r="K13" s="63">
        <v>1.5448999999999999E-2</v>
      </c>
      <c r="L13" s="15">
        <v>54</v>
      </c>
      <c r="M13" s="65">
        <v>390.42</v>
      </c>
    </row>
    <row r="14" spans="2:13" x14ac:dyDescent="0.3">
      <c r="B14" s="15" t="s">
        <v>119</v>
      </c>
      <c r="C14" s="15" t="e" vm="5">
        <v>#VALUE!</v>
      </c>
      <c r="D14" s="15" t="str" cm="1">
        <f t="array" aca="1" ref="D14" ca="1">_FV(C14,"Símbolo do ticker",TRUE)</f>
        <v>DEVA11</v>
      </c>
      <c r="E14" s="55" cm="1">
        <f t="array" aca="1" ref="E14" ca="1">_FV(C14,"Preço")</f>
        <v>30.45</v>
      </c>
      <c r="F14" s="15">
        <v>15</v>
      </c>
      <c r="G14" s="55">
        <f t="shared" ca="1" si="0"/>
        <v>456.75</v>
      </c>
      <c r="H14" s="63" cm="1">
        <f t="array" aca="1" ref="H14" ca="1">_FV(Tabela5[[#This Row],[RAZÃO SOCIAL]],"Variação (%)",TRUE)</f>
        <v>-1.6389999999999998E-3</v>
      </c>
      <c r="J14" s="58" t="s">
        <v>143</v>
      </c>
      <c r="K14" s="63">
        <v>-1.8709999999999998E-3</v>
      </c>
      <c r="L14" s="15">
        <v>8</v>
      </c>
      <c r="M14" s="65">
        <v>725.36</v>
      </c>
    </row>
    <row r="15" spans="2:13" x14ac:dyDescent="0.3">
      <c r="B15" s="15" t="s">
        <v>119</v>
      </c>
      <c r="C15" s="15" t="e" vm="3">
        <v>#VALUE!</v>
      </c>
      <c r="D15" s="15" t="str" cm="1">
        <f t="array" aca="1" ref="D15" ca="1">_FV(C15,"Símbolo do ticker",TRUE)</f>
        <v>KISU11</v>
      </c>
      <c r="E15" s="55" cm="1">
        <f t="array" aca="1" ref="E15" ca="1">_FV(C15,"Preço")</f>
        <v>7.21</v>
      </c>
      <c r="F15" s="15">
        <v>54</v>
      </c>
      <c r="G15" s="55">
        <f t="shared" ca="1" si="0"/>
        <v>389.34</v>
      </c>
      <c r="H15" s="63" cm="1">
        <f t="array" aca="1" ref="H15" ca="1">_FV(Tabela5[[#This Row],[RAZÃO SOCIAL]],"Variação (%)",TRUE)</f>
        <v>-9.6150000000000003E-3</v>
      </c>
      <c r="J15" s="58" t="s">
        <v>129</v>
      </c>
      <c r="K15" s="63">
        <v>-1.0893E-2</v>
      </c>
      <c r="L15" s="15">
        <v>92</v>
      </c>
      <c r="M15" s="65">
        <v>835.36</v>
      </c>
    </row>
    <row r="16" spans="2:13" x14ac:dyDescent="0.3">
      <c r="B16" s="15" t="s">
        <v>119</v>
      </c>
      <c r="C16" s="15" t="e" vm="7">
        <v>#VALUE!</v>
      </c>
      <c r="D16" s="15" t="str" cm="1">
        <f t="array" aca="1" ref="D16" ca="1">_FV(C16,"Símbolo do ticker",TRUE)</f>
        <v>CNES11</v>
      </c>
      <c r="E16" s="55" cm="1">
        <f t="array" aca="1" ref="E16" ca="1">_FV(C16,"Preço")</f>
        <v>1.1599999999999999</v>
      </c>
      <c r="F16" s="15">
        <v>18</v>
      </c>
      <c r="G16" s="55">
        <f t="shared" ca="1" si="0"/>
        <v>20.88</v>
      </c>
      <c r="H16" s="63" cm="1">
        <f t="array" aca="1" ref="H16" ca="1">_FV(Tabela5[[#This Row],[RAZÃO SOCIAL]],"Variação (%)",TRUE)</f>
        <v>-8.5470000000000008E-3</v>
      </c>
      <c r="J16" s="58" t="s">
        <v>144</v>
      </c>
      <c r="K16" s="63">
        <v>2.7189999999999996E-3</v>
      </c>
      <c r="L16" s="15">
        <v>8</v>
      </c>
      <c r="M16" s="65">
        <v>826.16</v>
      </c>
    </row>
    <row r="17" spans="10:13" x14ac:dyDescent="0.3">
      <c r="J17" s="57" t="s">
        <v>135</v>
      </c>
      <c r="K17" s="63">
        <v>3.0859999999999997E-4</v>
      </c>
      <c r="L17" s="15">
        <v>11</v>
      </c>
      <c r="M17" s="65">
        <v>1399.56</v>
      </c>
    </row>
    <row r="18" spans="10:13" x14ac:dyDescent="0.3">
      <c r="J18" s="58" t="s">
        <v>146</v>
      </c>
      <c r="K18" s="63">
        <v>3.0859999999999997E-4</v>
      </c>
      <c r="L18" s="15">
        <v>5</v>
      </c>
      <c r="M18" s="65">
        <v>648.29999999999995</v>
      </c>
    </row>
    <row r="19" spans="10:13" x14ac:dyDescent="0.3">
      <c r="J19" s="58" t="s">
        <v>147</v>
      </c>
      <c r="K19" s="63">
        <v>0</v>
      </c>
      <c r="L19" s="15">
        <v>6</v>
      </c>
      <c r="M19" s="65">
        <v>751.26</v>
      </c>
    </row>
    <row r="20" spans="10:13" x14ac:dyDescent="0.3">
      <c r="J20" s="57" t="s">
        <v>122</v>
      </c>
      <c r="K20" s="63">
        <v>-0.15956340000000005</v>
      </c>
      <c r="L20" s="15">
        <v>636</v>
      </c>
      <c r="M20" s="65">
        <v>8949.82</v>
      </c>
    </row>
  </sheetData>
  <conditionalFormatting sqref="F3:F16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{B4E1012E-4ABD-44FD-9823-23267227E537}</x14:id>
        </ext>
      </extLst>
    </cfRule>
  </conditionalFormatting>
  <conditionalFormatting sqref="G3:G1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{8644F8C8-B3FC-4E45-BE3B-E3A406F082C8}</x14:id>
        </ext>
      </extLst>
    </cfRule>
  </conditionalFormatting>
  <dataValidations count="2">
    <dataValidation type="list" allowBlank="1" showInputMessage="1" showErrorMessage="1" sqref="B2:B16" xr:uid="{CE8D9021-6C70-4CDE-AEBE-7BE487BB8AF0}">
      <formula1>INDIRECT("tipo")</formula1>
    </dataValidation>
    <dataValidation type="list" allowBlank="1" showInputMessage="1" showErrorMessage="1" sqref="C3:C16" xr:uid="{F7B0A2CC-B403-4067-9DA2-5A714D22EECF}">
      <formula1>INDIRECT("Titulo")</formula1>
    </dataValidation>
  </dataValidations>
  <pageMargins left="0.511811024" right="0.511811024" top="0.78740157499999996" bottom="0.78740157499999996" header="0.31496062000000002" footer="0.31496062000000002"/>
  <pageSetup paperSize="9" orientation="portrait" verticalDpi="300"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4E1012E-4ABD-44FD-9823-23267227E53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F3:F16</xm:sqref>
        </x14:conditionalFormatting>
        <x14:conditionalFormatting xmlns:xm="http://schemas.microsoft.com/office/excel/2006/main">
          <x14:cfRule type="dataBar" id="{8644F8C8-B3FC-4E45-BE3B-E3A406F082C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G3:G16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A891-CB56-4523-8CF2-B0953B90D3C8}">
  <dimension ref="B2:C54"/>
  <sheetViews>
    <sheetView tabSelected="1" topLeftCell="A5" zoomScale="60" workbookViewId="0">
      <selection activeCell="S29" sqref="S29"/>
    </sheetView>
  </sheetViews>
  <sheetFormatPr defaultRowHeight="14.4" x14ac:dyDescent="0.3"/>
  <cols>
    <col min="2" max="2" width="16.77734375" bestFit="1" customWidth="1"/>
    <col min="3" max="3" width="27" bestFit="1" customWidth="1"/>
    <col min="10" max="10" width="16.77734375" bestFit="1" customWidth="1"/>
    <col min="11" max="12" width="19.33203125" bestFit="1" customWidth="1"/>
    <col min="14" max="14" width="16.77734375" bestFit="1" customWidth="1"/>
    <col min="15" max="16" width="14.21875" bestFit="1" customWidth="1"/>
  </cols>
  <sheetData>
    <row r="2" spans="2:3" x14ac:dyDescent="0.3">
      <c r="B2" s="56" t="s">
        <v>121</v>
      </c>
      <c r="C2" t="s">
        <v>130</v>
      </c>
    </row>
    <row r="3" spans="2:3" x14ac:dyDescent="0.3">
      <c r="B3" s="57" t="s">
        <v>119</v>
      </c>
      <c r="C3" s="55">
        <v>4018.4</v>
      </c>
    </row>
    <row r="4" spans="2:3" x14ac:dyDescent="0.3">
      <c r="B4" s="57" t="s">
        <v>120</v>
      </c>
      <c r="C4" s="55">
        <v>3531.8599999999997</v>
      </c>
    </row>
    <row r="5" spans="2:3" x14ac:dyDescent="0.3">
      <c r="B5" s="57" t="s">
        <v>135</v>
      </c>
      <c r="C5" s="55">
        <v>1399.56</v>
      </c>
    </row>
    <row r="6" spans="2:3" x14ac:dyDescent="0.3">
      <c r="B6" s="57" t="s">
        <v>122</v>
      </c>
      <c r="C6" s="55">
        <v>8949.82</v>
      </c>
    </row>
    <row r="8" spans="2:3" x14ac:dyDescent="0.3">
      <c r="B8" s="56" t="s">
        <v>121</v>
      </c>
      <c r="C8" t="s">
        <v>130</v>
      </c>
    </row>
    <row r="9" spans="2:3" x14ac:dyDescent="0.3">
      <c r="B9" s="57" t="s">
        <v>142</v>
      </c>
      <c r="C9" s="55">
        <v>857.4</v>
      </c>
    </row>
    <row r="10" spans="2:3" x14ac:dyDescent="0.3">
      <c r="B10" s="57" t="s">
        <v>129</v>
      </c>
      <c r="C10" s="55">
        <v>835.36</v>
      </c>
    </row>
    <row r="11" spans="2:3" x14ac:dyDescent="0.3">
      <c r="B11" s="57" t="s">
        <v>144</v>
      </c>
      <c r="C11" s="55">
        <v>826.16</v>
      </c>
    </row>
    <row r="12" spans="2:3" x14ac:dyDescent="0.3">
      <c r="B12" s="57" t="s">
        <v>125</v>
      </c>
      <c r="C12" s="55">
        <v>765</v>
      </c>
    </row>
    <row r="13" spans="2:3" x14ac:dyDescent="0.3">
      <c r="B13" s="57" t="s">
        <v>147</v>
      </c>
      <c r="C13" s="55">
        <v>751.26</v>
      </c>
    </row>
    <row r="14" spans="2:3" x14ac:dyDescent="0.3">
      <c r="B14" s="57" t="s">
        <v>141</v>
      </c>
      <c r="C14" s="55">
        <v>737.6</v>
      </c>
    </row>
    <row r="15" spans="2:3" x14ac:dyDescent="0.3">
      <c r="B15" s="57" t="s">
        <v>143</v>
      </c>
      <c r="C15" s="55">
        <v>725.36</v>
      </c>
    </row>
    <row r="16" spans="2:3" x14ac:dyDescent="0.3">
      <c r="B16" s="57" t="s">
        <v>124</v>
      </c>
      <c r="C16" s="55">
        <v>700.35</v>
      </c>
    </row>
    <row r="17" spans="2:3" x14ac:dyDescent="0.3">
      <c r="B17" s="57" t="s">
        <v>123</v>
      </c>
      <c r="C17" s="55">
        <v>648.75</v>
      </c>
    </row>
    <row r="18" spans="2:3" x14ac:dyDescent="0.3">
      <c r="B18" s="57" t="s">
        <v>146</v>
      </c>
      <c r="C18" s="55">
        <v>648.29999999999995</v>
      </c>
    </row>
    <row r="19" spans="2:3" x14ac:dyDescent="0.3">
      <c r="B19" s="57" t="s">
        <v>145</v>
      </c>
      <c r="C19" s="55">
        <v>587.76</v>
      </c>
    </row>
    <row r="20" spans="2:3" x14ac:dyDescent="0.3">
      <c r="B20" s="57" t="s">
        <v>127</v>
      </c>
      <c r="C20" s="55">
        <v>454.5</v>
      </c>
    </row>
    <row r="21" spans="2:3" x14ac:dyDescent="0.3">
      <c r="B21" s="57" t="s">
        <v>128</v>
      </c>
      <c r="C21" s="55">
        <v>390.42</v>
      </c>
    </row>
    <row r="22" spans="2:3" x14ac:dyDescent="0.3">
      <c r="B22" s="57" t="s">
        <v>126</v>
      </c>
      <c r="C22" s="55">
        <v>21.599999999999998</v>
      </c>
    </row>
    <row r="23" spans="2:3" x14ac:dyDescent="0.3">
      <c r="B23" s="57" t="s">
        <v>122</v>
      </c>
      <c r="C23" s="55">
        <v>8949.82</v>
      </c>
    </row>
    <row r="25" spans="2:3" x14ac:dyDescent="0.3">
      <c r="B25" s="56" t="s">
        <v>121</v>
      </c>
      <c r="C25" t="s">
        <v>150</v>
      </c>
    </row>
    <row r="26" spans="2:3" x14ac:dyDescent="0.3">
      <c r="B26" s="57" t="s">
        <v>128</v>
      </c>
      <c r="C26" s="8">
        <v>1.5448999999999999E-2</v>
      </c>
    </row>
    <row r="27" spans="2:3" x14ac:dyDescent="0.3">
      <c r="B27" s="58" t="s">
        <v>119</v>
      </c>
      <c r="C27" s="8">
        <v>1.5448999999999999E-2</v>
      </c>
    </row>
    <row r="28" spans="2:3" x14ac:dyDescent="0.3">
      <c r="B28" s="57" t="s">
        <v>124</v>
      </c>
      <c r="C28" s="8">
        <v>1.4999999999999999E-2</v>
      </c>
    </row>
    <row r="29" spans="2:3" x14ac:dyDescent="0.3">
      <c r="B29" s="58" t="s">
        <v>120</v>
      </c>
      <c r="C29" s="8">
        <v>1.4999999999999999E-2</v>
      </c>
    </row>
    <row r="30" spans="2:3" x14ac:dyDescent="0.3">
      <c r="B30" s="57" t="s">
        <v>144</v>
      </c>
      <c r="C30" s="8">
        <v>2.7189999999999996E-3</v>
      </c>
    </row>
    <row r="31" spans="2:3" x14ac:dyDescent="0.3">
      <c r="B31" s="58" t="s">
        <v>119</v>
      </c>
      <c r="C31" s="8">
        <v>2.7189999999999996E-3</v>
      </c>
    </row>
    <row r="32" spans="2:3" x14ac:dyDescent="0.3">
      <c r="B32" s="57" t="s">
        <v>146</v>
      </c>
      <c r="C32" s="8">
        <v>3.0859999999999997E-4</v>
      </c>
    </row>
    <row r="33" spans="2:3" x14ac:dyDescent="0.3">
      <c r="B33" s="58" t="s">
        <v>135</v>
      </c>
      <c r="C33" s="8">
        <v>3.0859999999999997E-4</v>
      </c>
    </row>
    <row r="34" spans="2:3" x14ac:dyDescent="0.3">
      <c r="B34" s="57" t="s">
        <v>147</v>
      </c>
      <c r="C34" s="8">
        <v>0</v>
      </c>
    </row>
    <row r="35" spans="2:3" x14ac:dyDescent="0.3">
      <c r="B35" s="58" t="s">
        <v>135</v>
      </c>
      <c r="C35" s="8">
        <v>0</v>
      </c>
    </row>
    <row r="36" spans="2:3" x14ac:dyDescent="0.3">
      <c r="B36" s="57" t="s">
        <v>123</v>
      </c>
      <c r="C36" s="8">
        <v>0</v>
      </c>
    </row>
    <row r="37" spans="2:3" x14ac:dyDescent="0.3">
      <c r="B37" s="58" t="s">
        <v>120</v>
      </c>
      <c r="C37" s="8">
        <v>0</v>
      </c>
    </row>
    <row r="38" spans="2:3" x14ac:dyDescent="0.3">
      <c r="B38" s="57" t="s">
        <v>141</v>
      </c>
      <c r="C38" s="8">
        <v>-1.354E-3</v>
      </c>
    </row>
    <row r="39" spans="2:3" x14ac:dyDescent="0.3">
      <c r="B39" s="58" t="s">
        <v>120</v>
      </c>
      <c r="C39" s="8">
        <v>-1.354E-3</v>
      </c>
    </row>
    <row r="40" spans="2:3" x14ac:dyDescent="0.3">
      <c r="B40" s="57" t="s">
        <v>143</v>
      </c>
      <c r="C40" s="8">
        <v>-1.8709999999999998E-3</v>
      </c>
    </row>
    <row r="41" spans="2:3" x14ac:dyDescent="0.3">
      <c r="B41" s="58" t="s">
        <v>119</v>
      </c>
      <c r="C41" s="8">
        <v>-1.8709999999999998E-3</v>
      </c>
    </row>
    <row r="42" spans="2:3" x14ac:dyDescent="0.3">
      <c r="B42" s="57" t="s">
        <v>142</v>
      </c>
      <c r="C42" s="8">
        <v>-2.7910000000000001E-3</v>
      </c>
    </row>
    <row r="43" spans="2:3" x14ac:dyDescent="0.3">
      <c r="B43" s="58" t="s">
        <v>120</v>
      </c>
      <c r="C43" s="8">
        <v>-2.7910000000000001E-3</v>
      </c>
    </row>
    <row r="44" spans="2:3" x14ac:dyDescent="0.3">
      <c r="B44" s="57" t="s">
        <v>125</v>
      </c>
      <c r="C44" s="8">
        <v>-7.0089999999999996E-3</v>
      </c>
    </row>
    <row r="45" spans="2:3" x14ac:dyDescent="0.3">
      <c r="B45" s="58" t="s">
        <v>119</v>
      </c>
      <c r="C45" s="8">
        <v>-7.0089999999999996E-3</v>
      </c>
    </row>
    <row r="46" spans="2:3" x14ac:dyDescent="0.3">
      <c r="B46" s="57" t="s">
        <v>129</v>
      </c>
      <c r="C46" s="8">
        <v>-1.0893E-2</v>
      </c>
    </row>
    <row r="47" spans="2:3" x14ac:dyDescent="0.3">
      <c r="B47" s="58" t="s">
        <v>119</v>
      </c>
      <c r="C47" s="8">
        <v>-1.0893E-2</v>
      </c>
    </row>
    <row r="48" spans="2:3" x14ac:dyDescent="0.3">
      <c r="B48" s="57" t="s">
        <v>127</v>
      </c>
      <c r="C48" s="8">
        <v>-2.1002E-2</v>
      </c>
    </row>
    <row r="49" spans="2:3" x14ac:dyDescent="0.3">
      <c r="B49" s="58" t="s">
        <v>119</v>
      </c>
      <c r="C49" s="8">
        <v>-2.1002E-2</v>
      </c>
    </row>
    <row r="50" spans="2:3" x14ac:dyDescent="0.3">
      <c r="B50" s="57" t="s">
        <v>145</v>
      </c>
      <c r="C50" s="8">
        <v>-6.4151E-2</v>
      </c>
    </row>
    <row r="51" spans="2:3" x14ac:dyDescent="0.3">
      <c r="B51" s="58" t="s">
        <v>120</v>
      </c>
      <c r="C51" s="8">
        <v>-6.4151E-2</v>
      </c>
    </row>
    <row r="52" spans="2:3" x14ac:dyDescent="0.3">
      <c r="B52" s="57" t="s">
        <v>126</v>
      </c>
      <c r="C52" s="8">
        <v>-8.3969000000000002E-2</v>
      </c>
    </row>
    <row r="53" spans="2:3" x14ac:dyDescent="0.3">
      <c r="B53" s="58" t="s">
        <v>119</v>
      </c>
      <c r="C53" s="8">
        <v>-8.3969000000000002E-2</v>
      </c>
    </row>
    <row r="54" spans="2:3" x14ac:dyDescent="0.3">
      <c r="B54" s="57" t="s">
        <v>122</v>
      </c>
      <c r="C54" s="8">
        <v>-0.15956339999999999</v>
      </c>
    </row>
  </sheetData>
  <pageMargins left="0.511811024" right="0.511811024" top="0.78740157499999996" bottom="0.78740157499999996" header="0.31496062000000002" footer="0.31496062000000002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10</vt:i4>
      </vt:variant>
      <vt:variant>
        <vt:lpstr>Intervalos Nomeados</vt:lpstr>
      </vt:variant>
      <vt:variant>
        <vt:i4>2</vt:i4>
      </vt:variant>
    </vt:vector>
  </HeadingPairs>
  <TitlesOfParts>
    <vt:vector size="12" baseType="lpstr">
      <vt:lpstr>FLuxo de caixa</vt:lpstr>
      <vt:lpstr>Planilha1</vt:lpstr>
      <vt:lpstr>GUT</vt:lpstr>
      <vt:lpstr>Média notas</vt:lpstr>
      <vt:lpstr>CPF</vt:lpstr>
      <vt:lpstr>Tbl_Clientes</vt:lpstr>
      <vt:lpstr>Produtos</vt:lpstr>
      <vt:lpstr>Lista</vt:lpstr>
      <vt:lpstr>Investimento</vt:lpstr>
      <vt:lpstr>Dashboard</vt:lpstr>
      <vt:lpstr>Classificação</vt:lpstr>
      <vt:lpstr>sexo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REBELO GODOY</dc:creator>
  <cp:lastModifiedBy>GUSTAVO REBELO GODOY</cp:lastModifiedBy>
  <dcterms:created xsi:type="dcterms:W3CDTF">2024-09-06T22:35:29Z</dcterms:created>
  <dcterms:modified xsi:type="dcterms:W3CDTF">2024-11-19T19:11:12Z</dcterms:modified>
</cp:coreProperties>
</file>