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Denne_projektmappe" defaultThemeVersion="202300"/>
  <mc:AlternateContent xmlns:mc="http://schemas.openxmlformats.org/markup-compatibility/2006">
    <mc:Choice Requires="x15">
      <x15ac:absPath xmlns:x15ac="http://schemas.microsoft.com/office/spreadsheetml/2010/11/ac" url="D:\Masters\"/>
    </mc:Choice>
  </mc:AlternateContent>
  <xr:revisionPtr revIDLastSave="0" documentId="13_ncr:1_{4155C22B-783D-4663-B14C-9E06773C953F}" xr6:coauthVersionLast="47" xr6:coauthVersionMax="47" xr10:uidLastSave="{00000000-0000-0000-0000-000000000000}"/>
  <bookViews>
    <workbookView xWindow="28680" yWindow="-120" windowWidth="29040" windowHeight="15840" xr2:uid="{C780E333-731D-4B04-A13B-1998FE6724A9}"/>
  </bookViews>
  <sheets>
    <sheet name="Instructions" sheetId="7" r:id="rId1"/>
    <sheet name="Catalogue" sheetId="1" r:id="rId2"/>
    <sheet name="Building Scenario 1" sheetId="4" r:id="rId3"/>
    <sheet name="Building Scenario 2" sheetId="10" r:id="rId4"/>
    <sheet name="Results" sheetId="9" r:id="rId5"/>
    <sheet name="Ref" sheetId="6" state="hidden" r:id="rId6"/>
    <sheet name="Lists" sheetId="2" state="hidden" r:id="rId7"/>
    <sheet name="CLs" sheetId="3" state="hidden" r:id="rId8"/>
  </sheets>
  <definedNames>
    <definedName name="_xleta.ADDRESS"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5" i="1" l="1"/>
  <c r="D22" i="6" a="1"/>
  <c r="D22" i="6" s="1"/>
  <c r="D20" i="6" a="1"/>
  <c r="D20" i="6" s="1"/>
  <c r="D18" i="6" a="1"/>
  <c r="D18" i="6" s="1"/>
  <c r="D16" i="6" a="1"/>
  <c r="D16" i="6" s="1"/>
  <c r="D14" i="6" a="1"/>
  <c r="D14" i="6" s="1"/>
  <c r="D12" i="6" a="1"/>
  <c r="D12" i="6" s="1"/>
  <c r="D10" i="6" a="1"/>
  <c r="D10" i="6" s="1"/>
  <c r="D8" i="6" a="1"/>
  <c r="D8" i="6" s="1"/>
  <c r="D6" i="6" a="1"/>
  <c r="D6" i="6" s="1"/>
  <c r="D4" i="6" a="1"/>
  <c r="D4" i="6" s="1"/>
  <c r="D2" i="6" a="1"/>
  <c r="D2" i="6" s="1"/>
  <c r="A22" i="6" a="1"/>
  <c r="A22" i="6" s="1"/>
  <c r="A20" i="6" a="1"/>
  <c r="A20" i="6" s="1"/>
  <c r="A18" i="6" a="1"/>
  <c r="A18" i="6" s="1"/>
  <c r="A16" i="6" a="1"/>
  <c r="A16" i="6" s="1"/>
  <c r="A14" i="6" a="1"/>
  <c r="A14" i="6" s="1"/>
  <c r="A12" i="6" a="1"/>
  <c r="A12" i="6" s="1"/>
  <c r="A10" i="6" a="1"/>
  <c r="A10" i="6" s="1"/>
  <c r="A8" i="6" a="1"/>
  <c r="A8" i="6" s="1"/>
  <c r="A6" i="6" a="1"/>
  <c r="A6" i="6" s="1"/>
  <c r="A4" i="6" a="1"/>
  <c r="A4" i="6" s="1"/>
  <c r="A2" i="6" a="1"/>
  <c r="A2" i="6" s="1"/>
  <c r="F3" i="9"/>
  <c r="F5" i="9"/>
  <c r="F6" i="9"/>
  <c r="F4" i="9"/>
  <c r="M135" i="1" l="1"/>
  <c r="L135" i="1"/>
  <c r="K135" i="1"/>
  <c r="J135" i="1"/>
  <c r="M128" i="1"/>
  <c r="L128" i="1"/>
  <c r="K128" i="1"/>
  <c r="J128" i="1"/>
  <c r="M134" i="1" l="1"/>
  <c r="L134" i="1"/>
  <c r="K134" i="1"/>
  <c r="J134" i="1"/>
  <c r="M133" i="1"/>
  <c r="L133" i="1"/>
  <c r="K133" i="1"/>
  <c r="J133" i="1"/>
  <c r="O135" i="1" l="1"/>
  <c r="O134" i="1"/>
  <c r="O133" i="1"/>
  <c r="O132" i="1"/>
  <c r="N132" i="1"/>
  <c r="M132" i="1"/>
  <c r="L132" i="1"/>
  <c r="K132" i="1"/>
  <c r="J132" i="1"/>
  <c r="O128" i="1"/>
  <c r="O127" i="1"/>
  <c r="O126" i="1"/>
  <c r="O125" i="1"/>
  <c r="N125" i="1"/>
  <c r="M127" i="1"/>
  <c r="L127" i="1"/>
  <c r="K127" i="1"/>
  <c r="J127" i="1"/>
  <c r="M126" i="1"/>
  <c r="L126" i="1"/>
  <c r="K126" i="1"/>
  <c r="J126" i="1"/>
  <c r="M125" i="1"/>
  <c r="L125" i="1"/>
  <c r="K125" i="1"/>
  <c r="J125" i="1"/>
  <c r="N24" i="1" l="1"/>
  <c r="M20" i="1" l="1"/>
  <c r="L20" i="1"/>
  <c r="K20" i="1"/>
  <c r="J20" i="1"/>
  <c r="M27" i="1" l="1"/>
  <c r="L27" i="1"/>
  <c r="K27" i="1"/>
  <c r="J27" i="1"/>
  <c r="O27" i="1" s="1"/>
  <c r="M26" i="1"/>
  <c r="L26" i="1"/>
  <c r="K26" i="1"/>
  <c r="J26" i="1"/>
  <c r="O26" i="1" s="1"/>
  <c r="M25" i="1"/>
  <c r="L25" i="1"/>
  <c r="K25" i="1"/>
  <c r="J25" i="1"/>
  <c r="O25" i="1" s="1"/>
  <c r="M24" i="1"/>
  <c r="L24" i="1"/>
  <c r="K24" i="1"/>
  <c r="J24" i="1"/>
  <c r="O24" i="1" s="1"/>
  <c r="N112" i="1" l="1"/>
  <c r="M114" i="1"/>
  <c r="L114" i="1"/>
  <c r="K114" i="1"/>
  <c r="J114" i="1"/>
  <c r="O114" i="1" s="1"/>
  <c r="M113" i="1"/>
  <c r="L113" i="1"/>
  <c r="K113" i="1"/>
  <c r="J113" i="1"/>
  <c r="O113" i="1" s="1"/>
  <c r="M112" i="1"/>
  <c r="L112" i="1"/>
  <c r="K112" i="1"/>
  <c r="J112" i="1"/>
  <c r="O112" i="1" s="1"/>
  <c r="N106" i="1" l="1"/>
  <c r="M108" i="1"/>
  <c r="L108" i="1"/>
  <c r="K108" i="1"/>
  <c r="J108" i="1"/>
  <c r="O108" i="1" s="1"/>
  <c r="M107" i="1"/>
  <c r="L107" i="1"/>
  <c r="K107" i="1"/>
  <c r="J107" i="1"/>
  <c r="O107" i="1" s="1"/>
  <c r="M106" i="1"/>
  <c r="L106" i="1"/>
  <c r="K106" i="1"/>
  <c r="J106" i="1"/>
  <c r="O106" i="1" s="1"/>
  <c r="M74" i="1" l="1"/>
  <c r="L74" i="1"/>
  <c r="K74" i="1"/>
  <c r="J74" i="1"/>
  <c r="M68" i="1"/>
  <c r="L68" i="1"/>
  <c r="K68" i="1"/>
  <c r="J68" i="1"/>
  <c r="M62" i="1"/>
  <c r="L62" i="1"/>
  <c r="K62" i="1"/>
  <c r="J62" i="1"/>
  <c r="M56" i="1"/>
  <c r="L56" i="1"/>
  <c r="K56" i="1"/>
  <c r="J56" i="1"/>
  <c r="M50" i="1"/>
  <c r="L50" i="1"/>
  <c r="K50" i="1"/>
  <c r="J50" i="1"/>
  <c r="M75" i="1"/>
  <c r="L75" i="1"/>
  <c r="K75" i="1"/>
  <c r="J75" i="1"/>
  <c r="M69" i="1" l="1"/>
  <c r="L69" i="1"/>
  <c r="K69" i="1"/>
  <c r="J69" i="1"/>
  <c r="O74" i="1" l="1"/>
  <c r="O68" i="1"/>
  <c r="M63" i="1"/>
  <c r="L63" i="1"/>
  <c r="K63" i="1"/>
  <c r="J63" i="1"/>
  <c r="O62" i="1"/>
  <c r="M57" i="1"/>
  <c r="L57" i="1"/>
  <c r="K57" i="1"/>
  <c r="J57" i="1"/>
  <c r="O56" i="1" l="1"/>
  <c r="M51" i="1" l="1"/>
  <c r="L51" i="1"/>
  <c r="K51" i="1"/>
  <c r="J51" i="1"/>
  <c r="O50" i="1"/>
  <c r="M7" i="1" l="1"/>
  <c r="M6" i="1"/>
  <c r="L7" i="1"/>
  <c r="L6" i="1"/>
  <c r="K7" i="1"/>
  <c r="K6" i="1"/>
  <c r="J7" i="1"/>
  <c r="J6" i="1"/>
  <c r="M19" i="1" l="1"/>
  <c r="L19" i="1"/>
  <c r="K19" i="1"/>
  <c r="J19" i="1"/>
  <c r="M18" i="1"/>
  <c r="L18" i="1"/>
  <c r="K18" i="1"/>
  <c r="J18" i="1"/>
  <c r="M17" i="1" l="1"/>
  <c r="K17" i="1"/>
  <c r="J17" i="1"/>
  <c r="M5" i="1" l="1"/>
  <c r="L5" i="1"/>
  <c r="K5" i="1"/>
  <c r="J5" i="1"/>
  <c r="M13" i="1" l="1"/>
  <c r="L13" i="1"/>
  <c r="K13" i="1"/>
  <c r="J13" i="1"/>
  <c r="M12" i="1"/>
  <c r="L12" i="1"/>
  <c r="K12" i="1"/>
  <c r="J12" i="1"/>
  <c r="M11" i="1" l="1"/>
  <c r="L11" i="1"/>
  <c r="K11" i="1"/>
  <c r="J11" i="1"/>
  <c r="O7" i="1"/>
  <c r="O6" i="1"/>
  <c r="N5" i="1"/>
  <c r="M45" i="1" l="1"/>
  <c r="L45" i="1"/>
  <c r="K45" i="1"/>
  <c r="J45" i="1"/>
  <c r="M44" i="1"/>
  <c r="L44" i="1"/>
  <c r="K44" i="1"/>
  <c r="J44" i="1"/>
  <c r="M39" i="1" l="1"/>
  <c r="L39" i="1"/>
  <c r="K39" i="1"/>
  <c r="J39" i="1"/>
  <c r="M33" i="1"/>
  <c r="L33" i="1"/>
  <c r="K33" i="1"/>
  <c r="J33" i="1"/>
  <c r="M38" i="1"/>
  <c r="L38" i="1"/>
  <c r="K38" i="1"/>
  <c r="J38" i="1"/>
  <c r="M32" i="1"/>
  <c r="L32" i="1"/>
  <c r="K32" i="1"/>
  <c r="J32" i="1"/>
  <c r="M73" i="1" l="1"/>
  <c r="L73" i="1"/>
  <c r="K73" i="1"/>
  <c r="J73" i="1"/>
  <c r="M67" i="1"/>
  <c r="L67" i="1"/>
  <c r="K67" i="1"/>
  <c r="J67" i="1"/>
  <c r="M61" i="1"/>
  <c r="L61" i="1"/>
  <c r="K61" i="1"/>
  <c r="J61" i="1"/>
  <c r="M55" i="1"/>
  <c r="L55" i="1"/>
  <c r="K55" i="1"/>
  <c r="J55" i="1"/>
  <c r="M49" i="1"/>
  <c r="L49" i="1"/>
  <c r="K49" i="1"/>
  <c r="J49" i="1"/>
  <c r="M80" i="1" l="1"/>
  <c r="L80" i="1"/>
  <c r="J80" i="1"/>
  <c r="L85" i="1"/>
  <c r="K85" i="1"/>
  <c r="J85" i="1"/>
  <c r="K79" i="1"/>
  <c r="M92" i="1"/>
  <c r="L92" i="1"/>
  <c r="K92" i="1"/>
  <c r="J92" i="1"/>
  <c r="O92" i="1" s="1"/>
  <c r="M102" i="1"/>
  <c r="L102" i="1"/>
  <c r="K102" i="1"/>
  <c r="J102" i="1"/>
  <c r="O102" i="1" s="1"/>
  <c r="M97" i="1"/>
  <c r="L97" i="1"/>
  <c r="K97" i="1"/>
  <c r="J97" i="1"/>
  <c r="M101" i="1"/>
  <c r="L101" i="1"/>
  <c r="K101" i="1"/>
  <c r="J101" i="1"/>
  <c r="M119" i="1"/>
  <c r="L119" i="1"/>
  <c r="K119" i="1"/>
  <c r="J119" i="1"/>
  <c r="J118" i="1"/>
  <c r="B6" i="9"/>
  <c r="B5" i="9"/>
  <c r="B4" i="9"/>
  <c r="M121" i="1"/>
  <c r="M120" i="1"/>
  <c r="M118" i="1"/>
  <c r="L121" i="1"/>
  <c r="L120" i="1"/>
  <c r="L118" i="1"/>
  <c r="K121" i="1"/>
  <c r="K120" i="1"/>
  <c r="K118" i="1"/>
  <c r="J121" i="1"/>
  <c r="J120" i="1"/>
  <c r="O101" i="1"/>
  <c r="N101" i="1"/>
  <c r="O97" i="1"/>
  <c r="O96" i="1"/>
  <c r="N96" i="1"/>
  <c r="M96" i="1"/>
  <c r="L96" i="1"/>
  <c r="K96" i="1"/>
  <c r="J96" i="1"/>
  <c r="N91" i="1"/>
  <c r="M91" i="1"/>
  <c r="L91" i="1"/>
  <c r="K91" i="1"/>
  <c r="J91" i="1"/>
  <c r="O91" i="1" s="1"/>
  <c r="M87" i="1"/>
  <c r="M86" i="1"/>
  <c r="M85" i="1"/>
  <c r="L87" i="1"/>
  <c r="L86" i="1"/>
  <c r="K87" i="1"/>
  <c r="K86" i="1"/>
  <c r="J87" i="1"/>
  <c r="J86" i="1"/>
  <c r="M81" i="1"/>
  <c r="M79" i="1"/>
  <c r="L81" i="1"/>
  <c r="L79" i="1"/>
  <c r="K81" i="1"/>
  <c r="K80" i="1"/>
  <c r="J81" i="1"/>
  <c r="J79" i="1"/>
  <c r="N73" i="1"/>
  <c r="N67" i="1"/>
  <c r="N61" i="1"/>
  <c r="N55" i="1"/>
  <c r="N49" i="1"/>
  <c r="O75" i="1"/>
  <c r="O73" i="1"/>
  <c r="O69" i="1"/>
  <c r="O67" i="1"/>
  <c r="O63" i="1"/>
  <c r="O61" i="1"/>
  <c r="O57" i="1"/>
  <c r="O55" i="1"/>
  <c r="O51" i="1"/>
  <c r="O49" i="1"/>
  <c r="N43" i="1"/>
  <c r="L43" i="1"/>
  <c r="M43" i="1"/>
  <c r="K43" i="1"/>
  <c r="O45" i="1"/>
  <c r="O44" i="1"/>
  <c r="J43" i="1"/>
  <c r="O43" i="1" s="1"/>
  <c r="N37" i="1"/>
  <c r="O39" i="1"/>
  <c r="O38" i="1"/>
  <c r="M37" i="1"/>
  <c r="L37" i="1"/>
  <c r="K37" i="1"/>
  <c r="J37" i="1"/>
  <c r="O37" i="1" s="1"/>
  <c r="N31" i="1"/>
  <c r="M31" i="1"/>
  <c r="L31" i="1"/>
  <c r="K31" i="1"/>
  <c r="O33" i="1"/>
  <c r="O32" i="1"/>
  <c r="J31" i="1"/>
  <c r="O31" i="1" s="1"/>
  <c r="N17" i="1"/>
  <c r="L17" i="1"/>
  <c r="O20" i="1"/>
  <c r="O19" i="1"/>
  <c r="O18" i="1"/>
  <c r="O17" i="1"/>
  <c r="O13" i="1"/>
  <c r="B3" i="9" l="1"/>
  <c r="C1" i="2" a="1"/>
  <c r="C1" i="2" s="1"/>
  <c r="N11" i="1"/>
  <c r="O12" i="1"/>
  <c r="O11" i="1"/>
  <c r="O120" i="1"/>
  <c r="N79" i="1"/>
  <c r="O81" i="1"/>
  <c r="O80" i="1"/>
  <c r="O79" i="1"/>
  <c r="N85" i="1"/>
  <c r="N118" i="1"/>
  <c r="O87" i="1"/>
  <c r="O86" i="1"/>
  <c r="O85" i="1"/>
  <c r="O121" i="1"/>
  <c r="O119" i="1"/>
  <c r="O118"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21">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futureMetadata>
  <futureMetadata name="XLDAPR" count="1">
    <bk>
      <extLst>
        <ext uri="{bdbb8cdc-fa1e-496e-a857-3c3f30c029c3}">
          <xda:dynamicArrayProperties fDynamic="1" fCollapsed="0"/>
        </ext>
      </extLst>
    </bk>
  </futureMetadata>
  <cellMetadata count="1">
    <bk>
      <rc t="2" v="0"/>
    </bk>
  </cellMetadata>
  <valueMetadata count="21">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valueMetadata>
</metadata>
</file>

<file path=xl/sharedStrings.xml><?xml version="1.0" encoding="utf-8"?>
<sst xmlns="http://schemas.openxmlformats.org/spreadsheetml/2006/main" count="839" uniqueCount="309">
  <si>
    <t>Material</t>
  </si>
  <si>
    <t>Unit</t>
  </si>
  <si>
    <t>Kg/Unit</t>
  </si>
  <si>
    <t>Description</t>
  </si>
  <si>
    <t>Visual comparison</t>
  </si>
  <si>
    <t>m²</t>
  </si>
  <si>
    <t>m³</t>
  </si>
  <si>
    <t>Land use</t>
  </si>
  <si>
    <t>Roofing Felt</t>
  </si>
  <si>
    <t>Landfill</t>
  </si>
  <si>
    <t>Incineration</t>
  </si>
  <si>
    <t>Recycling</t>
  </si>
  <si>
    <t>Impact Category:</t>
  </si>
  <si>
    <t>Global Warming</t>
  </si>
  <si>
    <t>[kg oil eq]</t>
  </si>
  <si>
    <t>Land Use</t>
  </si>
  <si>
    <r>
      <t>[kg CO</t>
    </r>
    <r>
      <rPr>
        <b/>
        <vertAlign val="subscript"/>
        <sz val="11"/>
        <color theme="1"/>
        <rFont val="Aptos Narrow"/>
        <family val="2"/>
        <scheme val="minor"/>
      </rPr>
      <t>2</t>
    </r>
    <r>
      <rPr>
        <b/>
        <sz val="11"/>
        <color theme="1"/>
        <rFont val="Aptos Narrow"/>
        <family val="2"/>
        <scheme val="minor"/>
      </rPr>
      <t xml:space="preserve"> eq]</t>
    </r>
  </si>
  <si>
    <t>[m²a crop eq]</t>
  </si>
  <si>
    <t>https://www.bygma.dk/globalassets/produktsider/byggematerialer/tag/tagpap/bygma-tagpap-tagpaptag.jpg</t>
  </si>
  <si>
    <t>https://www.randerstegl.dk/Files/Images/products-v2/rt448/wall_small.jpg</t>
  </si>
  <si>
    <t>Roof Tiles</t>
  </si>
  <si>
    <t>https://www.google.com/url?sa=t&amp;source=web&amp;rct=j&amp;url=https%3A%2F%2Fbmc-danmark.com%2Fprodukt-kategori%2Fbenders-betontagsten%2F&amp;ved=0CBcQjRxqFwoTCLC1wsDw7ZMDFQAAAAAdAAAAABAG&amp;opi=89978449</t>
  </si>
  <si>
    <t>Reuse</t>
  </si>
  <si>
    <t>Stone Wool</t>
  </si>
  <si>
    <t>Gypsum Boards</t>
  </si>
  <si>
    <t>Construction Wood</t>
  </si>
  <si>
    <t>https://www.byggmax.dk/media/catalog/product/cache/e173aa030f8d7db4f18cee47bab7e26b/0/7/07092.jpg</t>
  </si>
  <si>
    <t>https://www.danskskovforening.dk/wp-content/uploads/2023/08/traekonstruktion-scaled.jpeg</t>
  </si>
  <si>
    <t>kg</t>
  </si>
  <si>
    <t>1. Ground, substructure</t>
  </si>
  <si>
    <t>2. External walls</t>
  </si>
  <si>
    <t>[kg CU eq]</t>
  </si>
  <si>
    <t>Circularity Level</t>
  </si>
  <si>
    <t>Glass Wool</t>
  </si>
  <si>
    <t>Concrete Wall Element</t>
  </si>
  <si>
    <t>Structural Steel</t>
  </si>
  <si>
    <t>Steel Sheets</t>
  </si>
  <si>
    <t>Steel Profiles</t>
  </si>
  <si>
    <t>ID#</t>
  </si>
  <si>
    <t>R0</t>
  </si>
  <si>
    <t>Refuse</t>
  </si>
  <si>
    <t>R3</t>
  </si>
  <si>
    <t>R2</t>
  </si>
  <si>
    <t>R4</t>
  </si>
  <si>
    <t>Repair</t>
  </si>
  <si>
    <t>R5</t>
  </si>
  <si>
    <t>Refurbish</t>
  </si>
  <si>
    <t>Closed Loop</t>
  </si>
  <si>
    <t>Open Loop</t>
  </si>
  <si>
    <t>Recycle</t>
  </si>
  <si>
    <t>Recover</t>
  </si>
  <si>
    <t>Disposal</t>
  </si>
  <si>
    <t>Rethink</t>
  </si>
  <si>
    <t>Reduce</t>
  </si>
  <si>
    <t>Remanufacture</t>
  </si>
  <si>
    <t>Repurpose</t>
  </si>
  <si>
    <t>closed loop</t>
  </si>
  <si>
    <t>open loop</t>
  </si>
  <si>
    <t>R1</t>
  </si>
  <si>
    <t>R6</t>
  </si>
  <si>
    <t>R7</t>
  </si>
  <si>
    <t>R8</t>
  </si>
  <si>
    <t>R9</t>
  </si>
  <si>
    <t>R7?</t>
  </si>
  <si>
    <t>3. Internal walls</t>
  </si>
  <si>
    <t>4. Slabs</t>
  </si>
  <si>
    <t>5. Floors</t>
  </si>
  <si>
    <t>6. Ceilings</t>
  </si>
  <si>
    <t>7. Roofs</t>
  </si>
  <si>
    <t>8. Beams, columns</t>
  </si>
  <si>
    <t>9. Stairs, ramps</t>
  </si>
  <si>
    <t>10. Balconies</t>
  </si>
  <si>
    <t>11. Technical installations</t>
  </si>
  <si>
    <t>Choose Material:</t>
  </si>
  <si>
    <t>Stone Wool 1</t>
  </si>
  <si>
    <t>Stone Wool 0</t>
  </si>
  <si>
    <t>Steel Sheets 0</t>
  </si>
  <si>
    <t>Steel Sheets 1</t>
  </si>
  <si>
    <t>Gypsum Boards 0</t>
  </si>
  <si>
    <t>Gypsum Boards 1</t>
  </si>
  <si>
    <t>Concrete Wall Element 0</t>
  </si>
  <si>
    <t>Concrete Wall Element 1</t>
  </si>
  <si>
    <t>Steel Profiles 0</t>
  </si>
  <si>
    <t>Steel Profiles 1</t>
  </si>
  <si>
    <t>Glass Wool 0</t>
  </si>
  <si>
    <t>Glass Wool 1</t>
  </si>
  <si>
    <t>Roofing Felt 0</t>
  </si>
  <si>
    <t>Roofing Felt 1</t>
  </si>
  <si>
    <t>Roof Tiles 0</t>
  </si>
  <si>
    <t>Roof Tiles 1</t>
  </si>
  <si>
    <t>Construction Wood 0</t>
  </si>
  <si>
    <t>Construction Wood 1</t>
  </si>
  <si>
    <t>Structural Steel 0</t>
  </si>
  <si>
    <t>Structural Steel 1</t>
  </si>
  <si>
    <t>Amount</t>
  </si>
  <si>
    <t>Reuse (Individual Bricks)</t>
  </si>
  <si>
    <t>CWE_LF_01</t>
  </si>
  <si>
    <t>CWE_RC_01</t>
  </si>
  <si>
    <t>CWE_RU_01</t>
  </si>
  <si>
    <t>SS_LF_01</t>
  </si>
  <si>
    <t>SS_RC_01</t>
  </si>
  <si>
    <t>SS_RU_01</t>
  </si>
  <si>
    <t>Recycling (New Concrete)</t>
  </si>
  <si>
    <t>Recycling (Road Fill)</t>
  </si>
  <si>
    <t>CWE_RC_02</t>
  </si>
  <si>
    <t>Concrete extracted from building using heavy machinery (diesel) and transported 50 km via truck to a municipal landfill site.</t>
  </si>
  <si>
    <t>Concrete extracted from building using heavy machinery (diesel) and transported 100 km via truck to a facility where it is crushed into aggregate to be used in new concrete.</t>
  </si>
  <si>
    <t>Concrete extracted from building using heavy machinery (diesel) and transported 100 km via truck to a facility where it is crushed into aggregate to be used as road fill.</t>
  </si>
  <si>
    <t>Concrete extracted from building using heavy machinery (diesel) and transported 100 km via truck to be directly reused. Assumed 80% reusability.</t>
  </si>
  <si>
    <t>Steel extracted from building using heavy machinery (diesel) and transported 50 km via truck to a municipal landfill site.</t>
  </si>
  <si>
    <t>Steel extracted from building using handheld tools (electric) and transported 1000 km via truck to a facility where it is melted to be used in production of new steel.</t>
  </si>
  <si>
    <t>Steel extracted from building using handheld tools (electric) and transported 100 km via truck to be directly reused. Assumed 80% reusability.</t>
  </si>
  <si>
    <t>SP_LF_01</t>
  </si>
  <si>
    <t>SP_RC_01</t>
  </si>
  <si>
    <t>SP_RU_01</t>
  </si>
  <si>
    <t>SSH_LF_01</t>
  </si>
  <si>
    <t>SSH_RC_01</t>
  </si>
  <si>
    <t>SSH_RU_01</t>
  </si>
  <si>
    <t>Plywood</t>
  </si>
  <si>
    <t>Plywood 0</t>
  </si>
  <si>
    <t>Plywood 1</t>
  </si>
  <si>
    <t>Particle  Board</t>
  </si>
  <si>
    <t>Particle Board 0</t>
  </si>
  <si>
    <t>Particle Board 1</t>
  </si>
  <si>
    <t>CW_IN_01</t>
  </si>
  <si>
    <t>CW_RC_01</t>
  </si>
  <si>
    <t>CLT_IN_01</t>
  </si>
  <si>
    <t>CLT_RC_01</t>
  </si>
  <si>
    <t>GLT_IN_01</t>
  </si>
  <si>
    <t>GLT_RC_01</t>
  </si>
  <si>
    <t>PW_IN_01</t>
  </si>
  <si>
    <t>PW_RC_01</t>
  </si>
  <si>
    <t>PB_IN_01</t>
  </si>
  <si>
    <t>PB_RC_01</t>
  </si>
  <si>
    <t>Wood extracted from building using heavy machinery (diesel) and transported 50 km via truck to a municipal incineration plant for energy recovery.</t>
  </si>
  <si>
    <t>CLT extracted from building using heavy machinery (diesel) and transported 50 km via truck to a municipal incineration plant for energy recovery.</t>
  </si>
  <si>
    <t>Glulam extracted from building using heavy machinery (diesel) and transported 50 km via truck to a municipal incineration plant for energy recovery.</t>
  </si>
  <si>
    <t>Glue Laminated Timber (Glulam)</t>
  </si>
  <si>
    <t>Cross Laminated Timber (CLT)</t>
  </si>
  <si>
    <t>Plywood extracted from building using heavy machinery (diesel) and transported 50 km via truck to a municipal incineration plant for energy recovery.</t>
  </si>
  <si>
    <t>Particle board extracted from building using heavy machinery (diesel) and transported 50 km via truck to a municipal incineration plant for energy recovery.</t>
  </si>
  <si>
    <t>Brick Wall</t>
  </si>
  <si>
    <t>BW_LF_01</t>
  </si>
  <si>
    <t>BW_RC_01</t>
  </si>
  <si>
    <t>BW_RU_01</t>
  </si>
  <si>
    <t>RT_LF_01</t>
  </si>
  <si>
    <t>RT_RC_01</t>
  </si>
  <si>
    <t>RT_RU_01</t>
  </si>
  <si>
    <t>GB_LF_01</t>
  </si>
  <si>
    <t>GB_RC_01</t>
  </si>
  <si>
    <t>SW_LF_01</t>
  </si>
  <si>
    <t>SW_RC_01</t>
  </si>
  <si>
    <t>GW_LF_01</t>
  </si>
  <si>
    <t>GW_RC_01</t>
  </si>
  <si>
    <t>Brick and mortar extracted from building using heavy machinery (diesel) and transported 50 km via truck to a municipal landfill site.</t>
  </si>
  <si>
    <t>Brick and mortar extracted from building using heavy machinery (diesel) and transported 100 km via truck to a facility where it is crushed into aggregate for road fill.</t>
  </si>
  <si>
    <t>Tiles extracted from building by hand and transported 50 km via truck to a municipal landfill site.</t>
  </si>
  <si>
    <t>Tiles extracted from building by hand and transported 100 km via truck to a facility where it is crushed into aggregate for road fill.</t>
  </si>
  <si>
    <t>Tiles extracted from building by hand and transported 100 km as is for reuse. Assumed 65% of tiles are reusable.</t>
  </si>
  <si>
    <t>Gypsum boards extracted from building using heavy machinery (diesel) and transported 50 km via truck to a municipal landfill site.</t>
  </si>
  <si>
    <t>Gypsum boards extracted from building using handheld tools (electric) and transported 100 km via truck to a facility where it is crushed into gypsum for new gypsum boards.</t>
  </si>
  <si>
    <t>Stone wool extracted from building using heavy machinery (diesel) and transported 50 km via truck to a municipal landfill site.</t>
  </si>
  <si>
    <t>Glass wool extracted from building using heavy machinery (diesel) and transported 50 km via truck to a municipal landfill site.</t>
  </si>
  <si>
    <t>Stone wool extracted from building by hand and transported 100 km via truck to a facility where it is crushed into granulate for new stone wool.</t>
  </si>
  <si>
    <t>Stone wool extracted from building by hand and transported 100 km via truck to a facility where it is crushed into granulate for use in clay pebbles.</t>
  </si>
  <si>
    <t>Roofing felt extracted from building using handheld tools (electric) and transported 50 km via truck to a municipal landfill site.</t>
  </si>
  <si>
    <t>Roofing felt extracted from building using handheld tools (electric) and transported 50 km via truck to a municipal incineration plant for energy recovery.</t>
  </si>
  <si>
    <t>Roofing felt extracted from building by hand and transported 1000 km by truck to a facility where it is crushed into granulate to be used in new roofing felt.</t>
  </si>
  <si>
    <t>Roofing felt extracted from building by hand and transported 100 km by truck to a facility where it is crushed into granulate to be used in asphalt.</t>
  </si>
  <si>
    <t>Recycling (New Roofing Felt)</t>
  </si>
  <si>
    <t>Recycling (Asphalt)</t>
  </si>
  <si>
    <t>https://baeredygtig.nu/beton-lyder-kedeligt-mulighederne-uanede-ogsaa-energimaessigt/</t>
  </si>
  <si>
    <t>https://abeo.dk/da/betonvaegge/</t>
  </si>
  <si>
    <t>https://www.bygge.dk/pris/oplaegning-af-stalbjaelke</t>
  </si>
  <si>
    <t>https://www.jemogfix.dk/staallaegte-c-profil-70-x-2600-mm/4132/9032215/</t>
  </si>
  <si>
    <t>https://www.ds-staalprofil.dk/da-dk/facadebeklaedning</t>
  </si>
  <si>
    <t>https://www.google.com/url?sa=t&amp;source=web&amp;rct=j&amp;url=https%3A%2F%2Fcltprofi.com%2Fda%2Fprodukter%2F&amp;ved=0CBYQjRxqFwoTCKDopp2jh5UDFQAAAAAdAAAAABAG&amp;opi=89978449</t>
  </si>
  <si>
    <t>https://www.trae.dk/leksikon/limtrae/</t>
  </si>
  <si>
    <t>https://koldingselvbyg.dk/shop/krydsfiner-6-mm-122x244cm/</t>
  </si>
  <si>
    <t>https://www.net2traelast.dk/22-mm-spanplade-1220x2500-mm.html</t>
  </si>
  <si>
    <t>https://goerdetselv.dk/spar-energi/isolering/isoleringsmateriale/mineraluldsbatt</t>
  </si>
  <si>
    <t>https://bdb.dk/Nyheder/ArticlePage.aspx?id=6674</t>
  </si>
  <si>
    <r>
      <t>kg CO</t>
    </r>
    <r>
      <rPr>
        <vertAlign val="subscript"/>
        <sz val="11"/>
        <color theme="1"/>
        <rFont val="Aptos Narrow"/>
        <family val="2"/>
        <scheme val="minor"/>
      </rPr>
      <t xml:space="preserve">2 </t>
    </r>
    <r>
      <rPr>
        <sz val="11"/>
        <color theme="1"/>
        <rFont val="Aptos Narrow"/>
        <family val="2"/>
        <scheme val="minor"/>
      </rPr>
      <t>eq</t>
    </r>
  </si>
  <si>
    <t>m²a crop eq</t>
  </si>
  <si>
    <t>kg CU eq</t>
  </si>
  <si>
    <t>kg oil eq</t>
  </si>
  <si>
    <t>Total</t>
  </si>
  <si>
    <t>Impact Category</t>
  </si>
  <si>
    <t>RF_LF_01</t>
  </si>
  <si>
    <t>RF_IN_01</t>
  </si>
  <si>
    <t>RF_RC_01</t>
  </si>
  <si>
    <t>RF_RC_02</t>
  </si>
  <si>
    <t>Wood extracted from building using heavy machinery (diesel) and transported 100 km via truck to a facility where it is used in particle board production.</t>
  </si>
  <si>
    <t>Glulam extracted from building using heavy machinery (diesel) and transported 100 km via truck to a facility where it is used in particle board production.</t>
  </si>
  <si>
    <t>CLT extracted from building using heavy machinery (diesel) and transported 100 km via truck to a facility where it is used in particle board production.</t>
  </si>
  <si>
    <t>Plywood extracted from building using heavy machinery (diesel) and transported 100 km via truck to a facility where it is used in particle board production.</t>
  </si>
  <si>
    <t>Particle board extracted from building using heavy machinery (diesel) and transported 100 km via truck to a where it is used in production of new particle boards.</t>
  </si>
  <si>
    <t>Unreinforced Insitu Concrete</t>
  </si>
  <si>
    <t>UIC_LF_01</t>
  </si>
  <si>
    <t>UIC_RC_01</t>
  </si>
  <si>
    <t>UIC_RC_02</t>
  </si>
  <si>
    <t>Reinforced Insitu Concrete</t>
  </si>
  <si>
    <t>RIC_LF_01</t>
  </si>
  <si>
    <t>RIC_RC_01</t>
  </si>
  <si>
    <t>RIC_RC_02</t>
  </si>
  <si>
    <t>Unreinforced Insitu Concrete 0</t>
  </si>
  <si>
    <t>Unreinforced Insitu Concrete 1</t>
  </si>
  <si>
    <t>Reinforced Insitu Concrete 0</t>
  </si>
  <si>
    <t>Reinforced Insitu Concrete 1</t>
  </si>
  <si>
    <t>Wood extracted from building using heavy machinery (diesel) and transported 100 km via truck to be directly reused. Assumed 80% reusability.</t>
  </si>
  <si>
    <t>CW_RU_01</t>
  </si>
  <si>
    <t>CLT extracted from building using heavy machinery (diesel) and transported 100 km via truck to be directly reused. Assumed 80% reusability.</t>
  </si>
  <si>
    <t>CLT_RU_01</t>
  </si>
  <si>
    <t>GLT_RU_01</t>
  </si>
  <si>
    <t>Glulam extracted from building using heavy machinery (diesel) and transported 100 km via truck to be directly reused. Assumed 80% reusability.</t>
  </si>
  <si>
    <t>Plywood extracted from building using heavy machinery (diesel) and transported 100 km via truck to be directly reused. Assumed 80% reusability.</t>
  </si>
  <si>
    <t>PB_RU_01</t>
  </si>
  <si>
    <t>Particle board extracted from building using heavy machinery (diesel) and transported 100 km via truck to be directly reused. Assumed 80% reusability.</t>
  </si>
  <si>
    <t>PW_RU_01</t>
  </si>
  <si>
    <t>Wood Floor 0</t>
  </si>
  <si>
    <t>Wood Floor 1</t>
  </si>
  <si>
    <t>Wood Floor</t>
  </si>
  <si>
    <t>Wood floor extracted from building using heavy machinery (diesel) and transported 50 km via truck to a municipal incineration plant for energy recovery.</t>
  </si>
  <si>
    <t>Wood floor extracted from building by hand and transported 100 km via truck to a facility where it is used in particle board production.</t>
  </si>
  <si>
    <t>Wood floor extracted from building by hand and transported 100 km via truck to be directly reused. Assumed 90% reusability.</t>
  </si>
  <si>
    <t>https://floorshop.dk/vare/traegulv-nfloor-plank-1900x190x14-mm/</t>
  </si>
  <si>
    <t>Tile Floor</t>
  </si>
  <si>
    <t>Tile Floor 0</t>
  </si>
  <si>
    <t>Tile Floor 1</t>
  </si>
  <si>
    <t>https://www.bolius.dk/skal-jeg-vaelge-flisegulv-98488</t>
  </si>
  <si>
    <t>WF_IN_01</t>
  </si>
  <si>
    <t>WF_RC_01</t>
  </si>
  <si>
    <t>WF_RU_01</t>
  </si>
  <si>
    <t>TF_RC_01</t>
  </si>
  <si>
    <t>TF_RU_01</t>
  </si>
  <si>
    <t>TF_LF_01</t>
  </si>
  <si>
    <t>Tile and adhesive extracted from building using heavy machinery (diesel) and transported 50 km via truck to a municipal landfill site.</t>
  </si>
  <si>
    <t>Tile and adhesive extracted from building using heavy machinery (diesel) and transported 100 km via truck to a facility where it is crushed into aggregate for road fill.</t>
  </si>
  <si>
    <t>Tile and adhesive extracted from building by hand. and transported 100 km via truck to a facility where tiles are cleaned for reuse. Assumed 50% of tiles are reusable.</t>
  </si>
  <si>
    <t>Brick and mortar extracted from building by hand. Bricks are transported 100 km via truck to a facility they are cleaned for reuse. Assumed 50% of bricks are reusable.</t>
  </si>
  <si>
    <t>Hollow Core Slab</t>
  </si>
  <si>
    <t>HCS_LF_01</t>
  </si>
  <si>
    <t>HCS_RC_01</t>
  </si>
  <si>
    <t>HCS_RC_02</t>
  </si>
  <si>
    <t>HCS_RU_01</t>
  </si>
  <si>
    <t>Hollow Core Slab 0</t>
  </si>
  <si>
    <t>Hollow Core Slab 1</t>
  </si>
  <si>
    <t>https://altomteknik.dk/indhold/bygge-teknik/huldaek/</t>
  </si>
  <si>
    <t>Wood Window</t>
  </si>
  <si>
    <t>WW_LF_01</t>
  </si>
  <si>
    <t>WW_RC_01</t>
  </si>
  <si>
    <t>WW_RC_02</t>
  </si>
  <si>
    <t>WW_RU_01</t>
  </si>
  <si>
    <t>Recycling (New Windows)</t>
  </si>
  <si>
    <t>Recycling (Glass Wool)</t>
  </si>
  <si>
    <t>Window extracted from building using heavy machinery (diesel) and transported 50 km via truck to a municipal landfill site.</t>
  </si>
  <si>
    <t>Window extracted from building by hand and transported 100 km via truck to a facility where the glass is crushed  to be used in new glass.</t>
  </si>
  <si>
    <t>Window extracted from building by hand and transported 100 km via truck to a facility where the glass is crushed  to be used in glass wool.</t>
  </si>
  <si>
    <t>Window extracted from building by hand and transported 100 km via truck to be directly reused. Assumed 20% reusability.</t>
  </si>
  <si>
    <t>Wood Window 0</t>
  </si>
  <si>
    <t>Wood Window 1</t>
  </si>
  <si>
    <t>https://www.epddanmark.dk/media/4pnfnax3/md-22039-da.pdf</t>
  </si>
  <si>
    <t>Wood/Aluminium Window 0</t>
  </si>
  <si>
    <t>Wood/Aluminium Window 1</t>
  </si>
  <si>
    <t>Wood/Aluminium Window</t>
  </si>
  <si>
    <t>WAW_LF_01</t>
  </si>
  <si>
    <t>WAW_RC_01</t>
  </si>
  <si>
    <t>WAW_RC_02</t>
  </si>
  <si>
    <t>WAW_RU_01</t>
  </si>
  <si>
    <t>https://www.epddanmark.dk/media/m2bfi4ei/md-22040-da.pdf</t>
  </si>
  <si>
    <t>Scenario</t>
  </si>
  <si>
    <t>Building Scenario 1</t>
  </si>
  <si>
    <t>Building Scenario 2</t>
  </si>
  <si>
    <t>Instructions: How to use the catalogue</t>
  </si>
  <si>
    <t>Enable macros</t>
  </si>
  <si>
    <t>Catalogue</t>
  </si>
  <si>
    <t>Building Scenarios</t>
  </si>
  <si>
    <t>Results</t>
  </si>
  <si>
    <r>
      <t>To enable the full functionality of the catalogue, you must first enable macros in this document.
If the macros are disabled, there should be a security warning at the top of the screen.
Press the "</t>
    </r>
    <r>
      <rPr>
        <b/>
        <sz val="11"/>
        <color theme="1"/>
        <rFont val="Aptos Narrow"/>
        <family val="2"/>
        <scheme val="minor"/>
      </rPr>
      <t>Enable Content</t>
    </r>
    <r>
      <rPr>
        <sz val="11"/>
        <color theme="1"/>
        <rFont val="Aptos Narrow"/>
        <family val="2"/>
        <scheme val="minor"/>
      </rPr>
      <t>"-button to enable the macro functionality in the document.</t>
    </r>
  </si>
  <si>
    <r>
      <rPr>
        <b/>
        <sz val="11"/>
        <color theme="1"/>
        <rFont val="Aptos Narrow"/>
        <family val="2"/>
        <scheme val="minor"/>
      </rPr>
      <t xml:space="preserve">Column A </t>
    </r>
    <r>
      <rPr>
        <sz val="11"/>
        <color theme="1"/>
        <rFont val="Aptos Narrow"/>
        <family val="2"/>
        <scheme val="minor"/>
      </rPr>
      <t>contains the name of the material.</t>
    </r>
  </si>
  <si>
    <r>
      <t>The sheet named "</t>
    </r>
    <r>
      <rPr>
        <b/>
        <sz val="11"/>
        <color theme="1"/>
        <rFont val="Aptos Narrow"/>
        <family val="2"/>
        <scheme val="minor"/>
      </rPr>
      <t>Catalogue</t>
    </r>
    <r>
      <rPr>
        <sz val="11"/>
        <color theme="1"/>
        <rFont val="Aptos Narrow"/>
        <family val="2"/>
        <scheme val="minor"/>
      </rPr>
      <t xml:space="preserve">" contains a catalogue of different building materials and a selection of environmental impacts associated with their disposal.
You should not be editing in this sheet when simply using the catalogue.
By pressing the </t>
    </r>
    <r>
      <rPr>
        <b/>
        <sz val="11"/>
        <color theme="1"/>
        <rFont val="Aptos Narrow"/>
        <family val="2"/>
        <scheme val="minor"/>
      </rPr>
      <t>+</t>
    </r>
    <r>
      <rPr>
        <sz val="11"/>
        <color theme="1"/>
        <rFont val="Aptos Narrow"/>
        <family val="2"/>
        <scheme val="minor"/>
      </rPr>
      <t>-symbol on the left side of the screen, you can expand the material to see the different disposal scenarios and their associated impacts.</t>
    </r>
  </si>
  <si>
    <r>
      <t xml:space="preserve">Column D </t>
    </r>
    <r>
      <rPr>
        <sz val="11"/>
        <color theme="1"/>
        <rFont val="Aptos Narrow"/>
        <family val="2"/>
        <scheme val="minor"/>
      </rPr>
      <t>contains the declared unit of the material and</t>
    </r>
    <r>
      <rPr>
        <b/>
        <sz val="11"/>
        <color theme="1"/>
        <rFont val="Aptos Narrow"/>
        <family val="2"/>
        <scheme val="minor"/>
      </rPr>
      <t xml:space="preserve"> </t>
    </r>
    <r>
      <rPr>
        <sz val="11"/>
        <color theme="1"/>
        <rFont val="Aptos Narrow"/>
        <family val="2"/>
        <scheme val="minor"/>
      </rPr>
      <t>names of each scenario.</t>
    </r>
  </si>
  <si>
    <r>
      <rPr>
        <b/>
        <sz val="11"/>
        <color theme="1"/>
        <rFont val="Aptos Narrow"/>
        <family val="2"/>
        <scheme val="minor"/>
      </rPr>
      <t xml:space="preserve">Column J </t>
    </r>
    <r>
      <rPr>
        <sz val="11"/>
        <color theme="1"/>
        <rFont val="Aptos Narrow"/>
        <family val="2"/>
        <scheme val="minor"/>
      </rPr>
      <t xml:space="preserve">contains the </t>
    </r>
    <r>
      <rPr>
        <b/>
        <sz val="11"/>
        <color theme="1"/>
        <rFont val="Aptos Narrow"/>
        <family val="2"/>
        <scheme val="minor"/>
      </rPr>
      <t>Global warming</t>
    </r>
    <r>
      <rPr>
        <sz val="11"/>
        <color theme="1"/>
        <rFont val="Aptos Narrow"/>
        <family val="2"/>
        <scheme val="minor"/>
      </rPr>
      <t xml:space="preserve"> impacts of each scenario expressed in </t>
    </r>
    <r>
      <rPr>
        <b/>
        <sz val="11"/>
        <color theme="1"/>
        <rFont val="Aptos Narrow"/>
        <family val="2"/>
        <scheme val="minor"/>
      </rPr>
      <t>kg CO</t>
    </r>
    <r>
      <rPr>
        <b/>
        <vertAlign val="superscript"/>
        <sz val="11"/>
        <color theme="1"/>
        <rFont val="Aptos Narrow"/>
        <family val="2"/>
        <scheme val="minor"/>
      </rPr>
      <t>2</t>
    </r>
    <r>
      <rPr>
        <b/>
        <sz val="11"/>
        <color theme="1"/>
        <rFont val="Aptos Narrow"/>
        <family val="2"/>
        <scheme val="minor"/>
      </rPr>
      <t>eq</t>
    </r>
    <r>
      <rPr>
        <sz val="11"/>
        <color theme="1"/>
        <rFont val="Aptos Narrow"/>
        <family val="2"/>
        <scheme val="minor"/>
      </rPr>
      <t>.</t>
    </r>
  </si>
  <si>
    <r>
      <rPr>
        <b/>
        <sz val="11"/>
        <color theme="1"/>
        <rFont val="Aptos Narrow"/>
        <family val="2"/>
        <scheme val="minor"/>
      </rPr>
      <t xml:space="preserve">Column K </t>
    </r>
    <r>
      <rPr>
        <sz val="11"/>
        <color theme="1"/>
        <rFont val="Aptos Narrow"/>
        <family val="2"/>
        <scheme val="minor"/>
      </rPr>
      <t xml:space="preserve">contains the </t>
    </r>
    <r>
      <rPr>
        <b/>
        <sz val="11"/>
        <color theme="1"/>
        <rFont val="Aptos Narrow"/>
        <family val="2"/>
        <scheme val="minor"/>
      </rPr>
      <t>Land use</t>
    </r>
    <r>
      <rPr>
        <sz val="11"/>
        <color theme="1"/>
        <rFont val="Aptos Narrow"/>
        <family val="2"/>
        <scheme val="minor"/>
      </rPr>
      <t xml:space="preserve"> impacts of each scenario expressed in </t>
    </r>
    <r>
      <rPr>
        <b/>
        <sz val="11"/>
        <color theme="1"/>
        <rFont val="Aptos Narrow"/>
        <family val="2"/>
        <scheme val="minor"/>
      </rPr>
      <t>m²a crop eq</t>
    </r>
    <r>
      <rPr>
        <sz val="11"/>
        <color theme="1"/>
        <rFont val="Aptos Narrow"/>
        <family val="2"/>
        <scheme val="minor"/>
      </rPr>
      <t>.</t>
    </r>
  </si>
  <si>
    <r>
      <t>Next, you will want to enter the amount of the material in the project.
In the case of gypsum boards, this would be how many 1 m² of gypsum board are in the building.
Enter this number in the "</t>
    </r>
    <r>
      <rPr>
        <b/>
        <sz val="11"/>
        <color theme="1"/>
        <rFont val="Aptos Narrow"/>
        <family val="2"/>
        <scheme val="minor"/>
      </rPr>
      <t>Amount</t>
    </r>
    <r>
      <rPr>
        <sz val="11"/>
        <color theme="1"/>
        <rFont val="Aptos Narrow"/>
        <family val="2"/>
        <scheme val="minor"/>
      </rPr>
      <t>"-field of the material. It should say "1" by default.
Once you have done this, the environmental impacts will have scaled with the amount.</t>
    </r>
  </si>
  <si>
    <r>
      <t>The next step is to choose a disposal scenario for each of the building scenario.
For example, you could choose the "</t>
    </r>
    <r>
      <rPr>
        <b/>
        <sz val="11"/>
        <color theme="1"/>
        <rFont val="Aptos Narrow"/>
        <family val="2"/>
        <scheme val="minor"/>
      </rPr>
      <t>Recycling</t>
    </r>
    <r>
      <rPr>
        <sz val="11"/>
        <color theme="1"/>
        <rFont val="Aptos Narrow"/>
        <family val="2"/>
        <scheme val="minor"/>
      </rPr>
      <t>" scenario in "</t>
    </r>
    <r>
      <rPr>
        <b/>
        <sz val="11"/>
        <color theme="1"/>
        <rFont val="Aptos Narrow"/>
        <family val="2"/>
        <scheme val="minor"/>
      </rPr>
      <t>Building Scenario 1</t>
    </r>
    <r>
      <rPr>
        <sz val="11"/>
        <color theme="1"/>
        <rFont val="Aptos Narrow"/>
        <family val="2"/>
        <scheme val="minor"/>
      </rPr>
      <t>" and the "</t>
    </r>
    <r>
      <rPr>
        <b/>
        <sz val="11"/>
        <color theme="1"/>
        <rFont val="Aptos Narrow"/>
        <family val="2"/>
        <scheme val="minor"/>
      </rPr>
      <t>Landfill</t>
    </r>
    <r>
      <rPr>
        <sz val="11"/>
        <color theme="1"/>
        <rFont val="Aptos Narrow"/>
        <family val="2"/>
        <scheme val="minor"/>
      </rPr>
      <t>" scenario in "</t>
    </r>
    <r>
      <rPr>
        <b/>
        <sz val="11"/>
        <color theme="1"/>
        <rFont val="Aptos Narrow"/>
        <family val="2"/>
        <scheme val="minor"/>
      </rPr>
      <t>Building Scenario 2</t>
    </r>
    <r>
      <rPr>
        <sz val="11"/>
        <color theme="1"/>
        <rFont val="Aptos Narrow"/>
        <family val="2"/>
        <scheme val="minor"/>
      </rPr>
      <t>".
To do this, check the box of the scenario you want to choose. When chosen, the corresponding row will turn green.
(Note: Do not choose more than one scenario for a single instance of a material as this will result in double counting in the calculations.)</t>
    </r>
  </si>
  <si>
    <t>You will want to repeat this process for each material you want to include in your analysis.
It is possible to add multiple instances of the same material. For example, you may have stone wool insulation in both the external walls and the roof, you can add it to both and enter separate amounts and scenarios.</t>
  </si>
  <si>
    <r>
      <t>In the two sheets named "</t>
    </r>
    <r>
      <rPr>
        <b/>
        <sz val="11"/>
        <color theme="1"/>
        <rFont val="Aptos Narrow"/>
        <family val="2"/>
        <scheme val="minor"/>
      </rPr>
      <t>Building Scenario 1</t>
    </r>
    <r>
      <rPr>
        <sz val="11"/>
        <color theme="1"/>
        <rFont val="Aptos Narrow"/>
        <family val="2"/>
        <scheme val="minor"/>
      </rPr>
      <t>" and "</t>
    </r>
    <r>
      <rPr>
        <b/>
        <sz val="11"/>
        <color theme="1"/>
        <rFont val="Aptos Narrow"/>
        <family val="2"/>
        <scheme val="minor"/>
      </rPr>
      <t>Building Scenario 2</t>
    </r>
    <r>
      <rPr>
        <sz val="11"/>
        <color theme="1"/>
        <rFont val="Aptos Narrow"/>
        <family val="2"/>
        <scheme val="minor"/>
      </rPr>
      <t>" you can input the materials in your project to see the environmental impacts at a building level for two separate scenarios.
For example, "</t>
    </r>
    <r>
      <rPr>
        <b/>
        <sz val="11"/>
        <color theme="1"/>
        <rFont val="Aptos Narrow"/>
        <family val="2"/>
        <scheme val="minor"/>
      </rPr>
      <t>Building Scenario 1</t>
    </r>
    <r>
      <rPr>
        <sz val="11"/>
        <color theme="1"/>
        <rFont val="Aptos Narrow"/>
        <family val="2"/>
        <scheme val="minor"/>
      </rPr>
      <t>" could be the recommendations for the project and "</t>
    </r>
    <r>
      <rPr>
        <b/>
        <sz val="11"/>
        <color theme="1"/>
        <rFont val="Aptos Narrow"/>
        <family val="2"/>
        <scheme val="minor"/>
      </rPr>
      <t>Building Scenario 2</t>
    </r>
    <r>
      <rPr>
        <sz val="11"/>
        <color theme="1"/>
        <rFont val="Aptos Narrow"/>
        <family val="2"/>
        <scheme val="minor"/>
      </rPr>
      <t>" could be a worst case scenario.
To add a material to your project, first find the category corresponding to where the material is in the building, i.e. if it is a material in the internal walls, you will want to add it under "</t>
    </r>
    <r>
      <rPr>
        <b/>
        <sz val="11"/>
        <color theme="1"/>
        <rFont val="Aptos Narrow"/>
        <family val="2"/>
        <scheme val="minor"/>
      </rPr>
      <t>3. Internal walls</t>
    </r>
    <r>
      <rPr>
        <sz val="11"/>
        <color theme="1"/>
        <rFont val="Aptos Narrow"/>
        <family val="2"/>
        <scheme val="minor"/>
      </rPr>
      <t>".
Find and choose the material in the "</t>
    </r>
    <r>
      <rPr>
        <b/>
        <sz val="11"/>
        <color theme="1"/>
        <rFont val="Aptos Narrow"/>
        <family val="2"/>
        <scheme val="minor"/>
      </rPr>
      <t>Choose Material:</t>
    </r>
    <r>
      <rPr>
        <sz val="11"/>
        <color theme="1"/>
        <rFont val="Aptos Narrow"/>
        <family val="2"/>
        <scheme val="minor"/>
      </rPr>
      <t>" drop-down and press the "</t>
    </r>
    <r>
      <rPr>
        <b/>
        <sz val="11"/>
        <color theme="1"/>
        <rFont val="Aptos Narrow"/>
        <family val="2"/>
        <scheme val="minor"/>
      </rPr>
      <t>ADD</t>
    </r>
    <r>
      <rPr>
        <sz val="11"/>
        <color theme="1"/>
        <rFont val="Aptos Narrow"/>
        <family val="2"/>
        <scheme val="minor"/>
      </rPr>
      <t>"-button.
(Note: You will have to do this in both sheets if you want to compare scenarios)</t>
    </r>
  </si>
  <si>
    <r>
      <t>The "</t>
    </r>
    <r>
      <rPr>
        <b/>
        <sz val="11"/>
        <color theme="1"/>
        <rFont val="Aptos Narrow"/>
        <family val="2"/>
        <scheme val="minor"/>
      </rPr>
      <t>Results</t>
    </r>
    <r>
      <rPr>
        <sz val="11"/>
        <color theme="1"/>
        <rFont val="Aptos Narrow"/>
        <family val="2"/>
        <scheme val="minor"/>
      </rPr>
      <t>" sheet calculates the total impacts of decisions made for each building scenario.
It also provides comparative graphs for each of the environmental impacts included in the catalogue.</t>
    </r>
  </si>
  <si>
    <r>
      <rPr>
        <b/>
        <sz val="11"/>
        <color theme="1"/>
        <rFont val="Aptos Narrow"/>
        <family val="2"/>
        <scheme val="minor"/>
      </rPr>
      <t>Column I</t>
    </r>
    <r>
      <rPr>
        <sz val="11"/>
        <color theme="1"/>
        <rFont val="Aptos Narrow"/>
        <family val="2"/>
        <scheme val="minor"/>
      </rPr>
      <t xml:space="preserve"> contains the circulariy level of each scenario.
The catalogue categorises each scenario into one of five different circularity levels.
The lower the number, the more circular the scenario is.</t>
    </r>
  </si>
  <si>
    <t>Circularity Levels:</t>
  </si>
  <si>
    <r>
      <t xml:space="preserve">0 </t>
    </r>
    <r>
      <rPr>
        <sz val="11"/>
        <color theme="1"/>
        <rFont val="Aptos Narrow"/>
        <family val="2"/>
        <scheme val="minor"/>
      </rPr>
      <t xml:space="preserve">- Represents a </t>
    </r>
    <r>
      <rPr>
        <b/>
        <sz val="11"/>
        <color theme="1"/>
        <rFont val="Aptos Narrow"/>
        <family val="2"/>
        <scheme val="minor"/>
      </rPr>
      <t xml:space="preserve">Reuse </t>
    </r>
    <r>
      <rPr>
        <sz val="11"/>
        <color theme="1"/>
        <rFont val="Aptos Narrow"/>
        <family val="2"/>
        <scheme val="minor"/>
      </rPr>
      <t>scenario. This means that the material is directly reused as is without any major processing being required.</t>
    </r>
    <r>
      <rPr>
        <b/>
        <sz val="11"/>
        <color theme="1"/>
        <rFont val="Aptos Narrow"/>
        <family val="2"/>
        <scheme val="minor"/>
      </rPr>
      <t xml:space="preserve"> </t>
    </r>
    <r>
      <rPr>
        <sz val="11"/>
        <color theme="1"/>
        <rFont val="Aptos Narrow"/>
        <family val="2"/>
        <scheme val="minor"/>
      </rPr>
      <t>(Example: bricks being cleaned and reused in a new building)</t>
    </r>
  </si>
  <si>
    <r>
      <t>3</t>
    </r>
    <r>
      <rPr>
        <sz val="11"/>
        <color theme="1"/>
        <rFont val="Aptos Narrow"/>
        <family val="2"/>
        <scheme val="minor"/>
      </rPr>
      <t xml:space="preserve"> - Represents a </t>
    </r>
    <r>
      <rPr>
        <b/>
        <sz val="11"/>
        <color theme="1"/>
        <rFont val="Aptos Narrow"/>
        <family val="2"/>
        <scheme val="minor"/>
      </rPr>
      <t xml:space="preserve">Recovery </t>
    </r>
    <r>
      <rPr>
        <sz val="11"/>
        <color theme="1"/>
        <rFont val="Aptos Narrow"/>
        <family val="2"/>
        <scheme val="minor"/>
      </rPr>
      <t>scenario. This means</t>
    </r>
    <r>
      <rPr>
        <b/>
        <sz val="11"/>
        <color theme="1"/>
        <rFont val="Aptos Narrow"/>
        <family val="2"/>
        <scheme val="minor"/>
      </rPr>
      <t xml:space="preserve"> </t>
    </r>
    <r>
      <rPr>
        <sz val="11"/>
        <color theme="1"/>
        <rFont val="Aptos Narrow"/>
        <family val="2"/>
        <scheme val="minor"/>
      </rPr>
      <t>that the material is processed to obtain energy. (Example: construction wood incinerated to generate heat and electricity)</t>
    </r>
  </si>
  <si>
    <r>
      <t xml:space="preserve">1 </t>
    </r>
    <r>
      <rPr>
        <sz val="11"/>
        <color theme="1"/>
        <rFont val="Aptos Narrow"/>
        <family val="2"/>
        <scheme val="minor"/>
      </rPr>
      <t xml:space="preserve">- Represents a closed loop </t>
    </r>
    <r>
      <rPr>
        <b/>
        <sz val="11"/>
        <color theme="1"/>
        <rFont val="Aptos Narrow"/>
        <family val="2"/>
        <scheme val="minor"/>
      </rPr>
      <t xml:space="preserve">Recycling </t>
    </r>
    <r>
      <rPr>
        <sz val="11"/>
        <color theme="1"/>
        <rFont val="Aptos Narrow"/>
        <family val="2"/>
        <scheme val="minor"/>
      </rPr>
      <t>scenario. This means that the material is processed to be remade into the same material again.</t>
    </r>
    <r>
      <rPr>
        <b/>
        <sz val="11"/>
        <color theme="1"/>
        <rFont val="Aptos Narrow"/>
        <family val="2"/>
        <scheme val="minor"/>
      </rPr>
      <t xml:space="preserve"> </t>
    </r>
    <r>
      <rPr>
        <sz val="11"/>
        <color theme="1"/>
        <rFont val="Aptos Narrow"/>
        <family val="2"/>
        <scheme val="minor"/>
      </rPr>
      <t>(Example: steel being melted into new steel products)</t>
    </r>
  </si>
  <si>
    <r>
      <t xml:space="preserve">4 </t>
    </r>
    <r>
      <rPr>
        <sz val="11"/>
        <color theme="1"/>
        <rFont val="Aptos Narrow"/>
        <family val="2"/>
        <scheme val="minor"/>
      </rPr>
      <t xml:space="preserve">- Represents a </t>
    </r>
    <r>
      <rPr>
        <b/>
        <sz val="11"/>
        <color theme="1"/>
        <rFont val="Aptos Narrow"/>
        <family val="2"/>
        <scheme val="minor"/>
      </rPr>
      <t>Disposal</t>
    </r>
    <r>
      <rPr>
        <sz val="11"/>
        <color theme="1"/>
        <rFont val="Aptos Narrow"/>
        <family val="2"/>
        <scheme val="minor"/>
      </rPr>
      <t xml:space="preserve"> scenario. This means that the material is disposed of in a way that generates no value. (Example: glass wool being disposed of in a landfill)</t>
    </r>
  </si>
  <si>
    <r>
      <rPr>
        <b/>
        <sz val="11"/>
        <color theme="1"/>
        <rFont val="Aptos Narrow"/>
        <family val="2"/>
        <scheme val="minor"/>
      </rPr>
      <t>Column N</t>
    </r>
    <r>
      <rPr>
        <sz val="11"/>
        <color theme="1"/>
        <rFont val="Aptos Narrow"/>
        <family val="2"/>
        <scheme val="minor"/>
      </rPr>
      <t xml:space="preserve"> and </t>
    </r>
    <r>
      <rPr>
        <b/>
        <sz val="11"/>
        <color theme="1"/>
        <rFont val="Aptos Narrow"/>
        <family val="2"/>
        <scheme val="minor"/>
      </rPr>
      <t>Column O</t>
    </r>
    <r>
      <rPr>
        <sz val="11"/>
        <color theme="1"/>
        <rFont val="Aptos Narrow"/>
        <family val="2"/>
        <scheme val="minor"/>
      </rPr>
      <t xml:space="preserve"> contain a visual comparison of the environmental impacts associated with every scenario of the material. 
You can change which impact category is shown in the comparison graph by choosing a different one in the "</t>
    </r>
    <r>
      <rPr>
        <b/>
        <sz val="11"/>
        <color theme="1"/>
        <rFont val="Aptos Narrow"/>
        <family val="2"/>
        <scheme val="minor"/>
      </rPr>
      <t>Impact Category:</t>
    </r>
    <r>
      <rPr>
        <sz val="11"/>
        <color theme="1"/>
        <rFont val="Aptos Narrow"/>
        <family val="2"/>
        <scheme val="minor"/>
      </rPr>
      <t>" drop-down.</t>
    </r>
  </si>
  <si>
    <t>Cross Laminated Timber (CLT) 0</t>
  </si>
  <si>
    <t>Cross Laminated Timber (CLT) 1</t>
  </si>
  <si>
    <t>Glue Laminated Timber (Glulam) 0</t>
  </si>
  <si>
    <t>Glue Laminated Timber (Glulam) 1</t>
  </si>
  <si>
    <t>Brick Wall 0</t>
  </si>
  <si>
    <t>Brick Wall 1</t>
  </si>
  <si>
    <t>Mineral Resource Scarcity</t>
  </si>
  <si>
    <t>Fossil Resource Scarcity</t>
  </si>
  <si>
    <r>
      <rPr>
        <b/>
        <sz val="11"/>
        <color theme="1"/>
        <rFont val="Aptos Narrow"/>
        <family val="2"/>
        <scheme val="minor"/>
      </rPr>
      <t xml:space="preserve">Column L </t>
    </r>
    <r>
      <rPr>
        <sz val="11"/>
        <color theme="1"/>
        <rFont val="Aptos Narrow"/>
        <family val="2"/>
        <scheme val="minor"/>
      </rPr>
      <t xml:space="preserve">contains the </t>
    </r>
    <r>
      <rPr>
        <b/>
        <sz val="11"/>
        <color theme="1"/>
        <rFont val="Aptos Narrow"/>
        <family val="2"/>
        <scheme val="minor"/>
      </rPr>
      <t>Mineral resource scarcity</t>
    </r>
    <r>
      <rPr>
        <sz val="11"/>
        <color theme="1"/>
        <rFont val="Aptos Narrow"/>
        <family val="2"/>
        <scheme val="minor"/>
      </rPr>
      <t xml:space="preserve"> impacts of each scenario expressed in </t>
    </r>
    <r>
      <rPr>
        <b/>
        <sz val="11"/>
        <color theme="1"/>
        <rFont val="Aptos Narrow"/>
        <family val="2"/>
        <scheme val="minor"/>
      </rPr>
      <t>kg CU eq</t>
    </r>
    <r>
      <rPr>
        <sz val="11"/>
        <color theme="1"/>
        <rFont val="Aptos Narrow"/>
        <family val="2"/>
        <scheme val="minor"/>
      </rPr>
      <t>.</t>
    </r>
  </si>
  <si>
    <r>
      <rPr>
        <b/>
        <sz val="11"/>
        <color theme="1"/>
        <rFont val="Aptos Narrow"/>
        <family val="2"/>
        <scheme val="minor"/>
      </rPr>
      <t xml:space="preserve">Column M </t>
    </r>
    <r>
      <rPr>
        <sz val="11"/>
        <color theme="1"/>
        <rFont val="Aptos Narrow"/>
        <family val="2"/>
        <scheme val="minor"/>
      </rPr>
      <t xml:space="preserve">contains the </t>
    </r>
    <r>
      <rPr>
        <b/>
        <sz val="11"/>
        <color theme="1"/>
        <rFont val="Aptos Narrow"/>
        <family val="2"/>
        <scheme val="minor"/>
      </rPr>
      <t>Fossil resource scarcity</t>
    </r>
    <r>
      <rPr>
        <sz val="11"/>
        <color theme="1"/>
        <rFont val="Aptos Narrow"/>
        <family val="2"/>
        <scheme val="minor"/>
      </rPr>
      <t xml:space="preserve"> impacts of each scenario expressed in </t>
    </r>
    <r>
      <rPr>
        <b/>
        <sz val="11"/>
        <color theme="1"/>
        <rFont val="Aptos Narrow"/>
        <family val="2"/>
        <scheme val="minor"/>
      </rPr>
      <t>kg oil eq</t>
    </r>
    <r>
      <rPr>
        <sz val="11"/>
        <color theme="1"/>
        <rFont val="Aptos Narrow"/>
        <family val="2"/>
        <scheme val="minor"/>
      </rPr>
      <t>.</t>
    </r>
  </si>
  <si>
    <r>
      <rPr>
        <b/>
        <sz val="11"/>
        <color theme="1"/>
        <rFont val="Aptos Narrow"/>
        <family val="2"/>
        <scheme val="minor"/>
      </rPr>
      <t>Column E</t>
    </r>
    <r>
      <rPr>
        <sz val="11"/>
        <color theme="1"/>
        <rFont val="Aptos Narrow"/>
        <family val="2"/>
        <scheme val="minor"/>
      </rPr>
      <t xml:space="preserve"> contains the mass factor (kg/unit) of the material and short descriptions of each scenario. The mass factor is there in case a material is quantified by mass instead of the declared unit, allowing for easy conversion into the declared unit.</t>
    </r>
  </si>
  <si>
    <r>
      <t>2</t>
    </r>
    <r>
      <rPr>
        <sz val="11"/>
        <color theme="1"/>
        <rFont val="Aptos Narrow"/>
        <family val="2"/>
        <scheme val="minor"/>
      </rPr>
      <t xml:space="preserve"> - Represents an open loop </t>
    </r>
    <r>
      <rPr>
        <b/>
        <sz val="11"/>
        <color theme="1"/>
        <rFont val="Aptos Narrow"/>
        <family val="2"/>
        <scheme val="minor"/>
      </rPr>
      <t>Recycling</t>
    </r>
    <r>
      <rPr>
        <sz val="11"/>
        <color theme="1"/>
        <rFont val="Aptos Narrow"/>
        <family val="2"/>
        <scheme val="minor"/>
      </rPr>
      <t xml:space="preserve"> scenario. This means that the material is processed to be remade into a new material. (Example: window glass being used in glass wool production)</t>
    </r>
  </si>
  <si>
    <r>
      <rPr>
        <b/>
        <sz val="11"/>
        <color theme="1"/>
        <rFont val="Aptos Narrow"/>
        <family val="2"/>
        <scheme val="minor"/>
      </rPr>
      <t>Column B</t>
    </r>
    <r>
      <rPr>
        <sz val="11"/>
        <color theme="1"/>
        <rFont val="Aptos Narrow"/>
        <family val="2"/>
        <scheme val="minor"/>
      </rPr>
      <t xml:space="preserve"> contains an image of the material and ID-numbers of each scenario.
The ID-numbers correspond to the name of an Excel-file in the "</t>
    </r>
    <r>
      <rPr>
        <b/>
        <sz val="11"/>
        <color theme="1"/>
        <rFont val="Aptos Narrow"/>
        <family val="2"/>
        <scheme val="minor"/>
      </rPr>
      <t>Documentation</t>
    </r>
    <r>
      <rPr>
        <sz val="11"/>
        <color theme="1"/>
        <rFont val="Aptos Narrow"/>
        <family val="2"/>
        <scheme val="minor"/>
      </rPr>
      <t>"-folder.
This Excel-file contains the documentation of the LCA calculation including life cycle inventory (LCI) as well as a detailed description of the scenario with the corresponding ID-number.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</si>
</sst>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
    <numFmt numFmtId="167" formatCode="0.00000"/>
  </numFmts>
  <fonts count="12" x14ac:knownFonts="1">
    <font>
      <sz val="11"/>
      <color theme="1"/>
      <name val="Aptos Narrow"/>
      <family val="2"/>
      <scheme val="minor"/>
    </font>
    <font>
      <b/>
      <sz val="11"/>
      <color theme="1"/>
      <name val="Aptos Narrow"/>
      <family val="2"/>
      <scheme val="minor"/>
    </font>
    <font>
      <b/>
      <sz val="16"/>
      <color theme="1"/>
      <name val="Aptos Narrow"/>
      <family val="2"/>
      <scheme val="minor"/>
    </font>
    <font>
      <b/>
      <vertAlign val="subscript"/>
      <sz val="11"/>
      <color theme="1"/>
      <name val="Aptos Narrow"/>
      <family val="2"/>
      <scheme val="minor"/>
    </font>
    <font>
      <u/>
      <sz val="11"/>
      <color theme="10"/>
      <name val="Aptos Narrow"/>
      <family val="2"/>
      <scheme val="minor"/>
    </font>
    <font>
      <b/>
      <sz val="14"/>
      <color theme="1"/>
      <name val="Aptos Narrow"/>
      <family val="2"/>
      <scheme val="minor"/>
    </font>
    <font>
      <sz val="11"/>
      <color rgb="FF000000"/>
      <name val="Aptos Narrow"/>
      <family val="2"/>
    </font>
    <font>
      <b/>
      <sz val="12"/>
      <color theme="1"/>
      <name val="Aptos Narrow"/>
      <family val="2"/>
      <scheme val="minor"/>
    </font>
    <font>
      <sz val="11"/>
      <name val="Aptos Narrow"/>
      <family val="2"/>
      <scheme val="minor"/>
    </font>
    <font>
      <vertAlign val="subscript"/>
      <sz val="11"/>
      <color theme="1"/>
      <name val="Aptos Narrow"/>
      <family val="2"/>
      <scheme val="minor"/>
    </font>
    <font>
      <sz val="14"/>
      <color theme="1"/>
      <name val="Aptos Narrow"/>
      <family val="2"/>
      <scheme val="minor"/>
    </font>
    <font>
      <b/>
      <vertAlign val="superscript"/>
      <sz val="11"/>
      <color theme="1"/>
      <name val="Aptos Narrow"/>
      <family val="2"/>
      <scheme val="minor"/>
    </font>
  </fonts>
  <fills count="7">
    <fill>
      <patternFill patternType="none"/>
    </fill>
    <fill>
      <patternFill patternType="gray125"/>
    </fill>
    <fill>
      <patternFill patternType="solid">
        <fgColor theme="2" tint="-0.249977111117893"/>
        <bgColor indexed="64"/>
      </patternFill>
    </fill>
    <fill>
      <patternFill patternType="solid">
        <fgColor theme="2" tint="-0.499984740745262"/>
        <bgColor indexed="64"/>
      </patternFill>
    </fill>
    <fill>
      <patternFill patternType="solid">
        <fgColor theme="0"/>
        <bgColor indexed="64"/>
      </patternFill>
    </fill>
    <fill>
      <patternFill patternType="solid">
        <fgColor theme="2" tint="-9.9978637043366805E-2"/>
        <bgColor indexed="64"/>
      </patternFill>
    </fill>
    <fill>
      <patternFill patternType="solid">
        <fgColor theme="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96">
    <xf numFmtId="0" fontId="0" fillId="0" borderId="0" xfId="0"/>
    <xf numFmtId="0" fontId="2" fillId="0" borderId="0" xfId="0" applyFont="1"/>
    <xf numFmtId="0" fontId="0" fillId="4" borderId="0" xfId="0" applyFill="1"/>
    <xf numFmtId="0" fontId="0" fillId="4" borderId="1" xfId="0" applyFill="1" applyBorder="1"/>
    <xf numFmtId="0" fontId="0" fillId="4" borderId="2" xfId="0" applyFill="1" applyBorder="1"/>
    <xf numFmtId="0" fontId="2" fillId="3" borderId="4" xfId="0" applyFont="1" applyFill="1" applyBorder="1" applyAlignment="1">
      <alignment horizontal="center"/>
    </xf>
    <xf numFmtId="0" fontId="2" fillId="3" borderId="4" xfId="0" applyFont="1" applyFill="1" applyBorder="1"/>
    <xf numFmtId="0" fontId="2" fillId="3" borderId="5" xfId="0" applyFont="1" applyFill="1" applyBorder="1"/>
    <xf numFmtId="0" fontId="2" fillId="4" borderId="0" xfId="0" applyFont="1" applyFill="1"/>
    <xf numFmtId="0" fontId="1" fillId="3" borderId="10" xfId="0" applyFont="1" applyFill="1" applyBorder="1"/>
    <xf numFmtId="0" fontId="1" fillId="3" borderId="10" xfId="0" applyFont="1" applyFill="1" applyBorder="1" applyAlignment="1">
      <alignment horizontal="center"/>
    </xf>
    <xf numFmtId="0" fontId="0" fillId="3" borderId="12" xfId="0" applyFill="1" applyBorder="1" applyAlignment="1">
      <alignment horizontal="center" vertical="center"/>
    </xf>
    <xf numFmtId="0" fontId="1" fillId="3" borderId="13" xfId="0" applyFont="1" applyFill="1" applyBorder="1"/>
    <xf numFmtId="0" fontId="1" fillId="3" borderId="13" xfId="0" applyFont="1" applyFill="1" applyBorder="1" applyAlignment="1">
      <alignment horizontal="center"/>
    </xf>
    <xf numFmtId="0" fontId="1" fillId="3" borderId="13" xfId="0" applyFont="1" applyFill="1" applyBorder="1" applyAlignment="1">
      <alignment horizontal="right"/>
    </xf>
    <xf numFmtId="0" fontId="0" fillId="4" borderId="15" xfId="0" applyFill="1" applyBorder="1" applyAlignment="1">
      <alignment horizontal="center" vertical="center"/>
    </xf>
    <xf numFmtId="0" fontId="0" fillId="4" borderId="2" xfId="0" applyFill="1" applyBorder="1" applyAlignment="1">
      <alignment wrapText="1"/>
    </xf>
    <xf numFmtId="0" fontId="0" fillId="4" borderId="1" xfId="0" applyFill="1" applyBorder="1" applyAlignment="1">
      <alignment wrapText="1"/>
    </xf>
    <xf numFmtId="0" fontId="4" fillId="4" borderId="0" xfId="1" applyFill="1"/>
    <xf numFmtId="0" fontId="1" fillId="3" borderId="9" xfId="0" applyFont="1" applyFill="1" applyBorder="1" applyAlignment="1">
      <alignment horizontal="center"/>
    </xf>
    <xf numFmtId="0" fontId="0" fillId="0" borderId="2" xfId="0" applyBorder="1" applyAlignment="1">
      <alignment horizontal="center" vertical="center"/>
    </xf>
    <xf numFmtId="0" fontId="2" fillId="4" borderId="4" xfId="0" applyFont="1" applyFill="1" applyBorder="1" applyAlignment="1">
      <alignment horizontal="center"/>
    </xf>
    <xf numFmtId="0" fontId="2" fillId="4" borderId="4" xfId="0" applyFont="1" applyFill="1" applyBorder="1"/>
    <xf numFmtId="0" fontId="2" fillId="4" borderId="5" xfId="0" applyFont="1" applyFill="1" applyBorder="1"/>
    <xf numFmtId="0" fontId="7" fillId="4" borderId="4" xfId="0" applyFont="1" applyFill="1" applyBorder="1" applyAlignment="1">
      <alignment horizontal="right"/>
    </xf>
    <xf numFmtId="0" fontId="5" fillId="3" borderId="4" xfId="0" applyFont="1" applyFill="1" applyBorder="1" applyAlignment="1">
      <alignment horizontal="left"/>
    </xf>
    <xf numFmtId="0" fontId="0" fillId="3" borderId="13" xfId="0" applyFill="1" applyBorder="1" applyAlignment="1">
      <alignment horizontal="center" vertical="center"/>
    </xf>
    <xf numFmtId="0" fontId="0" fillId="3" borderId="10" xfId="0" applyFill="1" applyBorder="1" applyAlignment="1">
      <alignment horizontal="center" vertical="center"/>
    </xf>
    <xf numFmtId="0" fontId="0" fillId="5" borderId="15" xfId="0" applyFill="1" applyBorder="1" applyAlignment="1">
      <alignment horizontal="center" vertical="center"/>
    </xf>
    <xf numFmtId="0" fontId="0" fillId="4" borderId="2" xfId="0" applyFill="1" applyBorder="1" applyAlignment="1">
      <alignment horizontal="center" vertical="center"/>
    </xf>
    <xf numFmtId="0" fontId="0" fillId="4" borderId="1" xfId="0" applyFill="1" applyBorder="1" applyAlignment="1">
      <alignment horizontal="center" vertical="center"/>
    </xf>
    <xf numFmtId="0" fontId="0" fillId="4" borderId="19" xfId="0" applyFill="1" applyBorder="1" applyAlignment="1">
      <alignment vertical="center"/>
    </xf>
    <xf numFmtId="0" fontId="0" fillId="4" borderId="18" xfId="0" applyFill="1" applyBorder="1" applyAlignment="1">
      <alignment vertical="center"/>
    </xf>
    <xf numFmtId="0" fontId="4" fillId="0" borderId="0" xfId="1"/>
    <xf numFmtId="0" fontId="8" fillId="4" borderId="0" xfId="0" applyFont="1" applyFill="1"/>
    <xf numFmtId="0" fontId="0" fillId="4" borderId="18" xfId="0" applyFill="1" applyBorder="1" applyAlignment="1">
      <alignment vertical="center"/>
      <extLst>
        <ext xmlns:xfpb="http://schemas.microsoft.com/office/spreadsheetml/2022/featurepropertybag" uri="{C7286773-470A-42A8-94C5-96B5CB345126}">
          <xfpb:xfComplement i="0"/>
        </ext>
      </extLst>
    </xf>
    <xf numFmtId="0" fontId="0" fillId="4" borderId="17" xfId="0" applyFill="1" applyBorder="1" applyAlignment="1">
      <alignment vertical="center"/>
      <extLst>
        <ext xmlns:xfpb="http://schemas.microsoft.com/office/spreadsheetml/2022/featurepropertybag" uri="{C7286773-470A-42A8-94C5-96B5CB345126}">
          <xfpb:xfComplement i="0"/>
        </ext>
      </extLst>
    </xf>
    <xf numFmtId="0" fontId="0" fillId="4" borderId="16" xfId="0" applyFill="1" applyBorder="1" applyAlignment="1">
      <alignment vertical="center"/>
      <extLst>
        <ext xmlns:xfpb="http://schemas.microsoft.com/office/spreadsheetml/2022/featurepropertybag" uri="{C7286773-470A-42A8-94C5-96B5CB345126}">
          <xfpb:xfComplement i="0"/>
        </ext>
      </extLst>
    </xf>
    <xf numFmtId="0" fontId="0" fillId="4" borderId="20" xfId="0" applyFill="1" applyBorder="1" applyAlignment="1">
      <alignment vertical="center"/>
      <extLst>
        <ext xmlns:xfpb="http://schemas.microsoft.com/office/spreadsheetml/2022/featurepropertybag" uri="{C7286773-470A-42A8-94C5-96B5CB345126}">
          <xfpb:xfComplement i="0"/>
        </ext>
      </extLst>
    </xf>
    <xf numFmtId="0" fontId="0" fillId="4" borderId="21" xfId="0" applyFill="1" applyBorder="1" applyAlignment="1">
      <alignment vertical="center"/>
      <extLst>
        <ext xmlns:xfpb="http://schemas.microsoft.com/office/spreadsheetml/2022/featurepropertybag" uri="{C7286773-470A-42A8-94C5-96B5CB345126}">
          <xfpb:xfComplement i="0"/>
        </ext>
      </extLst>
    </xf>
    <xf numFmtId="0" fontId="0" fillId="4" borderId="19" xfId="0" applyFill="1" applyBorder="1" applyAlignment="1">
      <alignment vertical="center"/>
      <extLst>
        <ext xmlns:xfpb="http://schemas.microsoft.com/office/spreadsheetml/2022/featurepropertybag" uri="{C7286773-470A-42A8-94C5-96B5CB345126}">
          <xfpb:xfComplement i="0"/>
        </ext>
      </extLst>
    </xf>
    <xf numFmtId="0" fontId="0" fillId="4" borderId="11" xfId="0" applyFill="1" applyBorder="1"/>
    <xf numFmtId="0" fontId="0" fillId="4" borderId="23" xfId="0" applyFill="1" applyBorder="1"/>
    <xf numFmtId="0" fontId="0" fillId="4" borderId="14" xfId="0" applyFill="1" applyBorder="1"/>
    <xf numFmtId="0" fontId="8" fillId="6" borderId="6" xfId="0" applyFont="1" applyFill="1" applyBorder="1"/>
    <xf numFmtId="0" fontId="8" fillId="6" borderId="7" xfId="0" applyFont="1" applyFill="1" applyBorder="1"/>
    <xf numFmtId="0" fontId="8" fillId="6" borderId="8" xfId="0" applyFont="1" applyFill="1" applyBorder="1"/>
    <xf numFmtId="0" fontId="5" fillId="3" borderId="3" xfId="0" applyFont="1" applyFill="1" applyBorder="1"/>
    <xf numFmtId="0" fontId="5" fillId="3" borderId="4" xfId="0" applyFont="1" applyFill="1" applyBorder="1"/>
    <xf numFmtId="0" fontId="5" fillId="3" borderId="5" xfId="0" applyFont="1" applyFill="1" applyBorder="1"/>
    <xf numFmtId="0" fontId="10" fillId="0" borderId="0" xfId="0" applyFont="1"/>
    <xf numFmtId="0" fontId="10" fillId="4" borderId="0" xfId="0" applyFont="1" applyFill="1"/>
    <xf numFmtId="164" fontId="0" fillId="4" borderId="2" xfId="0" applyNumberFormat="1" applyFill="1" applyBorder="1"/>
    <xf numFmtId="164" fontId="0" fillId="4" borderId="1" xfId="0" applyNumberFormat="1" applyFill="1" applyBorder="1"/>
    <xf numFmtId="165" fontId="0" fillId="4" borderId="1" xfId="0" applyNumberFormat="1" applyFill="1" applyBorder="1"/>
    <xf numFmtId="166" fontId="0" fillId="4" borderId="2" xfId="0" applyNumberFormat="1" applyFill="1" applyBorder="1"/>
    <xf numFmtId="2" fontId="0" fillId="4" borderId="2" xfId="0" applyNumberFormat="1" applyFill="1" applyBorder="1"/>
    <xf numFmtId="166" fontId="0" fillId="4" borderId="1" xfId="0" applyNumberFormat="1" applyFill="1" applyBorder="1"/>
    <xf numFmtId="167" fontId="0" fillId="4" borderId="2" xfId="0" applyNumberFormat="1" applyFill="1" applyBorder="1"/>
    <xf numFmtId="0" fontId="0" fillId="4" borderId="18" xfId="0" applyFill="1" applyBorder="1" applyAlignment="1">
      <alignment vertical="center" wrapText="1"/>
      <extLst>
        <ext xmlns:xfpb="http://schemas.microsoft.com/office/spreadsheetml/2022/featurepropertybag" uri="{C7286773-470A-42A8-94C5-96B5CB345126}">
          <xfpb:xfComplement i="0"/>
        </ext>
      </extLst>
    </xf>
    <xf numFmtId="0" fontId="0" fillId="4" borderId="19" xfId="0" applyFill="1" applyBorder="1" applyAlignment="1">
      <alignment vertical="center" wrapText="1"/>
      <extLst>
        <ext xmlns:xfpb="http://schemas.microsoft.com/office/spreadsheetml/2022/featurepropertybag" uri="{C7286773-470A-42A8-94C5-96B5CB345126}">
          <xfpb:xfComplement i="0"/>
        </ext>
      </extLst>
    </xf>
    <xf numFmtId="0" fontId="0" fillId="4" borderId="20" xfId="0" applyFill="1" applyBorder="1" applyAlignment="1">
      <alignment vertical="center" wrapText="1"/>
      <extLst>
        <ext xmlns:xfpb="http://schemas.microsoft.com/office/spreadsheetml/2022/featurepropertybag" uri="{C7286773-470A-42A8-94C5-96B5CB345126}">
          <xfpb:xfComplement i="0"/>
        </ext>
      </extLst>
    </xf>
    <xf numFmtId="2" fontId="0" fillId="4" borderId="9" xfId="0" applyNumberFormat="1" applyFill="1" applyBorder="1"/>
    <xf numFmtId="2" fontId="0" fillId="4" borderId="22" xfId="0" applyNumberFormat="1" applyFill="1" applyBorder="1"/>
    <xf numFmtId="2" fontId="0" fillId="4" borderId="12" xfId="0" applyNumberFormat="1" applyFill="1" applyBorder="1"/>
    <xf numFmtId="0" fontId="1" fillId="5" borderId="24" xfId="0" applyFont="1" applyFill="1" applyBorder="1"/>
    <xf numFmtId="0" fontId="0" fillId="4" borderId="0" xfId="0" applyFill="1" applyAlignment="1">
      <alignment wrapText="1"/>
    </xf>
    <xf numFmtId="0" fontId="1" fillId="4" borderId="0" xfId="0" applyFont="1" applyFill="1"/>
    <xf numFmtId="0" fontId="1" fillId="4" borderId="0" xfId="0" applyFont="1" applyFill="1" applyAlignment="1">
      <alignment wrapText="1"/>
    </xf>
    <xf numFmtId="0" fontId="7" fillId="5" borderId="6" xfId="0" applyFont="1" applyFill="1" applyBorder="1" applyAlignment="1">
      <alignment wrapText="1"/>
    </xf>
    <xf numFmtId="0" fontId="1" fillId="5" borderId="7" xfId="0" applyFont="1" applyFill="1" applyBorder="1" applyAlignment="1">
      <alignment wrapText="1"/>
    </xf>
    <xf numFmtId="0" fontId="1" fillId="5" borderId="8" xfId="0" applyFont="1" applyFill="1" applyBorder="1" applyAlignment="1">
      <alignment wrapText="1"/>
    </xf>
    <xf numFmtId="0" fontId="2" fillId="3" borderId="0" xfId="0" applyFont="1" applyFill="1"/>
    <xf numFmtId="0" fontId="0" fillId="3" borderId="0" xfId="0" applyFill="1"/>
    <xf numFmtId="0" fontId="5" fillId="2" borderId="0" xfId="0" applyFont="1" applyFill="1"/>
    <xf numFmtId="0" fontId="0" fillId="2" borderId="0" xfId="0" applyFill="1"/>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3" xfId="0" applyFont="1" applyFill="1" applyBorder="1" applyAlignment="1">
      <alignment horizontal="center"/>
    </xf>
    <xf numFmtId="0" fontId="0" fillId="4" borderId="2" xfId="0" applyFill="1" applyBorder="1" applyAlignment="1">
      <alignment horizontal="center" wrapText="1"/>
    </xf>
    <xf numFmtId="0" fontId="0" fillId="2" borderId="6" xfId="0" applyFill="1" applyBorder="1" applyAlignment="1">
      <alignment horizontal="center" vertical="center" wrapText="1"/>
    </xf>
    <xf numFmtId="0" fontId="0" fillId="2" borderId="7" xfId="0" applyFill="1" applyBorder="1" applyAlignment="1">
      <alignment horizontal="center" vertical="center" wrapText="1"/>
    </xf>
    <xf numFmtId="0" fontId="0" fillId="4" borderId="1" xfId="0" applyFill="1" applyBorder="1" applyAlignment="1">
      <alignment horizontal="center" wrapText="1"/>
    </xf>
    <xf numFmtId="0" fontId="2" fillId="3" borderId="3" xfId="0" applyFont="1" applyFill="1" applyBorder="1" applyAlignment="1">
      <alignment horizontal="center"/>
    </xf>
    <xf numFmtId="0" fontId="2" fillId="3" borderId="4" xfId="0" applyFont="1" applyFill="1" applyBorder="1" applyAlignment="1">
      <alignment horizontal="center"/>
    </xf>
    <xf numFmtId="0" fontId="0" fillId="2" borderId="8" xfId="0" applyFill="1" applyBorder="1" applyAlignment="1">
      <alignment horizontal="center" vertical="center"/>
    </xf>
    <xf numFmtId="0" fontId="0" fillId="2" borderId="8" xfId="0" applyFill="1" applyBorder="1" applyAlignment="1">
      <alignment horizontal="center" vertical="center" wrapText="1"/>
    </xf>
    <xf numFmtId="0" fontId="0" fillId="5" borderId="3" xfId="0" applyFill="1" applyBorder="1" applyAlignment="1">
      <alignment horizontal="center"/>
    </xf>
    <xf numFmtId="0" fontId="0" fillId="5" borderId="4" xfId="0" applyFill="1" applyBorder="1" applyAlignment="1">
      <alignment horizontal="center"/>
    </xf>
    <xf numFmtId="0" fontId="0" fillId="5" borderId="5" xfId="0" applyFill="1" applyBorder="1" applyAlignment="1">
      <alignment horizontal="center"/>
    </xf>
    <xf numFmtId="0" fontId="5" fillId="3" borderId="3" xfId="0" applyFont="1" applyFill="1" applyBorder="1" applyAlignment="1">
      <alignment horizontal="left"/>
    </xf>
    <xf numFmtId="0" fontId="5" fillId="3" borderId="4" xfId="0" applyFont="1" applyFill="1" applyBorder="1" applyAlignment="1">
      <alignment horizontal="left"/>
    </xf>
    <xf numFmtId="0" fontId="5" fillId="3" borderId="3" xfId="0" applyFont="1" applyFill="1" applyBorder="1" applyAlignment="1">
      <alignment horizontal="center"/>
    </xf>
    <xf numFmtId="0" fontId="5" fillId="3" borderId="4" xfId="0" applyFont="1" applyFill="1" applyBorder="1" applyAlignment="1">
      <alignment horizontal="center"/>
    </xf>
  </cellXfs>
  <cellStyles count="2">
    <cellStyle name="Hyperlink" xfId="1" builtinId="8"/>
    <cellStyle name="Normal" xfId="0" builtinId="0"/>
  </cellStyles>
  <dxfs count="45">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0/relationships/richValueRel" Target="richData/richValueRel.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22/11/relationships/FeaturePropertyBag" Target="featurePropertyBag/featurePropertyBag.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styles" Target="style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Catalogue!$O$117</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Catalogue!$O$117</c:f>
              <c:strCache>
                <c:ptCount val="1"/>
                <c:pt idx="0">
                  <c:v>Global Warming</c:v>
                </c:pt>
              </c:strCache>
            </c:strRef>
          </c:tx>
          <c:spPr>
            <a:solidFill>
              <a:schemeClr val="accent1"/>
            </a:solidFill>
            <a:ln>
              <a:noFill/>
            </a:ln>
            <a:effectLst/>
          </c:spPr>
          <c:invertIfNegative val="0"/>
          <c:cat>
            <c:multiLvlStrRef>
              <c:f>Catalogue!$D$118:$D$121</c:f>
            </c:multiLvlStrRef>
          </c:cat>
          <c:val>
            <c:numRef>
              <c:f>Catalogue!$O$118:$O$121</c:f>
            </c:numRef>
          </c:val>
          <c:extLst>
            <c:ext xmlns:c16="http://schemas.microsoft.com/office/drawing/2014/chart" uri="{C3380CC4-5D6E-409C-BE32-E72D297353CC}">
              <c16:uniqueId val="{00000000-3FFB-465F-A3E9-C9F578D05238}"/>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Catalogue!$N$118</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Catalogue!$O$117</c:f>
              <c:strCache>
                <c:ptCount val="1"/>
                <c:pt idx="0">
                  <c:v>Global Warming</c:v>
                </c:pt>
              </c:strCache>
            </c:strRef>
          </c:tx>
          <c:spPr>
            <a:solidFill>
              <a:schemeClr val="accent1"/>
            </a:solidFill>
            <a:ln>
              <a:noFill/>
            </a:ln>
            <a:effectLst/>
          </c:spPr>
          <c:invertIfNegative val="0"/>
          <c:cat>
            <c:multiLvlStrRef>
              <c:f>Catalogue!$D$118:$D$121</c:f>
            </c:multiLvlStrRef>
          </c:cat>
          <c:val>
            <c:numRef>
              <c:f>Catalogue!$O$118:$O$121</c:f>
            </c:numRef>
          </c:val>
          <c:extLst>
            <c:ext xmlns:c16="http://schemas.microsoft.com/office/drawing/2014/chart" uri="{C3380CC4-5D6E-409C-BE32-E72D297353CC}">
              <c16:uniqueId val="{00000000-BAF4-433A-A4EB-8C5102D5C045}"/>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Catalogue!$N$118</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Catalogue!$O$117</c:f>
              <c:strCache>
                <c:ptCount val="1"/>
                <c:pt idx="0">
                  <c:v>Global Warming</c:v>
                </c:pt>
              </c:strCache>
            </c:strRef>
          </c:tx>
          <c:spPr>
            <a:solidFill>
              <a:schemeClr val="accent1"/>
            </a:solidFill>
            <a:ln>
              <a:noFill/>
            </a:ln>
            <a:effectLst/>
          </c:spPr>
          <c:invertIfNegative val="0"/>
          <c:cat>
            <c:multiLvlStrRef>
              <c:f>Catalogue!$D$118:$D$121</c:f>
            </c:multiLvlStrRef>
          </c:cat>
          <c:val>
            <c:numRef>
              <c:f>Catalogue!$O$118:$O$121</c:f>
            </c:numRef>
          </c:val>
          <c:extLst>
            <c:ext xmlns:c16="http://schemas.microsoft.com/office/drawing/2014/chart" uri="{C3380CC4-5D6E-409C-BE32-E72D297353CC}">
              <c16:uniqueId val="{00000000-31F5-499E-8252-2B51085641DA}"/>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Catalogue!$N$118</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Catalogue!$O$78</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Catalogue!$O$78</c:f>
              <c:strCache>
                <c:ptCount val="1"/>
                <c:pt idx="0">
                  <c:v>Global Warming</c:v>
                </c:pt>
              </c:strCache>
            </c:strRef>
          </c:tx>
          <c:spPr>
            <a:solidFill>
              <a:schemeClr val="accent1"/>
            </a:solidFill>
            <a:ln>
              <a:noFill/>
            </a:ln>
            <a:effectLst/>
          </c:spPr>
          <c:invertIfNegative val="0"/>
          <c:cat>
            <c:multiLvlStrRef>
              <c:f>Catalogue!$D$79:$D$81</c:f>
            </c:multiLvlStrRef>
          </c:cat>
          <c:val>
            <c:numRef>
              <c:f>Catalogue!$O$79:$O$81</c:f>
            </c:numRef>
          </c:val>
          <c:extLst>
            <c:ext xmlns:c16="http://schemas.microsoft.com/office/drawing/2014/chart" uri="{C3380CC4-5D6E-409C-BE32-E72D297353CC}">
              <c16:uniqueId val="{00000000-4BBF-40CC-A9A9-0CB92A46CAF5}"/>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Catalogue!$N$79</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Catalogue!$O$84</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Catalogue!$O$84</c:f>
              <c:strCache>
                <c:ptCount val="1"/>
                <c:pt idx="0">
                  <c:v>Global Warming</c:v>
                </c:pt>
              </c:strCache>
            </c:strRef>
          </c:tx>
          <c:spPr>
            <a:solidFill>
              <a:schemeClr val="accent1"/>
            </a:solidFill>
            <a:ln>
              <a:noFill/>
            </a:ln>
            <a:effectLst/>
          </c:spPr>
          <c:invertIfNegative val="0"/>
          <c:cat>
            <c:multiLvlStrRef>
              <c:f>Catalogue!$D$85:$D$87</c:f>
            </c:multiLvlStrRef>
          </c:cat>
          <c:val>
            <c:numRef>
              <c:f>Catalogue!$O$85:$O$87</c:f>
            </c:numRef>
          </c:val>
          <c:extLst>
            <c:ext xmlns:c16="http://schemas.microsoft.com/office/drawing/2014/chart" uri="{C3380CC4-5D6E-409C-BE32-E72D297353CC}">
              <c16:uniqueId val="{00000000-A463-46E9-B6E9-3EBC49349FC0}"/>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Catalogue!$N$85</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Catalogue!$O$95</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Catalogue!$O$95</c:f>
              <c:strCache>
                <c:ptCount val="1"/>
                <c:pt idx="0">
                  <c:v>Global Warming</c:v>
                </c:pt>
              </c:strCache>
            </c:strRef>
          </c:tx>
          <c:spPr>
            <a:solidFill>
              <a:schemeClr val="accent1"/>
            </a:solidFill>
            <a:ln>
              <a:noFill/>
            </a:ln>
            <a:effectLst/>
          </c:spPr>
          <c:invertIfNegative val="0"/>
          <c:cat>
            <c:multiLvlStrRef>
              <c:f>Catalogue!$D$96:$D$97</c:f>
            </c:multiLvlStrRef>
          </c:cat>
          <c:val>
            <c:numRef>
              <c:f>Catalogue!$O$96:$O$97</c:f>
            </c:numRef>
          </c:val>
          <c:extLst>
            <c:ext xmlns:c16="http://schemas.microsoft.com/office/drawing/2014/chart" uri="{C3380CC4-5D6E-409C-BE32-E72D297353CC}">
              <c16:uniqueId val="{00000000-0241-4D0E-B905-1E1C543461F6}"/>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Catalogue!$N$96</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Catalogue!$O$90</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Catalogue!$O$90</c:f>
              <c:strCache>
                <c:ptCount val="1"/>
                <c:pt idx="0">
                  <c:v>Global Warming</c:v>
                </c:pt>
              </c:strCache>
            </c:strRef>
          </c:tx>
          <c:spPr>
            <a:solidFill>
              <a:schemeClr val="accent1"/>
            </a:solidFill>
            <a:ln>
              <a:noFill/>
            </a:ln>
            <a:effectLst/>
          </c:spPr>
          <c:invertIfNegative val="0"/>
          <c:cat>
            <c:multiLvlStrRef>
              <c:f>Catalogue!$D$91:$D$92</c:f>
            </c:multiLvlStrRef>
          </c:cat>
          <c:val>
            <c:numRef>
              <c:f>Catalogue!$O$91:$O$92</c:f>
            </c:numRef>
          </c:val>
          <c:extLst>
            <c:ext xmlns:c16="http://schemas.microsoft.com/office/drawing/2014/chart" uri="{C3380CC4-5D6E-409C-BE32-E72D297353CC}">
              <c16:uniqueId val="{00000000-FBD6-413F-ABEE-D0CB2BABDA97}"/>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Catalogue!$N$91</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Catalogue!$O$30</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Catalogue!$O$30</c:f>
              <c:strCache>
                <c:ptCount val="1"/>
                <c:pt idx="0">
                  <c:v>Global Warming</c:v>
                </c:pt>
              </c:strCache>
            </c:strRef>
          </c:tx>
          <c:spPr>
            <a:solidFill>
              <a:schemeClr val="accent1"/>
            </a:solidFill>
            <a:ln>
              <a:noFill/>
            </a:ln>
            <a:effectLst/>
          </c:spPr>
          <c:invertIfNegative val="0"/>
          <c:cat>
            <c:multiLvlStrRef>
              <c:f>Catalogue!$D$31:$D$33</c:f>
            </c:multiLvlStrRef>
          </c:cat>
          <c:val>
            <c:numRef>
              <c:f>Catalogue!$O$31:$O$33</c:f>
            </c:numRef>
          </c:val>
          <c:extLst>
            <c:ext xmlns:c16="http://schemas.microsoft.com/office/drawing/2014/chart" uri="{C3380CC4-5D6E-409C-BE32-E72D297353CC}">
              <c16:uniqueId val="{00000000-A3CE-4295-8557-66C780CF6E03}"/>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Catalogue!$N$31</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Catalogue!$O$10</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Catalogue!$O$10</c:f>
              <c:strCache>
                <c:ptCount val="1"/>
                <c:pt idx="0">
                  <c:v>Global Warming</c:v>
                </c:pt>
              </c:strCache>
            </c:strRef>
          </c:tx>
          <c:spPr>
            <a:solidFill>
              <a:schemeClr val="accent1"/>
            </a:solidFill>
            <a:ln>
              <a:noFill/>
            </a:ln>
            <a:effectLst/>
          </c:spPr>
          <c:invertIfNegative val="0"/>
          <c:cat>
            <c:multiLvlStrRef>
              <c:f>Catalogue!$D$11:$D$13</c:f>
            </c:multiLvlStrRef>
          </c:cat>
          <c:val>
            <c:numRef>
              <c:f>Catalogue!$O$11:$O$13</c:f>
            </c:numRef>
          </c:val>
          <c:extLst>
            <c:ext xmlns:c16="http://schemas.microsoft.com/office/drawing/2014/chart" uri="{C3380CC4-5D6E-409C-BE32-E72D297353CC}">
              <c16:uniqueId val="{00000000-E97C-452C-9039-F3F5D3C4A2E3}"/>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Catalogue!$N$11</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Catalogue!$O$60</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Catalogue!$O$60</c:f>
              <c:strCache>
                <c:ptCount val="1"/>
                <c:pt idx="0">
                  <c:v>Global Warming</c:v>
                </c:pt>
              </c:strCache>
            </c:strRef>
          </c:tx>
          <c:spPr>
            <a:solidFill>
              <a:schemeClr val="accent1"/>
            </a:solidFill>
            <a:ln>
              <a:noFill/>
            </a:ln>
            <a:effectLst/>
          </c:spPr>
          <c:invertIfNegative val="0"/>
          <c:cat>
            <c:multiLvlStrRef>
              <c:f>Catalogue!$D$61:$D$63</c:f>
            </c:multiLvlStrRef>
          </c:cat>
          <c:val>
            <c:numRef>
              <c:f>Catalogue!$O$61:$O$63</c:f>
            </c:numRef>
          </c:val>
          <c:extLst>
            <c:ext xmlns:c16="http://schemas.microsoft.com/office/drawing/2014/chart" uri="{C3380CC4-5D6E-409C-BE32-E72D297353CC}">
              <c16:uniqueId val="{00000000-2838-497F-9A57-C9186C7D3853}"/>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Catalogue!$N$61</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Catalogue!$O$100</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Catalogue!$O$100</c:f>
              <c:strCache>
                <c:ptCount val="1"/>
                <c:pt idx="0">
                  <c:v>Global Warming</c:v>
                </c:pt>
              </c:strCache>
            </c:strRef>
          </c:tx>
          <c:spPr>
            <a:solidFill>
              <a:schemeClr val="accent1"/>
            </a:solidFill>
            <a:ln>
              <a:noFill/>
            </a:ln>
            <a:effectLst/>
          </c:spPr>
          <c:invertIfNegative val="0"/>
          <c:cat>
            <c:multiLvlStrRef>
              <c:f>Catalogue!$D$101:$D$102</c:f>
            </c:multiLvlStrRef>
          </c:cat>
          <c:val>
            <c:numRef>
              <c:f>Catalogue!$O$101:$O$102</c:f>
            </c:numRef>
          </c:val>
          <c:extLst>
            <c:ext xmlns:c16="http://schemas.microsoft.com/office/drawing/2014/chart" uri="{C3380CC4-5D6E-409C-BE32-E72D297353CC}">
              <c16:uniqueId val="{00000000-A9AF-4995-973A-CCF88259C107}"/>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Catalogue!$N$101</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Catalogue!$O$16</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Catalogue!$O$16</c:f>
              <c:strCache>
                <c:ptCount val="1"/>
                <c:pt idx="0">
                  <c:v>Global Warming</c:v>
                </c:pt>
              </c:strCache>
            </c:strRef>
          </c:tx>
          <c:spPr>
            <a:solidFill>
              <a:schemeClr val="accent1"/>
            </a:solidFill>
            <a:ln>
              <a:noFill/>
            </a:ln>
            <a:effectLst/>
          </c:spPr>
          <c:invertIfNegative val="0"/>
          <c:cat>
            <c:multiLvlStrRef>
              <c:f>Catalogue!$D$17:$D$20</c:f>
            </c:multiLvlStrRef>
          </c:cat>
          <c:val>
            <c:numRef>
              <c:f>Catalogue!$O$17:$O$20</c:f>
            </c:numRef>
          </c:val>
          <c:extLst>
            <c:ext xmlns:c16="http://schemas.microsoft.com/office/drawing/2014/chart" uri="{C3380CC4-5D6E-409C-BE32-E72D297353CC}">
              <c16:uniqueId val="{00000000-E9A6-4612-9B84-10FDA4A55630}"/>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Catalogue!$N$17</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Catalogue!$O$42</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Catalogue!$O$42</c:f>
              <c:strCache>
                <c:ptCount val="1"/>
                <c:pt idx="0">
                  <c:v>Global Warming</c:v>
                </c:pt>
              </c:strCache>
            </c:strRef>
          </c:tx>
          <c:spPr>
            <a:solidFill>
              <a:schemeClr val="accent1"/>
            </a:solidFill>
            <a:ln>
              <a:noFill/>
            </a:ln>
            <a:effectLst/>
          </c:spPr>
          <c:invertIfNegative val="0"/>
          <c:cat>
            <c:multiLvlStrRef>
              <c:f>Catalogue!$D$43:$D$45</c:f>
            </c:multiLvlStrRef>
          </c:cat>
          <c:val>
            <c:numRef>
              <c:f>Catalogue!$O$43:$O$45</c:f>
            </c:numRef>
          </c:val>
          <c:extLst>
            <c:ext xmlns:c16="http://schemas.microsoft.com/office/drawing/2014/chart" uri="{C3380CC4-5D6E-409C-BE32-E72D297353CC}">
              <c16:uniqueId val="{00000000-3268-4495-AF92-578D42195659}"/>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Catalogue!$N$43</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Catalogue!$O$36</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Catalogue!$O$36</c:f>
              <c:strCache>
                <c:ptCount val="1"/>
                <c:pt idx="0">
                  <c:v>Global Warming</c:v>
                </c:pt>
              </c:strCache>
            </c:strRef>
          </c:tx>
          <c:spPr>
            <a:solidFill>
              <a:schemeClr val="accent1"/>
            </a:solidFill>
            <a:ln>
              <a:noFill/>
            </a:ln>
            <a:effectLst/>
          </c:spPr>
          <c:invertIfNegative val="0"/>
          <c:cat>
            <c:multiLvlStrRef>
              <c:f>Catalogue!$D$37:$D$39</c:f>
            </c:multiLvlStrRef>
          </c:cat>
          <c:val>
            <c:numRef>
              <c:f>Catalogue!$O$37:$O$39</c:f>
            </c:numRef>
          </c:val>
          <c:extLst>
            <c:ext xmlns:c16="http://schemas.microsoft.com/office/drawing/2014/chart" uri="{C3380CC4-5D6E-409C-BE32-E72D297353CC}">
              <c16:uniqueId val="{00000000-0505-48CA-8049-6C461EA29730}"/>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Catalogue!$N$37</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Catalogue!$O$48</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Catalogue!$O$48</c:f>
              <c:strCache>
                <c:ptCount val="1"/>
                <c:pt idx="0">
                  <c:v>Global Warming</c:v>
                </c:pt>
              </c:strCache>
            </c:strRef>
          </c:tx>
          <c:spPr>
            <a:solidFill>
              <a:schemeClr val="accent1"/>
            </a:solidFill>
            <a:ln>
              <a:noFill/>
            </a:ln>
            <a:effectLst/>
          </c:spPr>
          <c:invertIfNegative val="0"/>
          <c:cat>
            <c:multiLvlStrRef>
              <c:f>Catalogue!$D$49:$D$51</c:f>
            </c:multiLvlStrRef>
          </c:cat>
          <c:val>
            <c:numRef>
              <c:f>Catalogue!$O$49:$O$51</c:f>
            </c:numRef>
          </c:val>
          <c:extLst>
            <c:ext xmlns:c16="http://schemas.microsoft.com/office/drawing/2014/chart" uri="{C3380CC4-5D6E-409C-BE32-E72D297353CC}">
              <c16:uniqueId val="{00000000-1C8B-4FCA-874C-D93C1B10DFC5}"/>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Catalogue!$N$49</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Catalogue!$O$54</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Catalogue!$O$54</c:f>
              <c:strCache>
                <c:ptCount val="1"/>
                <c:pt idx="0">
                  <c:v>Global Warming</c:v>
                </c:pt>
              </c:strCache>
            </c:strRef>
          </c:tx>
          <c:spPr>
            <a:solidFill>
              <a:schemeClr val="accent1"/>
            </a:solidFill>
            <a:ln>
              <a:noFill/>
            </a:ln>
            <a:effectLst/>
          </c:spPr>
          <c:invertIfNegative val="0"/>
          <c:cat>
            <c:multiLvlStrRef>
              <c:f>Catalogue!$D$55:$D$57</c:f>
            </c:multiLvlStrRef>
          </c:cat>
          <c:val>
            <c:numRef>
              <c:f>Catalogue!$O$55:$O$57</c:f>
            </c:numRef>
          </c:val>
          <c:extLst>
            <c:ext xmlns:c16="http://schemas.microsoft.com/office/drawing/2014/chart" uri="{C3380CC4-5D6E-409C-BE32-E72D297353CC}">
              <c16:uniqueId val="{00000000-D9F7-4D07-B739-F41652447244}"/>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Catalogue!$N$55</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Catalogue!$O$66</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Catalogue!$O$66</c:f>
              <c:strCache>
                <c:ptCount val="1"/>
                <c:pt idx="0">
                  <c:v>Global Warming</c:v>
                </c:pt>
              </c:strCache>
            </c:strRef>
          </c:tx>
          <c:spPr>
            <a:solidFill>
              <a:schemeClr val="accent1"/>
            </a:solidFill>
            <a:ln>
              <a:noFill/>
            </a:ln>
            <a:effectLst/>
          </c:spPr>
          <c:invertIfNegative val="0"/>
          <c:cat>
            <c:multiLvlStrRef>
              <c:f>Catalogue!$D$67:$D$69</c:f>
            </c:multiLvlStrRef>
          </c:cat>
          <c:val>
            <c:numRef>
              <c:f>Catalogue!$O$67:$O$69</c:f>
            </c:numRef>
          </c:val>
          <c:extLst>
            <c:ext xmlns:c16="http://schemas.microsoft.com/office/drawing/2014/chart" uri="{C3380CC4-5D6E-409C-BE32-E72D297353CC}">
              <c16:uniqueId val="{00000000-F6DA-4ED5-BB77-B588F81770CB}"/>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Catalogue!$N$67</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Catalogue!$O$78</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Catalogue!$O$72</c:f>
              <c:strCache>
                <c:ptCount val="1"/>
                <c:pt idx="0">
                  <c:v>Global Warming</c:v>
                </c:pt>
              </c:strCache>
            </c:strRef>
          </c:tx>
          <c:spPr>
            <a:solidFill>
              <a:schemeClr val="accent1"/>
            </a:solidFill>
            <a:ln>
              <a:noFill/>
            </a:ln>
            <a:effectLst/>
          </c:spPr>
          <c:invertIfNegative val="0"/>
          <c:cat>
            <c:multiLvlStrRef>
              <c:f>Catalogue!$D$73:$D$75</c:f>
            </c:multiLvlStrRef>
          </c:cat>
          <c:val>
            <c:numRef>
              <c:f>Catalogue!$O$73:$O$75</c:f>
            </c:numRef>
          </c:val>
          <c:extLst>
            <c:ext xmlns:c16="http://schemas.microsoft.com/office/drawing/2014/chart" uri="{C3380CC4-5D6E-409C-BE32-E72D297353CC}">
              <c16:uniqueId val="{00000000-A47F-4F6D-95FA-BCDAD93FC2C2}"/>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Catalogue!$N$73</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Catalogue!$O$4</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Catalogue!$O$4</c:f>
              <c:strCache>
                <c:ptCount val="1"/>
                <c:pt idx="0">
                  <c:v>Global Warming</c:v>
                </c:pt>
              </c:strCache>
            </c:strRef>
          </c:tx>
          <c:spPr>
            <a:solidFill>
              <a:schemeClr val="accent1"/>
            </a:solidFill>
            <a:ln>
              <a:noFill/>
            </a:ln>
            <a:effectLst/>
          </c:spPr>
          <c:invertIfNegative val="0"/>
          <c:cat>
            <c:strRef>
              <c:f>Catalogue!$D$5:$D$7</c:f>
            </c:strRef>
          </c:cat>
          <c:val>
            <c:numRef>
              <c:f>Catalogue!$O$5:$O$7</c:f>
            </c:numRef>
          </c:val>
          <c:extLst>
            <c:ext xmlns:c16="http://schemas.microsoft.com/office/drawing/2014/chart" uri="{C3380CC4-5D6E-409C-BE32-E72D297353CC}">
              <c16:uniqueId val="{00000000-7609-401C-A74E-9D7944B516C7}"/>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Catalogue!$N$5</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Catalogue!$O$105</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Catalogue!$O$105</c:f>
              <c:strCache>
                <c:ptCount val="1"/>
                <c:pt idx="0">
                  <c:v>Global Warming</c:v>
                </c:pt>
              </c:strCache>
            </c:strRef>
          </c:tx>
          <c:spPr>
            <a:solidFill>
              <a:schemeClr val="accent1"/>
            </a:solidFill>
            <a:ln>
              <a:noFill/>
            </a:ln>
            <a:effectLst/>
          </c:spPr>
          <c:invertIfNegative val="0"/>
          <c:cat>
            <c:multiLvlStrRef>
              <c:f>Catalogue!$D$106:$D$108</c:f>
            </c:multiLvlStrRef>
          </c:cat>
          <c:val>
            <c:numRef>
              <c:f>Catalogue!$O$106:$O$108</c:f>
            </c:numRef>
          </c:val>
          <c:extLst>
            <c:ext xmlns:c16="http://schemas.microsoft.com/office/drawing/2014/chart" uri="{C3380CC4-5D6E-409C-BE32-E72D297353CC}">
              <c16:uniqueId val="{00000000-F7E5-40BF-9359-1219BB58E502}"/>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Catalogue!$N$106</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Catalogue!$O$111</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Catalogue!$O$111</c:f>
              <c:strCache>
                <c:ptCount val="1"/>
                <c:pt idx="0">
                  <c:v>Global Warming</c:v>
                </c:pt>
              </c:strCache>
            </c:strRef>
          </c:tx>
          <c:spPr>
            <a:solidFill>
              <a:schemeClr val="accent1"/>
            </a:solidFill>
            <a:ln>
              <a:noFill/>
            </a:ln>
            <a:effectLst/>
          </c:spPr>
          <c:invertIfNegative val="0"/>
          <c:cat>
            <c:multiLvlStrRef>
              <c:f>Catalogue!$D$112:$D$114</c:f>
            </c:multiLvlStrRef>
          </c:cat>
          <c:val>
            <c:numRef>
              <c:f>Catalogue!$O$112:$O$114</c:f>
            </c:numRef>
          </c:val>
          <c:extLst>
            <c:ext xmlns:c16="http://schemas.microsoft.com/office/drawing/2014/chart" uri="{C3380CC4-5D6E-409C-BE32-E72D297353CC}">
              <c16:uniqueId val="{00000000-F149-437F-9B16-F58CE98C8A1C}"/>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Catalogue!$N$112</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Catalogue!$O$23</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Catalogue!$O$23</c:f>
              <c:strCache>
                <c:ptCount val="1"/>
                <c:pt idx="0">
                  <c:v>Global Warming</c:v>
                </c:pt>
              </c:strCache>
            </c:strRef>
          </c:tx>
          <c:spPr>
            <a:solidFill>
              <a:schemeClr val="accent1"/>
            </a:solidFill>
            <a:ln>
              <a:noFill/>
            </a:ln>
            <a:effectLst/>
          </c:spPr>
          <c:invertIfNegative val="0"/>
          <c:cat>
            <c:multiLvlStrRef>
              <c:f>Catalogue!$D$24:$D$27</c:f>
            </c:multiLvlStrRef>
          </c:cat>
          <c:val>
            <c:numRef>
              <c:f>Catalogue!$O$24:$O$27</c:f>
            </c:numRef>
          </c:val>
          <c:extLst>
            <c:ext xmlns:c16="http://schemas.microsoft.com/office/drawing/2014/chart" uri="{C3380CC4-5D6E-409C-BE32-E72D297353CC}">
              <c16:uniqueId val="{00000000-1920-4F04-BEC8-6FEC6B79AC5A}"/>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Catalogue!$N$24</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Catalogue!$O$124</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Catalogue!$O$124</c:f>
              <c:strCache>
                <c:ptCount val="1"/>
                <c:pt idx="0">
                  <c:v>Global Warming</c:v>
                </c:pt>
              </c:strCache>
            </c:strRef>
          </c:tx>
          <c:spPr>
            <a:solidFill>
              <a:schemeClr val="accent1"/>
            </a:solidFill>
            <a:ln>
              <a:noFill/>
            </a:ln>
            <a:effectLst/>
          </c:spPr>
          <c:invertIfNegative val="0"/>
          <c:cat>
            <c:multiLvlStrRef>
              <c:f>Catalogue!$D$125:$D$128</c:f>
            </c:multiLvlStrRef>
          </c:cat>
          <c:val>
            <c:numRef>
              <c:f>Catalogue!$O$125:$O$128</c:f>
            </c:numRef>
          </c:val>
          <c:extLst>
            <c:ext xmlns:c16="http://schemas.microsoft.com/office/drawing/2014/chart" uri="{C3380CC4-5D6E-409C-BE32-E72D297353CC}">
              <c16:uniqueId val="{00000000-7A61-4901-8524-AB6D8C2F90CC}"/>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Catalogue!$N$125</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Catalogue!$O$131</c:f>
          <c:strCache>
            <c:ptCount val="1"/>
            <c:pt idx="0">
              <c:v>Global Warming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Catalogue!$O$131</c:f>
              <c:strCache>
                <c:ptCount val="1"/>
                <c:pt idx="0">
                  <c:v>Global Warming</c:v>
                </c:pt>
              </c:strCache>
            </c:strRef>
          </c:tx>
          <c:spPr>
            <a:solidFill>
              <a:schemeClr val="accent1"/>
            </a:solidFill>
            <a:ln>
              <a:noFill/>
            </a:ln>
            <a:effectLst/>
          </c:spPr>
          <c:invertIfNegative val="0"/>
          <c:cat>
            <c:strRef>
              <c:f>Catalogue!$D$132:$D$135</c:f>
            </c:strRef>
          </c:cat>
          <c:val>
            <c:numRef>
              <c:f>Catalogue!$O$132:$O$135</c:f>
            </c:numRef>
          </c:val>
          <c:extLst>
            <c:ext xmlns:c16="http://schemas.microsoft.com/office/drawing/2014/chart" uri="{C3380CC4-5D6E-409C-BE32-E72D297353CC}">
              <c16:uniqueId val="{00000000-8EDF-4DE3-BB4E-A351015AA419}"/>
            </c:ext>
          </c:extLst>
        </c:ser>
        <c:dLbls>
          <c:showLegendKey val="0"/>
          <c:showVal val="0"/>
          <c:showCatName val="0"/>
          <c:showSerName val="0"/>
          <c:showPercent val="0"/>
          <c:showBubbleSize val="0"/>
        </c:dLbls>
        <c:gapWidth val="219"/>
        <c:overlap val="-27"/>
        <c:axId val="241043984"/>
        <c:axId val="241042544"/>
      </c:barChart>
      <c:catAx>
        <c:axId val="241043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2544"/>
        <c:crosses val="autoZero"/>
        <c:auto val="1"/>
        <c:lblAlgn val="ctr"/>
        <c:lblOffset val="100"/>
        <c:noMultiLvlLbl val="0"/>
      </c:catAx>
      <c:valAx>
        <c:axId val="241042544"/>
        <c:scaling>
          <c:orientation val="minMax"/>
        </c:scaling>
        <c:delete val="0"/>
        <c:axPos val="l"/>
        <c:majorGridlines>
          <c:spPr>
            <a:ln w="9525" cap="flat" cmpd="sng" algn="ctr">
              <a:solidFill>
                <a:schemeClr val="tx1">
                  <a:lumMod val="15000"/>
                  <a:lumOff val="85000"/>
                </a:schemeClr>
              </a:solidFill>
              <a:round/>
            </a:ln>
            <a:effectLst/>
          </c:spPr>
        </c:majorGridlines>
        <c:title>
          <c:tx>
            <c:strRef>
              <c:f>Catalogue!$N$132</c:f>
              <c:strCache>
                <c:ptCount val="1"/>
                <c:pt idx="0">
                  <c:v>[kg CO2 eq]</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41043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Results!$A$3</c:f>
              <c:strCache>
                <c:ptCount val="1"/>
                <c:pt idx="0">
                  <c:v>Global Warming</c:v>
                </c:pt>
              </c:strCache>
            </c:strRef>
          </c:tx>
          <c:spPr>
            <a:solidFill>
              <a:schemeClr val="accent1"/>
            </a:solidFill>
            <a:ln>
              <a:noFill/>
            </a:ln>
            <a:effectLst/>
          </c:spPr>
          <c:invertIfNegative val="0"/>
          <c:dLbls>
            <c:numFmt formatCode="0.00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(Results!$A$1,Results!$E$1)</c:f>
              <c:strCache>
                <c:ptCount val="2"/>
                <c:pt idx="0">
                  <c:v>Building Scenario 1</c:v>
                </c:pt>
                <c:pt idx="1">
                  <c:v>Building Scenario 2</c:v>
                </c:pt>
              </c:strCache>
            </c:strRef>
          </c:cat>
          <c:val>
            <c:numRef>
              <c:f>(Results!$B$3,Results!$F$3)</c:f>
              <c:numCache>
                <c:formatCode>0.00</c:formatCode>
                <c:ptCount val="2"/>
                <c:pt idx="0">
                  <c:v>0</c:v>
                </c:pt>
                <c:pt idx="1">
                  <c:v>0</c:v>
                </c:pt>
              </c:numCache>
            </c:numRef>
          </c:val>
          <c:extLst>
            <c:ext xmlns:c16="http://schemas.microsoft.com/office/drawing/2014/chart" uri="{C3380CC4-5D6E-409C-BE32-E72D297353CC}">
              <c16:uniqueId val="{00000000-2C82-43B9-8903-054C3C2996CC}"/>
            </c:ext>
          </c:extLst>
        </c:ser>
        <c:dLbls>
          <c:dLblPos val="outEnd"/>
          <c:showLegendKey val="0"/>
          <c:showVal val="1"/>
          <c:showCatName val="0"/>
          <c:showSerName val="0"/>
          <c:showPercent val="0"/>
          <c:showBubbleSize val="0"/>
        </c:dLbls>
        <c:gapWidth val="219"/>
        <c:overlap val="-27"/>
        <c:axId val="2023268879"/>
        <c:axId val="2023270799"/>
      </c:barChart>
      <c:catAx>
        <c:axId val="202326887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da-DK"/>
          </a:p>
        </c:txPr>
        <c:crossAx val="2023270799"/>
        <c:crosses val="autoZero"/>
        <c:auto val="1"/>
        <c:lblAlgn val="ctr"/>
        <c:lblOffset val="100"/>
        <c:noMultiLvlLbl val="0"/>
      </c:catAx>
      <c:valAx>
        <c:axId val="20232707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da-DK" sz="1100" b="1"/>
                  <a:t>[kg CO₂eq]</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da-DK"/>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23268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da-DK"/>
              <a:t>Land Use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Results!$A$4</c:f>
              <c:strCache>
                <c:ptCount val="1"/>
                <c:pt idx="0">
                  <c:v>Land Use</c:v>
                </c:pt>
              </c:strCache>
            </c:strRef>
          </c:tx>
          <c:spPr>
            <a:solidFill>
              <a:schemeClr val="accent1"/>
            </a:solidFill>
            <a:ln>
              <a:noFill/>
            </a:ln>
            <a:effectLst/>
          </c:spPr>
          <c:invertIfNegative val="0"/>
          <c:dLbls>
            <c:numFmt formatCode="0.00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(Results!$A$1,Results!$E$1)</c:f>
              <c:strCache>
                <c:ptCount val="2"/>
                <c:pt idx="0">
                  <c:v>Building Scenario 1</c:v>
                </c:pt>
                <c:pt idx="1">
                  <c:v>Building Scenario 2</c:v>
                </c:pt>
              </c:strCache>
            </c:strRef>
          </c:cat>
          <c:val>
            <c:numRef>
              <c:f>(Results!$B$4,Results!$F$4)</c:f>
              <c:numCache>
                <c:formatCode>0.00</c:formatCode>
                <c:ptCount val="2"/>
                <c:pt idx="0">
                  <c:v>0</c:v>
                </c:pt>
                <c:pt idx="1">
                  <c:v>0</c:v>
                </c:pt>
              </c:numCache>
            </c:numRef>
          </c:val>
          <c:extLst>
            <c:ext xmlns:c16="http://schemas.microsoft.com/office/drawing/2014/chart" uri="{C3380CC4-5D6E-409C-BE32-E72D297353CC}">
              <c16:uniqueId val="{00000000-1DBD-4699-907F-F7E118606B4C}"/>
            </c:ext>
          </c:extLst>
        </c:ser>
        <c:dLbls>
          <c:showLegendKey val="0"/>
          <c:showVal val="1"/>
          <c:showCatName val="0"/>
          <c:showSerName val="0"/>
          <c:showPercent val="0"/>
          <c:showBubbleSize val="0"/>
        </c:dLbls>
        <c:gapWidth val="219"/>
        <c:overlap val="-27"/>
        <c:axId val="2023268879"/>
        <c:axId val="2023270799"/>
      </c:barChart>
      <c:catAx>
        <c:axId val="202326887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da-DK"/>
          </a:p>
        </c:txPr>
        <c:crossAx val="2023270799"/>
        <c:crosses val="autoZero"/>
        <c:auto val="1"/>
        <c:lblAlgn val="ctr"/>
        <c:lblOffset val="100"/>
        <c:noMultiLvlLbl val="0"/>
      </c:catAx>
      <c:valAx>
        <c:axId val="20232707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da-DK" sz="1100" b="1"/>
                  <a:t>[m²a crop eq]</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da-DK"/>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23268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da-DK"/>
              <a:t>Mineral</a:t>
            </a:r>
            <a:r>
              <a:rPr lang="da-DK" baseline="0"/>
              <a:t> resource scarcity</a:t>
            </a:r>
            <a:endParaRPr lang="da-DK"/>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Results!$A$5</c:f>
              <c:strCache>
                <c:ptCount val="1"/>
                <c:pt idx="0">
                  <c:v>Mineral Resource Scarcity</c:v>
                </c:pt>
              </c:strCache>
            </c:strRef>
          </c:tx>
          <c:spPr>
            <a:solidFill>
              <a:schemeClr val="accent1"/>
            </a:solidFill>
            <a:ln>
              <a:noFill/>
            </a:ln>
            <a:effectLst/>
          </c:spPr>
          <c:invertIfNegative val="0"/>
          <c:dLbls>
            <c:numFmt formatCode="0.00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(Results!$A$1,Results!$E$1)</c:f>
              <c:strCache>
                <c:ptCount val="2"/>
                <c:pt idx="0">
                  <c:v>Building Scenario 1</c:v>
                </c:pt>
                <c:pt idx="1">
                  <c:v>Building Scenario 2</c:v>
                </c:pt>
              </c:strCache>
            </c:strRef>
          </c:cat>
          <c:val>
            <c:numRef>
              <c:f>(Results!$B$5,Results!$F$5)</c:f>
              <c:numCache>
                <c:formatCode>0.00</c:formatCode>
                <c:ptCount val="2"/>
                <c:pt idx="0">
                  <c:v>0</c:v>
                </c:pt>
                <c:pt idx="1">
                  <c:v>0</c:v>
                </c:pt>
              </c:numCache>
            </c:numRef>
          </c:val>
          <c:extLst>
            <c:ext xmlns:c16="http://schemas.microsoft.com/office/drawing/2014/chart" uri="{C3380CC4-5D6E-409C-BE32-E72D297353CC}">
              <c16:uniqueId val="{00000000-9952-4A96-89A1-E3FF79AD026F}"/>
            </c:ext>
          </c:extLst>
        </c:ser>
        <c:dLbls>
          <c:showLegendKey val="0"/>
          <c:showVal val="1"/>
          <c:showCatName val="0"/>
          <c:showSerName val="0"/>
          <c:showPercent val="0"/>
          <c:showBubbleSize val="0"/>
        </c:dLbls>
        <c:gapWidth val="219"/>
        <c:overlap val="-27"/>
        <c:axId val="2023268879"/>
        <c:axId val="2023270799"/>
      </c:barChart>
      <c:catAx>
        <c:axId val="202326887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da-DK"/>
          </a:p>
        </c:txPr>
        <c:crossAx val="2023270799"/>
        <c:crosses val="autoZero"/>
        <c:auto val="1"/>
        <c:lblAlgn val="ctr"/>
        <c:lblOffset val="100"/>
        <c:noMultiLvlLbl val="0"/>
      </c:catAx>
      <c:valAx>
        <c:axId val="20232707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da-DK" sz="1100" b="1"/>
                  <a:t>[kg CUeq]</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da-DK"/>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23268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da-DK"/>
              <a:t>Fossil resource scarcity</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Results!$A$6</c:f>
              <c:strCache>
                <c:ptCount val="1"/>
                <c:pt idx="0">
                  <c:v>Fossil Resource Scarcity</c:v>
                </c:pt>
              </c:strCache>
            </c:strRef>
          </c:tx>
          <c:spPr>
            <a:solidFill>
              <a:schemeClr val="accent1"/>
            </a:solidFill>
            <a:ln>
              <a:noFill/>
            </a:ln>
            <a:effectLst/>
          </c:spPr>
          <c:invertIfNegative val="0"/>
          <c:dLbls>
            <c:numFmt formatCode="0.00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(Results!$A$1,Results!$E$1)</c:f>
              <c:strCache>
                <c:ptCount val="2"/>
                <c:pt idx="0">
                  <c:v>Building Scenario 1</c:v>
                </c:pt>
                <c:pt idx="1">
                  <c:v>Building Scenario 2</c:v>
                </c:pt>
              </c:strCache>
            </c:strRef>
          </c:cat>
          <c:val>
            <c:numRef>
              <c:f>(Results!$B$6,Results!$F$6)</c:f>
              <c:numCache>
                <c:formatCode>0.00</c:formatCode>
                <c:ptCount val="2"/>
                <c:pt idx="0">
                  <c:v>0</c:v>
                </c:pt>
                <c:pt idx="1">
                  <c:v>0</c:v>
                </c:pt>
              </c:numCache>
            </c:numRef>
          </c:val>
          <c:extLst>
            <c:ext xmlns:c16="http://schemas.microsoft.com/office/drawing/2014/chart" uri="{C3380CC4-5D6E-409C-BE32-E72D297353CC}">
              <c16:uniqueId val="{00000000-03AF-4A48-BD1D-1A96125D933C}"/>
            </c:ext>
          </c:extLst>
        </c:ser>
        <c:dLbls>
          <c:showLegendKey val="0"/>
          <c:showVal val="1"/>
          <c:showCatName val="0"/>
          <c:showSerName val="0"/>
          <c:showPercent val="0"/>
          <c:showBubbleSize val="0"/>
        </c:dLbls>
        <c:gapWidth val="219"/>
        <c:overlap val="-27"/>
        <c:axId val="2023268879"/>
        <c:axId val="2023270799"/>
      </c:barChart>
      <c:catAx>
        <c:axId val="202326887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da-DK"/>
          </a:p>
        </c:txPr>
        <c:crossAx val="2023270799"/>
        <c:crosses val="autoZero"/>
        <c:auto val="1"/>
        <c:lblAlgn val="ctr"/>
        <c:lblOffset val="100"/>
        <c:noMultiLvlLbl val="0"/>
      </c:catAx>
      <c:valAx>
        <c:axId val="20232707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da-DK" sz="1100" b="1"/>
                  <a:t>[kg</a:t>
                </a:r>
                <a:r>
                  <a:rPr lang="da-DK" sz="1100" b="1" baseline="0"/>
                  <a:t> oil eq]</a:t>
                </a:r>
                <a:endParaRPr lang="da-DK" sz="1100" b="1"/>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da-DK"/>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20232688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4.png"/><Relationship Id="rId7" Type="http://schemas.openxmlformats.org/officeDocument/2006/relationships/image" Target="../media/image28.png"/><Relationship Id="rId2" Type="http://schemas.openxmlformats.org/officeDocument/2006/relationships/image" Target="../media/image23.png"/><Relationship Id="rId1" Type="http://schemas.openxmlformats.org/officeDocument/2006/relationships/image" Target="../media/image22.png"/><Relationship Id="rId6" Type="http://schemas.openxmlformats.org/officeDocument/2006/relationships/image" Target="../media/image27.png"/><Relationship Id="rId5" Type="http://schemas.openxmlformats.org/officeDocument/2006/relationships/image" Target="../media/image26.png"/><Relationship Id="rId4" Type="http://schemas.openxmlformats.org/officeDocument/2006/relationships/image" Target="../media/image25.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 Id="rId4"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xdr:twoCellAnchor editAs="oneCell">
    <xdr:from>
      <xdr:col>0</xdr:col>
      <xdr:colOff>333375</xdr:colOff>
      <xdr:row>3</xdr:row>
      <xdr:rowOff>66675</xdr:rowOff>
    </xdr:from>
    <xdr:to>
      <xdr:col>0</xdr:col>
      <xdr:colOff>5380994</xdr:colOff>
      <xdr:row>5</xdr:row>
      <xdr:rowOff>180913</xdr:rowOff>
    </xdr:to>
    <xdr:pic>
      <xdr:nvPicPr>
        <xdr:cNvPr id="3" name="Picture 2">
          <a:extLst>
            <a:ext uri="{FF2B5EF4-FFF2-40B4-BE49-F238E27FC236}">
              <a16:creationId xmlns:a16="http://schemas.microsoft.com/office/drawing/2014/main" id="{C390FE3E-175E-2E7C-63CA-92BC3B400EEB}"/>
            </a:ext>
          </a:extLst>
        </xdr:cNvPr>
        <xdr:cNvPicPr>
          <a:picLocks noChangeAspect="1"/>
        </xdr:cNvPicPr>
      </xdr:nvPicPr>
      <xdr:blipFill>
        <a:blip xmlns:r="http://schemas.openxmlformats.org/officeDocument/2006/relationships" r:embed="rId1"/>
        <a:stretch>
          <a:fillRect/>
        </a:stretch>
      </xdr:blipFill>
      <xdr:spPr>
        <a:xfrm>
          <a:off x="333375" y="1143000"/>
          <a:ext cx="5047619" cy="495238"/>
        </a:xfrm>
        <a:prstGeom prst="rect">
          <a:avLst/>
        </a:prstGeom>
        <a:ln w="28575">
          <a:solidFill>
            <a:schemeClr val="bg2">
              <a:lumMod val="50000"/>
            </a:schemeClr>
          </a:solidFill>
        </a:ln>
      </xdr:spPr>
    </xdr:pic>
    <xdr:clientData/>
  </xdr:twoCellAnchor>
  <xdr:twoCellAnchor editAs="oneCell">
    <xdr:from>
      <xdr:col>0</xdr:col>
      <xdr:colOff>542925</xdr:colOff>
      <xdr:row>31</xdr:row>
      <xdr:rowOff>28575</xdr:rowOff>
    </xdr:from>
    <xdr:to>
      <xdr:col>0</xdr:col>
      <xdr:colOff>5181020</xdr:colOff>
      <xdr:row>31</xdr:row>
      <xdr:rowOff>2638099</xdr:rowOff>
    </xdr:to>
    <xdr:pic>
      <xdr:nvPicPr>
        <xdr:cNvPr id="2" name="Picture 1">
          <a:extLst>
            <a:ext uri="{FF2B5EF4-FFF2-40B4-BE49-F238E27FC236}">
              <a16:creationId xmlns:a16="http://schemas.microsoft.com/office/drawing/2014/main" id="{1CED25B0-5463-FF23-3A0D-999DCEB94AB8}"/>
            </a:ext>
          </a:extLst>
        </xdr:cNvPr>
        <xdr:cNvPicPr>
          <a:picLocks noChangeAspect="1"/>
        </xdr:cNvPicPr>
      </xdr:nvPicPr>
      <xdr:blipFill>
        <a:blip xmlns:r="http://schemas.openxmlformats.org/officeDocument/2006/relationships" r:embed="rId2"/>
        <a:stretch>
          <a:fillRect/>
        </a:stretch>
      </xdr:blipFill>
      <xdr:spPr>
        <a:xfrm>
          <a:off x="542925" y="13373100"/>
          <a:ext cx="4638095" cy="2609524"/>
        </a:xfrm>
        <a:prstGeom prst="rect">
          <a:avLst/>
        </a:prstGeom>
        <a:ln w="28575">
          <a:solidFill>
            <a:schemeClr val="bg2">
              <a:lumMod val="50000"/>
            </a:schemeClr>
          </a:solidFill>
        </a:ln>
      </xdr:spPr>
    </xdr:pic>
    <xdr:clientData/>
  </xdr:twoCellAnchor>
  <xdr:twoCellAnchor editAs="oneCell">
    <xdr:from>
      <xdr:col>0</xdr:col>
      <xdr:colOff>390525</xdr:colOff>
      <xdr:row>33</xdr:row>
      <xdr:rowOff>28575</xdr:rowOff>
    </xdr:from>
    <xdr:to>
      <xdr:col>0</xdr:col>
      <xdr:colOff>5447668</xdr:colOff>
      <xdr:row>33</xdr:row>
      <xdr:rowOff>1571432</xdr:rowOff>
    </xdr:to>
    <xdr:pic>
      <xdr:nvPicPr>
        <xdr:cNvPr id="4" name="Picture 3">
          <a:extLst>
            <a:ext uri="{FF2B5EF4-FFF2-40B4-BE49-F238E27FC236}">
              <a16:creationId xmlns:a16="http://schemas.microsoft.com/office/drawing/2014/main" id="{0B9150D7-8D88-2F96-7845-33D244FA3393}"/>
            </a:ext>
          </a:extLst>
        </xdr:cNvPr>
        <xdr:cNvPicPr>
          <a:picLocks noChangeAspect="1"/>
        </xdr:cNvPicPr>
      </xdr:nvPicPr>
      <xdr:blipFill>
        <a:blip xmlns:r="http://schemas.openxmlformats.org/officeDocument/2006/relationships" r:embed="rId3"/>
        <a:stretch>
          <a:fillRect/>
        </a:stretch>
      </xdr:blipFill>
      <xdr:spPr>
        <a:xfrm>
          <a:off x="390525" y="16802100"/>
          <a:ext cx="5057143" cy="1542857"/>
        </a:xfrm>
        <a:prstGeom prst="rect">
          <a:avLst/>
        </a:prstGeom>
        <a:ln w="28575">
          <a:solidFill>
            <a:schemeClr val="bg2">
              <a:lumMod val="50000"/>
            </a:schemeClr>
          </a:solidFill>
        </a:ln>
      </xdr:spPr>
    </xdr:pic>
    <xdr:clientData/>
  </xdr:twoCellAnchor>
  <xdr:twoCellAnchor editAs="oneCell">
    <xdr:from>
      <xdr:col>0</xdr:col>
      <xdr:colOff>257175</xdr:colOff>
      <xdr:row>35</xdr:row>
      <xdr:rowOff>19050</xdr:rowOff>
    </xdr:from>
    <xdr:to>
      <xdr:col>0</xdr:col>
      <xdr:colOff>2628900</xdr:colOff>
      <xdr:row>35</xdr:row>
      <xdr:rowOff>2761907</xdr:rowOff>
    </xdr:to>
    <xdr:pic>
      <xdr:nvPicPr>
        <xdr:cNvPr id="5" name="Picture 4">
          <a:extLst>
            <a:ext uri="{FF2B5EF4-FFF2-40B4-BE49-F238E27FC236}">
              <a16:creationId xmlns:a16="http://schemas.microsoft.com/office/drawing/2014/main" id="{57268B1A-6107-B90A-D8A3-EE9B00B3962B}"/>
            </a:ext>
          </a:extLst>
        </xdr:cNvPr>
        <xdr:cNvPicPr>
          <a:picLocks noChangeAspect="1"/>
        </xdr:cNvPicPr>
      </xdr:nvPicPr>
      <xdr:blipFill rotWithShape="1">
        <a:blip xmlns:r="http://schemas.openxmlformats.org/officeDocument/2006/relationships" r:embed="rId4"/>
        <a:srcRect r="33592"/>
        <a:stretch>
          <a:fillRect/>
        </a:stretch>
      </xdr:blipFill>
      <xdr:spPr>
        <a:xfrm>
          <a:off x="257175" y="19726275"/>
          <a:ext cx="2371725" cy="2742857"/>
        </a:xfrm>
        <a:prstGeom prst="rect">
          <a:avLst/>
        </a:prstGeom>
        <a:ln w="28575">
          <a:solidFill>
            <a:schemeClr val="bg2">
              <a:lumMod val="50000"/>
            </a:schemeClr>
          </a:solidFill>
        </a:ln>
      </xdr:spPr>
    </xdr:pic>
    <xdr:clientData/>
  </xdr:twoCellAnchor>
  <xdr:twoCellAnchor editAs="oneCell">
    <xdr:from>
      <xdr:col>0</xdr:col>
      <xdr:colOff>3133726</xdr:colOff>
      <xdr:row>35</xdr:row>
      <xdr:rowOff>0</xdr:rowOff>
    </xdr:from>
    <xdr:to>
      <xdr:col>0</xdr:col>
      <xdr:colOff>5534026</xdr:colOff>
      <xdr:row>36</xdr:row>
      <xdr:rowOff>9179</xdr:rowOff>
    </xdr:to>
    <xdr:pic>
      <xdr:nvPicPr>
        <xdr:cNvPr id="6" name="Picture 5">
          <a:extLst>
            <a:ext uri="{FF2B5EF4-FFF2-40B4-BE49-F238E27FC236}">
              <a16:creationId xmlns:a16="http://schemas.microsoft.com/office/drawing/2014/main" id="{19033268-97E6-A8FA-FD08-35D93E87FFFD}"/>
            </a:ext>
          </a:extLst>
        </xdr:cNvPr>
        <xdr:cNvPicPr>
          <a:picLocks noChangeAspect="1"/>
        </xdr:cNvPicPr>
      </xdr:nvPicPr>
      <xdr:blipFill rotWithShape="1">
        <a:blip xmlns:r="http://schemas.openxmlformats.org/officeDocument/2006/relationships" r:embed="rId5"/>
        <a:srcRect r="32791"/>
        <a:stretch>
          <a:fillRect/>
        </a:stretch>
      </xdr:blipFill>
      <xdr:spPr>
        <a:xfrm>
          <a:off x="3133726" y="19707225"/>
          <a:ext cx="2400300" cy="2771429"/>
        </a:xfrm>
        <a:prstGeom prst="rect">
          <a:avLst/>
        </a:prstGeom>
        <a:ln w="28575">
          <a:solidFill>
            <a:schemeClr val="bg2">
              <a:lumMod val="50000"/>
            </a:schemeClr>
          </a:solidFill>
        </a:ln>
      </xdr:spPr>
    </xdr:pic>
    <xdr:clientData/>
  </xdr:twoCellAnchor>
  <xdr:twoCellAnchor editAs="oneCell">
    <xdr:from>
      <xdr:col>0</xdr:col>
      <xdr:colOff>1085850</xdr:colOff>
      <xdr:row>27</xdr:row>
      <xdr:rowOff>66675</xdr:rowOff>
    </xdr:from>
    <xdr:to>
      <xdr:col>0</xdr:col>
      <xdr:colOff>4742993</xdr:colOff>
      <xdr:row>28</xdr:row>
      <xdr:rowOff>161586</xdr:rowOff>
    </xdr:to>
    <xdr:pic>
      <xdr:nvPicPr>
        <xdr:cNvPr id="9" name="Picture 8">
          <a:extLst>
            <a:ext uri="{FF2B5EF4-FFF2-40B4-BE49-F238E27FC236}">
              <a16:creationId xmlns:a16="http://schemas.microsoft.com/office/drawing/2014/main" id="{65C11E79-8609-B7D7-205E-1548346AE704}"/>
            </a:ext>
          </a:extLst>
        </xdr:cNvPr>
        <xdr:cNvPicPr>
          <a:picLocks noChangeAspect="1"/>
        </xdr:cNvPicPr>
      </xdr:nvPicPr>
      <xdr:blipFill>
        <a:blip xmlns:r="http://schemas.openxmlformats.org/officeDocument/2006/relationships" r:embed="rId6"/>
        <a:stretch>
          <a:fillRect/>
        </a:stretch>
      </xdr:blipFill>
      <xdr:spPr>
        <a:xfrm>
          <a:off x="1085850" y="9048750"/>
          <a:ext cx="3657143" cy="2714286"/>
        </a:xfrm>
        <a:prstGeom prst="rect">
          <a:avLst/>
        </a:prstGeom>
        <a:ln w="28575">
          <a:solidFill>
            <a:schemeClr val="bg2">
              <a:lumMod val="50000"/>
            </a:schemeClr>
          </a:solidFill>
        </a:ln>
      </xdr:spPr>
    </xdr:pic>
    <xdr:clientData/>
  </xdr:twoCellAnchor>
  <xdr:twoCellAnchor editAs="oneCell">
    <xdr:from>
      <xdr:col>0</xdr:col>
      <xdr:colOff>1</xdr:colOff>
      <xdr:row>40</xdr:row>
      <xdr:rowOff>19050</xdr:rowOff>
    </xdr:from>
    <xdr:to>
      <xdr:col>0</xdr:col>
      <xdr:colOff>5867401</xdr:colOff>
      <xdr:row>59</xdr:row>
      <xdr:rowOff>113926</xdr:rowOff>
    </xdr:to>
    <xdr:pic>
      <xdr:nvPicPr>
        <xdr:cNvPr id="11" name="Picture 10">
          <a:extLst>
            <a:ext uri="{FF2B5EF4-FFF2-40B4-BE49-F238E27FC236}">
              <a16:creationId xmlns:a16="http://schemas.microsoft.com/office/drawing/2014/main" id="{80B6AB15-A7DA-EF55-2448-BBF0C5C2A0A0}"/>
            </a:ext>
          </a:extLst>
        </xdr:cNvPr>
        <xdr:cNvPicPr>
          <a:picLocks noChangeAspect="1"/>
        </xdr:cNvPicPr>
      </xdr:nvPicPr>
      <xdr:blipFill>
        <a:blip xmlns:r="http://schemas.openxmlformats.org/officeDocument/2006/relationships" r:embed="rId7"/>
        <a:stretch>
          <a:fillRect/>
        </a:stretch>
      </xdr:blipFill>
      <xdr:spPr>
        <a:xfrm>
          <a:off x="1" y="24288750"/>
          <a:ext cx="5867400" cy="3714376"/>
        </a:xfrm>
        <a:prstGeom prst="rect">
          <a:avLst/>
        </a:prstGeom>
        <a:ln w="28575">
          <a:solidFill>
            <a:schemeClr val="bg2">
              <a:lumMod val="50000"/>
            </a:schemeClr>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18771</xdr:colOff>
      <xdr:row>117</xdr:row>
      <xdr:rowOff>14287</xdr:rowOff>
    </xdr:from>
    <xdr:to>
      <xdr:col>14</xdr:col>
      <xdr:colOff>1718800</xdr:colOff>
      <xdr:row>120</xdr:row>
      <xdr:rowOff>567787</xdr:rowOff>
    </xdr:to>
    <xdr:graphicFrame macro="">
      <xdr:nvGraphicFramePr>
        <xdr:cNvPr id="3" name="Diagram 2">
          <a:extLst>
            <a:ext uri="{FF2B5EF4-FFF2-40B4-BE49-F238E27FC236}">
              <a16:creationId xmlns:a16="http://schemas.microsoft.com/office/drawing/2014/main" id="{3539EB38-617A-658A-6067-9DF91C6AFE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29977</xdr:colOff>
      <xdr:row>78</xdr:row>
      <xdr:rowOff>14287</xdr:rowOff>
    </xdr:from>
    <xdr:to>
      <xdr:col>14</xdr:col>
      <xdr:colOff>1587500</xdr:colOff>
      <xdr:row>80</xdr:row>
      <xdr:rowOff>561975</xdr:rowOff>
    </xdr:to>
    <xdr:graphicFrame macro="">
      <xdr:nvGraphicFramePr>
        <xdr:cNvPr id="2" name="Diagram 1">
          <a:extLst>
            <a:ext uri="{FF2B5EF4-FFF2-40B4-BE49-F238E27FC236}">
              <a16:creationId xmlns:a16="http://schemas.microsoft.com/office/drawing/2014/main" id="{006573BA-A1B6-458B-8B43-FFEBF2F0DD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29977</xdr:colOff>
      <xdr:row>78</xdr:row>
      <xdr:rowOff>14287</xdr:rowOff>
    </xdr:from>
    <xdr:to>
      <xdr:col>14</xdr:col>
      <xdr:colOff>1587500</xdr:colOff>
      <xdr:row>80</xdr:row>
      <xdr:rowOff>561975</xdr:rowOff>
    </xdr:to>
    <xdr:graphicFrame macro="">
      <xdr:nvGraphicFramePr>
        <xdr:cNvPr id="5" name="Diagram 4">
          <a:extLst>
            <a:ext uri="{FF2B5EF4-FFF2-40B4-BE49-F238E27FC236}">
              <a16:creationId xmlns:a16="http://schemas.microsoft.com/office/drawing/2014/main" id="{D6530799-D41A-4AAD-8853-3EE974A15F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18771</xdr:colOff>
      <xdr:row>78</xdr:row>
      <xdr:rowOff>14287</xdr:rowOff>
    </xdr:from>
    <xdr:to>
      <xdr:col>14</xdr:col>
      <xdr:colOff>1718800</xdr:colOff>
      <xdr:row>80</xdr:row>
      <xdr:rowOff>561975</xdr:rowOff>
    </xdr:to>
    <xdr:graphicFrame macro="">
      <xdr:nvGraphicFramePr>
        <xdr:cNvPr id="6" name="Diagram 5">
          <a:extLst>
            <a:ext uri="{FF2B5EF4-FFF2-40B4-BE49-F238E27FC236}">
              <a16:creationId xmlns:a16="http://schemas.microsoft.com/office/drawing/2014/main" id="{2B0CA8EE-BBB2-4CDC-BBF0-06A6D2D14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17090</xdr:colOff>
      <xdr:row>84</xdr:row>
      <xdr:rowOff>6443</xdr:rowOff>
    </xdr:from>
    <xdr:to>
      <xdr:col>14</xdr:col>
      <xdr:colOff>1717119</xdr:colOff>
      <xdr:row>86</xdr:row>
      <xdr:rowOff>555443</xdr:rowOff>
    </xdr:to>
    <xdr:graphicFrame macro="">
      <xdr:nvGraphicFramePr>
        <xdr:cNvPr id="14" name="Diagram 13">
          <a:extLst>
            <a:ext uri="{FF2B5EF4-FFF2-40B4-BE49-F238E27FC236}">
              <a16:creationId xmlns:a16="http://schemas.microsoft.com/office/drawing/2014/main" id="{9875AA7E-C20D-402F-A9F2-C671B7F3DB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18771</xdr:colOff>
      <xdr:row>95</xdr:row>
      <xdr:rowOff>14287</xdr:rowOff>
    </xdr:from>
    <xdr:to>
      <xdr:col>14</xdr:col>
      <xdr:colOff>1718800</xdr:colOff>
      <xdr:row>96</xdr:row>
      <xdr:rowOff>558787</xdr:rowOff>
    </xdr:to>
    <xdr:graphicFrame macro="">
      <xdr:nvGraphicFramePr>
        <xdr:cNvPr id="15" name="Diagram 14">
          <a:extLst>
            <a:ext uri="{FF2B5EF4-FFF2-40B4-BE49-F238E27FC236}">
              <a16:creationId xmlns:a16="http://schemas.microsoft.com/office/drawing/2014/main" id="{5C47A05E-6D40-46E0-BA57-444748B066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18771</xdr:colOff>
      <xdr:row>90</xdr:row>
      <xdr:rowOff>14287</xdr:rowOff>
    </xdr:from>
    <xdr:to>
      <xdr:col>14</xdr:col>
      <xdr:colOff>1718800</xdr:colOff>
      <xdr:row>91</xdr:row>
      <xdr:rowOff>558787</xdr:rowOff>
    </xdr:to>
    <xdr:graphicFrame macro="">
      <xdr:nvGraphicFramePr>
        <xdr:cNvPr id="18" name="Diagram 17">
          <a:extLst>
            <a:ext uri="{FF2B5EF4-FFF2-40B4-BE49-F238E27FC236}">
              <a16:creationId xmlns:a16="http://schemas.microsoft.com/office/drawing/2014/main" id="{38D3C19F-6173-45F9-A49E-2A22F9F609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7566</xdr:colOff>
      <xdr:row>30</xdr:row>
      <xdr:rowOff>14287</xdr:rowOff>
    </xdr:from>
    <xdr:to>
      <xdr:col>14</xdr:col>
      <xdr:colOff>1707595</xdr:colOff>
      <xdr:row>32</xdr:row>
      <xdr:rowOff>563287</xdr:rowOff>
    </xdr:to>
    <xdr:graphicFrame macro="">
      <xdr:nvGraphicFramePr>
        <xdr:cNvPr id="21" name="Diagram 20">
          <a:extLst>
            <a:ext uri="{FF2B5EF4-FFF2-40B4-BE49-F238E27FC236}">
              <a16:creationId xmlns:a16="http://schemas.microsoft.com/office/drawing/2014/main" id="{CF61A67C-07A8-413E-A7D1-E61DC36357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18770</xdr:colOff>
      <xdr:row>10</xdr:row>
      <xdr:rowOff>25492</xdr:rowOff>
    </xdr:from>
    <xdr:to>
      <xdr:col>14</xdr:col>
      <xdr:colOff>1718799</xdr:colOff>
      <xdr:row>12</xdr:row>
      <xdr:rowOff>571499</xdr:rowOff>
    </xdr:to>
    <xdr:graphicFrame macro="">
      <xdr:nvGraphicFramePr>
        <xdr:cNvPr id="26" name="Diagram 25">
          <a:extLst>
            <a:ext uri="{FF2B5EF4-FFF2-40B4-BE49-F238E27FC236}">
              <a16:creationId xmlns:a16="http://schemas.microsoft.com/office/drawing/2014/main" id="{8996C365-61E2-48BD-A940-C32682609E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18771</xdr:colOff>
      <xdr:row>60</xdr:row>
      <xdr:rowOff>14287</xdr:rowOff>
    </xdr:from>
    <xdr:to>
      <xdr:col>14</xdr:col>
      <xdr:colOff>1718800</xdr:colOff>
      <xdr:row>62</xdr:row>
      <xdr:rowOff>558787</xdr:rowOff>
    </xdr:to>
    <xdr:graphicFrame macro="">
      <xdr:nvGraphicFramePr>
        <xdr:cNvPr id="29" name="Diagram 28">
          <a:extLst>
            <a:ext uri="{FF2B5EF4-FFF2-40B4-BE49-F238E27FC236}">
              <a16:creationId xmlns:a16="http://schemas.microsoft.com/office/drawing/2014/main" id="{9E6627C3-080B-4149-A519-53870C00E2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18771</xdr:colOff>
      <xdr:row>100</xdr:row>
      <xdr:rowOff>14287</xdr:rowOff>
    </xdr:from>
    <xdr:to>
      <xdr:col>14</xdr:col>
      <xdr:colOff>1718800</xdr:colOff>
      <xdr:row>101</xdr:row>
      <xdr:rowOff>558787</xdr:rowOff>
    </xdr:to>
    <xdr:graphicFrame macro="">
      <xdr:nvGraphicFramePr>
        <xdr:cNvPr id="4" name="Diagram 3">
          <a:extLst>
            <a:ext uri="{FF2B5EF4-FFF2-40B4-BE49-F238E27FC236}">
              <a16:creationId xmlns:a16="http://schemas.microsoft.com/office/drawing/2014/main" id="{DEAC2CF8-245B-499D-B518-3F8F084733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18771</xdr:colOff>
      <xdr:row>16</xdr:row>
      <xdr:rowOff>14287</xdr:rowOff>
    </xdr:from>
    <xdr:to>
      <xdr:col>14</xdr:col>
      <xdr:colOff>1718800</xdr:colOff>
      <xdr:row>19</xdr:row>
      <xdr:rowOff>567787</xdr:rowOff>
    </xdr:to>
    <xdr:graphicFrame macro="">
      <xdr:nvGraphicFramePr>
        <xdr:cNvPr id="11" name="Diagram 10">
          <a:extLst>
            <a:ext uri="{FF2B5EF4-FFF2-40B4-BE49-F238E27FC236}">
              <a16:creationId xmlns:a16="http://schemas.microsoft.com/office/drawing/2014/main" id="{EA8ED60B-FE07-420A-9E58-7B5CB8BC8A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18771</xdr:colOff>
      <xdr:row>42</xdr:row>
      <xdr:rowOff>14287</xdr:rowOff>
    </xdr:from>
    <xdr:to>
      <xdr:col>14</xdr:col>
      <xdr:colOff>1718800</xdr:colOff>
      <xdr:row>44</xdr:row>
      <xdr:rowOff>563287</xdr:rowOff>
    </xdr:to>
    <xdr:graphicFrame macro="">
      <xdr:nvGraphicFramePr>
        <xdr:cNvPr id="50" name="Diagram 49">
          <a:extLst>
            <a:ext uri="{FF2B5EF4-FFF2-40B4-BE49-F238E27FC236}">
              <a16:creationId xmlns:a16="http://schemas.microsoft.com/office/drawing/2014/main" id="{335872F2-F9F9-450C-BE2F-880BFDD835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18771</xdr:colOff>
      <xdr:row>36</xdr:row>
      <xdr:rowOff>14286</xdr:rowOff>
    </xdr:from>
    <xdr:to>
      <xdr:col>14</xdr:col>
      <xdr:colOff>1718800</xdr:colOff>
      <xdr:row>38</xdr:row>
      <xdr:rowOff>563286</xdr:rowOff>
    </xdr:to>
    <xdr:graphicFrame macro="">
      <xdr:nvGraphicFramePr>
        <xdr:cNvPr id="53" name="Diagram 52">
          <a:extLst>
            <a:ext uri="{FF2B5EF4-FFF2-40B4-BE49-F238E27FC236}">
              <a16:creationId xmlns:a16="http://schemas.microsoft.com/office/drawing/2014/main" id="{287D6B07-2905-494B-93D3-99B4FDFA0A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18771</xdr:colOff>
      <xdr:row>48</xdr:row>
      <xdr:rowOff>14287</xdr:rowOff>
    </xdr:from>
    <xdr:to>
      <xdr:col>14</xdr:col>
      <xdr:colOff>1718800</xdr:colOff>
      <xdr:row>50</xdr:row>
      <xdr:rowOff>558787</xdr:rowOff>
    </xdr:to>
    <xdr:graphicFrame macro="">
      <xdr:nvGraphicFramePr>
        <xdr:cNvPr id="56" name="Diagram 55">
          <a:extLst>
            <a:ext uri="{FF2B5EF4-FFF2-40B4-BE49-F238E27FC236}">
              <a16:creationId xmlns:a16="http://schemas.microsoft.com/office/drawing/2014/main" id="{C629D997-7224-48B2-967F-FF5F562591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18771</xdr:colOff>
      <xdr:row>54</xdr:row>
      <xdr:rowOff>14287</xdr:rowOff>
    </xdr:from>
    <xdr:to>
      <xdr:col>14</xdr:col>
      <xdr:colOff>1718800</xdr:colOff>
      <xdr:row>56</xdr:row>
      <xdr:rowOff>558787</xdr:rowOff>
    </xdr:to>
    <xdr:graphicFrame macro="">
      <xdr:nvGraphicFramePr>
        <xdr:cNvPr id="61" name="Diagram 60">
          <a:extLst>
            <a:ext uri="{FF2B5EF4-FFF2-40B4-BE49-F238E27FC236}">
              <a16:creationId xmlns:a16="http://schemas.microsoft.com/office/drawing/2014/main" id="{6D850C66-2BCE-4EB0-85D4-CA743925AC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18771</xdr:colOff>
      <xdr:row>66</xdr:row>
      <xdr:rowOff>14287</xdr:rowOff>
    </xdr:from>
    <xdr:to>
      <xdr:col>14</xdr:col>
      <xdr:colOff>1718800</xdr:colOff>
      <xdr:row>68</xdr:row>
      <xdr:rowOff>558787</xdr:rowOff>
    </xdr:to>
    <xdr:graphicFrame macro="">
      <xdr:nvGraphicFramePr>
        <xdr:cNvPr id="63" name="Diagram 62">
          <a:extLst>
            <a:ext uri="{FF2B5EF4-FFF2-40B4-BE49-F238E27FC236}">
              <a16:creationId xmlns:a16="http://schemas.microsoft.com/office/drawing/2014/main" id="{558B067C-8F0B-42E5-A1B8-E97526A9E6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18771</xdr:colOff>
      <xdr:row>72</xdr:row>
      <xdr:rowOff>14287</xdr:rowOff>
    </xdr:from>
    <xdr:to>
      <xdr:col>14</xdr:col>
      <xdr:colOff>1718800</xdr:colOff>
      <xdr:row>74</xdr:row>
      <xdr:rowOff>558787</xdr:rowOff>
    </xdr:to>
    <xdr:graphicFrame macro="">
      <xdr:nvGraphicFramePr>
        <xdr:cNvPr id="64" name="Diagram 63">
          <a:extLst>
            <a:ext uri="{FF2B5EF4-FFF2-40B4-BE49-F238E27FC236}">
              <a16:creationId xmlns:a16="http://schemas.microsoft.com/office/drawing/2014/main" id="{522FF54E-86D7-4E9E-9626-93BBA9C934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18770</xdr:colOff>
      <xdr:row>4</xdr:row>
      <xdr:rowOff>25492</xdr:rowOff>
    </xdr:from>
    <xdr:to>
      <xdr:col>14</xdr:col>
      <xdr:colOff>1718799</xdr:colOff>
      <xdr:row>6</xdr:row>
      <xdr:rowOff>571499</xdr:rowOff>
    </xdr:to>
    <xdr:graphicFrame macro="">
      <xdr:nvGraphicFramePr>
        <xdr:cNvPr id="7" name="Diagram 6">
          <a:extLst>
            <a:ext uri="{FF2B5EF4-FFF2-40B4-BE49-F238E27FC236}">
              <a16:creationId xmlns:a16="http://schemas.microsoft.com/office/drawing/2014/main" id="{CF55130D-2E7D-4AB4-8F94-F1B02A766F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18771</xdr:colOff>
      <xdr:row>105</xdr:row>
      <xdr:rowOff>14287</xdr:rowOff>
    </xdr:from>
    <xdr:to>
      <xdr:col>14</xdr:col>
      <xdr:colOff>1718800</xdr:colOff>
      <xdr:row>107</xdr:row>
      <xdr:rowOff>558787</xdr:rowOff>
    </xdr:to>
    <xdr:graphicFrame macro="">
      <xdr:nvGraphicFramePr>
        <xdr:cNvPr id="8" name="Diagram 7">
          <a:extLst>
            <a:ext uri="{FF2B5EF4-FFF2-40B4-BE49-F238E27FC236}">
              <a16:creationId xmlns:a16="http://schemas.microsoft.com/office/drawing/2014/main" id="{8BA7107C-A9D1-4EC5-8048-6AF7EE139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13</xdr:col>
      <xdr:colOff>18771</xdr:colOff>
      <xdr:row>111</xdr:row>
      <xdr:rowOff>14287</xdr:rowOff>
    </xdr:from>
    <xdr:to>
      <xdr:col>14</xdr:col>
      <xdr:colOff>1718800</xdr:colOff>
      <xdr:row>113</xdr:row>
      <xdr:rowOff>558787</xdr:rowOff>
    </xdr:to>
    <xdr:graphicFrame macro="">
      <xdr:nvGraphicFramePr>
        <xdr:cNvPr id="9" name="Diagram 8">
          <a:extLst>
            <a:ext uri="{FF2B5EF4-FFF2-40B4-BE49-F238E27FC236}">
              <a16:creationId xmlns:a16="http://schemas.microsoft.com/office/drawing/2014/main" id="{2DC90669-F48A-4834-826D-B9BB064CCB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18771</xdr:colOff>
      <xdr:row>23</xdr:row>
      <xdr:rowOff>14287</xdr:rowOff>
    </xdr:from>
    <xdr:to>
      <xdr:col>14</xdr:col>
      <xdr:colOff>1718800</xdr:colOff>
      <xdr:row>26</xdr:row>
      <xdr:rowOff>567787</xdr:rowOff>
    </xdr:to>
    <xdr:graphicFrame macro="">
      <xdr:nvGraphicFramePr>
        <xdr:cNvPr id="12" name="Diagram 11">
          <a:extLst>
            <a:ext uri="{FF2B5EF4-FFF2-40B4-BE49-F238E27FC236}">
              <a16:creationId xmlns:a16="http://schemas.microsoft.com/office/drawing/2014/main" id="{2AE4B2C3-4483-41D1-B2C4-A9257A1648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18771</xdr:colOff>
      <xdr:row>124</xdr:row>
      <xdr:rowOff>14287</xdr:rowOff>
    </xdr:from>
    <xdr:to>
      <xdr:col>14</xdr:col>
      <xdr:colOff>1718800</xdr:colOff>
      <xdr:row>127</xdr:row>
      <xdr:rowOff>567787</xdr:rowOff>
    </xdr:to>
    <xdr:graphicFrame macro="">
      <xdr:nvGraphicFramePr>
        <xdr:cNvPr id="16" name="Diagram 15">
          <a:extLst>
            <a:ext uri="{FF2B5EF4-FFF2-40B4-BE49-F238E27FC236}">
              <a16:creationId xmlns:a16="http://schemas.microsoft.com/office/drawing/2014/main" id="{F1B19718-DA99-4741-93D4-E84D8FC849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13</xdr:col>
      <xdr:colOff>18771</xdr:colOff>
      <xdr:row>131</xdr:row>
      <xdr:rowOff>14287</xdr:rowOff>
    </xdr:from>
    <xdr:to>
      <xdr:col>14</xdr:col>
      <xdr:colOff>1718800</xdr:colOff>
      <xdr:row>134</xdr:row>
      <xdr:rowOff>567787</xdr:rowOff>
    </xdr:to>
    <xdr:graphicFrame macro="">
      <xdr:nvGraphicFramePr>
        <xdr:cNvPr id="19" name="Diagram 18">
          <a:extLst>
            <a:ext uri="{FF2B5EF4-FFF2-40B4-BE49-F238E27FC236}">
              <a16:creationId xmlns:a16="http://schemas.microsoft.com/office/drawing/2014/main" id="{EFA5BCF5-3232-42AC-A99A-1FB2F126AF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2</xdr:row>
          <xdr:rowOff>19050</xdr:rowOff>
        </xdr:from>
        <xdr:to>
          <xdr:col>4</xdr:col>
          <xdr:colOff>752475</xdr:colOff>
          <xdr:row>2</xdr:row>
          <xdr:rowOff>257175</xdr:rowOff>
        </xdr:to>
        <xdr:sp macro="" textlink="">
          <xdr:nvSpPr>
            <xdr:cNvPr id="2050" name="ADD" descr="ADD"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4</xdr:row>
          <xdr:rowOff>19050</xdr:rowOff>
        </xdr:from>
        <xdr:to>
          <xdr:col>4</xdr:col>
          <xdr:colOff>752475</xdr:colOff>
          <xdr:row>4</xdr:row>
          <xdr:rowOff>257175</xdr:rowOff>
        </xdr:to>
        <xdr:sp macro="" textlink="">
          <xdr:nvSpPr>
            <xdr:cNvPr id="2056" name="ADD" descr="ADD" hidden="1">
              <a:extLst>
                <a:ext uri="{63B3BB69-23CF-44E3-9099-C40C66FF867C}">
                  <a14:compatExt spid="_x0000_s2056"/>
                </a:ext>
                <a:ext uri="{FF2B5EF4-FFF2-40B4-BE49-F238E27FC236}">
                  <a16:creationId xmlns:a16="http://schemas.microsoft.com/office/drawing/2014/main" id="{00000000-0008-0000-02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6</xdr:row>
          <xdr:rowOff>19050</xdr:rowOff>
        </xdr:from>
        <xdr:to>
          <xdr:col>4</xdr:col>
          <xdr:colOff>752475</xdr:colOff>
          <xdr:row>6</xdr:row>
          <xdr:rowOff>257175</xdr:rowOff>
        </xdr:to>
        <xdr:sp macro="" textlink="">
          <xdr:nvSpPr>
            <xdr:cNvPr id="2057" name="ADD" descr="ADD"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8</xdr:row>
          <xdr:rowOff>19050</xdr:rowOff>
        </xdr:from>
        <xdr:to>
          <xdr:col>4</xdr:col>
          <xdr:colOff>752475</xdr:colOff>
          <xdr:row>8</xdr:row>
          <xdr:rowOff>257175</xdr:rowOff>
        </xdr:to>
        <xdr:sp macro="" textlink="">
          <xdr:nvSpPr>
            <xdr:cNvPr id="2058" name="ADD" descr="ADD"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10</xdr:row>
          <xdr:rowOff>19050</xdr:rowOff>
        </xdr:from>
        <xdr:to>
          <xdr:col>4</xdr:col>
          <xdr:colOff>752475</xdr:colOff>
          <xdr:row>10</xdr:row>
          <xdr:rowOff>257175</xdr:rowOff>
        </xdr:to>
        <xdr:sp macro="" textlink="">
          <xdr:nvSpPr>
            <xdr:cNvPr id="2059" name="ADD" descr="ADD" hidden="1">
              <a:extLst>
                <a:ext uri="{63B3BB69-23CF-44E3-9099-C40C66FF867C}">
                  <a14:compatExt spid="_x0000_s2059"/>
                </a:ext>
                <a:ext uri="{FF2B5EF4-FFF2-40B4-BE49-F238E27FC236}">
                  <a16:creationId xmlns:a16="http://schemas.microsoft.com/office/drawing/2014/main" id="{00000000-0008-0000-02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12</xdr:row>
          <xdr:rowOff>19050</xdr:rowOff>
        </xdr:from>
        <xdr:to>
          <xdr:col>4</xdr:col>
          <xdr:colOff>752475</xdr:colOff>
          <xdr:row>12</xdr:row>
          <xdr:rowOff>257175</xdr:rowOff>
        </xdr:to>
        <xdr:sp macro="" textlink="">
          <xdr:nvSpPr>
            <xdr:cNvPr id="2060" name="ADD" descr="ADD"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14</xdr:row>
          <xdr:rowOff>19050</xdr:rowOff>
        </xdr:from>
        <xdr:to>
          <xdr:col>4</xdr:col>
          <xdr:colOff>752475</xdr:colOff>
          <xdr:row>14</xdr:row>
          <xdr:rowOff>257175</xdr:rowOff>
        </xdr:to>
        <xdr:sp macro="" textlink="">
          <xdr:nvSpPr>
            <xdr:cNvPr id="2061" name="ADD" descr="ADD" hidden="1">
              <a:extLst>
                <a:ext uri="{63B3BB69-23CF-44E3-9099-C40C66FF867C}">
                  <a14:compatExt spid="_x0000_s2061"/>
                </a:ext>
                <a:ext uri="{FF2B5EF4-FFF2-40B4-BE49-F238E27FC236}">
                  <a16:creationId xmlns:a16="http://schemas.microsoft.com/office/drawing/2014/main" id="{00000000-0008-0000-02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16</xdr:row>
          <xdr:rowOff>19050</xdr:rowOff>
        </xdr:from>
        <xdr:to>
          <xdr:col>4</xdr:col>
          <xdr:colOff>752475</xdr:colOff>
          <xdr:row>16</xdr:row>
          <xdr:rowOff>257175</xdr:rowOff>
        </xdr:to>
        <xdr:sp macro="" textlink="">
          <xdr:nvSpPr>
            <xdr:cNvPr id="2062" name="ADD" descr="ADD" hidden="1">
              <a:extLst>
                <a:ext uri="{63B3BB69-23CF-44E3-9099-C40C66FF867C}">
                  <a14:compatExt spid="_x0000_s2062"/>
                </a:ext>
                <a:ext uri="{FF2B5EF4-FFF2-40B4-BE49-F238E27FC236}">
                  <a16:creationId xmlns:a16="http://schemas.microsoft.com/office/drawing/2014/main" id="{00000000-0008-0000-02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18</xdr:row>
          <xdr:rowOff>19050</xdr:rowOff>
        </xdr:from>
        <xdr:to>
          <xdr:col>4</xdr:col>
          <xdr:colOff>752475</xdr:colOff>
          <xdr:row>18</xdr:row>
          <xdr:rowOff>257175</xdr:rowOff>
        </xdr:to>
        <xdr:sp macro="" textlink="">
          <xdr:nvSpPr>
            <xdr:cNvPr id="2063" name="ADD" descr="ADD" hidden="1">
              <a:extLst>
                <a:ext uri="{63B3BB69-23CF-44E3-9099-C40C66FF867C}">
                  <a14:compatExt spid="_x0000_s2063"/>
                </a:ext>
                <a:ext uri="{FF2B5EF4-FFF2-40B4-BE49-F238E27FC236}">
                  <a16:creationId xmlns:a16="http://schemas.microsoft.com/office/drawing/2014/main" id="{00000000-0008-0000-0200-00000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20</xdr:row>
          <xdr:rowOff>19050</xdr:rowOff>
        </xdr:from>
        <xdr:to>
          <xdr:col>4</xdr:col>
          <xdr:colOff>752475</xdr:colOff>
          <xdr:row>20</xdr:row>
          <xdr:rowOff>257175</xdr:rowOff>
        </xdr:to>
        <xdr:sp macro="" textlink="">
          <xdr:nvSpPr>
            <xdr:cNvPr id="2064" name="ADD" descr="ADD"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22</xdr:row>
          <xdr:rowOff>19050</xdr:rowOff>
        </xdr:from>
        <xdr:to>
          <xdr:col>4</xdr:col>
          <xdr:colOff>752475</xdr:colOff>
          <xdr:row>22</xdr:row>
          <xdr:rowOff>257175</xdr:rowOff>
        </xdr:to>
        <xdr:sp macro="" textlink="">
          <xdr:nvSpPr>
            <xdr:cNvPr id="2065" name="ADD" descr="ADD" hidden="1">
              <a:extLst>
                <a:ext uri="{63B3BB69-23CF-44E3-9099-C40C66FF867C}">
                  <a14:compatExt spid="_x0000_s2065"/>
                </a:ext>
                <a:ext uri="{FF2B5EF4-FFF2-40B4-BE49-F238E27FC236}">
                  <a16:creationId xmlns:a16="http://schemas.microsoft.com/office/drawing/2014/main" id="{00000000-0008-0000-0200-00001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2</xdr:row>
          <xdr:rowOff>19050</xdr:rowOff>
        </xdr:from>
        <xdr:to>
          <xdr:col>4</xdr:col>
          <xdr:colOff>752475</xdr:colOff>
          <xdr:row>2</xdr:row>
          <xdr:rowOff>257175</xdr:rowOff>
        </xdr:to>
        <xdr:sp macro="" textlink="">
          <xdr:nvSpPr>
            <xdr:cNvPr id="8193" name="ADD" descr="ADD"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4</xdr:row>
          <xdr:rowOff>19050</xdr:rowOff>
        </xdr:from>
        <xdr:to>
          <xdr:col>4</xdr:col>
          <xdr:colOff>752475</xdr:colOff>
          <xdr:row>4</xdr:row>
          <xdr:rowOff>257175</xdr:rowOff>
        </xdr:to>
        <xdr:sp macro="" textlink="">
          <xdr:nvSpPr>
            <xdr:cNvPr id="8194" name="Button 2" descr="ADD"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6</xdr:row>
          <xdr:rowOff>19050</xdr:rowOff>
        </xdr:from>
        <xdr:to>
          <xdr:col>4</xdr:col>
          <xdr:colOff>752475</xdr:colOff>
          <xdr:row>6</xdr:row>
          <xdr:rowOff>257175</xdr:rowOff>
        </xdr:to>
        <xdr:sp macro="" textlink="">
          <xdr:nvSpPr>
            <xdr:cNvPr id="8195" name="Button 3" descr="ADD"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8</xdr:row>
          <xdr:rowOff>19050</xdr:rowOff>
        </xdr:from>
        <xdr:to>
          <xdr:col>4</xdr:col>
          <xdr:colOff>752475</xdr:colOff>
          <xdr:row>8</xdr:row>
          <xdr:rowOff>257175</xdr:rowOff>
        </xdr:to>
        <xdr:sp macro="" textlink="">
          <xdr:nvSpPr>
            <xdr:cNvPr id="8196" name="Button 4" descr="ADD"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10</xdr:row>
          <xdr:rowOff>19050</xdr:rowOff>
        </xdr:from>
        <xdr:to>
          <xdr:col>4</xdr:col>
          <xdr:colOff>752475</xdr:colOff>
          <xdr:row>10</xdr:row>
          <xdr:rowOff>257175</xdr:rowOff>
        </xdr:to>
        <xdr:sp macro="" textlink="">
          <xdr:nvSpPr>
            <xdr:cNvPr id="8197" name="Button 5" descr="ADD"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12</xdr:row>
          <xdr:rowOff>19050</xdr:rowOff>
        </xdr:from>
        <xdr:to>
          <xdr:col>4</xdr:col>
          <xdr:colOff>752475</xdr:colOff>
          <xdr:row>12</xdr:row>
          <xdr:rowOff>257175</xdr:rowOff>
        </xdr:to>
        <xdr:sp macro="" textlink="">
          <xdr:nvSpPr>
            <xdr:cNvPr id="8198" name="Button 6" descr="ADD"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14</xdr:row>
          <xdr:rowOff>19050</xdr:rowOff>
        </xdr:from>
        <xdr:to>
          <xdr:col>4</xdr:col>
          <xdr:colOff>752475</xdr:colOff>
          <xdr:row>14</xdr:row>
          <xdr:rowOff>257175</xdr:rowOff>
        </xdr:to>
        <xdr:sp macro="" textlink="">
          <xdr:nvSpPr>
            <xdr:cNvPr id="8199" name="Button 7" descr="ADD"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16</xdr:row>
          <xdr:rowOff>19050</xdr:rowOff>
        </xdr:from>
        <xdr:to>
          <xdr:col>4</xdr:col>
          <xdr:colOff>752475</xdr:colOff>
          <xdr:row>16</xdr:row>
          <xdr:rowOff>257175</xdr:rowOff>
        </xdr:to>
        <xdr:sp macro="" textlink="">
          <xdr:nvSpPr>
            <xdr:cNvPr id="8200" name="Button 8" descr="ADD"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18</xdr:row>
          <xdr:rowOff>19050</xdr:rowOff>
        </xdr:from>
        <xdr:to>
          <xdr:col>4</xdr:col>
          <xdr:colOff>752475</xdr:colOff>
          <xdr:row>18</xdr:row>
          <xdr:rowOff>257175</xdr:rowOff>
        </xdr:to>
        <xdr:sp macro="" textlink="">
          <xdr:nvSpPr>
            <xdr:cNvPr id="8201" name="Button 9" descr="ADD" hidden="1">
              <a:extLst>
                <a:ext uri="{63B3BB69-23CF-44E3-9099-C40C66FF867C}">
                  <a14:compatExt spid="_x0000_s8201"/>
                </a:ext>
                <a:ext uri="{FF2B5EF4-FFF2-40B4-BE49-F238E27FC236}">
                  <a16:creationId xmlns:a16="http://schemas.microsoft.com/office/drawing/2014/main" id="{00000000-0008-0000-0300-000009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20</xdr:row>
          <xdr:rowOff>19050</xdr:rowOff>
        </xdr:from>
        <xdr:to>
          <xdr:col>4</xdr:col>
          <xdr:colOff>752475</xdr:colOff>
          <xdr:row>20</xdr:row>
          <xdr:rowOff>257175</xdr:rowOff>
        </xdr:to>
        <xdr:sp macro="" textlink="">
          <xdr:nvSpPr>
            <xdr:cNvPr id="8202" name="Button 10" descr="ADD" hidden="1">
              <a:extLst>
                <a:ext uri="{63B3BB69-23CF-44E3-9099-C40C66FF867C}">
                  <a14:compatExt spid="_x0000_s8202"/>
                </a:ext>
                <a:ext uri="{FF2B5EF4-FFF2-40B4-BE49-F238E27FC236}">
                  <a16:creationId xmlns:a16="http://schemas.microsoft.com/office/drawing/2014/main" id="{00000000-0008-0000-0300-00000A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22</xdr:row>
          <xdr:rowOff>19050</xdr:rowOff>
        </xdr:from>
        <xdr:to>
          <xdr:col>4</xdr:col>
          <xdr:colOff>752475</xdr:colOff>
          <xdr:row>22</xdr:row>
          <xdr:rowOff>257175</xdr:rowOff>
        </xdr:to>
        <xdr:sp macro="" textlink="">
          <xdr:nvSpPr>
            <xdr:cNvPr id="8203" name="Button 11" descr="ADD" hidden="1">
              <a:extLst>
                <a:ext uri="{63B3BB69-23CF-44E3-9099-C40C66FF867C}">
                  <a14:compatExt spid="_x0000_s8203"/>
                </a:ext>
                <a:ext uri="{FF2B5EF4-FFF2-40B4-BE49-F238E27FC236}">
                  <a16:creationId xmlns:a16="http://schemas.microsoft.com/office/drawing/2014/main" id="{00000000-0008-0000-0300-00000B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Aptos Narrow"/>
                </a:rPr>
                <a:t>ADD</a:t>
              </a:r>
            </a:p>
            <a:p>
              <a:pPr algn="ctr" rtl="0">
                <a:defRPr sz="1000"/>
              </a:pPr>
              <a:endParaRPr lang="da-DK"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7</xdr:row>
      <xdr:rowOff>23812</xdr:rowOff>
    </xdr:from>
    <xdr:to>
      <xdr:col>6</xdr:col>
      <xdr:colOff>752475</xdr:colOff>
      <xdr:row>21</xdr:row>
      <xdr:rowOff>100012</xdr:rowOff>
    </xdr:to>
    <xdr:graphicFrame macro="">
      <xdr:nvGraphicFramePr>
        <xdr:cNvPr id="2" name="Diagram 1">
          <a:extLst>
            <a:ext uri="{FF2B5EF4-FFF2-40B4-BE49-F238E27FC236}">
              <a16:creationId xmlns:a16="http://schemas.microsoft.com/office/drawing/2014/main" id="{B7BE7503-45E7-0BD7-FF66-9BA133E7A3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22</xdr:row>
      <xdr:rowOff>0</xdr:rowOff>
    </xdr:from>
    <xdr:to>
      <xdr:col>6</xdr:col>
      <xdr:colOff>752475</xdr:colOff>
      <xdr:row>36</xdr:row>
      <xdr:rowOff>76200</xdr:rowOff>
    </xdr:to>
    <xdr:graphicFrame macro="">
      <xdr:nvGraphicFramePr>
        <xdr:cNvPr id="3" name="Diagram 2">
          <a:extLst>
            <a:ext uri="{FF2B5EF4-FFF2-40B4-BE49-F238E27FC236}">
              <a16:creationId xmlns:a16="http://schemas.microsoft.com/office/drawing/2014/main" id="{23DA8C4F-6B4E-447F-88B6-3B56D6CEFB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37</xdr:row>
      <xdr:rowOff>0</xdr:rowOff>
    </xdr:from>
    <xdr:to>
      <xdr:col>6</xdr:col>
      <xdr:colOff>752475</xdr:colOff>
      <xdr:row>51</xdr:row>
      <xdr:rowOff>76200</xdr:rowOff>
    </xdr:to>
    <xdr:graphicFrame macro="">
      <xdr:nvGraphicFramePr>
        <xdr:cNvPr id="4" name="Diagram 3">
          <a:extLst>
            <a:ext uri="{FF2B5EF4-FFF2-40B4-BE49-F238E27FC236}">
              <a16:creationId xmlns:a16="http://schemas.microsoft.com/office/drawing/2014/main" id="{447FB4E3-C65B-49FE-BC04-C75846F445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52</xdr:row>
      <xdr:rowOff>0</xdr:rowOff>
    </xdr:from>
    <xdr:to>
      <xdr:col>6</xdr:col>
      <xdr:colOff>752475</xdr:colOff>
      <xdr:row>66</xdr:row>
      <xdr:rowOff>76200</xdr:rowOff>
    </xdr:to>
    <xdr:graphicFrame macro="">
      <xdr:nvGraphicFramePr>
        <xdr:cNvPr id="5" name="Diagram 4">
          <a:extLst>
            <a:ext uri="{FF2B5EF4-FFF2-40B4-BE49-F238E27FC236}">
              <a16:creationId xmlns:a16="http://schemas.microsoft.com/office/drawing/2014/main" id="{3A9E0521-CD64-4D37-9DCE-677475663E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1">
  <rv s="0">
    <v>0</v>
    <v>5</v>
  </rv>
  <rv s="0">
    <v>1</v>
    <v>5</v>
  </rv>
  <rv s="0">
    <v>2</v>
    <v>5</v>
  </rv>
  <rv s="0">
    <v>3</v>
    <v>5</v>
  </rv>
  <rv s="0">
    <v>4</v>
    <v>5</v>
  </rv>
  <rv s="0">
    <v>5</v>
    <v>5</v>
  </rv>
  <rv s="0">
    <v>6</v>
    <v>5</v>
  </rv>
  <rv s="0">
    <v>7</v>
    <v>5</v>
  </rv>
  <rv s="0">
    <v>8</v>
    <v>5</v>
  </rv>
  <rv s="0">
    <v>9</v>
    <v>5</v>
  </rv>
  <rv s="0">
    <v>10</v>
    <v>5</v>
  </rv>
  <rv s="1">
    <v>11</v>
    <v>5</v>
    <v>Mursten - Se det brede udvalg af mursten</v>
  </rv>
  <rv s="0">
    <v>12</v>
    <v>5</v>
  </rv>
  <rv s="0">
    <v>13</v>
    <v>5</v>
  </rv>
  <rv s="0">
    <v>14</v>
    <v>5</v>
  </rv>
  <rv s="0">
    <v>15</v>
    <v>5</v>
  </rv>
  <rv s="0">
    <v>16</v>
    <v>5</v>
  </rv>
  <rv s="0">
    <v>17</v>
    <v>5</v>
  </rv>
  <rv s="1">
    <v>18</v>
    <v>5</v>
    <v>Tagpap - Alle materialer til tagpaptag - Bygma</v>
  </rv>
  <rv s="0">
    <v>19</v>
    <v>5</v>
  </rv>
  <rv s="0">
    <v>20</v>
    <v>5</v>
  </rv>
</rvData>
</file>

<file path=xl/richData/rdrichvaluestructure.xml><?xml version="1.0" encoding="utf-8"?>
<rvStructures xmlns="http://schemas.microsoft.com/office/spreadsheetml/2017/richdata" count="2">
  <s t="_localImage">
    <k n="_rvRel:LocalImageIdentifier" t="i"/>
    <k n="CalcOrigin" t="i"/>
  </s>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floorshop.dk/vare/traegulv-nfloor-plank-1900x190x14-mm/" TargetMode="External"/><Relationship Id="rId3" Type="http://schemas.openxmlformats.org/officeDocument/2006/relationships/hyperlink" Target="https://www.google.com/url?sa=t&amp;source=web&amp;rct=j&amp;url=https%3A%2F%2Fbmc-danmark.com%2Fprodukt-kategori%2Fbenders-betontagsten%2F&amp;ved=0CBcQjRxqFwoTCLC1wsDw7ZMDFQAAAAAdAAAAABAG&amp;opi=89978449" TargetMode="External"/><Relationship Id="rId7" Type="http://schemas.openxmlformats.org/officeDocument/2006/relationships/hyperlink" Target="https://baeredygtig.nu/beton-lyder-kedeligt-mulighederne-uanede-ogsaa-energimaessigt/" TargetMode="External"/><Relationship Id="rId2" Type="http://schemas.openxmlformats.org/officeDocument/2006/relationships/hyperlink" Target="https://www.randerstegl.dk/Files/Images/products-v2/rt448/wall_small.jpg" TargetMode="External"/><Relationship Id="rId1" Type="http://schemas.openxmlformats.org/officeDocument/2006/relationships/hyperlink" Target="https://www.bygma.dk/globalassets/produktsider/byggematerialer/tag/tagpap/bygma-tagpap-tagpaptag.jpg" TargetMode="External"/><Relationship Id="rId6" Type="http://schemas.openxmlformats.org/officeDocument/2006/relationships/hyperlink" Target="https://www.danskskovforening.dk/wp-content/uploads/2023/08/traekonstruktion-scaled.jpeg" TargetMode="External"/><Relationship Id="rId5" Type="http://schemas.openxmlformats.org/officeDocument/2006/relationships/hyperlink" Target="https://abeo.dk/da/betonvaegge/" TargetMode="External"/><Relationship Id="rId4" Type="http://schemas.openxmlformats.org/officeDocument/2006/relationships/hyperlink" Target="https://baeredygtig.nu/beton-lyder-kedeligt-mulighederne-uanede-ogsaa-energimaessigt/"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2.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ctrlProp" Target="../ctrlProps/ctrlProp13.xml"/><Relationship Id="rId10" Type="http://schemas.openxmlformats.org/officeDocument/2006/relationships/ctrlProp" Target="../ctrlProps/ctrlProp18.xml"/><Relationship Id="rId4" Type="http://schemas.openxmlformats.org/officeDocument/2006/relationships/ctrlProp" Target="../ctrlProps/ctrlProp12.xml"/><Relationship Id="rId9" Type="http://schemas.openxmlformats.org/officeDocument/2006/relationships/ctrlProp" Target="../ctrlProps/ctrlProp17.xml"/><Relationship Id="rId14"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7BEEC-51B2-4945-950C-504347392892}">
  <sheetPr codeName="Ark6"/>
  <dimension ref="A1:U74"/>
  <sheetViews>
    <sheetView tabSelected="1" zoomScaleNormal="100" workbookViewId="0">
      <selection activeCell="A11" sqref="A11"/>
    </sheetView>
  </sheetViews>
  <sheetFormatPr defaultRowHeight="15" x14ac:dyDescent="0.25"/>
  <cols>
    <col min="1" max="1" width="89.28515625" customWidth="1"/>
  </cols>
  <sheetData>
    <row r="1" spans="1:21" s="73" customFormat="1" ht="21" x14ac:dyDescent="0.35">
      <c r="A1" s="72" t="s">
        <v>273</v>
      </c>
    </row>
    <row r="2" spans="1:21" s="75" customFormat="1" ht="18.75" x14ac:dyDescent="0.3">
      <c r="A2" s="74" t="s">
        <v>274</v>
      </c>
    </row>
    <row r="3" spans="1:21" ht="45" x14ac:dyDescent="0.25">
      <c r="A3" s="66" t="s">
        <v>278</v>
      </c>
      <c r="B3" s="2"/>
      <c r="C3" s="2"/>
      <c r="D3" s="2"/>
      <c r="E3" s="2"/>
      <c r="F3" s="2"/>
      <c r="G3" s="2"/>
      <c r="H3" s="2"/>
      <c r="I3" s="2"/>
      <c r="J3" s="2"/>
      <c r="K3" s="2"/>
      <c r="L3" s="2"/>
      <c r="M3" s="2"/>
      <c r="N3" s="2"/>
      <c r="O3" s="2"/>
      <c r="P3" s="2"/>
      <c r="Q3" s="2"/>
      <c r="R3" s="2"/>
      <c r="S3" s="2"/>
      <c r="T3" s="2"/>
      <c r="U3" s="2"/>
    </row>
    <row r="4" spans="1:21" x14ac:dyDescent="0.25">
      <c r="A4" s="66"/>
      <c r="B4" s="2"/>
      <c r="C4" s="2"/>
      <c r="D4" s="2"/>
      <c r="E4" s="2"/>
      <c r="F4" s="2"/>
      <c r="G4" s="2"/>
      <c r="H4" s="2"/>
      <c r="I4" s="2"/>
      <c r="J4" s="2"/>
      <c r="K4" s="2"/>
      <c r="L4" s="2"/>
      <c r="M4" s="2"/>
      <c r="N4" s="2"/>
      <c r="O4" s="2"/>
      <c r="P4" s="2"/>
      <c r="Q4" s="2"/>
      <c r="R4" s="2"/>
      <c r="S4" s="2"/>
      <c r="T4" s="2"/>
      <c r="U4" s="2"/>
    </row>
    <row r="5" spans="1:21" x14ac:dyDescent="0.25">
      <c r="A5" s="66"/>
      <c r="B5" s="2"/>
      <c r="C5" s="2"/>
      <c r="D5" s="2"/>
      <c r="E5" s="2"/>
      <c r="F5" s="2"/>
      <c r="G5" s="2"/>
      <c r="H5" s="2"/>
      <c r="I5" s="2"/>
      <c r="J5" s="2"/>
      <c r="K5" s="2"/>
      <c r="L5" s="2"/>
      <c r="M5" s="2"/>
      <c r="N5" s="2"/>
      <c r="O5" s="2"/>
      <c r="P5" s="2"/>
      <c r="Q5" s="2"/>
      <c r="R5" s="2"/>
      <c r="S5" s="2"/>
      <c r="T5" s="2"/>
      <c r="U5" s="2"/>
    </row>
    <row r="6" spans="1:21" x14ac:dyDescent="0.25">
      <c r="A6" s="2"/>
      <c r="B6" s="2"/>
      <c r="C6" s="2"/>
      <c r="D6" s="2"/>
      <c r="E6" s="2"/>
      <c r="F6" s="2"/>
      <c r="G6" s="2"/>
      <c r="H6" s="2"/>
      <c r="I6" s="2"/>
      <c r="J6" s="2"/>
      <c r="K6" s="2"/>
      <c r="L6" s="2"/>
      <c r="M6" s="2"/>
      <c r="N6" s="2"/>
      <c r="O6" s="2"/>
      <c r="P6" s="2"/>
      <c r="Q6" s="2"/>
      <c r="R6" s="2"/>
      <c r="S6" s="2"/>
      <c r="T6" s="2"/>
      <c r="U6" s="2"/>
    </row>
    <row r="7" spans="1:21" x14ac:dyDescent="0.25">
      <c r="A7" s="2"/>
      <c r="B7" s="2"/>
      <c r="C7" s="2"/>
      <c r="D7" s="2"/>
      <c r="E7" s="2"/>
      <c r="F7" s="2"/>
      <c r="G7" s="2"/>
      <c r="H7" s="2"/>
      <c r="I7" s="2"/>
      <c r="J7" s="2"/>
      <c r="K7" s="2"/>
      <c r="L7" s="2"/>
      <c r="M7" s="2"/>
      <c r="N7" s="2"/>
      <c r="O7" s="2"/>
      <c r="P7" s="2"/>
      <c r="Q7" s="2"/>
      <c r="R7" s="2"/>
      <c r="S7" s="2"/>
      <c r="T7" s="2"/>
      <c r="U7" s="2"/>
    </row>
    <row r="8" spans="1:21" s="75" customFormat="1" ht="18.75" x14ac:dyDescent="0.3">
      <c r="A8" s="74" t="s">
        <v>275</v>
      </c>
    </row>
    <row r="9" spans="1:21" ht="75" x14ac:dyDescent="0.25">
      <c r="A9" s="66" t="s">
        <v>280</v>
      </c>
      <c r="B9" s="2"/>
      <c r="C9" s="2"/>
      <c r="D9" s="2"/>
      <c r="E9" s="2"/>
      <c r="F9" s="2"/>
      <c r="G9" s="2"/>
      <c r="H9" s="2"/>
      <c r="I9" s="2"/>
      <c r="J9" s="2"/>
      <c r="K9" s="2"/>
      <c r="L9" s="2"/>
      <c r="M9" s="2"/>
      <c r="N9" s="2"/>
      <c r="O9" s="2"/>
      <c r="P9" s="2"/>
      <c r="Q9" s="2"/>
      <c r="R9" s="2"/>
      <c r="S9" s="2"/>
      <c r="T9" s="2"/>
      <c r="U9" s="2"/>
    </row>
    <row r="10" spans="1:21" x14ac:dyDescent="0.25">
      <c r="A10" s="2" t="s">
        <v>279</v>
      </c>
      <c r="B10" s="2"/>
      <c r="C10" s="2"/>
      <c r="D10" s="2"/>
      <c r="E10" s="2"/>
      <c r="F10" s="2"/>
      <c r="G10" s="2"/>
      <c r="H10" s="2"/>
      <c r="I10" s="2"/>
      <c r="J10" s="2"/>
      <c r="K10" s="2"/>
      <c r="L10" s="2"/>
      <c r="M10" s="2"/>
      <c r="N10" s="2"/>
      <c r="O10" s="2"/>
      <c r="P10" s="2"/>
      <c r="Q10" s="2"/>
      <c r="R10" s="2"/>
      <c r="S10" s="2"/>
      <c r="T10" s="2"/>
      <c r="U10" s="2"/>
    </row>
    <row r="11" spans="1:21" ht="60" x14ac:dyDescent="0.25">
      <c r="A11" s="66" t="s">
        <v>308</v>
      </c>
      <c r="B11" s="2"/>
      <c r="C11" s="2"/>
      <c r="D11" s="2"/>
      <c r="E11" s="2"/>
      <c r="F11" s="2"/>
      <c r="G11" s="2"/>
      <c r="H11" s="2"/>
      <c r="I11" s="2"/>
      <c r="J11" s="2"/>
      <c r="K11" s="2"/>
      <c r="L11" s="2"/>
      <c r="M11" s="2"/>
      <c r="N11" s="2"/>
      <c r="O11" s="2"/>
      <c r="P11" s="2"/>
      <c r="Q11" s="2"/>
      <c r="R11" s="2"/>
      <c r="S11" s="2"/>
      <c r="T11" s="2"/>
      <c r="U11" s="2"/>
    </row>
    <row r="12" spans="1:21" x14ac:dyDescent="0.25">
      <c r="A12" s="67" t="s">
        <v>281</v>
      </c>
      <c r="B12" s="2"/>
      <c r="C12" s="2"/>
      <c r="D12" s="2"/>
      <c r="E12" s="2"/>
      <c r="F12" s="2"/>
      <c r="G12" s="2"/>
      <c r="H12" s="2"/>
      <c r="I12" s="2"/>
      <c r="J12" s="2"/>
      <c r="K12" s="2"/>
      <c r="L12" s="2"/>
      <c r="M12" s="2"/>
      <c r="N12" s="2"/>
      <c r="O12" s="2"/>
      <c r="P12" s="2"/>
      <c r="Q12" s="2"/>
      <c r="R12" s="2"/>
      <c r="S12" s="2"/>
      <c r="T12" s="2"/>
      <c r="U12" s="2"/>
    </row>
    <row r="13" spans="1:21" ht="45" x14ac:dyDescent="0.25">
      <c r="A13" s="66" t="s">
        <v>306</v>
      </c>
      <c r="B13" s="2"/>
      <c r="C13" s="2"/>
      <c r="D13" s="2"/>
      <c r="E13" s="2"/>
      <c r="F13" s="2"/>
      <c r="G13" s="2"/>
      <c r="H13" s="2"/>
      <c r="I13" s="2"/>
      <c r="J13" s="2"/>
      <c r="K13" s="2"/>
      <c r="L13" s="2"/>
      <c r="M13" s="2"/>
      <c r="N13" s="2"/>
      <c r="O13" s="2"/>
      <c r="P13" s="2"/>
      <c r="Q13" s="2"/>
      <c r="R13" s="2"/>
      <c r="S13" s="2"/>
      <c r="T13" s="2"/>
      <c r="U13" s="2"/>
    </row>
    <row r="14" spans="1:21" ht="45" x14ac:dyDescent="0.25">
      <c r="A14" s="66" t="s">
        <v>289</v>
      </c>
      <c r="B14" s="2"/>
      <c r="C14" s="2"/>
      <c r="D14" s="2"/>
      <c r="E14" s="2"/>
      <c r="F14" s="2"/>
      <c r="G14" s="2"/>
      <c r="H14" s="2"/>
      <c r="I14" s="2"/>
      <c r="J14" s="2"/>
      <c r="K14" s="2"/>
      <c r="L14" s="2"/>
      <c r="M14" s="2"/>
      <c r="N14" s="2"/>
      <c r="O14" s="2"/>
      <c r="P14" s="2"/>
      <c r="Q14" s="2"/>
      <c r="R14" s="2"/>
      <c r="S14" s="2"/>
      <c r="T14" s="2"/>
      <c r="U14" s="2"/>
    </row>
    <row r="15" spans="1:21" ht="15.75" thickBot="1" x14ac:dyDescent="0.3">
      <c r="A15" s="66"/>
      <c r="B15" s="2"/>
      <c r="C15" s="2"/>
      <c r="D15" s="2"/>
      <c r="E15" s="2"/>
      <c r="F15" s="2"/>
      <c r="G15" s="2"/>
      <c r="H15" s="2"/>
      <c r="I15" s="2"/>
      <c r="J15" s="2"/>
      <c r="K15" s="2"/>
      <c r="L15" s="2"/>
      <c r="M15" s="2"/>
      <c r="N15" s="2"/>
      <c r="O15" s="2"/>
      <c r="P15" s="2"/>
      <c r="Q15" s="2"/>
      <c r="R15" s="2"/>
      <c r="S15" s="2"/>
      <c r="T15" s="2"/>
      <c r="U15" s="2"/>
    </row>
    <row r="16" spans="1:21" ht="15.75" x14ac:dyDescent="0.25">
      <c r="A16" s="69" t="s">
        <v>290</v>
      </c>
      <c r="B16" s="2"/>
      <c r="C16" s="2"/>
      <c r="D16" s="2"/>
      <c r="E16" s="2"/>
      <c r="F16" s="2"/>
      <c r="G16" s="2"/>
      <c r="H16" s="2"/>
      <c r="I16" s="2"/>
      <c r="J16" s="2"/>
      <c r="K16" s="2"/>
      <c r="L16" s="2"/>
      <c r="M16" s="2"/>
      <c r="N16" s="2"/>
      <c r="O16" s="2"/>
      <c r="P16" s="2"/>
      <c r="Q16" s="2"/>
      <c r="R16" s="2"/>
      <c r="S16" s="2"/>
      <c r="T16" s="2"/>
      <c r="U16" s="2"/>
    </row>
    <row r="17" spans="1:21" ht="30" x14ac:dyDescent="0.25">
      <c r="A17" s="70" t="s">
        <v>291</v>
      </c>
      <c r="B17" s="2"/>
      <c r="C17" s="2"/>
      <c r="D17" s="2"/>
      <c r="E17" s="2"/>
      <c r="F17" s="2"/>
      <c r="G17" s="2"/>
      <c r="H17" s="2"/>
      <c r="I17" s="2"/>
      <c r="J17" s="2"/>
      <c r="K17" s="2"/>
      <c r="L17" s="2"/>
      <c r="M17" s="2"/>
      <c r="N17" s="2"/>
      <c r="O17" s="2"/>
      <c r="P17" s="2"/>
      <c r="Q17" s="2"/>
      <c r="R17" s="2"/>
      <c r="S17" s="2"/>
      <c r="T17" s="2"/>
      <c r="U17" s="2"/>
    </row>
    <row r="18" spans="1:21" ht="30" x14ac:dyDescent="0.25">
      <c r="A18" s="70" t="s">
        <v>293</v>
      </c>
      <c r="B18" s="2"/>
      <c r="C18" s="2"/>
      <c r="D18" s="2"/>
      <c r="E18" s="2"/>
      <c r="F18" s="2"/>
      <c r="G18" s="2"/>
      <c r="H18" s="2"/>
      <c r="I18" s="2"/>
      <c r="J18" s="2"/>
      <c r="K18" s="2"/>
      <c r="L18" s="2"/>
      <c r="M18" s="2"/>
      <c r="N18" s="2"/>
      <c r="O18" s="2"/>
      <c r="P18" s="2"/>
      <c r="Q18" s="2"/>
      <c r="R18" s="2"/>
      <c r="S18" s="2"/>
      <c r="T18" s="2"/>
      <c r="U18" s="2"/>
    </row>
    <row r="19" spans="1:21" ht="30" x14ac:dyDescent="0.25">
      <c r="A19" s="70" t="s">
        <v>307</v>
      </c>
      <c r="B19" s="2"/>
      <c r="C19" s="2"/>
      <c r="D19" s="2"/>
      <c r="E19" s="2"/>
      <c r="F19" s="2"/>
      <c r="G19" s="2"/>
      <c r="H19" s="2"/>
      <c r="I19" s="2"/>
      <c r="J19" s="2"/>
      <c r="K19" s="2"/>
      <c r="L19" s="2"/>
      <c r="M19" s="2"/>
      <c r="N19" s="2"/>
      <c r="O19" s="2"/>
      <c r="P19" s="2"/>
      <c r="Q19" s="2"/>
      <c r="R19" s="2"/>
      <c r="S19" s="2"/>
      <c r="T19" s="2"/>
      <c r="U19" s="2"/>
    </row>
    <row r="20" spans="1:21" ht="30" x14ac:dyDescent="0.25">
      <c r="A20" s="70" t="s">
        <v>292</v>
      </c>
      <c r="B20" s="2"/>
      <c r="C20" s="2"/>
      <c r="D20" s="2"/>
      <c r="E20" s="2"/>
      <c r="F20" s="2"/>
      <c r="G20" s="2"/>
      <c r="H20" s="2"/>
      <c r="I20" s="2"/>
      <c r="J20" s="2"/>
      <c r="K20" s="2"/>
      <c r="L20" s="2"/>
      <c r="M20" s="2"/>
      <c r="N20" s="2"/>
      <c r="O20" s="2"/>
      <c r="P20" s="2"/>
      <c r="Q20" s="2"/>
      <c r="R20" s="2"/>
      <c r="S20" s="2"/>
      <c r="T20" s="2"/>
      <c r="U20" s="2"/>
    </row>
    <row r="21" spans="1:21" ht="30.75" thickBot="1" x14ac:dyDescent="0.3">
      <c r="A21" s="71" t="s">
        <v>294</v>
      </c>
      <c r="B21" s="2"/>
      <c r="C21" s="2"/>
      <c r="D21" s="2"/>
      <c r="E21" s="2"/>
      <c r="F21" s="2"/>
      <c r="G21" s="2"/>
      <c r="H21" s="2"/>
      <c r="I21" s="2"/>
      <c r="J21" s="2"/>
      <c r="K21" s="2"/>
      <c r="L21" s="2"/>
      <c r="M21" s="2"/>
      <c r="N21" s="2"/>
      <c r="O21" s="2"/>
      <c r="P21" s="2"/>
      <c r="Q21" s="2"/>
      <c r="R21" s="2"/>
      <c r="S21" s="2"/>
      <c r="T21" s="2"/>
      <c r="U21" s="2"/>
    </row>
    <row r="22" spans="1:21" x14ac:dyDescent="0.25">
      <c r="A22" s="68"/>
      <c r="B22" s="2"/>
      <c r="C22" s="2"/>
      <c r="D22" s="2"/>
      <c r="E22" s="2"/>
      <c r="F22" s="2"/>
      <c r="G22" s="2"/>
      <c r="H22" s="2"/>
      <c r="I22" s="2"/>
      <c r="J22" s="2"/>
      <c r="K22" s="2"/>
      <c r="L22" s="2"/>
      <c r="M22" s="2"/>
      <c r="N22" s="2"/>
      <c r="O22" s="2"/>
      <c r="P22" s="2"/>
      <c r="Q22" s="2"/>
      <c r="R22" s="2"/>
      <c r="S22" s="2"/>
      <c r="T22" s="2"/>
      <c r="U22" s="2"/>
    </row>
    <row r="23" spans="1:21" ht="16.5" x14ac:dyDescent="0.25">
      <c r="A23" s="2" t="s">
        <v>282</v>
      </c>
      <c r="B23" s="2"/>
      <c r="C23" s="2"/>
      <c r="D23" s="2"/>
      <c r="E23" s="2"/>
      <c r="F23" s="2"/>
      <c r="G23" s="2"/>
      <c r="H23" s="2"/>
      <c r="I23" s="2"/>
      <c r="J23" s="2"/>
      <c r="K23" s="2"/>
      <c r="L23" s="2"/>
      <c r="M23" s="2"/>
      <c r="N23" s="2"/>
      <c r="O23" s="2"/>
      <c r="P23" s="2"/>
      <c r="Q23" s="2"/>
      <c r="R23" s="2"/>
      <c r="S23" s="2"/>
      <c r="T23" s="2"/>
      <c r="U23" s="2"/>
    </row>
    <row r="24" spans="1:21" x14ac:dyDescent="0.25">
      <c r="A24" s="2" t="s">
        <v>283</v>
      </c>
      <c r="B24" s="2"/>
      <c r="C24" s="2"/>
      <c r="D24" s="2"/>
      <c r="E24" s="2"/>
      <c r="F24" s="2"/>
      <c r="G24" s="2"/>
      <c r="H24" s="2"/>
      <c r="I24" s="2"/>
      <c r="J24" s="2"/>
      <c r="K24" s="2"/>
      <c r="L24" s="2"/>
      <c r="M24" s="2"/>
      <c r="N24" s="2"/>
      <c r="O24" s="2"/>
      <c r="P24" s="2"/>
      <c r="Q24" s="2"/>
      <c r="R24" s="2"/>
      <c r="S24" s="2"/>
      <c r="T24" s="2"/>
      <c r="U24" s="2"/>
    </row>
    <row r="25" spans="1:21" x14ac:dyDescent="0.25">
      <c r="A25" s="2" t="s">
        <v>304</v>
      </c>
      <c r="B25" s="2"/>
      <c r="C25" s="2"/>
      <c r="D25" s="2"/>
      <c r="E25" s="2"/>
      <c r="F25" s="2"/>
      <c r="G25" s="2"/>
      <c r="H25" s="2"/>
      <c r="I25" s="2"/>
      <c r="J25" s="2"/>
      <c r="K25" s="2"/>
      <c r="L25" s="2"/>
      <c r="M25" s="2"/>
      <c r="N25" s="2"/>
      <c r="O25" s="2"/>
      <c r="P25" s="2"/>
      <c r="Q25" s="2"/>
      <c r="R25" s="2"/>
      <c r="S25" s="2"/>
      <c r="T25" s="2"/>
      <c r="U25" s="2"/>
    </row>
    <row r="26" spans="1:21" x14ac:dyDescent="0.25">
      <c r="A26" s="2" t="s">
        <v>305</v>
      </c>
      <c r="B26" s="2"/>
      <c r="C26" s="2"/>
      <c r="D26" s="2"/>
      <c r="E26" s="2"/>
      <c r="F26" s="2"/>
      <c r="G26" s="2"/>
      <c r="H26" s="2"/>
      <c r="I26" s="2"/>
      <c r="J26" s="2"/>
      <c r="K26" s="2"/>
      <c r="L26" s="2"/>
      <c r="M26" s="2"/>
      <c r="N26" s="2"/>
      <c r="O26" s="2"/>
      <c r="P26" s="2"/>
      <c r="Q26" s="2"/>
      <c r="R26" s="2"/>
      <c r="S26" s="2"/>
      <c r="T26" s="2"/>
      <c r="U26" s="2"/>
    </row>
    <row r="27" spans="1:21" ht="60" x14ac:dyDescent="0.25">
      <c r="A27" s="66" t="s">
        <v>295</v>
      </c>
      <c r="B27" s="2"/>
      <c r="C27" s="2"/>
      <c r="D27" s="2"/>
      <c r="E27" s="2"/>
      <c r="F27" s="2"/>
      <c r="G27" s="2"/>
      <c r="H27" s="2"/>
      <c r="I27" s="2"/>
      <c r="J27" s="2"/>
      <c r="K27" s="2"/>
      <c r="L27" s="2"/>
      <c r="M27" s="2"/>
      <c r="N27" s="2"/>
      <c r="O27" s="2"/>
      <c r="P27" s="2"/>
      <c r="Q27" s="2"/>
      <c r="R27" s="2"/>
      <c r="S27" s="2"/>
      <c r="T27" s="2"/>
      <c r="U27" s="2"/>
    </row>
    <row r="28" spans="1:21" ht="206.25" customHeight="1" x14ac:dyDescent="0.25">
      <c r="A28" s="2"/>
      <c r="B28" s="2"/>
      <c r="C28" s="2"/>
      <c r="D28" s="2"/>
      <c r="E28" s="2"/>
      <c r="F28" s="2"/>
      <c r="G28" s="2"/>
      <c r="H28" s="2"/>
      <c r="I28" s="2"/>
      <c r="J28" s="2"/>
      <c r="K28" s="2"/>
      <c r="L28" s="2"/>
      <c r="M28" s="2"/>
      <c r="N28" s="2"/>
      <c r="O28" s="2"/>
      <c r="P28" s="2"/>
      <c r="Q28" s="2"/>
      <c r="R28" s="2"/>
      <c r="S28" s="2"/>
      <c r="T28" s="2"/>
      <c r="U28" s="2"/>
    </row>
    <row r="29" spans="1:21" x14ac:dyDescent="0.25">
      <c r="A29" s="2"/>
      <c r="B29" s="2"/>
      <c r="C29" s="2"/>
      <c r="D29" s="2"/>
      <c r="E29" s="2"/>
      <c r="F29" s="2"/>
      <c r="G29" s="2"/>
      <c r="H29" s="2"/>
      <c r="I29" s="2"/>
      <c r="J29" s="2"/>
      <c r="K29" s="2"/>
      <c r="L29" s="2"/>
      <c r="M29" s="2"/>
      <c r="N29" s="2"/>
      <c r="O29" s="2"/>
      <c r="P29" s="2"/>
      <c r="Q29" s="2"/>
      <c r="R29" s="2"/>
      <c r="S29" s="2"/>
      <c r="T29" s="2"/>
      <c r="U29" s="2"/>
    </row>
    <row r="30" spans="1:21" s="75" customFormat="1" ht="18.75" x14ac:dyDescent="0.3">
      <c r="A30" s="74" t="s">
        <v>276</v>
      </c>
    </row>
    <row r="31" spans="1:21" ht="120" customHeight="1" x14ac:dyDescent="0.25">
      <c r="A31" s="66" t="s">
        <v>287</v>
      </c>
      <c r="B31" s="2"/>
      <c r="C31" s="2"/>
      <c r="D31" s="2"/>
      <c r="E31" s="2"/>
      <c r="F31" s="2"/>
      <c r="G31" s="2"/>
      <c r="H31" s="2"/>
      <c r="I31" s="2"/>
      <c r="J31" s="2"/>
      <c r="K31" s="2"/>
      <c r="L31" s="2"/>
      <c r="M31" s="2"/>
      <c r="N31" s="2"/>
      <c r="O31" s="2"/>
      <c r="P31" s="2"/>
      <c r="Q31" s="2"/>
      <c r="R31" s="2"/>
      <c r="S31" s="2"/>
      <c r="T31" s="2"/>
      <c r="U31" s="2"/>
    </row>
    <row r="32" spans="1:21" ht="210" customHeight="1" x14ac:dyDescent="0.25">
      <c r="A32" s="2"/>
      <c r="B32" s="2"/>
      <c r="C32" s="2"/>
      <c r="D32" s="2"/>
      <c r="E32" s="2"/>
      <c r="F32" s="2"/>
      <c r="G32" s="2"/>
      <c r="H32" s="2"/>
      <c r="I32" s="2"/>
      <c r="J32" s="2"/>
      <c r="K32" s="2"/>
      <c r="L32" s="2"/>
      <c r="M32" s="2"/>
      <c r="N32" s="2"/>
      <c r="O32" s="2"/>
      <c r="P32" s="2"/>
      <c r="Q32" s="2"/>
      <c r="R32" s="2"/>
      <c r="S32" s="2"/>
      <c r="T32" s="2"/>
      <c r="U32" s="2"/>
    </row>
    <row r="33" spans="1:21" ht="60" x14ac:dyDescent="0.25">
      <c r="A33" s="66" t="s">
        <v>284</v>
      </c>
      <c r="B33" s="2"/>
      <c r="C33" s="2"/>
      <c r="D33" s="2"/>
      <c r="E33" s="2"/>
      <c r="F33" s="2"/>
      <c r="G33" s="2"/>
      <c r="H33" s="2"/>
      <c r="I33" s="2"/>
      <c r="J33" s="2"/>
      <c r="K33" s="2"/>
      <c r="L33" s="2"/>
      <c r="M33" s="2"/>
      <c r="N33" s="2"/>
      <c r="O33" s="2"/>
      <c r="P33" s="2"/>
      <c r="Q33" s="2"/>
      <c r="R33" s="2"/>
      <c r="S33" s="2"/>
      <c r="T33" s="2"/>
      <c r="U33" s="2"/>
    </row>
    <row r="34" spans="1:21" ht="126" customHeight="1" x14ac:dyDescent="0.25">
      <c r="A34" s="2"/>
      <c r="B34" s="2"/>
      <c r="C34" s="2"/>
      <c r="D34" s="2"/>
      <c r="E34" s="2"/>
      <c r="F34" s="2"/>
      <c r="G34" s="2"/>
      <c r="H34" s="2"/>
      <c r="I34" s="2"/>
      <c r="J34" s="2"/>
      <c r="K34" s="2"/>
      <c r="L34" s="2"/>
      <c r="M34" s="2"/>
      <c r="N34" s="2"/>
      <c r="O34" s="2"/>
      <c r="P34" s="2"/>
      <c r="Q34" s="2"/>
      <c r="R34" s="2"/>
      <c r="S34" s="2"/>
      <c r="T34" s="2"/>
      <c r="U34" s="2"/>
    </row>
    <row r="35" spans="1:21" ht="105" x14ac:dyDescent="0.25">
      <c r="A35" s="66" t="s">
        <v>285</v>
      </c>
      <c r="B35" s="2"/>
      <c r="C35" s="2"/>
      <c r="D35" s="2"/>
      <c r="E35" s="2"/>
      <c r="F35" s="2"/>
      <c r="G35" s="2"/>
      <c r="H35" s="2"/>
      <c r="I35" s="2"/>
      <c r="J35" s="2"/>
      <c r="K35" s="2"/>
      <c r="L35" s="2"/>
      <c r="M35" s="2"/>
      <c r="N35" s="2"/>
      <c r="O35" s="2"/>
      <c r="P35" s="2"/>
      <c r="Q35" s="2"/>
      <c r="R35" s="2"/>
      <c r="S35" s="2"/>
      <c r="T35" s="2"/>
      <c r="U35" s="2"/>
    </row>
    <row r="36" spans="1:21" ht="217.5" customHeight="1" x14ac:dyDescent="0.25">
      <c r="A36" s="2"/>
      <c r="B36" s="2"/>
      <c r="C36" s="2"/>
      <c r="D36" s="2"/>
      <c r="E36" s="2"/>
      <c r="F36" s="2"/>
      <c r="G36" s="2"/>
      <c r="H36" s="2"/>
      <c r="I36" s="2"/>
      <c r="J36" s="2"/>
      <c r="K36" s="2"/>
      <c r="L36" s="2"/>
      <c r="M36" s="2"/>
      <c r="N36" s="2"/>
      <c r="O36" s="2"/>
      <c r="P36" s="2"/>
      <c r="Q36" s="2"/>
      <c r="R36" s="2"/>
      <c r="S36" s="2"/>
      <c r="T36" s="2"/>
      <c r="U36" s="2"/>
    </row>
    <row r="37" spans="1:21" ht="60" x14ac:dyDescent="0.25">
      <c r="A37" s="66" t="s">
        <v>286</v>
      </c>
      <c r="B37" s="2"/>
      <c r="C37" s="2"/>
      <c r="D37" s="2"/>
      <c r="E37" s="2"/>
      <c r="F37" s="2"/>
      <c r="G37" s="2"/>
      <c r="H37" s="2"/>
      <c r="I37" s="2"/>
      <c r="J37" s="2"/>
      <c r="K37" s="2"/>
      <c r="L37" s="2"/>
      <c r="M37" s="2"/>
      <c r="N37" s="2"/>
      <c r="O37" s="2"/>
      <c r="P37" s="2"/>
      <c r="Q37" s="2"/>
      <c r="R37" s="2"/>
      <c r="S37" s="2"/>
      <c r="T37" s="2"/>
      <c r="U37" s="2"/>
    </row>
    <row r="38" spans="1:21" x14ac:dyDescent="0.25">
      <c r="A38" s="2"/>
      <c r="B38" s="2"/>
      <c r="C38" s="2"/>
      <c r="D38" s="2"/>
      <c r="E38" s="2"/>
      <c r="F38" s="2"/>
      <c r="G38" s="2"/>
      <c r="H38" s="2"/>
      <c r="I38" s="2"/>
      <c r="J38" s="2"/>
      <c r="K38" s="2"/>
      <c r="L38" s="2"/>
      <c r="M38" s="2"/>
      <c r="N38" s="2"/>
      <c r="O38" s="2"/>
      <c r="P38" s="2"/>
      <c r="Q38" s="2"/>
      <c r="R38" s="2"/>
      <c r="S38" s="2"/>
      <c r="T38" s="2"/>
      <c r="U38" s="2"/>
    </row>
    <row r="39" spans="1:21" s="75" customFormat="1" ht="18.75" x14ac:dyDescent="0.3">
      <c r="A39" s="74" t="s">
        <v>277</v>
      </c>
    </row>
    <row r="40" spans="1:21" ht="31.5" customHeight="1" x14ac:dyDescent="0.25">
      <c r="A40" s="66" t="s">
        <v>288</v>
      </c>
      <c r="B40" s="2"/>
      <c r="C40" s="2"/>
      <c r="D40" s="2"/>
      <c r="E40" s="2"/>
      <c r="F40" s="2"/>
      <c r="G40" s="2"/>
      <c r="H40" s="2"/>
      <c r="I40" s="2"/>
      <c r="J40" s="2"/>
      <c r="K40" s="2"/>
      <c r="L40" s="2"/>
      <c r="M40" s="2"/>
      <c r="N40" s="2"/>
      <c r="O40" s="2"/>
      <c r="P40" s="2"/>
      <c r="Q40" s="2"/>
      <c r="R40" s="2"/>
      <c r="S40" s="2"/>
      <c r="T40" s="2"/>
      <c r="U40" s="2"/>
    </row>
    <row r="41" spans="1:21" x14ac:dyDescent="0.25">
      <c r="A41" s="2"/>
      <c r="B41" s="2"/>
      <c r="C41" s="2"/>
      <c r="D41" s="2"/>
      <c r="E41" s="2"/>
      <c r="F41" s="2"/>
      <c r="G41" s="2"/>
      <c r="H41" s="2"/>
      <c r="I41" s="2"/>
      <c r="J41" s="2"/>
      <c r="K41" s="2"/>
      <c r="L41" s="2"/>
      <c r="M41" s="2"/>
      <c r="N41" s="2"/>
      <c r="O41" s="2"/>
      <c r="P41" s="2"/>
      <c r="Q41" s="2"/>
      <c r="R41" s="2"/>
      <c r="S41" s="2"/>
      <c r="T41" s="2"/>
      <c r="U41" s="2"/>
    </row>
    <row r="42" spans="1:21" x14ac:dyDescent="0.25">
      <c r="A42" s="2"/>
      <c r="B42" s="2"/>
      <c r="C42" s="2"/>
      <c r="D42" s="2"/>
      <c r="E42" s="2"/>
      <c r="F42" s="2"/>
      <c r="G42" s="2"/>
      <c r="H42" s="2"/>
      <c r="I42" s="2"/>
      <c r="J42" s="2"/>
      <c r="K42" s="2"/>
      <c r="L42" s="2"/>
      <c r="M42" s="2"/>
      <c r="N42" s="2"/>
      <c r="O42" s="2"/>
      <c r="P42" s="2"/>
      <c r="Q42" s="2"/>
      <c r="R42" s="2"/>
      <c r="S42" s="2"/>
      <c r="T42" s="2"/>
      <c r="U42" s="2"/>
    </row>
    <row r="43" spans="1:21" x14ac:dyDescent="0.25">
      <c r="A43" s="2"/>
      <c r="B43" s="2"/>
      <c r="C43" s="2"/>
      <c r="D43" s="2"/>
      <c r="E43" s="2"/>
      <c r="F43" s="2"/>
      <c r="G43" s="2"/>
      <c r="H43" s="2"/>
      <c r="I43" s="2"/>
      <c r="J43" s="2"/>
      <c r="K43" s="2"/>
      <c r="L43" s="2"/>
      <c r="M43" s="2"/>
      <c r="N43" s="2"/>
      <c r="O43" s="2"/>
      <c r="P43" s="2"/>
      <c r="Q43" s="2"/>
      <c r="R43" s="2"/>
      <c r="S43" s="2"/>
      <c r="T43" s="2"/>
      <c r="U43" s="2"/>
    </row>
    <row r="44" spans="1:21" x14ac:dyDescent="0.25">
      <c r="A44" s="2"/>
      <c r="B44" s="2"/>
      <c r="C44" s="2"/>
      <c r="D44" s="2"/>
      <c r="E44" s="2"/>
      <c r="F44" s="2"/>
      <c r="G44" s="2"/>
      <c r="H44" s="2"/>
      <c r="I44" s="2"/>
      <c r="J44" s="2"/>
      <c r="K44" s="2"/>
      <c r="L44" s="2"/>
      <c r="M44" s="2"/>
      <c r="N44" s="2"/>
      <c r="O44" s="2"/>
      <c r="P44" s="2"/>
      <c r="Q44" s="2"/>
      <c r="R44" s="2"/>
      <c r="S44" s="2"/>
      <c r="T44" s="2"/>
      <c r="U44" s="2"/>
    </row>
    <row r="45" spans="1:21" x14ac:dyDescent="0.25">
      <c r="A45" s="2"/>
      <c r="B45" s="2"/>
      <c r="C45" s="2"/>
      <c r="D45" s="2"/>
      <c r="E45" s="2"/>
      <c r="F45" s="2"/>
      <c r="G45" s="2"/>
      <c r="H45" s="2"/>
      <c r="I45" s="2"/>
      <c r="J45" s="2"/>
      <c r="K45" s="2"/>
      <c r="L45" s="2"/>
      <c r="M45" s="2"/>
      <c r="N45" s="2"/>
      <c r="O45" s="2"/>
      <c r="P45" s="2"/>
      <c r="Q45" s="2"/>
      <c r="R45" s="2"/>
      <c r="S45" s="2"/>
      <c r="T45" s="2"/>
      <c r="U45" s="2"/>
    </row>
    <row r="46" spans="1:21" x14ac:dyDescent="0.25">
      <c r="A46" s="2"/>
      <c r="B46" s="2"/>
      <c r="C46" s="2"/>
      <c r="D46" s="2"/>
      <c r="E46" s="2"/>
      <c r="F46" s="2"/>
      <c r="G46" s="2"/>
      <c r="H46" s="2"/>
      <c r="I46" s="2"/>
      <c r="J46" s="2"/>
      <c r="K46" s="2"/>
      <c r="L46" s="2"/>
      <c r="M46" s="2"/>
      <c r="N46" s="2"/>
      <c r="O46" s="2"/>
      <c r="P46" s="2"/>
      <c r="Q46" s="2"/>
      <c r="R46" s="2"/>
      <c r="S46" s="2"/>
      <c r="T46" s="2"/>
      <c r="U46" s="2"/>
    </row>
    <row r="47" spans="1:21" x14ac:dyDescent="0.25">
      <c r="A47" s="2"/>
      <c r="B47" s="2"/>
      <c r="C47" s="2"/>
      <c r="D47" s="2"/>
      <c r="E47" s="2"/>
      <c r="F47" s="2"/>
      <c r="G47" s="2"/>
      <c r="H47" s="2"/>
      <c r="I47" s="2"/>
      <c r="J47" s="2"/>
      <c r="K47" s="2"/>
      <c r="L47" s="2"/>
      <c r="M47" s="2"/>
      <c r="N47" s="2"/>
      <c r="O47" s="2"/>
      <c r="P47" s="2"/>
      <c r="Q47" s="2"/>
      <c r="R47" s="2"/>
      <c r="S47" s="2"/>
      <c r="T47" s="2"/>
      <c r="U47" s="2"/>
    </row>
    <row r="48" spans="1:21" x14ac:dyDescent="0.25">
      <c r="A48" s="2"/>
      <c r="B48" s="2"/>
      <c r="C48" s="2"/>
      <c r="D48" s="2"/>
      <c r="E48" s="2"/>
      <c r="F48" s="2"/>
      <c r="G48" s="2"/>
      <c r="H48" s="2"/>
      <c r="I48" s="2"/>
      <c r="J48" s="2"/>
      <c r="K48" s="2"/>
      <c r="L48" s="2"/>
      <c r="M48" s="2"/>
      <c r="N48" s="2"/>
      <c r="O48" s="2"/>
      <c r="P48" s="2"/>
      <c r="Q48" s="2"/>
      <c r="R48" s="2"/>
      <c r="S48" s="2"/>
      <c r="T48" s="2"/>
      <c r="U48" s="2"/>
    </row>
    <row r="49" spans="1:21" x14ac:dyDescent="0.25">
      <c r="A49" s="2"/>
      <c r="B49" s="2"/>
      <c r="C49" s="2"/>
      <c r="D49" s="2"/>
      <c r="E49" s="2"/>
      <c r="F49" s="2"/>
      <c r="G49" s="2"/>
      <c r="H49" s="2"/>
      <c r="I49" s="2"/>
      <c r="J49" s="2"/>
      <c r="K49" s="2"/>
      <c r="L49" s="2"/>
      <c r="M49" s="2"/>
      <c r="N49" s="2"/>
      <c r="O49" s="2"/>
      <c r="P49" s="2"/>
      <c r="Q49" s="2"/>
      <c r="R49" s="2"/>
      <c r="S49" s="2"/>
      <c r="T49" s="2"/>
      <c r="U49" s="2"/>
    </row>
    <row r="50" spans="1:21" x14ac:dyDescent="0.25">
      <c r="A50" s="2"/>
      <c r="B50" s="2"/>
      <c r="C50" s="2"/>
      <c r="D50" s="2"/>
      <c r="E50" s="2"/>
      <c r="F50" s="2"/>
      <c r="G50" s="2"/>
      <c r="H50" s="2"/>
      <c r="I50" s="2"/>
      <c r="J50" s="2"/>
      <c r="K50" s="2"/>
      <c r="L50" s="2"/>
      <c r="M50" s="2"/>
      <c r="N50" s="2"/>
      <c r="O50" s="2"/>
      <c r="P50" s="2"/>
      <c r="Q50" s="2"/>
      <c r="R50" s="2"/>
      <c r="S50" s="2"/>
      <c r="T50" s="2"/>
      <c r="U50" s="2"/>
    </row>
    <row r="51" spans="1:21" x14ac:dyDescent="0.25">
      <c r="A51" s="2"/>
      <c r="B51" s="2"/>
      <c r="C51" s="2"/>
      <c r="D51" s="2"/>
      <c r="E51" s="2"/>
      <c r="F51" s="2"/>
      <c r="G51" s="2"/>
      <c r="H51" s="2"/>
      <c r="I51" s="2"/>
      <c r="J51" s="2"/>
      <c r="K51" s="2"/>
      <c r="L51" s="2"/>
      <c r="M51" s="2"/>
      <c r="N51" s="2"/>
      <c r="O51" s="2"/>
      <c r="P51" s="2"/>
      <c r="Q51" s="2"/>
      <c r="R51" s="2"/>
      <c r="S51" s="2"/>
      <c r="T51" s="2"/>
      <c r="U51" s="2"/>
    </row>
    <row r="52" spans="1:21" x14ac:dyDescent="0.25">
      <c r="A52" s="2"/>
      <c r="B52" s="2"/>
      <c r="C52" s="2"/>
      <c r="D52" s="2"/>
      <c r="E52" s="2"/>
      <c r="F52" s="2"/>
      <c r="G52" s="2"/>
      <c r="H52" s="2"/>
      <c r="I52" s="2"/>
      <c r="J52" s="2"/>
      <c r="K52" s="2"/>
      <c r="L52" s="2"/>
      <c r="M52" s="2"/>
      <c r="N52" s="2"/>
      <c r="O52" s="2"/>
      <c r="P52" s="2"/>
      <c r="Q52" s="2"/>
      <c r="R52" s="2"/>
      <c r="S52" s="2"/>
      <c r="T52" s="2"/>
      <c r="U52" s="2"/>
    </row>
    <row r="53" spans="1:21" x14ac:dyDescent="0.25">
      <c r="A53" s="2"/>
      <c r="B53" s="2"/>
      <c r="C53" s="2"/>
      <c r="D53" s="2"/>
      <c r="E53" s="2"/>
      <c r="F53" s="2"/>
      <c r="G53" s="2"/>
      <c r="H53" s="2"/>
      <c r="I53" s="2"/>
      <c r="J53" s="2"/>
      <c r="K53" s="2"/>
      <c r="L53" s="2"/>
      <c r="M53" s="2"/>
      <c r="N53" s="2"/>
      <c r="O53" s="2"/>
      <c r="P53" s="2"/>
      <c r="Q53" s="2"/>
      <c r="R53" s="2"/>
      <c r="S53" s="2"/>
      <c r="T53" s="2"/>
      <c r="U53" s="2"/>
    </row>
    <row r="54" spans="1:21" x14ac:dyDescent="0.25">
      <c r="A54" s="2"/>
      <c r="B54" s="2"/>
      <c r="C54" s="2"/>
      <c r="D54" s="2"/>
      <c r="E54" s="2"/>
      <c r="F54" s="2"/>
      <c r="G54" s="2"/>
      <c r="H54" s="2"/>
      <c r="I54" s="2"/>
      <c r="J54" s="2"/>
      <c r="K54" s="2"/>
      <c r="L54" s="2"/>
      <c r="M54" s="2"/>
      <c r="N54" s="2"/>
      <c r="O54" s="2"/>
      <c r="P54" s="2"/>
      <c r="Q54" s="2"/>
      <c r="R54" s="2"/>
      <c r="S54" s="2"/>
      <c r="T54" s="2"/>
      <c r="U54" s="2"/>
    </row>
    <row r="55" spans="1:21" x14ac:dyDescent="0.25">
      <c r="A55" s="2"/>
      <c r="B55" s="2"/>
      <c r="C55" s="2"/>
      <c r="D55" s="2"/>
      <c r="E55" s="2"/>
      <c r="F55" s="2"/>
      <c r="G55" s="2"/>
      <c r="H55" s="2"/>
      <c r="I55" s="2"/>
      <c r="J55" s="2"/>
      <c r="K55" s="2"/>
      <c r="L55" s="2"/>
      <c r="M55" s="2"/>
      <c r="N55" s="2"/>
      <c r="O55" s="2"/>
      <c r="P55" s="2"/>
      <c r="Q55" s="2"/>
      <c r="R55" s="2"/>
      <c r="S55" s="2"/>
      <c r="T55" s="2"/>
      <c r="U55" s="2"/>
    </row>
    <row r="56" spans="1:21" x14ac:dyDescent="0.25">
      <c r="A56" s="2"/>
      <c r="B56" s="2"/>
      <c r="C56" s="2"/>
      <c r="D56" s="2"/>
      <c r="E56" s="2"/>
      <c r="F56" s="2"/>
      <c r="G56" s="2"/>
      <c r="H56" s="2"/>
      <c r="I56" s="2"/>
      <c r="J56" s="2"/>
      <c r="K56" s="2"/>
      <c r="L56" s="2"/>
      <c r="M56" s="2"/>
      <c r="N56" s="2"/>
      <c r="O56" s="2"/>
      <c r="P56" s="2"/>
      <c r="Q56" s="2"/>
      <c r="R56" s="2"/>
      <c r="S56" s="2"/>
      <c r="T56" s="2"/>
      <c r="U56" s="2"/>
    </row>
    <row r="57" spans="1:21" x14ac:dyDescent="0.25">
      <c r="A57" s="2"/>
      <c r="B57" s="2"/>
      <c r="C57" s="2"/>
      <c r="D57" s="2"/>
      <c r="E57" s="2"/>
      <c r="F57" s="2"/>
      <c r="G57" s="2"/>
      <c r="H57" s="2"/>
      <c r="I57" s="2"/>
      <c r="J57" s="2"/>
      <c r="K57" s="2"/>
      <c r="L57" s="2"/>
      <c r="M57" s="2"/>
      <c r="N57" s="2"/>
      <c r="O57" s="2"/>
      <c r="P57" s="2"/>
      <c r="Q57" s="2"/>
      <c r="R57" s="2"/>
      <c r="S57" s="2"/>
      <c r="T57" s="2"/>
      <c r="U57" s="2"/>
    </row>
    <row r="58" spans="1:21" x14ac:dyDescent="0.25">
      <c r="A58" s="2"/>
      <c r="B58" s="2"/>
      <c r="C58" s="2"/>
      <c r="D58" s="2"/>
      <c r="E58" s="2"/>
      <c r="F58" s="2"/>
      <c r="G58" s="2"/>
      <c r="H58" s="2"/>
      <c r="I58" s="2"/>
      <c r="J58" s="2"/>
      <c r="K58" s="2"/>
      <c r="L58" s="2"/>
      <c r="M58" s="2"/>
      <c r="N58" s="2"/>
      <c r="O58" s="2"/>
      <c r="P58" s="2"/>
      <c r="Q58" s="2"/>
      <c r="R58" s="2"/>
      <c r="S58" s="2"/>
      <c r="T58" s="2"/>
      <c r="U58" s="2"/>
    </row>
    <row r="59" spans="1:21" x14ac:dyDescent="0.25">
      <c r="A59" s="2"/>
      <c r="B59" s="2"/>
      <c r="C59" s="2"/>
      <c r="D59" s="2"/>
      <c r="E59" s="2"/>
      <c r="F59" s="2"/>
      <c r="G59" s="2"/>
      <c r="H59" s="2"/>
      <c r="I59" s="2"/>
      <c r="J59" s="2"/>
      <c r="K59" s="2"/>
      <c r="L59" s="2"/>
      <c r="M59" s="2"/>
      <c r="N59" s="2"/>
      <c r="O59" s="2"/>
      <c r="P59" s="2"/>
      <c r="Q59" s="2"/>
      <c r="R59" s="2"/>
      <c r="S59" s="2"/>
      <c r="T59" s="2"/>
      <c r="U59" s="2"/>
    </row>
    <row r="60" spans="1:21" x14ac:dyDescent="0.25">
      <c r="A60" s="2"/>
      <c r="B60" s="2"/>
      <c r="C60" s="2"/>
      <c r="D60" s="2"/>
      <c r="E60" s="2"/>
      <c r="F60" s="2"/>
      <c r="G60" s="2"/>
      <c r="H60" s="2"/>
      <c r="I60" s="2"/>
      <c r="J60" s="2"/>
      <c r="K60" s="2"/>
      <c r="L60" s="2"/>
      <c r="M60" s="2"/>
      <c r="N60" s="2"/>
      <c r="O60" s="2"/>
      <c r="P60" s="2"/>
      <c r="Q60" s="2"/>
      <c r="R60" s="2"/>
      <c r="S60" s="2"/>
      <c r="T60" s="2"/>
      <c r="U60" s="2"/>
    </row>
    <row r="61" spans="1:21" x14ac:dyDescent="0.25">
      <c r="A61" s="2"/>
      <c r="B61" s="2"/>
      <c r="C61" s="2"/>
      <c r="D61" s="2"/>
      <c r="E61" s="2"/>
      <c r="F61" s="2"/>
      <c r="G61" s="2"/>
      <c r="H61" s="2"/>
      <c r="I61" s="2"/>
      <c r="J61" s="2"/>
      <c r="K61" s="2"/>
      <c r="L61" s="2"/>
      <c r="M61" s="2"/>
      <c r="N61" s="2"/>
      <c r="O61" s="2"/>
      <c r="P61" s="2"/>
      <c r="Q61" s="2"/>
      <c r="R61" s="2"/>
      <c r="S61" s="2"/>
      <c r="T61" s="2"/>
      <c r="U61" s="2"/>
    </row>
    <row r="62" spans="1:21" x14ac:dyDescent="0.25">
      <c r="A62" s="2"/>
      <c r="B62" s="2"/>
      <c r="C62" s="2"/>
      <c r="D62" s="2"/>
      <c r="E62" s="2"/>
      <c r="F62" s="2"/>
      <c r="G62" s="2"/>
      <c r="H62" s="2"/>
      <c r="I62" s="2"/>
      <c r="J62" s="2"/>
      <c r="K62" s="2"/>
      <c r="L62" s="2"/>
      <c r="M62" s="2"/>
      <c r="N62" s="2"/>
      <c r="O62" s="2"/>
      <c r="P62" s="2"/>
      <c r="Q62" s="2"/>
      <c r="R62" s="2"/>
      <c r="S62" s="2"/>
      <c r="T62" s="2"/>
      <c r="U62" s="2"/>
    </row>
    <row r="63" spans="1:21" x14ac:dyDescent="0.25">
      <c r="A63" s="2"/>
      <c r="B63" s="2"/>
      <c r="C63" s="2"/>
      <c r="D63" s="2"/>
      <c r="E63" s="2"/>
      <c r="F63" s="2"/>
      <c r="G63" s="2"/>
      <c r="H63" s="2"/>
      <c r="I63" s="2"/>
      <c r="J63" s="2"/>
      <c r="K63" s="2"/>
      <c r="L63" s="2"/>
      <c r="M63" s="2"/>
      <c r="N63" s="2"/>
      <c r="O63" s="2"/>
      <c r="P63" s="2"/>
      <c r="Q63" s="2"/>
      <c r="R63" s="2"/>
      <c r="S63" s="2"/>
      <c r="T63" s="2"/>
      <c r="U63" s="2"/>
    </row>
    <row r="64" spans="1:21" x14ac:dyDescent="0.25">
      <c r="A64" s="2"/>
      <c r="B64" s="2"/>
      <c r="C64" s="2"/>
      <c r="D64" s="2"/>
      <c r="E64" s="2"/>
      <c r="F64" s="2"/>
      <c r="G64" s="2"/>
      <c r="H64" s="2"/>
      <c r="I64" s="2"/>
      <c r="J64" s="2"/>
      <c r="K64" s="2"/>
      <c r="L64" s="2"/>
      <c r="M64" s="2"/>
      <c r="N64" s="2"/>
      <c r="O64" s="2"/>
      <c r="P64" s="2"/>
      <c r="Q64" s="2"/>
      <c r="R64" s="2"/>
      <c r="S64" s="2"/>
      <c r="T64" s="2"/>
      <c r="U64" s="2"/>
    </row>
    <row r="65" spans="1:21" x14ac:dyDescent="0.25">
      <c r="A65" s="2"/>
      <c r="B65" s="2"/>
      <c r="C65" s="2"/>
      <c r="D65" s="2"/>
      <c r="E65" s="2"/>
      <c r="F65" s="2"/>
      <c r="G65" s="2"/>
      <c r="H65" s="2"/>
      <c r="I65" s="2"/>
      <c r="J65" s="2"/>
      <c r="K65" s="2"/>
      <c r="L65" s="2"/>
      <c r="M65" s="2"/>
      <c r="N65" s="2"/>
      <c r="O65" s="2"/>
      <c r="P65" s="2"/>
      <c r="Q65" s="2"/>
      <c r="R65" s="2"/>
      <c r="S65" s="2"/>
      <c r="T65" s="2"/>
      <c r="U65" s="2"/>
    </row>
    <row r="66" spans="1:21" x14ac:dyDescent="0.25">
      <c r="A66" s="2"/>
      <c r="B66" s="2"/>
      <c r="C66" s="2"/>
      <c r="D66" s="2"/>
      <c r="E66" s="2"/>
      <c r="F66" s="2"/>
      <c r="G66" s="2"/>
      <c r="H66" s="2"/>
      <c r="I66" s="2"/>
      <c r="J66" s="2"/>
      <c r="K66" s="2"/>
      <c r="L66" s="2"/>
      <c r="M66" s="2"/>
      <c r="N66" s="2"/>
      <c r="O66" s="2"/>
      <c r="P66" s="2"/>
      <c r="Q66" s="2"/>
      <c r="R66" s="2"/>
      <c r="S66" s="2"/>
      <c r="T66" s="2"/>
      <c r="U66" s="2"/>
    </row>
    <row r="67" spans="1:21" x14ac:dyDescent="0.25">
      <c r="A67" s="2"/>
      <c r="B67" s="2"/>
      <c r="C67" s="2"/>
      <c r="D67" s="2"/>
      <c r="E67" s="2"/>
      <c r="F67" s="2"/>
      <c r="G67" s="2"/>
      <c r="H67" s="2"/>
      <c r="I67" s="2"/>
      <c r="J67" s="2"/>
      <c r="K67" s="2"/>
      <c r="L67" s="2"/>
      <c r="M67" s="2"/>
      <c r="N67" s="2"/>
      <c r="O67" s="2"/>
      <c r="P67" s="2"/>
      <c r="Q67" s="2"/>
      <c r="R67" s="2"/>
      <c r="S67" s="2"/>
      <c r="T67" s="2"/>
      <c r="U67" s="2"/>
    </row>
    <row r="68" spans="1:21" x14ac:dyDescent="0.25">
      <c r="A68" s="2"/>
      <c r="B68" s="2"/>
      <c r="C68" s="2"/>
      <c r="D68" s="2"/>
      <c r="E68" s="2"/>
      <c r="F68" s="2"/>
      <c r="G68" s="2"/>
      <c r="H68" s="2"/>
      <c r="I68" s="2"/>
      <c r="J68" s="2"/>
      <c r="K68" s="2"/>
      <c r="L68" s="2"/>
      <c r="M68" s="2"/>
      <c r="N68" s="2"/>
      <c r="O68" s="2"/>
      <c r="P68" s="2"/>
      <c r="Q68" s="2"/>
      <c r="R68" s="2"/>
      <c r="S68" s="2"/>
      <c r="T68" s="2"/>
      <c r="U68" s="2"/>
    </row>
    <row r="69" spans="1:21" x14ac:dyDescent="0.25">
      <c r="A69" s="2"/>
      <c r="B69" s="2"/>
      <c r="C69" s="2"/>
      <c r="D69" s="2"/>
      <c r="E69" s="2"/>
      <c r="F69" s="2"/>
      <c r="G69" s="2"/>
      <c r="H69" s="2"/>
      <c r="I69" s="2"/>
      <c r="J69" s="2"/>
      <c r="K69" s="2"/>
      <c r="L69" s="2"/>
      <c r="M69" s="2"/>
      <c r="N69" s="2"/>
      <c r="O69" s="2"/>
      <c r="P69" s="2"/>
      <c r="Q69" s="2"/>
      <c r="R69" s="2"/>
      <c r="S69" s="2"/>
      <c r="T69" s="2"/>
      <c r="U69" s="2"/>
    </row>
    <row r="70" spans="1:21" x14ac:dyDescent="0.25">
      <c r="A70" s="2"/>
      <c r="B70" s="2"/>
      <c r="C70" s="2"/>
      <c r="D70" s="2"/>
      <c r="E70" s="2"/>
      <c r="F70" s="2"/>
      <c r="G70" s="2"/>
      <c r="H70" s="2"/>
      <c r="I70" s="2"/>
      <c r="J70" s="2"/>
      <c r="K70" s="2"/>
      <c r="L70" s="2"/>
      <c r="M70" s="2"/>
      <c r="N70" s="2"/>
      <c r="O70" s="2"/>
      <c r="P70" s="2"/>
      <c r="Q70" s="2"/>
      <c r="R70" s="2"/>
      <c r="S70" s="2"/>
      <c r="T70" s="2"/>
      <c r="U70" s="2"/>
    </row>
    <row r="71" spans="1:21" x14ac:dyDescent="0.25">
      <c r="A71" s="2"/>
      <c r="B71" s="2"/>
      <c r="C71" s="2"/>
      <c r="D71" s="2"/>
      <c r="E71" s="2"/>
      <c r="F71" s="2"/>
      <c r="G71" s="2"/>
      <c r="H71" s="2"/>
      <c r="I71" s="2"/>
      <c r="J71" s="2"/>
      <c r="K71" s="2"/>
      <c r="L71" s="2"/>
      <c r="M71" s="2"/>
      <c r="N71" s="2"/>
      <c r="O71" s="2"/>
      <c r="P71" s="2"/>
      <c r="Q71" s="2"/>
      <c r="R71" s="2"/>
      <c r="S71" s="2"/>
      <c r="T71" s="2"/>
      <c r="U71" s="2"/>
    </row>
    <row r="72" spans="1:21" x14ac:dyDescent="0.25">
      <c r="A72" s="2"/>
      <c r="B72" s="2"/>
      <c r="C72" s="2"/>
      <c r="D72" s="2"/>
      <c r="E72" s="2"/>
      <c r="F72" s="2"/>
      <c r="G72" s="2"/>
      <c r="H72" s="2"/>
      <c r="I72" s="2"/>
      <c r="J72" s="2"/>
      <c r="K72" s="2"/>
      <c r="L72" s="2"/>
      <c r="M72" s="2"/>
      <c r="N72" s="2"/>
      <c r="O72" s="2"/>
      <c r="P72" s="2"/>
      <c r="Q72" s="2"/>
      <c r="R72" s="2"/>
      <c r="S72" s="2"/>
      <c r="T72" s="2"/>
      <c r="U72" s="2"/>
    </row>
    <row r="73" spans="1:21" x14ac:dyDescent="0.25">
      <c r="A73" s="2"/>
      <c r="B73" s="2"/>
      <c r="C73" s="2"/>
      <c r="D73" s="2"/>
      <c r="E73" s="2"/>
      <c r="F73" s="2"/>
      <c r="G73" s="2"/>
      <c r="H73" s="2"/>
      <c r="I73" s="2"/>
      <c r="J73" s="2"/>
      <c r="K73" s="2"/>
      <c r="L73" s="2"/>
      <c r="M73" s="2"/>
      <c r="N73" s="2"/>
      <c r="O73" s="2"/>
      <c r="P73" s="2"/>
      <c r="Q73" s="2"/>
      <c r="R73" s="2"/>
      <c r="S73" s="2"/>
      <c r="T73" s="2"/>
      <c r="U73" s="2"/>
    </row>
    <row r="74" spans="1:21" x14ac:dyDescent="0.25">
      <c r="A74" s="2"/>
      <c r="B74" s="2"/>
      <c r="C74" s="2"/>
      <c r="D74" s="2"/>
      <c r="E74" s="2"/>
      <c r="F74" s="2"/>
      <c r="G74" s="2"/>
      <c r="H74" s="2"/>
      <c r="I74" s="2"/>
      <c r="J74" s="2"/>
      <c r="K74" s="2"/>
      <c r="L74" s="2"/>
      <c r="M74" s="2"/>
      <c r="N74" s="2"/>
      <c r="O74" s="2"/>
      <c r="P74" s="2"/>
      <c r="Q74" s="2"/>
      <c r="R74" s="2"/>
      <c r="S74" s="2"/>
      <c r="T74" s="2"/>
      <c r="U74" s="2"/>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20C4B-6458-4341-999B-9B31E2EA8D7E}">
  <sheetPr codeName="Ark3">
    <outlinePr summaryBelow="0"/>
  </sheetPr>
  <dimension ref="A1:BB352"/>
  <sheetViews>
    <sheetView zoomScaleNormal="100" workbookViewId="0">
      <pane ySplit="1" topLeftCell="A103" activePane="bottomLeft" state="frozen"/>
      <selection pane="bottomLeft" activeCell="H136" sqref="H136"/>
    </sheetView>
  </sheetViews>
  <sheetFormatPr defaultRowHeight="15" outlineLevelRow="1" x14ac:dyDescent="0.25"/>
  <cols>
    <col min="1" max="1" width="22.5703125" customWidth="1"/>
    <col min="2" max="2" width="10.7109375" bestFit="1" customWidth="1"/>
    <col min="3" max="3" width="10.7109375" hidden="1" customWidth="1"/>
    <col min="4" max="4" width="11.7109375" bestFit="1" customWidth="1"/>
    <col min="5" max="5" width="17.5703125" bestFit="1" customWidth="1"/>
    <col min="6" max="8" width="11.140625" customWidth="1"/>
    <col min="9" max="9" width="15.85546875" bestFit="1" customWidth="1"/>
    <col min="10" max="10" width="15.42578125" bestFit="1" customWidth="1"/>
    <col min="11" max="11" width="13.140625" bestFit="1" customWidth="1"/>
    <col min="12" max="12" width="25.85546875" bestFit="1" customWidth="1"/>
    <col min="13" max="13" width="24.28515625" bestFit="1" customWidth="1"/>
    <col min="14" max="14" width="22" customWidth="1"/>
    <col min="15" max="15" width="25.85546875" bestFit="1" customWidth="1"/>
    <col min="16" max="16" width="15.7109375" style="34" hidden="1" customWidth="1"/>
    <col min="17" max="17" width="9.140625" style="2" hidden="1" customWidth="1"/>
    <col min="18" max="18" width="9.140625" style="2" customWidth="1"/>
    <col min="19" max="54" width="9.140625" style="2"/>
  </cols>
  <sheetData>
    <row r="1" spans="1:54" s="1" customFormat="1" ht="21.75" thickBot="1" x14ac:dyDescent="0.4">
      <c r="A1" s="85" t="s">
        <v>0</v>
      </c>
      <c r="B1" s="86"/>
      <c r="C1" s="5" t="s">
        <v>94</v>
      </c>
      <c r="D1" s="5" t="s">
        <v>1</v>
      </c>
      <c r="E1" s="5" t="s">
        <v>2</v>
      </c>
      <c r="F1" s="6"/>
      <c r="G1" s="6"/>
      <c r="H1" s="6"/>
      <c r="I1" s="6"/>
      <c r="J1" s="6"/>
      <c r="K1" s="6"/>
      <c r="L1" s="6"/>
      <c r="M1" s="6"/>
      <c r="N1" s="6"/>
      <c r="O1" s="7"/>
      <c r="P1" s="34"/>
      <c r="Q1" s="8"/>
      <c r="R1" s="8"/>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row>
    <row r="2" spans="1:54" ht="56.25" customHeight="1" collapsed="1" thickBot="1" x14ac:dyDescent="0.3">
      <c r="A2" s="82" t="s">
        <v>201</v>
      </c>
      <c r="B2" t="e" vm="1">
        <v>#VALUE!</v>
      </c>
      <c r="C2" s="28">
        <v>1</v>
      </c>
      <c r="D2" s="15" t="s">
        <v>6</v>
      </c>
      <c r="E2" s="15">
        <v>2297</v>
      </c>
      <c r="F2" s="2"/>
      <c r="G2" s="2"/>
      <c r="H2" s="2"/>
      <c r="I2" s="2"/>
      <c r="J2" s="2"/>
      <c r="K2" s="2"/>
      <c r="L2" s="2"/>
      <c r="M2" s="2"/>
      <c r="N2" s="2"/>
      <c r="O2" s="2"/>
      <c r="P2" s="34" t="s">
        <v>207</v>
      </c>
      <c r="Q2" s="33" t="s">
        <v>171</v>
      </c>
    </row>
    <row r="3" spans="1:54" ht="45" hidden="1" customHeight="1" outlineLevel="1" thickBot="1" x14ac:dyDescent="0.3">
      <c r="A3" s="83"/>
      <c r="B3" s="19" t="s">
        <v>38</v>
      </c>
      <c r="C3" s="10"/>
      <c r="D3" s="9" t="s">
        <v>270</v>
      </c>
      <c r="E3" s="78" t="s">
        <v>3</v>
      </c>
      <c r="F3" s="78"/>
      <c r="G3" s="78"/>
      <c r="H3" s="78"/>
      <c r="I3" s="10" t="s">
        <v>32</v>
      </c>
      <c r="J3" s="9" t="s">
        <v>13</v>
      </c>
      <c r="K3" s="9" t="s">
        <v>7</v>
      </c>
      <c r="L3" s="9" t="s">
        <v>302</v>
      </c>
      <c r="M3" s="9" t="s">
        <v>303</v>
      </c>
      <c r="N3" s="78" t="s">
        <v>4</v>
      </c>
      <c r="O3" s="79"/>
    </row>
    <row r="4" spans="1:54" ht="15" hidden="1" customHeight="1" outlineLevel="1" thickBot="1" x14ac:dyDescent="0.4">
      <c r="A4" s="83"/>
      <c r="B4" s="11"/>
      <c r="C4" s="26"/>
      <c r="D4" s="12"/>
      <c r="E4" s="80"/>
      <c r="F4" s="80"/>
      <c r="G4" s="80"/>
      <c r="H4" s="80"/>
      <c r="I4" s="13"/>
      <c r="J4" s="12" t="s">
        <v>16</v>
      </c>
      <c r="K4" s="12" t="s">
        <v>17</v>
      </c>
      <c r="L4" s="12" t="s">
        <v>31</v>
      </c>
      <c r="M4" s="12" t="s">
        <v>14</v>
      </c>
      <c r="N4" s="14" t="s">
        <v>12</v>
      </c>
      <c r="O4" s="65" t="s">
        <v>13</v>
      </c>
    </row>
    <row r="5" spans="1:54" ht="45" hidden="1" customHeight="1" outlineLevel="1" x14ac:dyDescent="0.25">
      <c r="A5" s="83"/>
      <c r="B5" s="35" t="s">
        <v>202</v>
      </c>
      <c r="C5" s="36" t="b">
        <v>0</v>
      </c>
      <c r="D5" s="16" t="s">
        <v>9</v>
      </c>
      <c r="E5" s="81" t="s">
        <v>105</v>
      </c>
      <c r="F5" s="81"/>
      <c r="G5" s="81"/>
      <c r="H5" s="81"/>
      <c r="I5" s="20">
        <v>4</v>
      </c>
      <c r="J5" s="4">
        <f>C2*48.8</f>
        <v>48.8</v>
      </c>
      <c r="K5" s="4">
        <f>C2*0.242</f>
        <v>0.24199999999999999</v>
      </c>
      <c r="L5" s="4">
        <f>C2*0.108</f>
        <v>0.108</v>
      </c>
      <c r="M5" s="4">
        <f>C2*18.5</f>
        <v>18.5</v>
      </c>
      <c r="N5" s="4" t="str">
        <f>_xlfn.XLOOKUP(O4,J3:M3,J4:M4)</f>
        <v>[kg CO2 eq]</v>
      </c>
      <c r="O5" s="4">
        <f>_xlfn.XLOOKUP(O$4,J$3:M$3,J5:M5)</f>
        <v>48.8</v>
      </c>
    </row>
    <row r="6" spans="1:54" ht="45" hidden="1" customHeight="1" outlineLevel="1" x14ac:dyDescent="0.25">
      <c r="A6" s="83"/>
      <c r="B6" s="40" t="s">
        <v>203</v>
      </c>
      <c r="C6" s="37" t="b">
        <v>0</v>
      </c>
      <c r="D6" s="16" t="s">
        <v>102</v>
      </c>
      <c r="E6" s="81" t="s">
        <v>106</v>
      </c>
      <c r="F6" s="81"/>
      <c r="G6" s="81"/>
      <c r="H6" s="81"/>
      <c r="I6" s="20">
        <v>1</v>
      </c>
      <c r="J6" s="4">
        <f>C2*-16.4</f>
        <v>-16.399999999999999</v>
      </c>
      <c r="K6" s="4">
        <f>C2*-3.56</f>
        <v>-3.56</v>
      </c>
      <c r="L6" s="4">
        <f>C2*-1.93</f>
        <v>-1.93</v>
      </c>
      <c r="M6" s="4">
        <f>C2*1.53</f>
        <v>1.53</v>
      </c>
      <c r="N6" s="3"/>
      <c r="O6" s="4">
        <f>_xlfn.XLOOKUP(O$4,J$3:M$3,J6:M6)</f>
        <v>-16.399999999999999</v>
      </c>
    </row>
    <row r="7" spans="1:54" ht="45" hidden="1" customHeight="1" outlineLevel="1" thickBot="1" x14ac:dyDescent="0.3">
      <c r="A7" s="88"/>
      <c r="B7" s="38" t="s">
        <v>204</v>
      </c>
      <c r="C7" s="39" t="b">
        <v>0</v>
      </c>
      <c r="D7" s="16" t="s">
        <v>103</v>
      </c>
      <c r="E7" s="81" t="s">
        <v>107</v>
      </c>
      <c r="F7" s="81"/>
      <c r="G7" s="81"/>
      <c r="H7" s="81"/>
      <c r="I7" s="20">
        <v>2</v>
      </c>
      <c r="J7" s="4">
        <f>C2*-16.4</f>
        <v>-16.399999999999999</v>
      </c>
      <c r="K7" s="4">
        <f>C2*-3.56</f>
        <v>-3.56</v>
      </c>
      <c r="L7" s="4">
        <f>C2*-1.93</f>
        <v>-1.93</v>
      </c>
      <c r="M7" s="4">
        <f>C2*1.53</f>
        <v>1.53</v>
      </c>
      <c r="N7" s="3"/>
      <c r="O7" s="4">
        <f>_xlfn.XLOOKUP(O$4,J$3:M$3,J7:M7)</f>
        <v>-16.399999999999999</v>
      </c>
      <c r="P7" s="34" t="s">
        <v>208</v>
      </c>
    </row>
    <row r="8" spans="1:54" ht="56.25" customHeight="1" collapsed="1" thickBot="1" x14ac:dyDescent="0.3">
      <c r="A8" s="82" t="s">
        <v>197</v>
      </c>
      <c r="B8" t="e" vm="1">
        <v>#VALUE!</v>
      </c>
      <c r="C8" s="28">
        <v>1</v>
      </c>
      <c r="D8" s="15" t="s">
        <v>6</v>
      </c>
      <c r="E8" s="15">
        <v>2267</v>
      </c>
      <c r="F8" s="2"/>
      <c r="G8" s="2"/>
      <c r="H8" s="2"/>
      <c r="I8" s="2"/>
      <c r="J8" s="2"/>
      <c r="K8" s="2"/>
      <c r="L8" s="2"/>
      <c r="M8" s="2"/>
      <c r="N8" s="2"/>
      <c r="O8" s="2"/>
      <c r="P8" s="34" t="s">
        <v>205</v>
      </c>
      <c r="Q8" s="33" t="s">
        <v>171</v>
      </c>
    </row>
    <row r="9" spans="1:54" ht="45" hidden="1" customHeight="1" outlineLevel="1" thickBot="1" x14ac:dyDescent="0.3">
      <c r="A9" s="83"/>
      <c r="B9" s="19" t="s">
        <v>38</v>
      </c>
      <c r="C9" s="10"/>
      <c r="D9" s="9" t="s">
        <v>270</v>
      </c>
      <c r="E9" s="78" t="s">
        <v>3</v>
      </c>
      <c r="F9" s="78"/>
      <c r="G9" s="78"/>
      <c r="H9" s="78"/>
      <c r="I9" s="10" t="s">
        <v>32</v>
      </c>
      <c r="J9" s="9" t="s">
        <v>13</v>
      </c>
      <c r="K9" s="9" t="s">
        <v>7</v>
      </c>
      <c r="L9" s="9" t="s">
        <v>302</v>
      </c>
      <c r="M9" s="9" t="s">
        <v>303</v>
      </c>
      <c r="N9" s="78" t="s">
        <v>4</v>
      </c>
      <c r="O9" s="79"/>
    </row>
    <row r="10" spans="1:54" ht="15" hidden="1" customHeight="1" outlineLevel="1" thickBot="1" x14ac:dyDescent="0.4">
      <c r="A10" s="83"/>
      <c r="B10" s="11"/>
      <c r="C10" s="26"/>
      <c r="D10" s="12"/>
      <c r="E10" s="80"/>
      <c r="F10" s="80"/>
      <c r="G10" s="80"/>
      <c r="H10" s="80"/>
      <c r="I10" s="13"/>
      <c r="J10" s="12" t="s">
        <v>16</v>
      </c>
      <c r="K10" s="12" t="s">
        <v>17</v>
      </c>
      <c r="L10" s="12" t="s">
        <v>31</v>
      </c>
      <c r="M10" s="12" t="s">
        <v>14</v>
      </c>
      <c r="N10" s="14" t="s">
        <v>12</v>
      </c>
      <c r="O10" s="65" t="s">
        <v>13</v>
      </c>
    </row>
    <row r="11" spans="1:54" ht="45" hidden="1" customHeight="1" outlineLevel="1" x14ac:dyDescent="0.25">
      <c r="A11" s="83"/>
      <c r="B11" s="35" t="s">
        <v>198</v>
      </c>
      <c r="C11" s="36" t="b">
        <v>0</v>
      </c>
      <c r="D11" s="16" t="s">
        <v>9</v>
      </c>
      <c r="E11" s="81" t="s">
        <v>105</v>
      </c>
      <c r="F11" s="81"/>
      <c r="G11" s="81"/>
      <c r="H11" s="81"/>
      <c r="I11" s="20">
        <v>4</v>
      </c>
      <c r="J11" s="4">
        <f>C8*48.1</f>
        <v>48.1</v>
      </c>
      <c r="K11" s="4">
        <f>C8*0.235</f>
        <v>0.23499999999999999</v>
      </c>
      <c r="L11" s="4">
        <f>C8*0.107</f>
        <v>0.107</v>
      </c>
      <c r="M11" s="4">
        <f>C8*18.3</f>
        <v>18.3</v>
      </c>
      <c r="N11" s="4" t="str">
        <f>_xlfn.XLOOKUP(O10,J9:M9,J10:M10)</f>
        <v>[kg CO2 eq]</v>
      </c>
      <c r="O11" s="4">
        <f>_xlfn.XLOOKUP(O$10,J$9:M$9,J11:M11)</f>
        <v>48.1</v>
      </c>
    </row>
    <row r="12" spans="1:54" ht="45" hidden="1" customHeight="1" outlineLevel="1" x14ac:dyDescent="0.25">
      <c r="A12" s="83"/>
      <c r="B12" s="40" t="s">
        <v>199</v>
      </c>
      <c r="C12" s="37" t="b">
        <v>0</v>
      </c>
      <c r="D12" s="16" t="s">
        <v>102</v>
      </c>
      <c r="E12" s="81" t="s">
        <v>106</v>
      </c>
      <c r="F12" s="81"/>
      <c r="G12" s="81"/>
      <c r="H12" s="81"/>
      <c r="I12" s="20">
        <v>1</v>
      </c>
      <c r="J12" s="4">
        <f>C8*13.5</f>
        <v>13.5</v>
      </c>
      <c r="K12" s="4">
        <f>C8*-3.12</f>
        <v>-3.12</v>
      </c>
      <c r="L12" s="4">
        <f>C8*-0.0563</f>
        <v>-5.6300000000000003E-2</v>
      </c>
      <c r="M12" s="56">
        <f>C8*5.5</f>
        <v>5.5</v>
      </c>
      <c r="N12" s="3"/>
      <c r="O12" s="4">
        <f t="shared" ref="O12" si="0">_xlfn.XLOOKUP(O$10,J$9:M$9,J12:M12)</f>
        <v>13.5</v>
      </c>
    </row>
    <row r="13" spans="1:54" ht="45" hidden="1" customHeight="1" outlineLevel="1" thickBot="1" x14ac:dyDescent="0.3">
      <c r="A13" s="88"/>
      <c r="B13" s="38" t="s">
        <v>200</v>
      </c>
      <c r="C13" s="39" t="b">
        <v>0</v>
      </c>
      <c r="D13" s="16" t="s">
        <v>103</v>
      </c>
      <c r="E13" s="81" t="s">
        <v>107</v>
      </c>
      <c r="F13" s="81"/>
      <c r="G13" s="81"/>
      <c r="H13" s="81"/>
      <c r="I13" s="20">
        <v>2</v>
      </c>
      <c r="J13" s="4">
        <f>C8*13.5</f>
        <v>13.5</v>
      </c>
      <c r="K13" s="4">
        <f>C8*-3.12</f>
        <v>-3.12</v>
      </c>
      <c r="L13" s="4">
        <f>C8*-0.0563</f>
        <v>-5.6300000000000003E-2</v>
      </c>
      <c r="M13" s="56">
        <f>C8*5.5</f>
        <v>5.5</v>
      </c>
      <c r="N13" s="3"/>
      <c r="O13" s="4">
        <f t="shared" ref="O13" si="1">_xlfn.XLOOKUP(O$10,J$9:M$9,J13:M13)</f>
        <v>13.5</v>
      </c>
      <c r="P13" s="34" t="s">
        <v>206</v>
      </c>
    </row>
    <row r="14" spans="1:54" ht="56.25" customHeight="1" collapsed="1" thickBot="1" x14ac:dyDescent="0.3">
      <c r="A14" s="76" t="s">
        <v>34</v>
      </c>
      <c r="B14" t="e" vm="2">
        <v>#VALUE!</v>
      </c>
      <c r="C14" s="28">
        <v>1</v>
      </c>
      <c r="D14" s="15" t="s">
        <v>6</v>
      </c>
      <c r="E14" s="15">
        <v>2327</v>
      </c>
      <c r="F14" s="2"/>
      <c r="G14" s="2"/>
      <c r="H14" s="2"/>
      <c r="I14" s="2"/>
      <c r="J14" s="2"/>
      <c r="K14" s="2"/>
      <c r="L14" s="2"/>
      <c r="M14" s="2"/>
      <c r="N14" s="2"/>
      <c r="O14" s="2"/>
      <c r="P14" s="34" t="s">
        <v>80</v>
      </c>
      <c r="Q14" s="18" t="s">
        <v>172</v>
      </c>
    </row>
    <row r="15" spans="1:54" ht="45" hidden="1" customHeight="1" outlineLevel="1" thickBot="1" x14ac:dyDescent="0.3">
      <c r="A15" s="77"/>
      <c r="B15" s="19" t="s">
        <v>38</v>
      </c>
      <c r="C15" s="27"/>
      <c r="D15" s="9" t="s">
        <v>270</v>
      </c>
      <c r="E15" s="78" t="s">
        <v>3</v>
      </c>
      <c r="F15" s="78"/>
      <c r="G15" s="78"/>
      <c r="H15" s="78"/>
      <c r="I15" s="10" t="s">
        <v>32</v>
      </c>
      <c r="J15" s="9" t="s">
        <v>13</v>
      </c>
      <c r="K15" s="9" t="s">
        <v>7</v>
      </c>
      <c r="L15" s="9" t="s">
        <v>302</v>
      </c>
      <c r="M15" s="9" t="s">
        <v>303</v>
      </c>
      <c r="N15" s="78" t="s">
        <v>4</v>
      </c>
      <c r="O15" s="79"/>
    </row>
    <row r="16" spans="1:54" ht="15" hidden="1" customHeight="1" outlineLevel="1" thickBot="1" x14ac:dyDescent="0.4">
      <c r="A16" s="77"/>
      <c r="B16" s="11"/>
      <c r="C16" s="26"/>
      <c r="D16" s="12"/>
      <c r="E16" s="80"/>
      <c r="F16" s="80"/>
      <c r="G16" s="80"/>
      <c r="H16" s="80"/>
      <c r="I16" s="13"/>
      <c r="J16" s="12" t="s">
        <v>16</v>
      </c>
      <c r="K16" s="12" t="s">
        <v>17</v>
      </c>
      <c r="L16" s="12" t="s">
        <v>31</v>
      </c>
      <c r="M16" s="12" t="s">
        <v>14</v>
      </c>
      <c r="N16" s="14" t="s">
        <v>12</v>
      </c>
      <c r="O16" s="65" t="s">
        <v>13</v>
      </c>
    </row>
    <row r="17" spans="1:17" ht="45" hidden="1" customHeight="1" outlineLevel="1" x14ac:dyDescent="0.25">
      <c r="A17" s="77"/>
      <c r="B17" s="35" t="s">
        <v>96</v>
      </c>
      <c r="C17" s="36" t="b">
        <v>0</v>
      </c>
      <c r="D17" s="16" t="s">
        <v>9</v>
      </c>
      <c r="E17" s="81" t="s">
        <v>105</v>
      </c>
      <c r="F17" s="81"/>
      <c r="G17" s="81"/>
      <c r="H17" s="81"/>
      <c r="I17" s="20">
        <v>4</v>
      </c>
      <c r="J17" s="4">
        <f>C14*49.4</f>
        <v>49.4</v>
      </c>
      <c r="K17" s="4">
        <f>C14*0.241</f>
        <v>0.24099999999999999</v>
      </c>
      <c r="L17" s="4">
        <f>C14*0.109</f>
        <v>0.109</v>
      </c>
      <c r="M17" s="4">
        <f>C14*18.7</f>
        <v>18.7</v>
      </c>
      <c r="N17" s="4" t="str">
        <f>_xlfn.XLOOKUP(O$16,J$15:M$15,J$16:M$16)</f>
        <v>[kg CO2 eq]</v>
      </c>
      <c r="O17" s="4">
        <f>_xlfn.XLOOKUP(O$16,J$15:M$15,J17:M17)</f>
        <v>49.4</v>
      </c>
    </row>
    <row r="18" spans="1:17" ht="45" hidden="1" customHeight="1" outlineLevel="1" x14ac:dyDescent="0.25">
      <c r="A18" s="77"/>
      <c r="B18" s="40" t="s">
        <v>97</v>
      </c>
      <c r="C18" s="37" t="b">
        <v>0</v>
      </c>
      <c r="D18" s="16" t="s">
        <v>102</v>
      </c>
      <c r="E18" s="81" t="s">
        <v>106</v>
      </c>
      <c r="F18" s="81"/>
      <c r="G18" s="81"/>
      <c r="H18" s="81"/>
      <c r="I18" s="20">
        <v>1</v>
      </c>
      <c r="J18" s="4">
        <f>C14*-46.1</f>
        <v>-46.1</v>
      </c>
      <c r="K18" s="56">
        <f>C14*-4</f>
        <v>-4</v>
      </c>
      <c r="L18" s="4">
        <f>C14*-3.81</f>
        <v>-3.81</v>
      </c>
      <c r="M18" s="56">
        <f>C14*-2.4</f>
        <v>-2.4</v>
      </c>
      <c r="N18" s="3"/>
      <c r="O18" s="4">
        <f t="shared" ref="O18:O20" si="2">_xlfn.XLOOKUP(O$16,J$15:M$15,J18:M18)</f>
        <v>-46.1</v>
      </c>
    </row>
    <row r="19" spans="1:17" ht="45" hidden="1" customHeight="1" outlineLevel="1" x14ac:dyDescent="0.25">
      <c r="A19" s="77"/>
      <c r="B19" s="38" t="s">
        <v>104</v>
      </c>
      <c r="C19" s="39" t="b">
        <v>0</v>
      </c>
      <c r="D19" s="16" t="s">
        <v>103</v>
      </c>
      <c r="E19" s="81" t="s">
        <v>107</v>
      </c>
      <c r="F19" s="81"/>
      <c r="G19" s="81"/>
      <c r="H19" s="81"/>
      <c r="I19" s="20">
        <v>2</v>
      </c>
      <c r="J19" s="4">
        <f>C14*-46.1</f>
        <v>-46.1</v>
      </c>
      <c r="K19" s="56">
        <f>C14*-4</f>
        <v>-4</v>
      </c>
      <c r="L19" s="4">
        <f>C14*-3.81</f>
        <v>-3.81</v>
      </c>
      <c r="M19" s="56">
        <f>C14*-2.4</f>
        <v>-2.4</v>
      </c>
      <c r="N19" s="3"/>
      <c r="O19" s="4">
        <f t="shared" si="2"/>
        <v>-46.1</v>
      </c>
    </row>
    <row r="20" spans="1:17" ht="45" hidden="1" customHeight="1" outlineLevel="1" thickBot="1" x14ac:dyDescent="0.3">
      <c r="A20" s="77"/>
      <c r="B20" s="38" t="s">
        <v>98</v>
      </c>
      <c r="C20" s="39" t="b">
        <v>0</v>
      </c>
      <c r="D20" s="16" t="s">
        <v>22</v>
      </c>
      <c r="E20" s="81" t="s">
        <v>108</v>
      </c>
      <c r="F20" s="81"/>
      <c r="G20" s="81"/>
      <c r="H20" s="81"/>
      <c r="I20" s="20">
        <v>0</v>
      </c>
      <c r="J20" s="4">
        <f>C14*-702</f>
        <v>-702</v>
      </c>
      <c r="K20" s="4">
        <f>C14*-20.8</f>
        <v>-20.8</v>
      </c>
      <c r="L20" s="4">
        <f>C14*-6.88</f>
        <v>-6.88</v>
      </c>
      <c r="M20" s="4">
        <f>C14*-150</f>
        <v>-150</v>
      </c>
      <c r="N20" s="3"/>
      <c r="O20" s="4">
        <f t="shared" si="2"/>
        <v>-702</v>
      </c>
      <c r="P20" s="34" t="s">
        <v>81</v>
      </c>
    </row>
    <row r="21" spans="1:17" ht="56.25" customHeight="1" collapsed="1" thickBot="1" x14ac:dyDescent="0.3">
      <c r="A21" s="76" t="s">
        <v>240</v>
      </c>
      <c r="B21" t="e" vm="3">
        <v>#VALUE!</v>
      </c>
      <c r="C21" s="28">
        <v>1</v>
      </c>
      <c r="D21" s="15" t="s">
        <v>6</v>
      </c>
      <c r="E21" s="15">
        <v>1471</v>
      </c>
      <c r="F21" s="2"/>
      <c r="G21" s="2"/>
      <c r="H21" s="2"/>
      <c r="I21" s="2"/>
      <c r="J21" s="2"/>
      <c r="K21" s="2"/>
      <c r="L21" s="2"/>
      <c r="M21" s="2"/>
      <c r="N21" s="2"/>
      <c r="O21" s="2"/>
      <c r="P21" s="34" t="s">
        <v>245</v>
      </c>
      <c r="Q21" s="18" t="s">
        <v>247</v>
      </c>
    </row>
    <row r="22" spans="1:17" ht="45" hidden="1" customHeight="1" outlineLevel="1" thickBot="1" x14ac:dyDescent="0.3">
      <c r="A22" s="77"/>
      <c r="B22" s="19" t="s">
        <v>38</v>
      </c>
      <c r="C22" s="27"/>
      <c r="D22" s="9" t="s">
        <v>270</v>
      </c>
      <c r="E22" s="78" t="s">
        <v>3</v>
      </c>
      <c r="F22" s="78"/>
      <c r="G22" s="78"/>
      <c r="H22" s="78"/>
      <c r="I22" s="10" t="s">
        <v>32</v>
      </c>
      <c r="J22" s="9" t="s">
        <v>13</v>
      </c>
      <c r="K22" s="9" t="s">
        <v>7</v>
      </c>
      <c r="L22" s="9" t="s">
        <v>302</v>
      </c>
      <c r="M22" s="9" t="s">
        <v>303</v>
      </c>
      <c r="N22" s="78" t="s">
        <v>4</v>
      </c>
      <c r="O22" s="79"/>
    </row>
    <row r="23" spans="1:17" ht="15" hidden="1" customHeight="1" outlineLevel="1" thickBot="1" x14ac:dyDescent="0.4">
      <c r="A23" s="77"/>
      <c r="B23" s="11"/>
      <c r="C23" s="26"/>
      <c r="D23" s="12"/>
      <c r="E23" s="80"/>
      <c r="F23" s="80"/>
      <c r="G23" s="80"/>
      <c r="H23" s="80"/>
      <c r="I23" s="13"/>
      <c r="J23" s="12" t="s">
        <v>16</v>
      </c>
      <c r="K23" s="12" t="s">
        <v>17</v>
      </c>
      <c r="L23" s="12" t="s">
        <v>31</v>
      </c>
      <c r="M23" s="12" t="s">
        <v>14</v>
      </c>
      <c r="N23" s="14" t="s">
        <v>12</v>
      </c>
      <c r="O23" s="65" t="s">
        <v>13</v>
      </c>
    </row>
    <row r="24" spans="1:17" ht="45" hidden="1" customHeight="1" outlineLevel="1" x14ac:dyDescent="0.25">
      <c r="A24" s="77"/>
      <c r="B24" s="35" t="s">
        <v>241</v>
      </c>
      <c r="C24" s="36" t="b">
        <v>0</v>
      </c>
      <c r="D24" s="16" t="s">
        <v>9</v>
      </c>
      <c r="E24" s="81" t="s">
        <v>105</v>
      </c>
      <c r="F24" s="81"/>
      <c r="G24" s="81"/>
      <c r="H24" s="81"/>
      <c r="I24" s="20">
        <v>4</v>
      </c>
      <c r="J24" s="4">
        <f>C21*33.7</f>
        <v>33.700000000000003</v>
      </c>
      <c r="K24" s="4">
        <f>C21*0.994</f>
        <v>0.99399999999999999</v>
      </c>
      <c r="L24" s="4">
        <f>C21*0.114</f>
        <v>0.114</v>
      </c>
      <c r="M24" s="4">
        <f>C21*12.4</f>
        <v>12.4</v>
      </c>
      <c r="N24" s="4" t="str">
        <f>_xlfn.XLOOKUP(O$23,J$22:M$22,J$23:M$23)</f>
        <v>[kg CO2 eq]</v>
      </c>
      <c r="O24" s="4">
        <f>_xlfn.XLOOKUP(O$23,J$22:M$22,J24:M24)</f>
        <v>33.700000000000003</v>
      </c>
    </row>
    <row r="25" spans="1:17" ht="45" hidden="1" customHeight="1" outlineLevel="1" x14ac:dyDescent="0.25">
      <c r="A25" s="77"/>
      <c r="B25" s="40" t="s">
        <v>242</v>
      </c>
      <c r="C25" s="37" t="b">
        <v>0</v>
      </c>
      <c r="D25" s="16" t="s">
        <v>102</v>
      </c>
      <c r="E25" s="81" t="s">
        <v>106</v>
      </c>
      <c r="F25" s="81"/>
      <c r="G25" s="81"/>
      <c r="H25" s="81"/>
      <c r="I25" s="20">
        <v>1</v>
      </c>
      <c r="J25" s="4">
        <f>C21*-18.2</f>
        <v>-18.2</v>
      </c>
      <c r="K25" s="56">
        <f>C21*-1.58</f>
        <v>-1.58</v>
      </c>
      <c r="L25" s="4">
        <f>C21*-1.83</f>
        <v>-1.83</v>
      </c>
      <c r="M25" s="56">
        <f>C21*-0.177</f>
        <v>-0.17699999999999999</v>
      </c>
      <c r="N25" s="3"/>
      <c r="O25" s="4">
        <f t="shared" ref="O25:O27" si="3">_xlfn.XLOOKUP(O$23,J$22:M$22,J25:M25)</f>
        <v>-18.2</v>
      </c>
    </row>
    <row r="26" spans="1:17" ht="45" hidden="1" customHeight="1" outlineLevel="1" x14ac:dyDescent="0.25">
      <c r="A26" s="77"/>
      <c r="B26" s="38" t="s">
        <v>243</v>
      </c>
      <c r="C26" s="39" t="b">
        <v>0</v>
      </c>
      <c r="D26" s="16" t="s">
        <v>103</v>
      </c>
      <c r="E26" s="81" t="s">
        <v>107</v>
      </c>
      <c r="F26" s="81"/>
      <c r="G26" s="81"/>
      <c r="H26" s="81"/>
      <c r="I26" s="20">
        <v>2</v>
      </c>
      <c r="J26" s="4">
        <f>C21*-18.2</f>
        <v>-18.2</v>
      </c>
      <c r="K26" s="56">
        <f>C21*-1.58</f>
        <v>-1.58</v>
      </c>
      <c r="L26" s="4">
        <f>C21*-1.83</f>
        <v>-1.83</v>
      </c>
      <c r="M26" s="56">
        <f>C21*-0.177</f>
        <v>-0.17699999999999999</v>
      </c>
      <c r="N26" s="3"/>
      <c r="O26" s="4">
        <f t="shared" si="3"/>
        <v>-18.2</v>
      </c>
    </row>
    <row r="27" spans="1:17" ht="45" hidden="1" customHeight="1" outlineLevel="1" thickBot="1" x14ac:dyDescent="0.3">
      <c r="A27" s="77"/>
      <c r="B27" s="38" t="s">
        <v>244</v>
      </c>
      <c r="C27" s="39" t="b">
        <v>0</v>
      </c>
      <c r="D27" s="16" t="s">
        <v>22</v>
      </c>
      <c r="E27" s="81" t="s">
        <v>108</v>
      </c>
      <c r="F27" s="81"/>
      <c r="G27" s="81"/>
      <c r="H27" s="81"/>
      <c r="I27" s="20">
        <v>0</v>
      </c>
      <c r="J27" s="4">
        <f>C21*-437</f>
        <v>-437</v>
      </c>
      <c r="K27" s="4">
        <f>C21*-12.2</f>
        <v>-12.2</v>
      </c>
      <c r="L27" s="4">
        <f>C21*-4.17</f>
        <v>-4.17</v>
      </c>
      <c r="M27" s="4">
        <f>C21*-93.5</f>
        <v>-93.5</v>
      </c>
      <c r="N27" s="3"/>
      <c r="O27" s="4">
        <f t="shared" si="3"/>
        <v>-437</v>
      </c>
      <c r="P27" s="34" t="s">
        <v>246</v>
      </c>
    </row>
    <row r="28" spans="1:17" ht="56.25" customHeight="1" collapsed="1" thickBot="1" x14ac:dyDescent="0.3">
      <c r="A28" s="76" t="s">
        <v>35</v>
      </c>
      <c r="B28" t="e" vm="4">
        <v>#VALUE!</v>
      </c>
      <c r="C28" s="28">
        <v>1</v>
      </c>
      <c r="D28" s="15" t="s">
        <v>28</v>
      </c>
      <c r="E28" s="15">
        <v>1</v>
      </c>
      <c r="F28" s="2"/>
      <c r="G28" s="2"/>
      <c r="H28" s="2"/>
      <c r="I28" s="2"/>
      <c r="J28" s="2"/>
      <c r="K28" s="2"/>
      <c r="L28" s="2"/>
      <c r="M28" s="2"/>
      <c r="N28" s="2"/>
      <c r="O28" s="2"/>
      <c r="P28" s="34" t="s">
        <v>92</v>
      </c>
      <c r="Q28" s="18" t="s">
        <v>173</v>
      </c>
    </row>
    <row r="29" spans="1:17" ht="45" hidden="1" customHeight="1" outlineLevel="1" thickBot="1" x14ac:dyDescent="0.3">
      <c r="A29" s="77"/>
      <c r="B29" s="19" t="s">
        <v>38</v>
      </c>
      <c r="C29" s="27"/>
      <c r="D29" s="9" t="s">
        <v>270</v>
      </c>
      <c r="E29" s="78" t="s">
        <v>3</v>
      </c>
      <c r="F29" s="78"/>
      <c r="G29" s="78"/>
      <c r="H29" s="78"/>
      <c r="I29" s="10" t="s">
        <v>32</v>
      </c>
      <c r="J29" s="9" t="s">
        <v>13</v>
      </c>
      <c r="K29" s="9" t="s">
        <v>7</v>
      </c>
      <c r="L29" s="9" t="s">
        <v>302</v>
      </c>
      <c r="M29" s="9" t="s">
        <v>303</v>
      </c>
      <c r="N29" s="78" t="s">
        <v>4</v>
      </c>
      <c r="O29" s="79"/>
    </row>
    <row r="30" spans="1:17" ht="15" hidden="1" customHeight="1" outlineLevel="1" thickBot="1" x14ac:dyDescent="0.4">
      <c r="A30" s="77"/>
      <c r="B30" s="11"/>
      <c r="C30" s="26"/>
      <c r="D30" s="12"/>
      <c r="E30" s="80"/>
      <c r="F30" s="80"/>
      <c r="G30" s="80"/>
      <c r="H30" s="80"/>
      <c r="I30" s="13"/>
      <c r="J30" s="12" t="s">
        <v>16</v>
      </c>
      <c r="K30" s="12" t="s">
        <v>17</v>
      </c>
      <c r="L30" s="12" t="s">
        <v>31</v>
      </c>
      <c r="M30" s="12" t="s">
        <v>14</v>
      </c>
      <c r="N30" s="14" t="s">
        <v>12</v>
      </c>
      <c r="O30" s="65" t="s">
        <v>13</v>
      </c>
    </row>
    <row r="31" spans="1:17" ht="45" hidden="1" customHeight="1" outlineLevel="1" x14ac:dyDescent="0.25">
      <c r="A31" s="77"/>
      <c r="B31" s="32" t="s">
        <v>99</v>
      </c>
      <c r="C31" s="36" t="b">
        <v>0</v>
      </c>
      <c r="D31" s="16" t="s">
        <v>9</v>
      </c>
      <c r="E31" s="81" t="s">
        <v>109</v>
      </c>
      <c r="F31" s="81"/>
      <c r="G31" s="81"/>
      <c r="H31" s="81"/>
      <c r="I31" s="20">
        <v>4</v>
      </c>
      <c r="J31" s="4">
        <f>E28*0.0212</f>
        <v>2.12E-2</v>
      </c>
      <c r="K31" s="4">
        <f>C28*0.000105</f>
        <v>1.05E-4</v>
      </c>
      <c r="L31" s="4">
        <f>C28*0.0000471</f>
        <v>4.71E-5</v>
      </c>
      <c r="M31" s="4">
        <f>C28*0.00806</f>
        <v>8.0599999999999995E-3</v>
      </c>
      <c r="N31" s="4" t="str">
        <f>_xlfn.XLOOKUP(O$30,J$29:M$29,J$30:M$30)</f>
        <v>[kg CO2 eq]</v>
      </c>
      <c r="O31" s="4">
        <f>_xlfn.XLOOKUP(O$30,J$29:M$29,J31:M31)</f>
        <v>2.12E-2</v>
      </c>
    </row>
    <row r="32" spans="1:17" ht="45" hidden="1" customHeight="1" outlineLevel="1" x14ac:dyDescent="0.25">
      <c r="A32" s="77"/>
      <c r="B32" s="31" t="s">
        <v>100</v>
      </c>
      <c r="C32" s="37" t="b">
        <v>0</v>
      </c>
      <c r="D32" s="17" t="s">
        <v>11</v>
      </c>
      <c r="E32" s="81" t="s">
        <v>110</v>
      </c>
      <c r="F32" s="81"/>
      <c r="G32" s="81"/>
      <c r="H32" s="81"/>
      <c r="I32" s="20">
        <v>1</v>
      </c>
      <c r="J32" s="3">
        <f>C28*-1.02</f>
        <v>-1.02</v>
      </c>
      <c r="K32" s="3">
        <f>C28*-0.0155</f>
        <v>-1.55E-2</v>
      </c>
      <c r="L32" s="3">
        <f>C28*-0.0626</f>
        <v>-6.2600000000000003E-2</v>
      </c>
      <c r="M32" s="3">
        <f>C28*-0.139</f>
        <v>-0.13900000000000001</v>
      </c>
      <c r="N32" s="3"/>
      <c r="O32" s="4">
        <f t="shared" ref="O32:O33" si="4">_xlfn.XLOOKUP(O$30,J$29:M$29,J32:M32)</f>
        <v>-1.02</v>
      </c>
    </row>
    <row r="33" spans="1:17" ht="45" hidden="1" customHeight="1" outlineLevel="1" thickBot="1" x14ac:dyDescent="0.3">
      <c r="A33" s="77"/>
      <c r="B33" s="31" t="s">
        <v>101</v>
      </c>
      <c r="C33" s="37" t="b">
        <v>0</v>
      </c>
      <c r="D33" s="17" t="s">
        <v>22</v>
      </c>
      <c r="E33" s="81" t="s">
        <v>111</v>
      </c>
      <c r="F33" s="81"/>
      <c r="G33" s="81"/>
      <c r="H33" s="81"/>
      <c r="I33" s="20">
        <v>0</v>
      </c>
      <c r="J33" s="3">
        <f>C28*-2.14</f>
        <v>-2.14</v>
      </c>
      <c r="K33" s="3">
        <f>C28*-0.0536</f>
        <v>-5.3600000000000002E-2</v>
      </c>
      <c r="L33" s="3">
        <f>C28*-0.101</f>
        <v>-0.10100000000000001</v>
      </c>
      <c r="M33" s="3">
        <f>C28*-0.505</f>
        <v>-0.505</v>
      </c>
      <c r="N33" s="3"/>
      <c r="O33" s="4">
        <f t="shared" si="4"/>
        <v>-2.14</v>
      </c>
      <c r="P33" s="34" t="s">
        <v>93</v>
      </c>
    </row>
    <row r="34" spans="1:17" ht="56.25" customHeight="1" collapsed="1" thickBot="1" x14ac:dyDescent="0.3">
      <c r="A34" s="76" t="s">
        <v>37</v>
      </c>
      <c r="B34" t="e" vm="5">
        <v>#VALUE!</v>
      </c>
      <c r="C34" s="28">
        <v>1</v>
      </c>
      <c r="D34" s="15" t="s">
        <v>28</v>
      </c>
      <c r="E34" s="15">
        <v>1</v>
      </c>
      <c r="F34" s="2"/>
      <c r="G34" s="2"/>
      <c r="H34" s="2"/>
      <c r="I34" s="2"/>
      <c r="J34" s="2"/>
      <c r="K34" s="2"/>
      <c r="L34" s="2"/>
      <c r="M34" s="2"/>
      <c r="N34" s="2"/>
      <c r="O34" s="2"/>
      <c r="P34" s="34" t="s">
        <v>82</v>
      </c>
      <c r="Q34" s="18" t="s">
        <v>174</v>
      </c>
    </row>
    <row r="35" spans="1:17" ht="45" hidden="1" customHeight="1" outlineLevel="1" thickBot="1" x14ac:dyDescent="0.3">
      <c r="A35" s="77"/>
      <c r="B35" s="19" t="s">
        <v>38</v>
      </c>
      <c r="C35" s="27"/>
      <c r="D35" s="9" t="s">
        <v>270</v>
      </c>
      <c r="E35" s="78" t="s">
        <v>3</v>
      </c>
      <c r="F35" s="78"/>
      <c r="G35" s="78"/>
      <c r="H35" s="78"/>
      <c r="I35" s="10" t="s">
        <v>32</v>
      </c>
      <c r="J35" s="9" t="s">
        <v>13</v>
      </c>
      <c r="K35" s="9" t="s">
        <v>7</v>
      </c>
      <c r="L35" s="9" t="s">
        <v>302</v>
      </c>
      <c r="M35" s="9" t="s">
        <v>303</v>
      </c>
      <c r="N35" s="78" t="s">
        <v>4</v>
      </c>
      <c r="O35" s="79"/>
    </row>
    <row r="36" spans="1:17" ht="15" hidden="1" customHeight="1" outlineLevel="1" thickBot="1" x14ac:dyDescent="0.4">
      <c r="A36" s="77"/>
      <c r="B36" s="11"/>
      <c r="C36" s="26"/>
      <c r="D36" s="12"/>
      <c r="E36" s="80"/>
      <c r="F36" s="80"/>
      <c r="G36" s="80"/>
      <c r="H36" s="80"/>
      <c r="I36" s="13"/>
      <c r="J36" s="12" t="s">
        <v>16</v>
      </c>
      <c r="K36" s="12" t="s">
        <v>17</v>
      </c>
      <c r="L36" s="12" t="s">
        <v>31</v>
      </c>
      <c r="M36" s="12" t="s">
        <v>14</v>
      </c>
      <c r="N36" s="14" t="s">
        <v>12</v>
      </c>
      <c r="O36" s="65" t="s">
        <v>13</v>
      </c>
    </row>
    <row r="37" spans="1:17" ht="45" hidden="1" customHeight="1" outlineLevel="1" x14ac:dyDescent="0.25">
      <c r="A37" s="77"/>
      <c r="B37" s="32" t="s">
        <v>112</v>
      </c>
      <c r="C37" s="36" t="b">
        <v>0</v>
      </c>
      <c r="D37" s="16" t="s">
        <v>9</v>
      </c>
      <c r="E37" s="81" t="s">
        <v>109</v>
      </c>
      <c r="F37" s="81"/>
      <c r="G37" s="81"/>
      <c r="H37" s="81"/>
      <c r="I37" s="20">
        <v>4</v>
      </c>
      <c r="J37" s="4">
        <f>E34*0.0212</f>
        <v>2.12E-2</v>
      </c>
      <c r="K37" s="4">
        <f>C34*0.000105</f>
        <v>1.05E-4</v>
      </c>
      <c r="L37" s="4">
        <f>C34*0.0000471</f>
        <v>4.71E-5</v>
      </c>
      <c r="M37" s="4">
        <f>C34*0.00806</f>
        <v>8.0599999999999995E-3</v>
      </c>
      <c r="N37" s="4" t="str">
        <f>_xlfn.XLOOKUP(O$36,J$35:M$35,J$36:M$36)</f>
        <v>[kg CO2 eq]</v>
      </c>
      <c r="O37" s="4">
        <f>_xlfn.XLOOKUP(O$36,J$35:M$35,J37:M37)</f>
        <v>2.12E-2</v>
      </c>
    </row>
    <row r="38" spans="1:17" ht="45" hidden="1" customHeight="1" outlineLevel="1" x14ac:dyDescent="0.25">
      <c r="A38" s="77"/>
      <c r="B38" s="31" t="s">
        <v>113</v>
      </c>
      <c r="C38" s="37" t="b">
        <v>0</v>
      </c>
      <c r="D38" s="17" t="s">
        <v>11</v>
      </c>
      <c r="E38" s="81" t="s">
        <v>110</v>
      </c>
      <c r="F38" s="81"/>
      <c r="G38" s="81"/>
      <c r="H38" s="81"/>
      <c r="I38" s="20">
        <v>1</v>
      </c>
      <c r="J38" s="3">
        <f>C34*-1.02</f>
        <v>-1.02</v>
      </c>
      <c r="K38" s="3">
        <f>C34*-0.0155</f>
        <v>-1.55E-2</v>
      </c>
      <c r="L38" s="3">
        <f>C34*-0.0626</f>
        <v>-6.2600000000000003E-2</v>
      </c>
      <c r="M38" s="3">
        <f>C34*-0.139</f>
        <v>-0.13900000000000001</v>
      </c>
      <c r="N38" s="3"/>
      <c r="O38" s="4">
        <f t="shared" ref="O38:O39" si="5">_xlfn.XLOOKUP(O$36,J$35:M$35,J38:M38)</f>
        <v>-1.02</v>
      </c>
    </row>
    <row r="39" spans="1:17" ht="45" hidden="1" customHeight="1" outlineLevel="1" thickBot="1" x14ac:dyDescent="0.3">
      <c r="A39" s="77"/>
      <c r="B39" s="31" t="s">
        <v>114</v>
      </c>
      <c r="C39" s="37" t="b">
        <v>0</v>
      </c>
      <c r="D39" s="17" t="s">
        <v>22</v>
      </c>
      <c r="E39" s="81" t="s">
        <v>111</v>
      </c>
      <c r="F39" s="81"/>
      <c r="G39" s="81"/>
      <c r="H39" s="81"/>
      <c r="I39" s="20">
        <v>0</v>
      </c>
      <c r="J39" s="3">
        <f>C34*-2.14</f>
        <v>-2.14</v>
      </c>
      <c r="K39" s="3">
        <f>C34*-0.0536</f>
        <v>-5.3600000000000002E-2</v>
      </c>
      <c r="L39" s="3">
        <f>C34*-0.101</f>
        <v>-0.10100000000000001</v>
      </c>
      <c r="M39" s="3">
        <f>C34*-0.505</f>
        <v>-0.505</v>
      </c>
      <c r="N39" s="3"/>
      <c r="O39" s="4">
        <f t="shared" si="5"/>
        <v>-2.14</v>
      </c>
      <c r="P39" s="34" t="s">
        <v>83</v>
      </c>
    </row>
    <row r="40" spans="1:17" ht="56.25" customHeight="1" collapsed="1" thickBot="1" x14ac:dyDescent="0.3">
      <c r="A40" s="76" t="s">
        <v>36</v>
      </c>
      <c r="B40" t="e" vm="6">
        <v>#VALUE!</v>
      </c>
      <c r="C40" s="28">
        <v>1</v>
      </c>
      <c r="D40" s="15" t="s">
        <v>5</v>
      </c>
      <c r="E40" s="15">
        <v>5.72</v>
      </c>
      <c r="F40" s="2"/>
      <c r="G40" s="2"/>
      <c r="H40" s="2"/>
      <c r="I40" s="2"/>
      <c r="J40" s="2"/>
      <c r="K40" s="2"/>
      <c r="L40" s="2"/>
      <c r="M40" s="2"/>
      <c r="N40" s="2"/>
      <c r="O40" s="2"/>
      <c r="P40" s="34" t="s">
        <v>76</v>
      </c>
      <c r="Q40" s="18" t="s">
        <v>175</v>
      </c>
    </row>
    <row r="41" spans="1:17" ht="45" hidden="1" customHeight="1" outlineLevel="1" thickBot="1" x14ac:dyDescent="0.3">
      <c r="A41" s="77"/>
      <c r="B41" s="19" t="s">
        <v>38</v>
      </c>
      <c r="C41" s="27"/>
      <c r="D41" s="9" t="s">
        <v>270</v>
      </c>
      <c r="E41" s="78" t="s">
        <v>3</v>
      </c>
      <c r="F41" s="78"/>
      <c r="G41" s="78"/>
      <c r="H41" s="78"/>
      <c r="I41" s="10" t="s">
        <v>32</v>
      </c>
      <c r="J41" s="9" t="s">
        <v>13</v>
      </c>
      <c r="K41" s="9" t="s">
        <v>7</v>
      </c>
      <c r="L41" s="9" t="s">
        <v>302</v>
      </c>
      <c r="M41" s="9" t="s">
        <v>303</v>
      </c>
      <c r="N41" s="78" t="s">
        <v>4</v>
      </c>
      <c r="O41" s="79"/>
    </row>
    <row r="42" spans="1:17" ht="15" hidden="1" customHeight="1" outlineLevel="1" thickBot="1" x14ac:dyDescent="0.4">
      <c r="A42" s="77"/>
      <c r="B42" s="11"/>
      <c r="C42" s="26"/>
      <c r="D42" s="12"/>
      <c r="E42" s="80"/>
      <c r="F42" s="80"/>
      <c r="G42" s="80"/>
      <c r="H42" s="80"/>
      <c r="I42" s="13"/>
      <c r="J42" s="12" t="s">
        <v>16</v>
      </c>
      <c r="K42" s="12" t="s">
        <v>17</v>
      </c>
      <c r="L42" s="12" t="s">
        <v>31</v>
      </c>
      <c r="M42" s="12" t="s">
        <v>14</v>
      </c>
      <c r="N42" s="14" t="s">
        <v>12</v>
      </c>
      <c r="O42" s="65" t="s">
        <v>13</v>
      </c>
    </row>
    <row r="43" spans="1:17" ht="45" hidden="1" customHeight="1" outlineLevel="1" x14ac:dyDescent="0.25">
      <c r="A43" s="77"/>
      <c r="B43" s="32" t="s">
        <v>115</v>
      </c>
      <c r="C43" s="36" t="b">
        <v>0</v>
      </c>
      <c r="D43" s="16" t="s">
        <v>9</v>
      </c>
      <c r="E43" s="81" t="s">
        <v>109</v>
      </c>
      <c r="F43" s="81"/>
      <c r="G43" s="81"/>
      <c r="H43" s="81"/>
      <c r="I43" s="20">
        <v>4</v>
      </c>
      <c r="J43" s="4">
        <f>C40*0.121</f>
        <v>0.121</v>
      </c>
      <c r="K43" s="4">
        <f>C40*0.000599</f>
        <v>5.9900000000000003E-4</v>
      </c>
      <c r="L43" s="4">
        <f>C40*0.000269</f>
        <v>2.6899999999999998E-4</v>
      </c>
      <c r="M43" s="4">
        <f>C40*0.0461</f>
        <v>4.6100000000000002E-2</v>
      </c>
      <c r="N43" s="4" t="str">
        <f>_xlfn.XLOOKUP(O$42,J$41:M$41,J$42:M$42)</f>
        <v>[kg CO2 eq]</v>
      </c>
      <c r="O43" s="4">
        <f>_xlfn.XLOOKUP(O$42,J$41:M$41,J43:M43)</f>
        <v>0.121</v>
      </c>
    </row>
    <row r="44" spans="1:17" ht="45" hidden="1" customHeight="1" outlineLevel="1" x14ac:dyDescent="0.25">
      <c r="A44" s="77"/>
      <c r="B44" s="31" t="s">
        <v>116</v>
      </c>
      <c r="C44" s="37" t="b">
        <v>0</v>
      </c>
      <c r="D44" s="17" t="s">
        <v>11</v>
      </c>
      <c r="E44" s="81" t="s">
        <v>110</v>
      </c>
      <c r="F44" s="81"/>
      <c r="G44" s="81"/>
      <c r="H44" s="81"/>
      <c r="I44" s="20">
        <v>1</v>
      </c>
      <c r="J44" s="3">
        <f>C40*-5.83</f>
        <v>-5.83</v>
      </c>
      <c r="K44" s="3">
        <f>C40*-0.0884</f>
        <v>-8.8400000000000006E-2</v>
      </c>
      <c r="L44" s="3">
        <f>C40*-0.358</f>
        <v>-0.35799999999999998</v>
      </c>
      <c r="M44" s="3">
        <f>C40*0.796</f>
        <v>0.79600000000000004</v>
      </c>
      <c r="N44" s="3"/>
      <c r="O44" s="4">
        <f t="shared" ref="O44:O45" si="6">_xlfn.XLOOKUP(O$42,J$41:M$41,J44:M44)</f>
        <v>-5.83</v>
      </c>
    </row>
    <row r="45" spans="1:17" ht="45" hidden="1" customHeight="1" outlineLevel="1" thickBot="1" x14ac:dyDescent="0.3">
      <c r="A45" s="77"/>
      <c r="B45" s="31" t="s">
        <v>117</v>
      </c>
      <c r="C45" s="37" t="b">
        <v>0</v>
      </c>
      <c r="D45" s="17" t="s">
        <v>22</v>
      </c>
      <c r="E45" s="81" t="s">
        <v>111</v>
      </c>
      <c r="F45" s="81"/>
      <c r="G45" s="81"/>
      <c r="H45" s="81"/>
      <c r="I45" s="20">
        <v>0</v>
      </c>
      <c r="J45" s="3">
        <f>C40*-12.2</f>
        <v>-12.2</v>
      </c>
      <c r="K45" s="3">
        <f>C40*-0.307</f>
        <v>-0.307</v>
      </c>
      <c r="L45" s="3">
        <f>C40*-0.576</f>
        <v>-0.57599999999999996</v>
      </c>
      <c r="M45" s="3">
        <f>C40*-2.89</f>
        <v>-2.89</v>
      </c>
      <c r="N45" s="3"/>
      <c r="O45" s="4">
        <f t="shared" si="6"/>
        <v>-12.2</v>
      </c>
      <c r="P45" s="34" t="s">
        <v>77</v>
      </c>
    </row>
    <row r="46" spans="1:17" ht="56.25" customHeight="1" collapsed="1" thickBot="1" x14ac:dyDescent="0.3">
      <c r="A46" s="76" t="s">
        <v>25</v>
      </c>
      <c r="B46" t="e" vm="7">
        <v>#VALUE!</v>
      </c>
      <c r="C46" s="28">
        <v>1</v>
      </c>
      <c r="D46" s="15" t="s">
        <v>6</v>
      </c>
      <c r="E46" s="15">
        <v>488</v>
      </c>
      <c r="F46" s="2"/>
      <c r="G46" s="2"/>
      <c r="H46" s="2"/>
      <c r="I46" s="2"/>
      <c r="J46" s="2"/>
      <c r="K46" s="2"/>
      <c r="L46" s="2"/>
      <c r="M46" s="2"/>
      <c r="N46" s="2"/>
      <c r="O46" s="2"/>
      <c r="P46" s="34" t="s">
        <v>90</v>
      </c>
      <c r="Q46" s="18" t="s">
        <v>27</v>
      </c>
    </row>
    <row r="47" spans="1:17" ht="45" hidden="1" customHeight="1" outlineLevel="1" thickBot="1" x14ac:dyDescent="0.3">
      <c r="A47" s="77"/>
      <c r="B47" s="19" t="s">
        <v>38</v>
      </c>
      <c r="C47" s="27"/>
      <c r="D47" s="9" t="s">
        <v>270</v>
      </c>
      <c r="E47" s="78" t="s">
        <v>3</v>
      </c>
      <c r="F47" s="78"/>
      <c r="G47" s="78"/>
      <c r="H47" s="78"/>
      <c r="I47" s="10" t="s">
        <v>32</v>
      </c>
      <c r="J47" s="9" t="s">
        <v>13</v>
      </c>
      <c r="K47" s="9" t="s">
        <v>7</v>
      </c>
      <c r="L47" s="9" t="s">
        <v>302</v>
      </c>
      <c r="M47" s="9" t="s">
        <v>303</v>
      </c>
      <c r="N47" s="78" t="s">
        <v>4</v>
      </c>
      <c r="O47" s="79"/>
    </row>
    <row r="48" spans="1:17" ht="15" hidden="1" customHeight="1" outlineLevel="1" thickBot="1" x14ac:dyDescent="0.4">
      <c r="A48" s="77"/>
      <c r="B48" s="11"/>
      <c r="C48" s="26"/>
      <c r="D48" s="12"/>
      <c r="E48" s="80"/>
      <c r="F48" s="80"/>
      <c r="G48" s="80"/>
      <c r="H48" s="80"/>
      <c r="I48" s="13"/>
      <c r="J48" s="12" t="s">
        <v>16</v>
      </c>
      <c r="K48" s="12" t="s">
        <v>17</v>
      </c>
      <c r="L48" s="12" t="s">
        <v>31</v>
      </c>
      <c r="M48" s="12" t="s">
        <v>14</v>
      </c>
      <c r="N48" s="14" t="s">
        <v>12</v>
      </c>
      <c r="O48" s="65" t="s">
        <v>13</v>
      </c>
    </row>
    <row r="49" spans="1:17" ht="45" hidden="1" customHeight="1" outlineLevel="1" x14ac:dyDescent="0.25">
      <c r="A49" s="77"/>
      <c r="B49" s="32" t="s">
        <v>124</v>
      </c>
      <c r="C49" s="36" t="b">
        <v>0</v>
      </c>
      <c r="D49" s="16" t="s">
        <v>10</v>
      </c>
      <c r="E49" s="81" t="s">
        <v>134</v>
      </c>
      <c r="F49" s="81"/>
      <c r="G49" s="81"/>
      <c r="H49" s="81"/>
      <c r="I49" s="20">
        <v>3</v>
      </c>
      <c r="J49" s="4">
        <f>C46*-125</f>
        <v>-125</v>
      </c>
      <c r="K49" s="4">
        <f>C46*-13.7</f>
        <v>-13.7</v>
      </c>
      <c r="L49" s="52">
        <f>C46*-0.26</f>
        <v>-0.26</v>
      </c>
      <c r="M49" s="4">
        <f>C46*-27.6</f>
        <v>-27.6</v>
      </c>
      <c r="N49" s="4" t="str">
        <f>_xlfn.XLOOKUP(O$48,J$47:M$47,J$48:M$48)</f>
        <v>[kg CO2 eq]</v>
      </c>
      <c r="O49" s="4">
        <f>_xlfn.XLOOKUP(O$48,J$47:M$47,J49:M49)</f>
        <v>-125</v>
      </c>
    </row>
    <row r="50" spans="1:17" ht="45" hidden="1" customHeight="1" outlineLevel="1" x14ac:dyDescent="0.25">
      <c r="A50" s="77"/>
      <c r="B50" s="31" t="s">
        <v>125</v>
      </c>
      <c r="C50" s="37" t="b">
        <v>0</v>
      </c>
      <c r="D50" s="17" t="s">
        <v>11</v>
      </c>
      <c r="E50" s="81" t="s">
        <v>192</v>
      </c>
      <c r="F50" s="81"/>
      <c r="G50" s="81"/>
      <c r="H50" s="81"/>
      <c r="I50" s="20">
        <v>2</v>
      </c>
      <c r="J50" s="3">
        <f>C46*-60.7</f>
        <v>-60.7</v>
      </c>
      <c r="K50" s="3">
        <f>C46*-550</f>
        <v>-550</v>
      </c>
      <c r="L50" s="3">
        <f>C46*-0.213</f>
        <v>-0.21299999999999999</v>
      </c>
      <c r="M50" s="3">
        <f>C46*-16.5</f>
        <v>-16.5</v>
      </c>
      <c r="N50" s="3"/>
      <c r="O50" s="4">
        <f>_xlfn.XLOOKUP(O$48,J$47:M$47,J50:M50)</f>
        <v>-60.7</v>
      </c>
    </row>
    <row r="51" spans="1:17" ht="45" hidden="1" customHeight="1" outlineLevel="1" thickBot="1" x14ac:dyDescent="0.3">
      <c r="A51" s="77"/>
      <c r="B51" s="31" t="s">
        <v>210</v>
      </c>
      <c r="C51" s="37" t="b">
        <v>0</v>
      </c>
      <c r="D51" s="17" t="s">
        <v>22</v>
      </c>
      <c r="E51" s="81" t="s">
        <v>209</v>
      </c>
      <c r="F51" s="81"/>
      <c r="G51" s="81"/>
      <c r="H51" s="81"/>
      <c r="I51" s="20">
        <v>0</v>
      </c>
      <c r="J51" s="3">
        <f>C46*-112</f>
        <v>-112</v>
      </c>
      <c r="K51" s="3">
        <f>C46*-753</f>
        <v>-753</v>
      </c>
      <c r="L51" s="3">
        <f>C46*-0.379</f>
        <v>-0.379</v>
      </c>
      <c r="M51" s="3">
        <f>C46*-30.3</f>
        <v>-30.3</v>
      </c>
      <c r="N51" s="3"/>
      <c r="O51" s="4">
        <f>_xlfn.XLOOKUP(O$48,J$47:M$47,J51:M51)</f>
        <v>-112</v>
      </c>
      <c r="P51" s="34" t="s">
        <v>91</v>
      </c>
    </row>
    <row r="52" spans="1:17" ht="56.25" customHeight="1" collapsed="1" thickBot="1" x14ac:dyDescent="0.3">
      <c r="A52" s="82" t="s">
        <v>138</v>
      </c>
      <c r="B52" t="e" vm="8">
        <v>#VALUE!</v>
      </c>
      <c r="C52" s="28">
        <v>1</v>
      </c>
      <c r="D52" s="15" t="s">
        <v>6</v>
      </c>
      <c r="E52" s="15">
        <v>469</v>
      </c>
      <c r="F52" s="2"/>
      <c r="G52" s="2"/>
      <c r="H52" s="2"/>
      <c r="I52" s="2"/>
      <c r="J52" s="2"/>
      <c r="K52" s="2"/>
      <c r="L52" s="2"/>
      <c r="M52" s="2"/>
      <c r="N52" s="2"/>
      <c r="O52" s="2"/>
      <c r="P52" s="34" t="s">
        <v>296</v>
      </c>
      <c r="Q52" s="18" t="s">
        <v>176</v>
      </c>
    </row>
    <row r="53" spans="1:17" ht="45" hidden="1" customHeight="1" outlineLevel="1" thickBot="1" x14ac:dyDescent="0.3">
      <c r="A53" s="83"/>
      <c r="B53" s="19" t="s">
        <v>38</v>
      </c>
      <c r="C53" s="27"/>
      <c r="D53" s="9" t="s">
        <v>270</v>
      </c>
      <c r="E53" s="78" t="s">
        <v>3</v>
      </c>
      <c r="F53" s="78"/>
      <c r="G53" s="78"/>
      <c r="H53" s="78"/>
      <c r="I53" s="10" t="s">
        <v>32</v>
      </c>
      <c r="J53" s="9" t="s">
        <v>13</v>
      </c>
      <c r="K53" s="9" t="s">
        <v>7</v>
      </c>
      <c r="L53" s="9" t="s">
        <v>302</v>
      </c>
      <c r="M53" s="9" t="s">
        <v>303</v>
      </c>
      <c r="N53" s="78" t="s">
        <v>4</v>
      </c>
      <c r="O53" s="79"/>
    </row>
    <row r="54" spans="1:17" ht="15" hidden="1" customHeight="1" outlineLevel="1" thickBot="1" x14ac:dyDescent="0.4">
      <c r="A54" s="83"/>
      <c r="B54" s="11"/>
      <c r="C54" s="26"/>
      <c r="D54" s="12"/>
      <c r="E54" s="80"/>
      <c r="F54" s="80"/>
      <c r="G54" s="80"/>
      <c r="H54" s="80"/>
      <c r="I54" s="13"/>
      <c r="J54" s="12" t="s">
        <v>16</v>
      </c>
      <c r="K54" s="12" t="s">
        <v>17</v>
      </c>
      <c r="L54" s="12" t="s">
        <v>31</v>
      </c>
      <c r="M54" s="12" t="s">
        <v>14</v>
      </c>
      <c r="N54" s="14" t="s">
        <v>12</v>
      </c>
      <c r="O54" s="65" t="s">
        <v>13</v>
      </c>
    </row>
    <row r="55" spans="1:17" ht="45" hidden="1" customHeight="1" outlineLevel="1" x14ac:dyDescent="0.25">
      <c r="A55" s="83"/>
      <c r="B55" s="32" t="s">
        <v>126</v>
      </c>
      <c r="C55" s="36" t="b">
        <v>0</v>
      </c>
      <c r="D55" s="16" t="s">
        <v>10</v>
      </c>
      <c r="E55" s="81" t="s">
        <v>135</v>
      </c>
      <c r="F55" s="81"/>
      <c r="G55" s="81"/>
      <c r="H55" s="81"/>
      <c r="I55" s="20">
        <v>3</v>
      </c>
      <c r="J55" s="4">
        <f>C52*-128</f>
        <v>-128</v>
      </c>
      <c r="K55" s="55">
        <f>C52*-14</f>
        <v>-14</v>
      </c>
      <c r="L55" s="4">
        <f>C52*-0.269</f>
        <v>-0.26900000000000002</v>
      </c>
      <c r="M55" s="4">
        <f>C52*-28.4</f>
        <v>-28.4</v>
      </c>
      <c r="N55" s="4" t="str">
        <f>_xlfn.XLOOKUP(O$54,J$53:M$53,J$54:M$54)</f>
        <v>[kg CO2 eq]</v>
      </c>
      <c r="O55" s="4">
        <f>_xlfn.XLOOKUP(O$54,J$53:M$53,J55:M55)</f>
        <v>-128</v>
      </c>
    </row>
    <row r="56" spans="1:17" ht="45" hidden="1" customHeight="1" outlineLevel="1" x14ac:dyDescent="0.25">
      <c r="A56" s="83"/>
      <c r="B56" s="31" t="s">
        <v>127</v>
      </c>
      <c r="C56" s="37" t="b">
        <v>0</v>
      </c>
      <c r="D56" s="17" t="s">
        <v>11</v>
      </c>
      <c r="E56" s="81" t="s">
        <v>194</v>
      </c>
      <c r="F56" s="81"/>
      <c r="G56" s="81"/>
      <c r="H56" s="81"/>
      <c r="I56" s="20">
        <v>2</v>
      </c>
      <c r="J56" s="3">
        <f>C52*-59.4</f>
        <v>-59.4</v>
      </c>
      <c r="K56" s="3">
        <f>C52*-529</f>
        <v>-529</v>
      </c>
      <c r="L56" s="3">
        <f>C52*-0.207</f>
        <v>-0.20699999999999999</v>
      </c>
      <c r="M56" s="3">
        <f>C52*-16.1</f>
        <v>-16.100000000000001</v>
      </c>
      <c r="N56" s="3"/>
      <c r="O56" s="4">
        <f>_xlfn.XLOOKUP(O$54,J$53:M$53,J56:M56)</f>
        <v>-59.4</v>
      </c>
    </row>
    <row r="57" spans="1:17" ht="45" hidden="1" customHeight="1" outlineLevel="1" thickBot="1" x14ac:dyDescent="0.3">
      <c r="A57" s="83"/>
      <c r="B57" s="31" t="s">
        <v>212</v>
      </c>
      <c r="C57" s="37" t="b">
        <v>0</v>
      </c>
      <c r="D57" s="17" t="s">
        <v>22</v>
      </c>
      <c r="E57" s="81" t="s">
        <v>211</v>
      </c>
      <c r="F57" s="81"/>
      <c r="G57" s="81"/>
      <c r="H57" s="81"/>
      <c r="I57" s="20">
        <v>0</v>
      </c>
      <c r="J57" s="3">
        <f>C52*-150</f>
        <v>-150</v>
      </c>
      <c r="K57" s="3">
        <f>C52*-701</f>
        <v>-701</v>
      </c>
      <c r="L57" s="3">
        <f>C52*-0.498</f>
        <v>-0.498</v>
      </c>
      <c r="M57" s="3">
        <f>C52*-43.8</f>
        <v>-43.8</v>
      </c>
      <c r="N57" s="3"/>
      <c r="O57" s="4">
        <f>_xlfn.XLOOKUP(O$54,J$53:M$53,J57:M57)</f>
        <v>-150</v>
      </c>
      <c r="P57" s="34" t="s">
        <v>297</v>
      </c>
    </row>
    <row r="58" spans="1:17" ht="56.25" customHeight="1" collapsed="1" thickBot="1" x14ac:dyDescent="0.3">
      <c r="A58" s="82" t="s">
        <v>137</v>
      </c>
      <c r="B58" t="e" vm="9">
        <v>#VALUE!</v>
      </c>
      <c r="C58" s="28">
        <v>1</v>
      </c>
      <c r="D58" s="15" t="s">
        <v>6</v>
      </c>
      <c r="E58" s="15">
        <v>434</v>
      </c>
      <c r="F58" s="2"/>
      <c r="G58" s="2"/>
      <c r="H58" s="2"/>
      <c r="I58" s="2"/>
      <c r="J58" s="2"/>
      <c r="K58" s="2"/>
      <c r="L58" s="2"/>
      <c r="M58" s="2"/>
      <c r="N58" s="2"/>
      <c r="O58" s="2"/>
      <c r="P58" s="34" t="s">
        <v>298</v>
      </c>
      <c r="Q58" s="18" t="s">
        <v>177</v>
      </c>
    </row>
    <row r="59" spans="1:17" ht="45" hidden="1" customHeight="1" outlineLevel="1" thickBot="1" x14ac:dyDescent="0.3">
      <c r="A59" s="83"/>
      <c r="B59" s="19" t="s">
        <v>38</v>
      </c>
      <c r="C59" s="27"/>
      <c r="D59" s="9" t="s">
        <v>270</v>
      </c>
      <c r="E59" s="78" t="s">
        <v>3</v>
      </c>
      <c r="F59" s="78"/>
      <c r="G59" s="78"/>
      <c r="H59" s="78"/>
      <c r="I59" s="10" t="s">
        <v>32</v>
      </c>
      <c r="J59" s="9" t="s">
        <v>13</v>
      </c>
      <c r="K59" s="9" t="s">
        <v>7</v>
      </c>
      <c r="L59" s="9" t="s">
        <v>302</v>
      </c>
      <c r="M59" s="9" t="s">
        <v>303</v>
      </c>
      <c r="N59" s="78" t="s">
        <v>4</v>
      </c>
      <c r="O59" s="79"/>
    </row>
    <row r="60" spans="1:17" ht="15" hidden="1" customHeight="1" outlineLevel="1" thickBot="1" x14ac:dyDescent="0.4">
      <c r="A60" s="83"/>
      <c r="B60" s="11"/>
      <c r="C60" s="26"/>
      <c r="D60" s="12"/>
      <c r="E60" s="80"/>
      <c r="F60" s="80"/>
      <c r="G60" s="80"/>
      <c r="H60" s="80"/>
      <c r="I60" s="13"/>
      <c r="J60" s="12" t="s">
        <v>16</v>
      </c>
      <c r="K60" s="12" t="s">
        <v>17</v>
      </c>
      <c r="L60" s="12" t="s">
        <v>31</v>
      </c>
      <c r="M60" s="12" t="s">
        <v>14</v>
      </c>
      <c r="N60" s="14" t="s">
        <v>12</v>
      </c>
      <c r="O60" s="65" t="s">
        <v>13</v>
      </c>
    </row>
    <row r="61" spans="1:17" ht="45" hidden="1" customHeight="1" outlineLevel="1" x14ac:dyDescent="0.25">
      <c r="A61" s="83"/>
      <c r="B61" s="32" t="s">
        <v>128</v>
      </c>
      <c r="C61" s="36" t="b">
        <v>0</v>
      </c>
      <c r="D61" s="16" t="s">
        <v>10</v>
      </c>
      <c r="E61" s="81" t="s">
        <v>136</v>
      </c>
      <c r="F61" s="81"/>
      <c r="G61" s="81"/>
      <c r="H61" s="81"/>
      <c r="I61" s="20">
        <v>3</v>
      </c>
      <c r="J61" s="4">
        <f>C58*-120</f>
        <v>-120</v>
      </c>
      <c r="K61" s="4">
        <f>C58*-13.1</f>
        <v>-13.1</v>
      </c>
      <c r="L61" s="4">
        <f>C58*-0.252</f>
        <v>-0.252</v>
      </c>
      <c r="M61" s="4">
        <f>C58*-26.7</f>
        <v>-26.7</v>
      </c>
      <c r="N61" s="4" t="str">
        <f>_xlfn.XLOOKUP(O$60,J$59:M$59,J$60:M$60)</f>
        <v>[kg CO2 eq]</v>
      </c>
      <c r="O61" s="4">
        <f>_xlfn.XLOOKUP(O$60,J$59:M$59,J61:M61)</f>
        <v>-120</v>
      </c>
    </row>
    <row r="62" spans="1:17" ht="45" hidden="1" customHeight="1" outlineLevel="1" x14ac:dyDescent="0.25">
      <c r="A62" s="83"/>
      <c r="B62" s="31" t="s">
        <v>129</v>
      </c>
      <c r="C62" s="37" t="b">
        <v>0</v>
      </c>
      <c r="D62" s="17" t="s">
        <v>11</v>
      </c>
      <c r="E62" s="81" t="s">
        <v>193</v>
      </c>
      <c r="F62" s="81"/>
      <c r="G62" s="81"/>
      <c r="H62" s="81"/>
      <c r="I62" s="20">
        <v>2</v>
      </c>
      <c r="J62" s="3">
        <f>C58*-55.3</f>
        <v>-55.3</v>
      </c>
      <c r="K62" s="3">
        <f>C58*-489</f>
        <v>-489</v>
      </c>
      <c r="L62" s="3">
        <f>C58*-0.192</f>
        <v>-0.192</v>
      </c>
      <c r="M62" s="3">
        <f>C58*-15</f>
        <v>-15</v>
      </c>
      <c r="N62" s="3"/>
      <c r="O62" s="4">
        <f>_xlfn.XLOOKUP(O$60,J$59:M$59,J62:M62)</f>
        <v>-55.3</v>
      </c>
    </row>
    <row r="63" spans="1:17" ht="45" hidden="1" customHeight="1" outlineLevel="1" thickBot="1" x14ac:dyDescent="0.3">
      <c r="A63" s="83"/>
      <c r="B63" s="31" t="s">
        <v>213</v>
      </c>
      <c r="C63" s="37" t="b">
        <v>0</v>
      </c>
      <c r="D63" s="17" t="s">
        <v>22</v>
      </c>
      <c r="E63" s="81" t="s">
        <v>214</v>
      </c>
      <c r="F63" s="81"/>
      <c r="G63" s="81"/>
      <c r="H63" s="81"/>
      <c r="I63" s="20">
        <v>0</v>
      </c>
      <c r="J63" s="3">
        <f>C58*-135</f>
        <v>-135</v>
      </c>
      <c r="K63" s="3">
        <f>C58*-728</f>
        <v>-728</v>
      </c>
      <c r="L63" s="3">
        <f>C58*-0.441</f>
        <v>-0.441</v>
      </c>
      <c r="M63" s="3">
        <f>C58*-39</f>
        <v>-39</v>
      </c>
      <c r="N63" s="3"/>
      <c r="O63" s="4">
        <f>_xlfn.XLOOKUP(O$60,J$59:M$59,J63:M63)</f>
        <v>-135</v>
      </c>
      <c r="P63" s="34" t="s">
        <v>299</v>
      </c>
    </row>
    <row r="64" spans="1:17" ht="56.25" customHeight="1" collapsed="1" thickBot="1" x14ac:dyDescent="0.3">
      <c r="A64" s="76" t="s">
        <v>118</v>
      </c>
      <c r="B64" t="e" vm="10">
        <v>#VALUE!</v>
      </c>
      <c r="C64" s="28">
        <v>1</v>
      </c>
      <c r="D64" s="15" t="s">
        <v>6</v>
      </c>
      <c r="E64" s="15">
        <v>486</v>
      </c>
      <c r="F64" s="2"/>
      <c r="G64" s="2"/>
      <c r="H64" s="2"/>
      <c r="I64" s="2"/>
      <c r="J64" s="2"/>
      <c r="K64" s="2"/>
      <c r="L64" s="2"/>
      <c r="M64" s="2"/>
      <c r="N64" s="2"/>
      <c r="O64" s="2"/>
      <c r="P64" s="34" t="s">
        <v>119</v>
      </c>
      <c r="Q64" s="18" t="s">
        <v>178</v>
      </c>
    </row>
    <row r="65" spans="1:17" ht="45" hidden="1" customHeight="1" outlineLevel="1" thickBot="1" x14ac:dyDescent="0.3">
      <c r="A65" s="77"/>
      <c r="B65" s="19" t="s">
        <v>38</v>
      </c>
      <c r="C65" s="27"/>
      <c r="D65" s="9" t="s">
        <v>270</v>
      </c>
      <c r="E65" s="78" t="s">
        <v>3</v>
      </c>
      <c r="F65" s="78"/>
      <c r="G65" s="78"/>
      <c r="H65" s="78"/>
      <c r="I65" s="10" t="s">
        <v>32</v>
      </c>
      <c r="J65" s="9" t="s">
        <v>13</v>
      </c>
      <c r="K65" s="9" t="s">
        <v>7</v>
      </c>
      <c r="L65" s="9" t="s">
        <v>302</v>
      </c>
      <c r="M65" s="9" t="s">
        <v>303</v>
      </c>
      <c r="N65" s="78" t="s">
        <v>4</v>
      </c>
      <c r="O65" s="79"/>
    </row>
    <row r="66" spans="1:17" ht="15" hidden="1" customHeight="1" outlineLevel="1" thickBot="1" x14ac:dyDescent="0.4">
      <c r="A66" s="77"/>
      <c r="B66" s="11"/>
      <c r="C66" s="26"/>
      <c r="D66" s="12"/>
      <c r="E66" s="80"/>
      <c r="F66" s="80"/>
      <c r="G66" s="80"/>
      <c r="H66" s="80"/>
      <c r="I66" s="13"/>
      <c r="J66" s="12" t="s">
        <v>16</v>
      </c>
      <c r="K66" s="12" t="s">
        <v>17</v>
      </c>
      <c r="L66" s="12" t="s">
        <v>31</v>
      </c>
      <c r="M66" s="12" t="s">
        <v>14</v>
      </c>
      <c r="N66" s="14" t="s">
        <v>12</v>
      </c>
      <c r="O66" s="65" t="s">
        <v>13</v>
      </c>
    </row>
    <row r="67" spans="1:17" ht="45" hidden="1" customHeight="1" outlineLevel="1" x14ac:dyDescent="0.25">
      <c r="A67" s="77"/>
      <c r="B67" s="32" t="s">
        <v>130</v>
      </c>
      <c r="C67" s="36" t="b">
        <v>0</v>
      </c>
      <c r="D67" s="16" t="s">
        <v>10</v>
      </c>
      <c r="E67" s="81" t="s">
        <v>139</v>
      </c>
      <c r="F67" s="81"/>
      <c r="G67" s="81"/>
      <c r="H67" s="81"/>
      <c r="I67" s="20">
        <v>3</v>
      </c>
      <c r="J67" s="4">
        <f>C64*-145</f>
        <v>-145</v>
      </c>
      <c r="K67" s="4">
        <f>C64*-15.8</f>
        <v>-15.8</v>
      </c>
      <c r="L67" s="4">
        <f>C64*-0.309</f>
        <v>-0.309</v>
      </c>
      <c r="M67" s="4">
        <f>C64*-32.2</f>
        <v>-32.200000000000003</v>
      </c>
      <c r="N67" s="4" t="str">
        <f>_xlfn.XLOOKUP(O$66,J$65:M$65,J$66:M$66)</f>
        <v>[kg CO2 eq]</v>
      </c>
      <c r="O67" s="4">
        <f>_xlfn.XLOOKUP(O$66,J$65:M$65,J67:M67)</f>
        <v>-145</v>
      </c>
    </row>
    <row r="68" spans="1:17" ht="45" hidden="1" customHeight="1" outlineLevel="1" x14ac:dyDescent="0.25">
      <c r="A68" s="77"/>
      <c r="B68" s="31" t="s">
        <v>131</v>
      </c>
      <c r="C68" s="37" t="b">
        <v>0</v>
      </c>
      <c r="D68" s="17" t="s">
        <v>11</v>
      </c>
      <c r="E68" s="81" t="s">
        <v>195</v>
      </c>
      <c r="F68" s="81"/>
      <c r="G68" s="81"/>
      <c r="H68" s="81"/>
      <c r="I68" s="20">
        <v>2</v>
      </c>
      <c r="J68" s="3">
        <f>C64*-63.4</f>
        <v>-63.4</v>
      </c>
      <c r="K68" s="3">
        <f>C64*-548</f>
        <v>-548</v>
      </c>
      <c r="L68" s="3">
        <f>C64*-0.219</f>
        <v>-0.219</v>
      </c>
      <c r="M68" s="3">
        <f>C64*-17.1</f>
        <v>-17.100000000000001</v>
      </c>
      <c r="N68" s="3"/>
      <c r="O68" s="4">
        <f>_xlfn.XLOOKUP(O$66,J$65:M$65,J68:M68)</f>
        <v>-63.4</v>
      </c>
    </row>
    <row r="69" spans="1:17" ht="45" hidden="1" customHeight="1" outlineLevel="1" thickBot="1" x14ac:dyDescent="0.3">
      <c r="A69" s="77"/>
      <c r="B69" s="31" t="s">
        <v>218</v>
      </c>
      <c r="C69" s="37" t="b">
        <v>0</v>
      </c>
      <c r="D69" s="17" t="s">
        <v>22</v>
      </c>
      <c r="E69" s="81" t="s">
        <v>215</v>
      </c>
      <c r="F69" s="81"/>
      <c r="G69" s="81"/>
      <c r="H69" s="81"/>
      <c r="I69" s="20">
        <v>0</v>
      </c>
      <c r="J69" s="3">
        <f>C64*-216</f>
        <v>-216</v>
      </c>
      <c r="K69" s="3">
        <f>C64*-539</f>
        <v>-539</v>
      </c>
      <c r="L69" s="3">
        <f>C64*-0.752</f>
        <v>-0.752</v>
      </c>
      <c r="M69" s="3">
        <f>C64*-79.7</f>
        <v>-79.7</v>
      </c>
      <c r="N69" s="3"/>
      <c r="O69" s="4">
        <f>_xlfn.XLOOKUP(O$66,J$65:M$65,J69:M69)</f>
        <v>-216</v>
      </c>
      <c r="P69" s="34" t="s">
        <v>120</v>
      </c>
    </row>
    <row r="70" spans="1:17" ht="56.25" customHeight="1" collapsed="1" thickBot="1" x14ac:dyDescent="0.3">
      <c r="A70" s="76" t="s">
        <v>121</v>
      </c>
      <c r="B70" t="e" vm="11">
        <v>#VALUE!</v>
      </c>
      <c r="C70" s="28">
        <v>1</v>
      </c>
      <c r="D70" s="15" t="s">
        <v>6</v>
      </c>
      <c r="E70" s="15">
        <v>700</v>
      </c>
      <c r="F70" s="2"/>
      <c r="G70" s="2"/>
      <c r="H70" s="2"/>
      <c r="I70" s="2"/>
      <c r="J70" s="2"/>
      <c r="K70" s="2"/>
      <c r="L70" s="2"/>
      <c r="M70" s="2"/>
      <c r="N70" s="2"/>
      <c r="O70" s="2"/>
      <c r="P70" s="34" t="s">
        <v>122</v>
      </c>
      <c r="Q70" s="18" t="s">
        <v>179</v>
      </c>
    </row>
    <row r="71" spans="1:17" ht="45" hidden="1" customHeight="1" outlineLevel="1" thickBot="1" x14ac:dyDescent="0.3">
      <c r="A71" s="77"/>
      <c r="B71" s="19" t="s">
        <v>38</v>
      </c>
      <c r="C71" s="27"/>
      <c r="D71" s="9" t="s">
        <v>270</v>
      </c>
      <c r="E71" s="78" t="s">
        <v>3</v>
      </c>
      <c r="F71" s="78"/>
      <c r="G71" s="78"/>
      <c r="H71" s="78"/>
      <c r="I71" s="10" t="s">
        <v>32</v>
      </c>
      <c r="J71" s="9" t="s">
        <v>13</v>
      </c>
      <c r="K71" s="9" t="s">
        <v>7</v>
      </c>
      <c r="L71" s="9" t="s">
        <v>302</v>
      </c>
      <c r="M71" s="9" t="s">
        <v>303</v>
      </c>
      <c r="N71" s="78" t="s">
        <v>4</v>
      </c>
      <c r="O71" s="79"/>
    </row>
    <row r="72" spans="1:17" ht="15" hidden="1" customHeight="1" outlineLevel="1" thickBot="1" x14ac:dyDescent="0.4">
      <c r="A72" s="77"/>
      <c r="B72" s="11"/>
      <c r="C72" s="26"/>
      <c r="D72" s="12"/>
      <c r="E72" s="80"/>
      <c r="F72" s="80"/>
      <c r="G72" s="80"/>
      <c r="H72" s="80"/>
      <c r="I72" s="13"/>
      <c r="J72" s="12" t="s">
        <v>16</v>
      </c>
      <c r="K72" s="12" t="s">
        <v>17</v>
      </c>
      <c r="L72" s="12" t="s">
        <v>31</v>
      </c>
      <c r="M72" s="12" t="s">
        <v>14</v>
      </c>
      <c r="N72" s="14" t="s">
        <v>12</v>
      </c>
      <c r="O72" s="65" t="s">
        <v>13</v>
      </c>
    </row>
    <row r="73" spans="1:17" ht="45" hidden="1" customHeight="1" outlineLevel="1" x14ac:dyDescent="0.25">
      <c r="A73" s="77"/>
      <c r="B73" s="32" t="s">
        <v>132</v>
      </c>
      <c r="C73" s="36" t="b">
        <v>0</v>
      </c>
      <c r="D73" s="16" t="s">
        <v>10</v>
      </c>
      <c r="E73" s="81" t="s">
        <v>140</v>
      </c>
      <c r="F73" s="81"/>
      <c r="G73" s="81"/>
      <c r="H73" s="81"/>
      <c r="I73" s="20">
        <v>3</v>
      </c>
      <c r="J73" s="4">
        <f>C70*-60.7</f>
        <v>-60.7</v>
      </c>
      <c r="K73" s="4">
        <f>C70*-7.79</f>
        <v>-7.79</v>
      </c>
      <c r="L73" s="4">
        <f>C70*-0.0843</f>
        <v>-8.43E-2</v>
      </c>
      <c r="M73" s="55">
        <f>C70*-13</f>
        <v>-13</v>
      </c>
      <c r="N73" s="4" t="str">
        <f>_xlfn.XLOOKUP(O$72,J$71:M$71,J$72:M$72)</f>
        <v>[kg CO2 eq]</v>
      </c>
      <c r="O73" s="4">
        <f>_xlfn.XLOOKUP(O$72,J$71:M$71,J73:M73)</f>
        <v>-60.7</v>
      </c>
    </row>
    <row r="74" spans="1:17" ht="45" hidden="1" customHeight="1" outlineLevel="1" x14ac:dyDescent="0.25">
      <c r="A74" s="77"/>
      <c r="B74" s="31" t="s">
        <v>133</v>
      </c>
      <c r="C74" s="37" t="b">
        <v>0</v>
      </c>
      <c r="D74" s="17" t="s">
        <v>11</v>
      </c>
      <c r="E74" s="81" t="s">
        <v>196</v>
      </c>
      <c r="F74" s="81"/>
      <c r="G74" s="81"/>
      <c r="H74" s="81"/>
      <c r="I74" s="20">
        <v>1</v>
      </c>
      <c r="J74" s="3">
        <f>C70*-70.6</f>
        <v>-70.599999999999994</v>
      </c>
      <c r="K74" s="3">
        <f>C70*-788</f>
        <v>-788</v>
      </c>
      <c r="L74" s="3">
        <f>C70*-0.265</f>
        <v>-0.26500000000000001</v>
      </c>
      <c r="M74" s="57">
        <f>C70*-20</f>
        <v>-20</v>
      </c>
      <c r="N74" s="3"/>
      <c r="O74" s="4">
        <f>_xlfn.XLOOKUP(O$72,J$71:M$71,J74:M74)</f>
        <v>-70.599999999999994</v>
      </c>
    </row>
    <row r="75" spans="1:17" ht="45" hidden="1" customHeight="1" outlineLevel="1" thickBot="1" x14ac:dyDescent="0.3">
      <c r="A75" s="77"/>
      <c r="B75" s="31" t="s">
        <v>216</v>
      </c>
      <c r="C75" s="37" t="b">
        <v>0</v>
      </c>
      <c r="D75" s="17" t="s">
        <v>22</v>
      </c>
      <c r="E75" s="81" t="s">
        <v>217</v>
      </c>
      <c r="F75" s="81"/>
      <c r="G75" s="81"/>
      <c r="H75" s="81"/>
      <c r="I75" s="20">
        <v>0</v>
      </c>
      <c r="J75" s="3">
        <f>C70*-229</f>
        <v>-229</v>
      </c>
      <c r="K75" s="3">
        <f>C70*-196</f>
        <v>-196</v>
      </c>
      <c r="L75" s="3">
        <f>C70*-0.902</f>
        <v>-0.90200000000000002</v>
      </c>
      <c r="M75" s="3">
        <f>C70*-96.9</f>
        <v>-96.9</v>
      </c>
      <c r="N75" s="3"/>
      <c r="O75" s="4">
        <f>_xlfn.XLOOKUP(O$72,J$71:M$71,J75:M75)</f>
        <v>-229</v>
      </c>
      <c r="P75" s="34" t="s">
        <v>123</v>
      </c>
    </row>
    <row r="76" spans="1:17" ht="56.25" customHeight="1" collapsed="1" thickBot="1" x14ac:dyDescent="0.3">
      <c r="A76" s="76" t="s">
        <v>141</v>
      </c>
      <c r="B76" t="e" vm="12">
        <v>#VALUE!</v>
      </c>
      <c r="C76" s="28">
        <v>1</v>
      </c>
      <c r="D76" s="15" t="s">
        <v>5</v>
      </c>
      <c r="E76" s="15">
        <v>214</v>
      </c>
      <c r="F76" s="2"/>
      <c r="G76" s="2"/>
      <c r="H76" s="2"/>
      <c r="I76" s="2"/>
      <c r="J76" s="2"/>
      <c r="K76" s="2"/>
      <c r="L76" s="2"/>
      <c r="M76" s="2"/>
      <c r="N76" s="2"/>
      <c r="O76" s="2"/>
      <c r="P76" s="34" t="s">
        <v>300</v>
      </c>
      <c r="Q76" s="18" t="s">
        <v>19</v>
      </c>
    </row>
    <row r="77" spans="1:17" ht="45" hidden="1" customHeight="1" outlineLevel="1" thickBot="1" x14ac:dyDescent="0.3">
      <c r="A77" s="77"/>
      <c r="B77" s="19" t="s">
        <v>38</v>
      </c>
      <c r="C77" s="27"/>
      <c r="D77" s="9" t="s">
        <v>270</v>
      </c>
      <c r="E77" s="78" t="s">
        <v>3</v>
      </c>
      <c r="F77" s="78"/>
      <c r="G77" s="78"/>
      <c r="H77" s="78"/>
      <c r="I77" s="10" t="s">
        <v>32</v>
      </c>
      <c r="J77" s="9" t="s">
        <v>13</v>
      </c>
      <c r="K77" s="9" t="s">
        <v>7</v>
      </c>
      <c r="L77" s="9" t="s">
        <v>302</v>
      </c>
      <c r="M77" s="9" t="s">
        <v>303</v>
      </c>
      <c r="N77" s="78" t="s">
        <v>4</v>
      </c>
      <c r="O77" s="79"/>
    </row>
    <row r="78" spans="1:17" ht="15" hidden="1" customHeight="1" outlineLevel="1" thickBot="1" x14ac:dyDescent="0.4">
      <c r="A78" s="77"/>
      <c r="B78" s="11"/>
      <c r="C78" s="26"/>
      <c r="D78" s="12"/>
      <c r="E78" s="80"/>
      <c r="F78" s="80"/>
      <c r="G78" s="80"/>
      <c r="H78" s="80"/>
      <c r="I78" s="13"/>
      <c r="J78" s="12" t="s">
        <v>16</v>
      </c>
      <c r="K78" s="12" t="s">
        <v>17</v>
      </c>
      <c r="L78" s="12" t="s">
        <v>31</v>
      </c>
      <c r="M78" s="12" t="s">
        <v>14</v>
      </c>
      <c r="N78" s="14" t="s">
        <v>12</v>
      </c>
      <c r="O78" s="65" t="s">
        <v>13</v>
      </c>
    </row>
    <row r="79" spans="1:17" ht="45" hidden="1" customHeight="1" outlineLevel="1" x14ac:dyDescent="0.25">
      <c r="A79" s="77"/>
      <c r="B79" s="32" t="s">
        <v>142</v>
      </c>
      <c r="C79" s="36" t="b">
        <v>0</v>
      </c>
      <c r="D79" s="16" t="s">
        <v>9</v>
      </c>
      <c r="E79" s="81" t="s">
        <v>154</v>
      </c>
      <c r="F79" s="81"/>
      <c r="G79" s="81"/>
      <c r="H79" s="81"/>
      <c r="I79" s="20">
        <v>4</v>
      </c>
      <c r="J79" s="4">
        <f>C76*4.54</f>
        <v>4.54</v>
      </c>
      <c r="K79" s="4">
        <f>C76*0.0224</f>
        <v>2.24E-2</v>
      </c>
      <c r="L79" s="4">
        <f>C76*0.0101</f>
        <v>1.01E-2</v>
      </c>
      <c r="M79" s="4">
        <f>C76*1.72</f>
        <v>1.72</v>
      </c>
      <c r="N79" s="4" t="str">
        <f>_xlfn.XLOOKUP(O$78,J$77:M$77,J$78:M$78)</f>
        <v>[kg CO2 eq]</v>
      </c>
      <c r="O79" s="4">
        <f>_xlfn.XLOOKUP(O$78,J$77:M$77,J79:M79)</f>
        <v>4.54</v>
      </c>
    </row>
    <row r="80" spans="1:17" ht="45" hidden="1" customHeight="1" outlineLevel="1" x14ac:dyDescent="0.25">
      <c r="A80" s="77"/>
      <c r="B80" s="31" t="s">
        <v>143</v>
      </c>
      <c r="C80" s="37" t="b">
        <v>0</v>
      </c>
      <c r="D80" s="17" t="s">
        <v>11</v>
      </c>
      <c r="E80" s="81" t="s">
        <v>155</v>
      </c>
      <c r="F80" s="81"/>
      <c r="G80" s="81"/>
      <c r="H80" s="81"/>
      <c r="I80" s="20">
        <v>2</v>
      </c>
      <c r="J80" s="3">
        <f>C76*1.26</f>
        <v>1.26</v>
      </c>
      <c r="K80" s="3">
        <f>C76*-0.295</f>
        <v>-0.29499999999999998</v>
      </c>
      <c r="L80" s="3">
        <f>C76*-0.00534</f>
        <v>-5.3400000000000001E-3</v>
      </c>
      <c r="M80" s="3">
        <f>C76*0.516</f>
        <v>0.51600000000000001</v>
      </c>
      <c r="N80" s="3"/>
      <c r="O80" s="4">
        <f>_xlfn.XLOOKUP(O$78,J$77:M$77,J80:M80)</f>
        <v>1.26</v>
      </c>
    </row>
    <row r="81" spans="1:17" ht="45" hidden="1" customHeight="1" outlineLevel="1" thickBot="1" x14ac:dyDescent="0.3">
      <c r="A81" s="87"/>
      <c r="B81" s="31" t="s">
        <v>144</v>
      </c>
      <c r="C81" s="37" t="b">
        <v>0</v>
      </c>
      <c r="D81" s="17" t="s">
        <v>95</v>
      </c>
      <c r="E81" s="81" t="s">
        <v>239</v>
      </c>
      <c r="F81" s="81"/>
      <c r="G81" s="81"/>
      <c r="H81" s="81"/>
      <c r="I81" s="20">
        <v>0</v>
      </c>
      <c r="J81" s="3">
        <f>C76*-21.2</f>
        <v>-21.2</v>
      </c>
      <c r="K81" s="3">
        <f>C76*-0.957</f>
        <v>-0.95699999999999996</v>
      </c>
      <c r="L81" s="3">
        <f>C76*-1.12</f>
        <v>-1.1200000000000001</v>
      </c>
      <c r="M81" s="3">
        <f>C76*-4.51</f>
        <v>-4.51</v>
      </c>
      <c r="N81" s="3"/>
      <c r="O81" s="4">
        <f>_xlfn.XLOOKUP(O$78,J$77:M$77,J81:M81)</f>
        <v>-21.2</v>
      </c>
      <c r="P81" s="34" t="s">
        <v>301</v>
      </c>
    </row>
    <row r="82" spans="1:17" ht="56.25" customHeight="1" collapsed="1" thickBot="1" x14ac:dyDescent="0.3">
      <c r="A82" s="76" t="s">
        <v>20</v>
      </c>
      <c r="B82" t="e" vm="13">
        <v>#VALUE!</v>
      </c>
      <c r="C82" s="28">
        <v>1</v>
      </c>
      <c r="D82" s="15" t="s">
        <v>5</v>
      </c>
      <c r="E82" s="15">
        <v>52.5</v>
      </c>
      <c r="F82" s="2"/>
      <c r="G82" s="2"/>
      <c r="H82" s="2"/>
      <c r="I82" s="2"/>
      <c r="J82" s="2"/>
      <c r="K82" s="2"/>
      <c r="L82" s="2"/>
      <c r="M82" s="2"/>
      <c r="N82" s="2"/>
      <c r="O82" s="2"/>
      <c r="P82" s="34" t="s">
        <v>88</v>
      </c>
      <c r="Q82" s="18" t="s">
        <v>21</v>
      </c>
    </row>
    <row r="83" spans="1:17" ht="45" hidden="1" customHeight="1" outlineLevel="1" thickBot="1" x14ac:dyDescent="0.3">
      <c r="A83" s="77"/>
      <c r="B83" s="19" t="s">
        <v>38</v>
      </c>
      <c r="C83" s="27"/>
      <c r="D83" s="9" t="s">
        <v>270</v>
      </c>
      <c r="E83" s="78" t="s">
        <v>3</v>
      </c>
      <c r="F83" s="78"/>
      <c r="G83" s="78"/>
      <c r="H83" s="78"/>
      <c r="I83" s="10" t="s">
        <v>32</v>
      </c>
      <c r="J83" s="9" t="s">
        <v>13</v>
      </c>
      <c r="K83" s="9" t="s">
        <v>7</v>
      </c>
      <c r="L83" s="9" t="s">
        <v>302</v>
      </c>
      <c r="M83" s="9" t="s">
        <v>303</v>
      </c>
      <c r="N83" s="78" t="s">
        <v>4</v>
      </c>
      <c r="O83" s="79"/>
    </row>
    <row r="84" spans="1:17" ht="15" hidden="1" customHeight="1" outlineLevel="1" thickBot="1" x14ac:dyDescent="0.4">
      <c r="A84" s="77"/>
      <c r="B84" s="11"/>
      <c r="C84" s="26"/>
      <c r="D84" s="12"/>
      <c r="E84" s="80"/>
      <c r="F84" s="80"/>
      <c r="G84" s="80"/>
      <c r="H84" s="80"/>
      <c r="I84" s="13"/>
      <c r="J84" s="12" t="s">
        <v>16</v>
      </c>
      <c r="K84" s="12" t="s">
        <v>17</v>
      </c>
      <c r="L84" s="12" t="s">
        <v>31</v>
      </c>
      <c r="M84" s="12" t="s">
        <v>14</v>
      </c>
      <c r="N84" s="14" t="s">
        <v>12</v>
      </c>
      <c r="O84" s="65" t="s">
        <v>13</v>
      </c>
    </row>
    <row r="85" spans="1:17" ht="45" hidden="1" customHeight="1" outlineLevel="1" x14ac:dyDescent="0.25">
      <c r="A85" s="77"/>
      <c r="B85" s="32" t="s">
        <v>145</v>
      </c>
      <c r="C85" s="36" t="b">
        <v>0</v>
      </c>
      <c r="D85" s="16" t="s">
        <v>9</v>
      </c>
      <c r="E85" s="81" t="s">
        <v>156</v>
      </c>
      <c r="F85" s="81"/>
      <c r="G85" s="81"/>
      <c r="H85" s="81"/>
      <c r="I85" s="20">
        <v>4</v>
      </c>
      <c r="J85" s="4">
        <f>C82*0.843</f>
        <v>0.84299999999999997</v>
      </c>
      <c r="K85" s="4">
        <f>C82*0.00363</f>
        <v>3.63E-3</v>
      </c>
      <c r="L85" s="4">
        <f>C82*0.00204</f>
        <v>2.0400000000000001E-3</v>
      </c>
      <c r="M85" s="4">
        <f>C82*0.343</f>
        <v>0.34300000000000003</v>
      </c>
      <c r="N85" s="4" t="str">
        <f>_xlfn.XLOOKUP(O$84,J$83:M$83,J$84:M$84)</f>
        <v>[kg CO2 eq]</v>
      </c>
      <c r="O85" s="4">
        <f>_xlfn.XLOOKUP(O$84,J$83:M$83,J85:M85)</f>
        <v>0.84299999999999997</v>
      </c>
    </row>
    <row r="86" spans="1:17" ht="45" hidden="1" customHeight="1" outlineLevel="1" x14ac:dyDescent="0.25">
      <c r="A86" s="77"/>
      <c r="B86" s="31" t="s">
        <v>146</v>
      </c>
      <c r="C86" s="37" t="b">
        <v>0</v>
      </c>
      <c r="D86" s="17" t="s">
        <v>11</v>
      </c>
      <c r="E86" s="81" t="s">
        <v>157</v>
      </c>
      <c r="F86" s="81"/>
      <c r="G86" s="81"/>
      <c r="H86" s="81"/>
      <c r="I86" s="20">
        <v>2</v>
      </c>
      <c r="J86" s="3">
        <f>C82*0.0384</f>
        <v>3.8399999999999997E-2</v>
      </c>
      <c r="K86" s="3">
        <f>C82*-0.0743</f>
        <v>-7.4300000000000005E-2</v>
      </c>
      <c r="L86" s="3">
        <f>C82*-0.00175</f>
        <v>-1.75E-3</v>
      </c>
      <c r="M86" s="3">
        <f>C82*0.0467</f>
        <v>4.6699999999999998E-2</v>
      </c>
      <c r="N86" s="3"/>
      <c r="O86" s="4">
        <f>_xlfn.XLOOKUP(O$84,J$83:M$83,J86:M86)</f>
        <v>3.8399999999999997E-2</v>
      </c>
    </row>
    <row r="87" spans="1:17" ht="45" hidden="1" customHeight="1" outlineLevel="1" thickBot="1" x14ac:dyDescent="0.3">
      <c r="A87" s="77"/>
      <c r="B87" s="31" t="s">
        <v>147</v>
      </c>
      <c r="C87" s="37" t="b">
        <v>0</v>
      </c>
      <c r="D87" s="17" t="s">
        <v>22</v>
      </c>
      <c r="E87" s="81" t="s">
        <v>158</v>
      </c>
      <c r="F87" s="81"/>
      <c r="G87" s="81"/>
      <c r="H87" s="81"/>
      <c r="I87" s="20">
        <v>0</v>
      </c>
      <c r="J87" s="3">
        <f>C82*-14.8</f>
        <v>-14.8</v>
      </c>
      <c r="K87" s="3">
        <f>C82*-0.324</f>
        <v>-0.32400000000000001</v>
      </c>
      <c r="L87" s="3">
        <f>C82*-0.506</f>
        <v>-0.50600000000000001</v>
      </c>
      <c r="M87" s="3">
        <f>C82*-3.18</f>
        <v>-3.18</v>
      </c>
      <c r="N87" s="3"/>
      <c r="O87" s="4">
        <f>_xlfn.XLOOKUP(O$84,J$83:M$83,J87:M87)</f>
        <v>-14.8</v>
      </c>
      <c r="P87" s="34" t="s">
        <v>89</v>
      </c>
    </row>
    <row r="88" spans="1:17" ht="56.25" customHeight="1" collapsed="1" thickBot="1" x14ac:dyDescent="0.3">
      <c r="A88" s="76" t="s">
        <v>24</v>
      </c>
      <c r="B88" t="e" vm="14">
        <v>#VALUE!</v>
      </c>
      <c r="C88" s="28">
        <v>1</v>
      </c>
      <c r="D88" s="15" t="s">
        <v>5</v>
      </c>
      <c r="E88" s="15">
        <v>9.1</v>
      </c>
      <c r="F88" s="2"/>
      <c r="G88" s="2"/>
      <c r="H88" s="2"/>
      <c r="I88" s="2"/>
      <c r="J88" s="2"/>
      <c r="K88" s="2"/>
      <c r="L88" s="2"/>
      <c r="M88" s="2"/>
      <c r="N88" s="2"/>
      <c r="O88" s="2"/>
      <c r="P88" s="34" t="s">
        <v>78</v>
      </c>
      <c r="Q88" s="18" t="s">
        <v>26</v>
      </c>
    </row>
    <row r="89" spans="1:17" ht="45" hidden="1" customHeight="1" outlineLevel="1" thickBot="1" x14ac:dyDescent="0.3">
      <c r="A89" s="77"/>
      <c r="B89" s="19" t="s">
        <v>38</v>
      </c>
      <c r="C89" s="27"/>
      <c r="D89" s="9" t="s">
        <v>270</v>
      </c>
      <c r="E89" s="78" t="s">
        <v>3</v>
      </c>
      <c r="F89" s="78"/>
      <c r="G89" s="78"/>
      <c r="H89" s="78"/>
      <c r="I89" s="10" t="s">
        <v>32</v>
      </c>
      <c r="J89" s="9" t="s">
        <v>13</v>
      </c>
      <c r="K89" s="9" t="s">
        <v>7</v>
      </c>
      <c r="L89" s="9" t="s">
        <v>302</v>
      </c>
      <c r="M89" s="9" t="s">
        <v>303</v>
      </c>
      <c r="N89" s="78" t="s">
        <v>4</v>
      </c>
      <c r="O89" s="79"/>
    </row>
    <row r="90" spans="1:17" ht="15" hidden="1" customHeight="1" outlineLevel="1" thickBot="1" x14ac:dyDescent="0.4">
      <c r="A90" s="77"/>
      <c r="B90" s="11"/>
      <c r="C90" s="26"/>
      <c r="D90" s="12"/>
      <c r="E90" s="80"/>
      <c r="F90" s="80"/>
      <c r="G90" s="80"/>
      <c r="H90" s="80"/>
      <c r="I90" s="13"/>
      <c r="J90" s="12" t="s">
        <v>16</v>
      </c>
      <c r="K90" s="12" t="s">
        <v>17</v>
      </c>
      <c r="L90" s="12" t="s">
        <v>31</v>
      </c>
      <c r="M90" s="12" t="s">
        <v>14</v>
      </c>
      <c r="N90" s="14" t="s">
        <v>12</v>
      </c>
      <c r="O90" s="65" t="s">
        <v>13</v>
      </c>
    </row>
    <row r="91" spans="1:17" ht="45" hidden="1" customHeight="1" outlineLevel="1" x14ac:dyDescent="0.25">
      <c r="A91" s="77"/>
      <c r="B91" s="32" t="s">
        <v>148</v>
      </c>
      <c r="C91" s="36" t="b">
        <v>0</v>
      </c>
      <c r="D91" s="16" t="s">
        <v>9</v>
      </c>
      <c r="E91" s="81" t="s">
        <v>159</v>
      </c>
      <c r="F91" s="81"/>
      <c r="G91" s="81"/>
      <c r="H91" s="81"/>
      <c r="I91" s="20">
        <v>4</v>
      </c>
      <c r="J91" s="4">
        <f>C88*0.193</f>
        <v>0.193</v>
      </c>
      <c r="K91" s="4">
        <f>C88*0.000954</f>
        <v>9.5399999999999999E-4</v>
      </c>
      <c r="L91" s="4">
        <f>C88*0.000429</f>
        <v>4.2900000000000002E-4</v>
      </c>
      <c r="M91" s="4">
        <f>C88*0.0733</f>
        <v>7.3300000000000004E-2</v>
      </c>
      <c r="N91" s="4" t="str">
        <f>_xlfn.XLOOKUP(O$90,J$89:M$89,J$90:M$90)</f>
        <v>[kg CO2 eq]</v>
      </c>
      <c r="O91" s="4">
        <f>_xlfn.XLOOKUP(O$90,J$89:M$89,J91:M91)</f>
        <v>0.193</v>
      </c>
    </row>
    <row r="92" spans="1:17" ht="45" hidden="1" customHeight="1" outlineLevel="1" thickBot="1" x14ac:dyDescent="0.3">
      <c r="A92" s="87"/>
      <c r="B92" s="31" t="s">
        <v>149</v>
      </c>
      <c r="C92" s="37" t="b">
        <v>0</v>
      </c>
      <c r="D92" s="17" t="s">
        <v>11</v>
      </c>
      <c r="E92" s="81" t="s">
        <v>160</v>
      </c>
      <c r="F92" s="81"/>
      <c r="G92" s="81"/>
      <c r="H92" s="81"/>
      <c r="I92" s="20">
        <v>1</v>
      </c>
      <c r="J92" s="3">
        <f>C88*-0.225</f>
        <v>-0.22500000000000001</v>
      </c>
      <c r="K92" s="54">
        <f>C88*-0.019</f>
        <v>-1.9E-2</v>
      </c>
      <c r="L92" s="3">
        <f>C88*-0.0247</f>
        <v>-2.47E-2</v>
      </c>
      <c r="M92" s="3">
        <f>C88*-0.0389</f>
        <v>-3.8899999999999997E-2</v>
      </c>
      <c r="N92" s="3"/>
      <c r="O92" s="4">
        <f>_xlfn.XLOOKUP(O$90,J$89:M$89,J92:M92)</f>
        <v>-0.22500000000000001</v>
      </c>
      <c r="P92" s="34" t="s">
        <v>79</v>
      </c>
    </row>
    <row r="93" spans="1:17" ht="56.25" customHeight="1" collapsed="1" thickBot="1" x14ac:dyDescent="0.3">
      <c r="A93" s="76" t="s">
        <v>23</v>
      </c>
      <c r="B93" t="e" vm="15">
        <v>#VALUE!</v>
      </c>
      <c r="C93" s="28">
        <v>1</v>
      </c>
      <c r="D93" s="15" t="s">
        <v>6</v>
      </c>
      <c r="E93" s="15">
        <v>36.5</v>
      </c>
      <c r="F93" s="2"/>
      <c r="G93" s="2"/>
      <c r="H93" s="2"/>
      <c r="I93" s="2"/>
      <c r="J93" s="2"/>
      <c r="K93" s="2"/>
      <c r="L93" s="2"/>
      <c r="M93" s="2"/>
      <c r="N93" s="2"/>
      <c r="O93" s="2"/>
      <c r="P93" s="34" t="s">
        <v>75</v>
      </c>
      <c r="Q93" s="18" t="s">
        <v>180</v>
      </c>
    </row>
    <row r="94" spans="1:17" ht="45" hidden="1" customHeight="1" outlineLevel="1" thickBot="1" x14ac:dyDescent="0.3">
      <c r="A94" s="77"/>
      <c r="B94" s="19" t="s">
        <v>38</v>
      </c>
      <c r="C94" s="27"/>
      <c r="D94" s="9" t="s">
        <v>270</v>
      </c>
      <c r="E94" s="78" t="s">
        <v>3</v>
      </c>
      <c r="F94" s="78"/>
      <c r="G94" s="78"/>
      <c r="H94" s="78"/>
      <c r="I94" s="10" t="s">
        <v>32</v>
      </c>
      <c r="J94" s="9" t="s">
        <v>13</v>
      </c>
      <c r="K94" s="9" t="s">
        <v>7</v>
      </c>
      <c r="L94" s="9" t="s">
        <v>302</v>
      </c>
      <c r="M94" s="9" t="s">
        <v>303</v>
      </c>
      <c r="N94" s="78" t="s">
        <v>4</v>
      </c>
      <c r="O94" s="79"/>
    </row>
    <row r="95" spans="1:17" ht="15" hidden="1" customHeight="1" outlineLevel="1" thickBot="1" x14ac:dyDescent="0.4">
      <c r="A95" s="77"/>
      <c r="B95" s="11"/>
      <c r="C95" s="26"/>
      <c r="D95" s="12"/>
      <c r="E95" s="80"/>
      <c r="F95" s="80"/>
      <c r="G95" s="80"/>
      <c r="H95" s="80"/>
      <c r="I95" s="13"/>
      <c r="J95" s="12" t="s">
        <v>16</v>
      </c>
      <c r="K95" s="12" t="s">
        <v>17</v>
      </c>
      <c r="L95" s="12" t="s">
        <v>31</v>
      </c>
      <c r="M95" s="12" t="s">
        <v>14</v>
      </c>
      <c r="N95" s="14" t="s">
        <v>12</v>
      </c>
      <c r="O95" s="65" t="s">
        <v>13</v>
      </c>
    </row>
    <row r="96" spans="1:17" ht="45" hidden="1" customHeight="1" outlineLevel="1" x14ac:dyDescent="0.25">
      <c r="A96" s="77"/>
      <c r="B96" s="32" t="s">
        <v>150</v>
      </c>
      <c r="C96" s="36" t="b">
        <v>0</v>
      </c>
      <c r="D96" s="16" t="s">
        <v>9</v>
      </c>
      <c r="E96" s="81" t="s">
        <v>161</v>
      </c>
      <c r="F96" s="81"/>
      <c r="G96" s="81"/>
      <c r="H96" s="81"/>
      <c r="I96" s="29">
        <v>4</v>
      </c>
      <c r="J96" s="4">
        <f>C93*0.637</f>
        <v>0.63700000000000001</v>
      </c>
      <c r="K96" s="4">
        <f>C93*0.00315</f>
        <v>3.15E-3</v>
      </c>
      <c r="L96" s="4">
        <f>C93*0.00141</f>
        <v>1.41E-3</v>
      </c>
      <c r="M96" s="4">
        <f>C93*0.242</f>
        <v>0.24199999999999999</v>
      </c>
      <c r="N96" s="4" t="str">
        <f>_xlfn.XLOOKUP(O$95,J$94:M$94,J$95:M$95)</f>
        <v>[kg CO2 eq]</v>
      </c>
      <c r="O96" s="4">
        <f>_xlfn.XLOOKUP(O$95,J$94:M$94,J96:M96)</f>
        <v>0.63700000000000001</v>
      </c>
    </row>
    <row r="97" spans="1:17" ht="45" hidden="1" customHeight="1" outlineLevel="1" thickBot="1" x14ac:dyDescent="0.3">
      <c r="A97" s="77"/>
      <c r="B97" s="31" t="s">
        <v>151</v>
      </c>
      <c r="C97" s="37" t="b">
        <v>0</v>
      </c>
      <c r="D97" s="17" t="s">
        <v>11</v>
      </c>
      <c r="E97" s="81" t="s">
        <v>163</v>
      </c>
      <c r="F97" s="81"/>
      <c r="G97" s="81"/>
      <c r="H97" s="81"/>
      <c r="I97" s="30">
        <v>1</v>
      </c>
      <c r="J97" s="53">
        <f>C93*0.11</f>
        <v>0.11</v>
      </c>
      <c r="K97" s="3">
        <f>C93*-1.25</f>
        <v>-1.25</v>
      </c>
      <c r="L97" s="3">
        <f>C93*0.000397</f>
        <v>3.97E-4</v>
      </c>
      <c r="M97" s="3">
        <f>C93*0.0496</f>
        <v>4.9599999999999998E-2</v>
      </c>
      <c r="N97" s="3"/>
      <c r="O97" s="4">
        <f>_xlfn.XLOOKUP(O$95,J$94:M$94,J97:M97)</f>
        <v>0.11</v>
      </c>
      <c r="P97" s="34" t="s">
        <v>74</v>
      </c>
    </row>
    <row r="98" spans="1:17" ht="56.25" customHeight="1" collapsed="1" thickBot="1" x14ac:dyDescent="0.3">
      <c r="A98" s="76" t="s">
        <v>33</v>
      </c>
      <c r="B98" t="e" vm="16">
        <v>#VALUE!</v>
      </c>
      <c r="C98" s="28">
        <v>1</v>
      </c>
      <c r="D98" s="15" t="s">
        <v>6</v>
      </c>
      <c r="E98" s="15">
        <v>27.8</v>
      </c>
      <c r="F98" s="2"/>
      <c r="G98" s="2"/>
      <c r="H98" s="2"/>
      <c r="I98" s="2"/>
      <c r="J98" s="2"/>
      <c r="K98" s="2"/>
      <c r="L98" s="2"/>
      <c r="M98" s="2"/>
      <c r="N98" s="2"/>
      <c r="O98" s="2"/>
      <c r="P98" s="34" t="s">
        <v>84</v>
      </c>
      <c r="Q98" s="18" t="s">
        <v>181</v>
      </c>
    </row>
    <row r="99" spans="1:17" ht="45" hidden="1" customHeight="1" outlineLevel="1" thickBot="1" x14ac:dyDescent="0.3">
      <c r="A99" s="77"/>
      <c r="B99" s="19" t="s">
        <v>38</v>
      </c>
      <c r="C99" s="27"/>
      <c r="D99" s="9" t="s">
        <v>270</v>
      </c>
      <c r="E99" s="78" t="s">
        <v>3</v>
      </c>
      <c r="F99" s="78"/>
      <c r="G99" s="78"/>
      <c r="H99" s="78"/>
      <c r="I99" s="10" t="s">
        <v>32</v>
      </c>
      <c r="J99" s="9" t="s">
        <v>13</v>
      </c>
      <c r="K99" s="9" t="s">
        <v>7</v>
      </c>
      <c r="L99" s="9" t="s">
        <v>302</v>
      </c>
      <c r="M99" s="9" t="s">
        <v>303</v>
      </c>
      <c r="N99" s="78" t="s">
        <v>4</v>
      </c>
      <c r="O99" s="79"/>
    </row>
    <row r="100" spans="1:17" ht="15" hidden="1" customHeight="1" outlineLevel="1" thickBot="1" x14ac:dyDescent="0.4">
      <c r="A100" s="77"/>
      <c r="B100" s="11"/>
      <c r="C100" s="26"/>
      <c r="D100" s="12"/>
      <c r="E100" s="80"/>
      <c r="F100" s="80"/>
      <c r="G100" s="80"/>
      <c r="H100" s="80"/>
      <c r="I100" s="13"/>
      <c r="J100" s="12" t="s">
        <v>16</v>
      </c>
      <c r="K100" s="12" t="s">
        <v>17</v>
      </c>
      <c r="L100" s="12" t="s">
        <v>31</v>
      </c>
      <c r="M100" s="12" t="s">
        <v>14</v>
      </c>
      <c r="N100" s="14" t="s">
        <v>12</v>
      </c>
      <c r="O100" s="65" t="s">
        <v>13</v>
      </c>
    </row>
    <row r="101" spans="1:17" ht="45" hidden="1" customHeight="1" outlineLevel="1" x14ac:dyDescent="0.25">
      <c r="A101" s="77"/>
      <c r="B101" s="32" t="s">
        <v>152</v>
      </c>
      <c r="C101" s="36" t="b">
        <v>0</v>
      </c>
      <c r="D101" s="16" t="s">
        <v>9</v>
      </c>
      <c r="E101" s="81" t="s">
        <v>162</v>
      </c>
      <c r="F101" s="81"/>
      <c r="G101" s="81"/>
      <c r="H101" s="81"/>
      <c r="I101" s="29">
        <v>4</v>
      </c>
      <c r="J101" s="52">
        <f>C98*0.59</f>
        <v>0.59</v>
      </c>
      <c r="K101" s="4">
        <f>C98*0.00291</f>
        <v>2.9099999999999998E-3</v>
      </c>
      <c r="L101" s="4">
        <f>C98*0.00131</f>
        <v>1.31E-3</v>
      </c>
      <c r="M101" s="4">
        <f>C98*0.224</f>
        <v>0.224</v>
      </c>
      <c r="N101" s="4" t="str">
        <f>_xlfn.XLOOKUP(O$100,J$99:M$99,J$100:M$100)</f>
        <v>[kg CO2 eq]</v>
      </c>
      <c r="O101" s="4">
        <f>_xlfn.XLOOKUP(O$100,J$99:M$99,J101:M101)</f>
        <v>0.59</v>
      </c>
    </row>
    <row r="102" spans="1:17" ht="45" hidden="1" customHeight="1" outlineLevel="1" thickBot="1" x14ac:dyDescent="0.3">
      <c r="A102" s="77"/>
      <c r="B102" s="31" t="s">
        <v>153</v>
      </c>
      <c r="C102" s="37" t="b">
        <v>0</v>
      </c>
      <c r="D102" s="17" t="s">
        <v>11</v>
      </c>
      <c r="E102" s="81" t="s">
        <v>164</v>
      </c>
      <c r="F102" s="81"/>
      <c r="G102" s="81"/>
      <c r="H102" s="81"/>
      <c r="I102" s="30">
        <v>2</v>
      </c>
      <c r="J102" s="3">
        <f>C98*0.262</f>
        <v>0.26200000000000001</v>
      </c>
      <c r="K102" s="3">
        <f>C98*-0.0239</f>
        <v>-2.3900000000000001E-2</v>
      </c>
      <c r="L102" s="3">
        <f>C98*-0.279</f>
        <v>-0.27900000000000003</v>
      </c>
      <c r="M102" s="3">
        <f>C98*0.0971</f>
        <v>9.7100000000000006E-2</v>
      </c>
      <c r="N102" s="3"/>
      <c r="O102" s="4">
        <f>_xlfn.XLOOKUP(O$100,J$99:M$99,J102:M102)</f>
        <v>0.26200000000000001</v>
      </c>
      <c r="P102" s="34" t="s">
        <v>85</v>
      </c>
    </row>
    <row r="103" spans="1:17" ht="56.25" customHeight="1" collapsed="1" thickBot="1" x14ac:dyDescent="0.3">
      <c r="A103" s="76" t="s">
        <v>221</v>
      </c>
      <c r="B103" t="e" vm="17">
        <v>#VALUE!</v>
      </c>
      <c r="C103" s="28">
        <v>1</v>
      </c>
      <c r="D103" s="15" t="s">
        <v>5</v>
      </c>
      <c r="E103" s="15">
        <v>11.5</v>
      </c>
      <c r="F103" s="2"/>
      <c r="G103" s="2"/>
      <c r="H103" s="2"/>
      <c r="I103" s="2"/>
      <c r="J103" s="2"/>
      <c r="K103" s="2"/>
      <c r="L103" s="2"/>
      <c r="M103" s="2"/>
      <c r="N103" s="2"/>
      <c r="O103" s="2"/>
      <c r="P103" s="34" t="s">
        <v>219</v>
      </c>
      <c r="Q103" s="18" t="s">
        <v>225</v>
      </c>
    </row>
    <row r="104" spans="1:17" ht="45" hidden="1" customHeight="1" outlineLevel="1" thickBot="1" x14ac:dyDescent="0.3">
      <c r="A104" s="77"/>
      <c r="B104" s="19" t="s">
        <v>38</v>
      </c>
      <c r="C104" s="27"/>
      <c r="D104" s="9" t="s">
        <v>270</v>
      </c>
      <c r="E104" s="78" t="s">
        <v>3</v>
      </c>
      <c r="F104" s="78"/>
      <c r="G104" s="78"/>
      <c r="H104" s="78"/>
      <c r="I104" s="10" t="s">
        <v>32</v>
      </c>
      <c r="J104" s="9" t="s">
        <v>13</v>
      </c>
      <c r="K104" s="9" t="s">
        <v>7</v>
      </c>
      <c r="L104" s="9" t="s">
        <v>302</v>
      </c>
      <c r="M104" s="9" t="s">
        <v>303</v>
      </c>
      <c r="N104" s="78" t="s">
        <v>4</v>
      </c>
      <c r="O104" s="79"/>
    </row>
    <row r="105" spans="1:17" ht="15" hidden="1" customHeight="1" outlineLevel="1" thickBot="1" x14ac:dyDescent="0.4">
      <c r="A105" s="77"/>
      <c r="B105" s="11"/>
      <c r="C105" s="26"/>
      <c r="D105" s="12"/>
      <c r="E105" s="80"/>
      <c r="F105" s="80"/>
      <c r="G105" s="80"/>
      <c r="H105" s="80"/>
      <c r="I105" s="13"/>
      <c r="J105" s="12" t="s">
        <v>16</v>
      </c>
      <c r="K105" s="12" t="s">
        <v>17</v>
      </c>
      <c r="L105" s="12" t="s">
        <v>31</v>
      </c>
      <c r="M105" s="12" t="s">
        <v>14</v>
      </c>
      <c r="N105" s="14" t="s">
        <v>12</v>
      </c>
      <c r="O105" s="65" t="s">
        <v>13</v>
      </c>
    </row>
    <row r="106" spans="1:17" ht="45" hidden="1" customHeight="1" outlineLevel="1" x14ac:dyDescent="0.25">
      <c r="A106" s="77"/>
      <c r="B106" s="32" t="s">
        <v>230</v>
      </c>
      <c r="C106" s="36" t="b">
        <v>0</v>
      </c>
      <c r="D106" s="16" t="s">
        <v>10</v>
      </c>
      <c r="E106" s="81" t="s">
        <v>222</v>
      </c>
      <c r="F106" s="81"/>
      <c r="G106" s="81"/>
      <c r="H106" s="81"/>
      <c r="I106" s="20">
        <v>4</v>
      </c>
      <c r="J106" s="4">
        <f>C103*-3.71</f>
        <v>-3.71</v>
      </c>
      <c r="K106" s="52">
        <f>C103*-0.49</f>
        <v>-0.49</v>
      </c>
      <c r="L106" s="4">
        <f>C103*-0.0124</f>
        <v>-1.24E-2</v>
      </c>
      <c r="M106" s="4">
        <f>C103*-0.839</f>
        <v>-0.83899999999999997</v>
      </c>
      <c r="N106" s="4" t="str">
        <f>_xlfn.XLOOKUP(O$105,J$104:M$104,J$105:M$105)</f>
        <v>[kg CO2 eq]</v>
      </c>
      <c r="O106" s="4">
        <f>_xlfn.XLOOKUP(O$105,J$104:M$104,J106:M106)</f>
        <v>-3.71</v>
      </c>
    </row>
    <row r="107" spans="1:17" ht="45" hidden="1" customHeight="1" outlineLevel="1" x14ac:dyDescent="0.25">
      <c r="A107" s="77"/>
      <c r="B107" s="31" t="s">
        <v>231</v>
      </c>
      <c r="C107" s="37" t="b">
        <v>0</v>
      </c>
      <c r="D107" s="17" t="s">
        <v>11</v>
      </c>
      <c r="E107" s="81" t="s">
        <v>223</v>
      </c>
      <c r="F107" s="81"/>
      <c r="G107" s="81"/>
      <c r="H107" s="81"/>
      <c r="I107" s="20">
        <v>2</v>
      </c>
      <c r="J107" s="3">
        <f>C103*-1.59</f>
        <v>-1.59</v>
      </c>
      <c r="K107" s="57">
        <f>C103*-13</f>
        <v>-13</v>
      </c>
      <c r="L107" s="3">
        <f>C103*-0.00598</f>
        <v>-5.9800000000000001E-3</v>
      </c>
      <c r="M107" s="3">
        <f>C103*-0.432</f>
        <v>-0.432</v>
      </c>
      <c r="N107" s="3"/>
      <c r="O107" s="4">
        <f t="shared" ref="O107:O108" si="7">_xlfn.XLOOKUP(O$105,J$104:M$104,J107:M107)</f>
        <v>-1.59</v>
      </c>
    </row>
    <row r="108" spans="1:17" ht="45" hidden="1" customHeight="1" outlineLevel="1" thickBot="1" x14ac:dyDescent="0.3">
      <c r="A108" s="77"/>
      <c r="B108" s="31" t="s">
        <v>232</v>
      </c>
      <c r="C108" s="37" t="b">
        <v>0</v>
      </c>
      <c r="D108" s="17" t="s">
        <v>22</v>
      </c>
      <c r="E108" s="81" t="s">
        <v>224</v>
      </c>
      <c r="F108" s="81"/>
      <c r="G108" s="81"/>
      <c r="H108" s="81"/>
      <c r="I108" s="20">
        <v>0</v>
      </c>
      <c r="J108" s="3">
        <f>C103*-1.39</f>
        <v>-1.39</v>
      </c>
      <c r="K108" s="3">
        <f>C103*-13.4</f>
        <v>-13.4</v>
      </c>
      <c r="L108" s="3">
        <f>C103*-0.00566</f>
        <v>-5.6600000000000001E-3</v>
      </c>
      <c r="M108" s="3">
        <f>C103*-0.176</f>
        <v>-0.17599999999999999</v>
      </c>
      <c r="N108" s="3"/>
      <c r="O108" s="4">
        <f t="shared" si="7"/>
        <v>-1.39</v>
      </c>
      <c r="P108" s="34" t="s">
        <v>220</v>
      </c>
    </row>
    <row r="109" spans="1:17" ht="56.25" customHeight="1" collapsed="1" thickBot="1" x14ac:dyDescent="0.3">
      <c r="A109" s="76" t="s">
        <v>226</v>
      </c>
      <c r="B109" t="e" vm="18">
        <v>#VALUE!</v>
      </c>
      <c r="C109" s="28">
        <v>1</v>
      </c>
      <c r="D109" s="15" t="s">
        <v>5</v>
      </c>
      <c r="E109" s="15">
        <v>23.1</v>
      </c>
      <c r="F109" s="2"/>
      <c r="G109" s="2"/>
      <c r="H109" s="2"/>
      <c r="I109" s="2"/>
      <c r="J109" s="2"/>
      <c r="K109" s="2"/>
      <c r="L109" s="2"/>
      <c r="M109" s="2"/>
      <c r="N109" s="2"/>
      <c r="O109" s="2"/>
      <c r="P109" s="34" t="s">
        <v>227</v>
      </c>
      <c r="Q109" s="18" t="s">
        <v>229</v>
      </c>
    </row>
    <row r="110" spans="1:17" ht="45" hidden="1" customHeight="1" outlineLevel="1" thickBot="1" x14ac:dyDescent="0.3">
      <c r="A110" s="77"/>
      <c r="B110" s="19" t="s">
        <v>38</v>
      </c>
      <c r="C110" s="27"/>
      <c r="D110" s="9" t="s">
        <v>270</v>
      </c>
      <c r="E110" s="78" t="s">
        <v>3</v>
      </c>
      <c r="F110" s="78"/>
      <c r="G110" s="78"/>
      <c r="H110" s="78"/>
      <c r="I110" s="10" t="s">
        <v>32</v>
      </c>
      <c r="J110" s="9" t="s">
        <v>13</v>
      </c>
      <c r="K110" s="9" t="s">
        <v>7</v>
      </c>
      <c r="L110" s="9" t="s">
        <v>302</v>
      </c>
      <c r="M110" s="9" t="s">
        <v>303</v>
      </c>
      <c r="N110" s="78" t="s">
        <v>4</v>
      </c>
      <c r="O110" s="79"/>
    </row>
    <row r="111" spans="1:17" ht="15" hidden="1" customHeight="1" outlineLevel="1" thickBot="1" x14ac:dyDescent="0.4">
      <c r="A111" s="77"/>
      <c r="B111" s="11"/>
      <c r="C111" s="26"/>
      <c r="D111" s="12"/>
      <c r="E111" s="80"/>
      <c r="F111" s="80"/>
      <c r="G111" s="80"/>
      <c r="H111" s="80"/>
      <c r="I111" s="13"/>
      <c r="J111" s="12" t="s">
        <v>16</v>
      </c>
      <c r="K111" s="12" t="s">
        <v>17</v>
      </c>
      <c r="L111" s="12" t="s">
        <v>31</v>
      </c>
      <c r="M111" s="12" t="s">
        <v>14</v>
      </c>
      <c r="N111" s="14" t="s">
        <v>12</v>
      </c>
      <c r="O111" s="65" t="s">
        <v>13</v>
      </c>
    </row>
    <row r="112" spans="1:17" ht="45" hidden="1" customHeight="1" outlineLevel="1" x14ac:dyDescent="0.25">
      <c r="A112" s="77"/>
      <c r="B112" s="32" t="s">
        <v>235</v>
      </c>
      <c r="C112" s="36" t="b">
        <v>0</v>
      </c>
      <c r="D112" s="16" t="s">
        <v>9</v>
      </c>
      <c r="E112" s="81" t="s">
        <v>236</v>
      </c>
      <c r="F112" s="81"/>
      <c r="G112" s="81"/>
      <c r="H112" s="81"/>
      <c r="I112" s="20">
        <v>4</v>
      </c>
      <c r="J112" s="4">
        <f>C109*0.492</f>
        <v>0.49199999999999999</v>
      </c>
      <c r="K112" s="58">
        <f>C109*0.00247</f>
        <v>2.47E-3</v>
      </c>
      <c r="L112" s="4">
        <f>C109*0.00109</f>
        <v>1.09E-3</v>
      </c>
      <c r="M112" s="4">
        <f>C109*0.187</f>
        <v>0.187</v>
      </c>
      <c r="N112" s="4" t="str">
        <f>_xlfn.XLOOKUP(O$111,J$110:M$110,J$111:M$111)</f>
        <v>[kg CO2 eq]</v>
      </c>
      <c r="O112" s="4">
        <f>_xlfn.XLOOKUP(O$111,J$110:M$110,J112:M112)</f>
        <v>0.49199999999999999</v>
      </c>
    </row>
    <row r="113" spans="1:17" ht="45" hidden="1" customHeight="1" outlineLevel="1" x14ac:dyDescent="0.25">
      <c r="A113" s="77"/>
      <c r="B113" s="31" t="s">
        <v>233</v>
      </c>
      <c r="C113" s="37" t="b">
        <v>0</v>
      </c>
      <c r="D113" s="17" t="s">
        <v>11</v>
      </c>
      <c r="E113" s="81" t="s">
        <v>237</v>
      </c>
      <c r="F113" s="81"/>
      <c r="G113" s="81"/>
      <c r="H113" s="81"/>
      <c r="I113" s="20">
        <v>2</v>
      </c>
      <c r="J113" s="3">
        <f>C109*0.137</f>
        <v>0.13700000000000001</v>
      </c>
      <c r="K113" s="54">
        <f>C109*-0.0318</f>
        <v>-3.1800000000000002E-2</v>
      </c>
      <c r="L113" s="3">
        <f>C109*-0.000575</f>
        <v>-5.7499999999999999E-4</v>
      </c>
      <c r="M113" s="3">
        <f>C109*0.0558</f>
        <v>5.5800000000000002E-2</v>
      </c>
      <c r="N113" s="3"/>
      <c r="O113" s="4">
        <f t="shared" ref="O113:O114" si="8">_xlfn.XLOOKUP(O$111,J$110:M$110,J113:M113)</f>
        <v>0.13700000000000001</v>
      </c>
    </row>
    <row r="114" spans="1:17" ht="45" hidden="1" customHeight="1" outlineLevel="1" thickBot="1" x14ac:dyDescent="0.3">
      <c r="A114" s="77"/>
      <c r="B114" s="31" t="s">
        <v>234</v>
      </c>
      <c r="C114" s="37" t="b">
        <v>0</v>
      </c>
      <c r="D114" s="17" t="s">
        <v>22</v>
      </c>
      <c r="E114" s="81" t="s">
        <v>238</v>
      </c>
      <c r="F114" s="81"/>
      <c r="G114" s="81"/>
      <c r="H114" s="81"/>
      <c r="I114" s="20">
        <v>0</v>
      </c>
      <c r="J114" s="3">
        <f>C109*-7.69</f>
        <v>-7.69</v>
      </c>
      <c r="K114" s="3">
        <f>C109*-0.616</f>
        <v>-0.61599999999999999</v>
      </c>
      <c r="L114" s="3">
        <f>C109*-0.296</f>
        <v>-0.29599999999999999</v>
      </c>
      <c r="M114" s="3">
        <f>C109*-2.28</f>
        <v>-2.2799999999999998</v>
      </c>
      <c r="N114" s="3"/>
      <c r="O114" s="4">
        <f t="shared" si="8"/>
        <v>-7.69</v>
      </c>
      <c r="P114" s="34" t="s">
        <v>228</v>
      </c>
    </row>
    <row r="115" spans="1:17" ht="56.25" customHeight="1" collapsed="1" thickBot="1" x14ac:dyDescent="0.3">
      <c r="A115" s="76" t="s">
        <v>8</v>
      </c>
      <c r="B115" t="e" vm="19">
        <v>#VALUE!</v>
      </c>
      <c r="C115" s="28">
        <v>1</v>
      </c>
      <c r="D115" s="15" t="s">
        <v>5</v>
      </c>
      <c r="E115" s="15">
        <v>12.8</v>
      </c>
      <c r="F115" s="2"/>
      <c r="G115" s="2"/>
      <c r="H115" s="2"/>
      <c r="I115" s="2"/>
      <c r="J115" s="2"/>
      <c r="K115" s="2"/>
      <c r="L115" s="2"/>
      <c r="M115" s="2"/>
      <c r="N115" s="2"/>
      <c r="O115" s="2"/>
      <c r="P115" s="34" t="s">
        <v>86</v>
      </c>
      <c r="Q115" s="18" t="s">
        <v>18</v>
      </c>
    </row>
    <row r="116" spans="1:17" ht="45" hidden="1" customHeight="1" outlineLevel="1" thickBot="1" x14ac:dyDescent="0.3">
      <c r="A116" s="77"/>
      <c r="B116" s="19" t="s">
        <v>38</v>
      </c>
      <c r="C116" s="10"/>
      <c r="D116" s="9" t="s">
        <v>270</v>
      </c>
      <c r="E116" s="78" t="s">
        <v>3</v>
      </c>
      <c r="F116" s="78"/>
      <c r="G116" s="78"/>
      <c r="H116" s="78"/>
      <c r="I116" s="10" t="s">
        <v>32</v>
      </c>
      <c r="J116" s="9" t="s">
        <v>13</v>
      </c>
      <c r="K116" s="9" t="s">
        <v>7</v>
      </c>
      <c r="L116" s="9" t="s">
        <v>302</v>
      </c>
      <c r="M116" s="9" t="s">
        <v>303</v>
      </c>
      <c r="N116" s="78" t="s">
        <v>4</v>
      </c>
      <c r="O116" s="79"/>
    </row>
    <row r="117" spans="1:17" ht="15" hidden="1" customHeight="1" outlineLevel="1" thickBot="1" x14ac:dyDescent="0.4">
      <c r="A117" s="77"/>
      <c r="B117" s="11"/>
      <c r="C117" s="26"/>
      <c r="D117" s="12"/>
      <c r="E117" s="80"/>
      <c r="F117" s="80"/>
      <c r="G117" s="80"/>
      <c r="H117" s="80"/>
      <c r="I117" s="13"/>
      <c r="J117" s="12" t="s">
        <v>16</v>
      </c>
      <c r="K117" s="12" t="s">
        <v>17</v>
      </c>
      <c r="L117" s="12" t="s">
        <v>31</v>
      </c>
      <c r="M117" s="12" t="s">
        <v>14</v>
      </c>
      <c r="N117" s="14" t="s">
        <v>12</v>
      </c>
      <c r="O117" s="65" t="s">
        <v>13</v>
      </c>
    </row>
    <row r="118" spans="1:17" ht="45" hidden="1" customHeight="1" outlineLevel="1" x14ac:dyDescent="0.25">
      <c r="A118" s="77"/>
      <c r="B118" s="32" t="s">
        <v>188</v>
      </c>
      <c r="C118" s="36" t="b">
        <v>0</v>
      </c>
      <c r="D118" s="16" t="s">
        <v>9</v>
      </c>
      <c r="E118" s="81" t="s">
        <v>165</v>
      </c>
      <c r="F118" s="81"/>
      <c r="G118" s="81"/>
      <c r="H118" s="81"/>
      <c r="I118" s="20">
        <v>4</v>
      </c>
      <c r="J118" s="4">
        <f>C115*1.86</f>
        <v>1.86</v>
      </c>
      <c r="K118" s="4">
        <f>C115*0.0252</f>
        <v>2.52E-2</v>
      </c>
      <c r="L118" s="4">
        <f>C115*0.000728</f>
        <v>7.2800000000000002E-4</v>
      </c>
      <c r="M118" s="52">
        <f>C115*0.11</f>
        <v>0.11</v>
      </c>
      <c r="N118" s="4" t="str">
        <f>_xlfn.XLOOKUP(O$117,J$116:M$116,J$117:M$117)</f>
        <v>[kg CO2 eq]</v>
      </c>
      <c r="O118" s="4">
        <f>_xlfn.XLOOKUP(O$117,J$116:M$116,J118:M118)</f>
        <v>1.86</v>
      </c>
    </row>
    <row r="119" spans="1:17" ht="45" hidden="1" customHeight="1" outlineLevel="1" x14ac:dyDescent="0.25">
      <c r="A119" s="77"/>
      <c r="B119" s="31" t="s">
        <v>189</v>
      </c>
      <c r="C119" s="37" t="b">
        <v>0</v>
      </c>
      <c r="D119" s="17" t="s">
        <v>10</v>
      </c>
      <c r="E119" s="81" t="s">
        <v>166</v>
      </c>
      <c r="F119" s="81"/>
      <c r="G119" s="81"/>
      <c r="H119" s="81"/>
      <c r="I119" s="20">
        <v>3</v>
      </c>
      <c r="J119" s="3">
        <f>C115*20.6</f>
        <v>20.6</v>
      </c>
      <c r="K119" s="3">
        <f>C115*-0.988</f>
        <v>-0.98799999999999999</v>
      </c>
      <c r="L119" s="3">
        <f>C115*-0.0208</f>
        <v>-2.0799999999999999E-2</v>
      </c>
      <c r="M119" s="3">
        <f>C115*-2.03</f>
        <v>-2.0299999999999998</v>
      </c>
      <c r="N119" s="3"/>
      <c r="O119" s="4">
        <f>_xlfn.XLOOKUP(O$117,J$116:M$116,J119:M119)</f>
        <v>20.6</v>
      </c>
    </row>
    <row r="120" spans="1:17" ht="45" hidden="1" customHeight="1" outlineLevel="1" x14ac:dyDescent="0.25">
      <c r="A120" s="77"/>
      <c r="B120" s="31" t="s">
        <v>190</v>
      </c>
      <c r="C120" s="37" t="b">
        <v>0</v>
      </c>
      <c r="D120" s="17" t="s">
        <v>169</v>
      </c>
      <c r="E120" s="84" t="s">
        <v>167</v>
      </c>
      <c r="F120" s="84"/>
      <c r="G120" s="84"/>
      <c r="H120" s="84"/>
      <c r="I120" s="20">
        <v>1</v>
      </c>
      <c r="J120" s="3">
        <f>C115*-9.62</f>
        <v>-9.6199999999999992</v>
      </c>
      <c r="K120" s="3">
        <f>C115*-0.113</f>
        <v>-0.113</v>
      </c>
      <c r="L120" s="3">
        <f>C115*-0.0109</f>
        <v>-1.09E-2</v>
      </c>
      <c r="M120" s="3">
        <f>C115*-13.7</f>
        <v>-13.7</v>
      </c>
      <c r="N120" s="3"/>
      <c r="O120" s="4">
        <f>_xlfn.XLOOKUP(O$117,J$116:M$116,J120:M120)</f>
        <v>-9.6199999999999992</v>
      </c>
    </row>
    <row r="121" spans="1:17" ht="45" hidden="1" customHeight="1" outlineLevel="1" thickBot="1" x14ac:dyDescent="0.3">
      <c r="A121" s="87"/>
      <c r="B121" s="31" t="s">
        <v>191</v>
      </c>
      <c r="C121" s="37" t="b">
        <v>0</v>
      </c>
      <c r="D121" s="17" t="s">
        <v>170</v>
      </c>
      <c r="E121" s="84" t="s">
        <v>168</v>
      </c>
      <c r="F121" s="84"/>
      <c r="G121" s="84"/>
      <c r="H121" s="84"/>
      <c r="I121" s="20">
        <v>2</v>
      </c>
      <c r="J121" s="3">
        <f>C115*-10.7</f>
        <v>-10.7</v>
      </c>
      <c r="K121" s="3">
        <f>C115*-0.204</f>
        <v>-0.20399999999999999</v>
      </c>
      <c r="L121" s="3">
        <f>C115*-0.0136</f>
        <v>-1.3599999999999999E-2</v>
      </c>
      <c r="M121" s="3">
        <f>C115*-14.1</f>
        <v>-14.1</v>
      </c>
      <c r="N121" s="3"/>
      <c r="O121" s="4">
        <f>_xlfn.XLOOKUP(O$117,J$116:M$116,J121:M121)</f>
        <v>-10.7</v>
      </c>
      <c r="P121" s="34" t="s">
        <v>87</v>
      </c>
    </row>
    <row r="122" spans="1:17" ht="56.25" customHeight="1" collapsed="1" thickBot="1" x14ac:dyDescent="0.3">
      <c r="A122" s="76" t="s">
        <v>248</v>
      </c>
      <c r="B122" t="e" vm="20">
        <v>#VALUE!</v>
      </c>
      <c r="C122" s="28">
        <v>1</v>
      </c>
      <c r="D122" s="15" t="s">
        <v>5</v>
      </c>
      <c r="E122" s="15">
        <v>34.200000000000003</v>
      </c>
      <c r="F122" s="2"/>
      <c r="G122" s="2"/>
      <c r="H122" s="2"/>
      <c r="I122" s="2"/>
      <c r="J122" s="2"/>
      <c r="K122" s="2"/>
      <c r="L122" s="2"/>
      <c r="M122" s="2"/>
      <c r="N122" s="2"/>
      <c r="O122" s="2"/>
      <c r="P122" s="34" t="s">
        <v>259</v>
      </c>
      <c r="Q122" s="18" t="s">
        <v>261</v>
      </c>
    </row>
    <row r="123" spans="1:17" ht="45" hidden="1" customHeight="1" outlineLevel="1" thickBot="1" x14ac:dyDescent="0.3">
      <c r="A123" s="77"/>
      <c r="B123" s="19" t="s">
        <v>38</v>
      </c>
      <c r="C123" s="27"/>
      <c r="D123" s="9" t="s">
        <v>270</v>
      </c>
      <c r="E123" s="78" t="s">
        <v>3</v>
      </c>
      <c r="F123" s="78"/>
      <c r="G123" s="78"/>
      <c r="H123" s="78"/>
      <c r="I123" s="10" t="s">
        <v>32</v>
      </c>
      <c r="J123" s="9" t="s">
        <v>13</v>
      </c>
      <c r="K123" s="9" t="s">
        <v>7</v>
      </c>
      <c r="L123" s="9" t="s">
        <v>302</v>
      </c>
      <c r="M123" s="9" t="s">
        <v>303</v>
      </c>
      <c r="N123" s="78" t="s">
        <v>4</v>
      </c>
      <c r="O123" s="79"/>
    </row>
    <row r="124" spans="1:17" ht="15" hidden="1" customHeight="1" outlineLevel="1" thickBot="1" x14ac:dyDescent="0.4">
      <c r="A124" s="77"/>
      <c r="B124" s="11"/>
      <c r="C124" s="26"/>
      <c r="D124" s="12"/>
      <c r="E124" s="80"/>
      <c r="F124" s="80"/>
      <c r="G124" s="80"/>
      <c r="H124" s="80"/>
      <c r="I124" s="13"/>
      <c r="J124" s="12" t="s">
        <v>16</v>
      </c>
      <c r="K124" s="12" t="s">
        <v>17</v>
      </c>
      <c r="L124" s="12" t="s">
        <v>31</v>
      </c>
      <c r="M124" s="12" t="s">
        <v>14</v>
      </c>
      <c r="N124" s="14" t="s">
        <v>12</v>
      </c>
      <c r="O124" s="65" t="s">
        <v>13</v>
      </c>
    </row>
    <row r="125" spans="1:17" ht="45" hidden="1" customHeight="1" outlineLevel="1" x14ac:dyDescent="0.25">
      <c r="A125" s="77"/>
      <c r="B125" s="35" t="s">
        <v>249</v>
      </c>
      <c r="C125" s="36" t="b">
        <v>0</v>
      </c>
      <c r="D125" s="16" t="s">
        <v>9</v>
      </c>
      <c r="E125" s="81" t="s">
        <v>255</v>
      </c>
      <c r="F125" s="81"/>
      <c r="G125" s="81"/>
      <c r="H125" s="81"/>
      <c r="I125" s="20">
        <v>4</v>
      </c>
      <c r="J125" s="4">
        <f>C122*0.726</f>
        <v>0.72599999999999998</v>
      </c>
      <c r="K125" s="4">
        <f>C122*0.00359</f>
        <v>3.5899999999999999E-3</v>
      </c>
      <c r="L125" s="4">
        <f>C122*0.00161</f>
        <v>1.6100000000000001E-3</v>
      </c>
      <c r="M125" s="4">
        <f>C122*0.276</f>
        <v>0.27600000000000002</v>
      </c>
      <c r="N125" s="4" t="str">
        <f>_xlfn.XLOOKUP(O$124,J$123:M$123,J$124:M$124)</f>
        <v>[kg CO2 eq]</v>
      </c>
      <c r="O125" s="4">
        <f>_xlfn.XLOOKUP(O$124,J$123:M$123,J125:M125)</f>
        <v>0.72599999999999998</v>
      </c>
    </row>
    <row r="126" spans="1:17" ht="45" hidden="1" customHeight="1" outlineLevel="1" x14ac:dyDescent="0.25">
      <c r="A126" s="77"/>
      <c r="B126" s="40" t="s">
        <v>250</v>
      </c>
      <c r="C126" s="37" t="b">
        <v>0</v>
      </c>
      <c r="D126" s="16" t="s">
        <v>253</v>
      </c>
      <c r="E126" s="81" t="s">
        <v>256</v>
      </c>
      <c r="F126" s="81"/>
      <c r="G126" s="81"/>
      <c r="H126" s="81"/>
      <c r="I126" s="20">
        <v>1</v>
      </c>
      <c r="J126" s="56">
        <f>C122*-2.6</f>
        <v>-2.6</v>
      </c>
      <c r="K126" s="52">
        <f>C122*-0.397</f>
        <v>-0.39700000000000002</v>
      </c>
      <c r="L126" s="4">
        <f>C122*-0.00486</f>
        <v>-4.8599999999999997E-3</v>
      </c>
      <c r="M126" s="52">
        <f>C122*-0.537</f>
        <v>-0.53700000000000003</v>
      </c>
      <c r="N126" s="3"/>
      <c r="O126" s="4">
        <f t="shared" ref="O126:O128" si="9">_xlfn.XLOOKUP(O$124,J$123:M$123,J126:M126)</f>
        <v>-2.6</v>
      </c>
    </row>
    <row r="127" spans="1:17" ht="45" hidden="1" customHeight="1" outlineLevel="1" x14ac:dyDescent="0.25">
      <c r="A127" s="77"/>
      <c r="B127" s="38" t="s">
        <v>251</v>
      </c>
      <c r="C127" s="39" t="b">
        <v>0</v>
      </c>
      <c r="D127" s="16" t="s">
        <v>254</v>
      </c>
      <c r="E127" s="81" t="s">
        <v>257</v>
      </c>
      <c r="F127" s="81"/>
      <c r="G127" s="81"/>
      <c r="H127" s="81"/>
      <c r="I127" s="20">
        <v>2</v>
      </c>
      <c r="J127" s="56">
        <f>C122*-2.6</f>
        <v>-2.6</v>
      </c>
      <c r="K127" s="52">
        <f>C122*-0.397</f>
        <v>-0.39700000000000002</v>
      </c>
      <c r="L127" s="4">
        <f>C122*-0.00486</f>
        <v>-4.8599999999999997E-3</v>
      </c>
      <c r="M127" s="52">
        <f>C122*-0.537</f>
        <v>-0.53700000000000003</v>
      </c>
      <c r="N127" s="3"/>
      <c r="O127" s="4">
        <f t="shared" si="9"/>
        <v>-2.6</v>
      </c>
    </row>
    <row r="128" spans="1:17" ht="45" hidden="1" customHeight="1" outlineLevel="1" thickBot="1" x14ac:dyDescent="0.3">
      <c r="A128" s="77"/>
      <c r="B128" s="38" t="s">
        <v>252</v>
      </c>
      <c r="C128" s="39" t="b">
        <v>0</v>
      </c>
      <c r="D128" s="16" t="s">
        <v>22</v>
      </c>
      <c r="E128" s="81" t="s">
        <v>258</v>
      </c>
      <c r="F128" s="81"/>
      <c r="G128" s="81"/>
      <c r="H128" s="81"/>
      <c r="I128" s="20">
        <v>0</v>
      </c>
      <c r="J128" s="4">
        <f>C122*-15.1</f>
        <v>-15.1</v>
      </c>
      <c r="K128" s="4">
        <f>C122*-5.55</f>
        <v>-5.55</v>
      </c>
      <c r="L128" s="4">
        <f>C122*-0.157</f>
        <v>-0.157</v>
      </c>
      <c r="M128" s="4">
        <f>C122*-3.68</f>
        <v>-3.68</v>
      </c>
      <c r="N128" s="3"/>
      <c r="O128" s="4">
        <f t="shared" si="9"/>
        <v>-15.1</v>
      </c>
      <c r="P128" s="34" t="s">
        <v>260</v>
      </c>
    </row>
    <row r="129" spans="1:17" ht="56.25" customHeight="1" collapsed="1" thickBot="1" x14ac:dyDescent="0.3">
      <c r="A129" s="82" t="s">
        <v>264</v>
      </c>
      <c r="B129" t="e" vm="21">
        <v>#VALUE!</v>
      </c>
      <c r="C129" s="28">
        <v>1</v>
      </c>
      <c r="D129" s="15" t="s">
        <v>5</v>
      </c>
      <c r="E129" s="15">
        <v>36.4</v>
      </c>
      <c r="F129" s="2"/>
      <c r="G129" s="2"/>
      <c r="H129" s="2"/>
      <c r="I129" s="2"/>
      <c r="J129" s="2"/>
      <c r="K129" s="2"/>
      <c r="L129" s="2"/>
      <c r="M129" s="2"/>
      <c r="N129" s="2"/>
      <c r="O129" s="2"/>
      <c r="P129" s="34" t="s">
        <v>262</v>
      </c>
      <c r="Q129" s="18" t="s">
        <v>269</v>
      </c>
    </row>
    <row r="130" spans="1:17" ht="45" hidden="1" customHeight="1" outlineLevel="1" thickBot="1" x14ac:dyDescent="0.3">
      <c r="A130" s="83"/>
      <c r="B130" s="19" t="s">
        <v>38</v>
      </c>
      <c r="C130" s="27"/>
      <c r="D130" s="9" t="s">
        <v>270</v>
      </c>
      <c r="E130" s="78" t="s">
        <v>3</v>
      </c>
      <c r="F130" s="78"/>
      <c r="G130" s="78"/>
      <c r="H130" s="78"/>
      <c r="I130" s="10" t="s">
        <v>32</v>
      </c>
      <c r="J130" s="9" t="s">
        <v>13</v>
      </c>
      <c r="K130" s="9" t="s">
        <v>7</v>
      </c>
      <c r="L130" s="9" t="s">
        <v>302</v>
      </c>
      <c r="M130" s="9" t="s">
        <v>303</v>
      </c>
      <c r="N130" s="78" t="s">
        <v>4</v>
      </c>
      <c r="O130" s="79"/>
    </row>
    <row r="131" spans="1:17" ht="15" hidden="1" customHeight="1" outlineLevel="1" thickBot="1" x14ac:dyDescent="0.4">
      <c r="A131" s="83"/>
      <c r="B131" s="11"/>
      <c r="C131" s="26"/>
      <c r="D131" s="12"/>
      <c r="E131" s="80"/>
      <c r="F131" s="80"/>
      <c r="G131" s="80"/>
      <c r="H131" s="80"/>
      <c r="I131" s="13"/>
      <c r="J131" s="12" t="s">
        <v>16</v>
      </c>
      <c r="K131" s="12" t="s">
        <v>17</v>
      </c>
      <c r="L131" s="12" t="s">
        <v>31</v>
      </c>
      <c r="M131" s="12" t="s">
        <v>14</v>
      </c>
      <c r="N131" s="14" t="s">
        <v>12</v>
      </c>
      <c r="O131" s="65" t="s">
        <v>13</v>
      </c>
    </row>
    <row r="132" spans="1:17" ht="45" hidden="1" customHeight="1" outlineLevel="1" x14ac:dyDescent="0.25">
      <c r="A132" s="83"/>
      <c r="B132" s="59" t="s">
        <v>265</v>
      </c>
      <c r="C132" s="36" t="b">
        <v>0</v>
      </c>
      <c r="D132" s="16" t="s">
        <v>9</v>
      </c>
      <c r="E132" s="81" t="s">
        <v>255</v>
      </c>
      <c r="F132" s="81"/>
      <c r="G132" s="81"/>
      <c r="H132" s="81"/>
      <c r="I132" s="20">
        <v>4</v>
      </c>
      <c r="J132" s="4">
        <f>C129*0.771</f>
        <v>0.77100000000000002</v>
      </c>
      <c r="K132" s="4">
        <f>C129*0.00389</f>
        <v>3.8899999999999998E-3</v>
      </c>
      <c r="L132" s="4">
        <f>C129*0.00171</f>
        <v>1.7099999999999999E-3</v>
      </c>
      <c r="M132" s="4">
        <f>C129*0.293</f>
        <v>0.29299999999999998</v>
      </c>
      <c r="N132" s="4" t="str">
        <f>_xlfn.XLOOKUP(O$131,J$130:M$130,J$131:M$131)</f>
        <v>[kg CO2 eq]</v>
      </c>
      <c r="O132" s="4">
        <f>_xlfn.XLOOKUP(O$131,J$130:M$130,J132:M132)</f>
        <v>0.77100000000000002</v>
      </c>
    </row>
    <row r="133" spans="1:17" ht="45" hidden="1" customHeight="1" outlineLevel="1" x14ac:dyDescent="0.25">
      <c r="A133" s="83"/>
      <c r="B133" s="60" t="s">
        <v>266</v>
      </c>
      <c r="C133" s="37" t="b">
        <v>0</v>
      </c>
      <c r="D133" s="16" t="s">
        <v>253</v>
      </c>
      <c r="E133" s="81" t="s">
        <v>256</v>
      </c>
      <c r="F133" s="81"/>
      <c r="G133" s="81"/>
      <c r="H133" s="81"/>
      <c r="I133" s="20">
        <v>1</v>
      </c>
      <c r="J133" s="55">
        <f>C129*-20.9</f>
        <v>-20.9</v>
      </c>
      <c r="K133" s="52">
        <f>C129*-0.823</f>
        <v>-0.82299999999999995</v>
      </c>
      <c r="L133" s="4">
        <f>C129*-0.258</f>
        <v>-0.25800000000000001</v>
      </c>
      <c r="M133" s="56">
        <f>C129*-4.38</f>
        <v>-4.38</v>
      </c>
      <c r="N133" s="3"/>
      <c r="O133" s="4">
        <f t="shared" ref="O133:O135" si="10">_xlfn.XLOOKUP(O$131,J$130:M$130,J133:M133)</f>
        <v>-20.9</v>
      </c>
    </row>
    <row r="134" spans="1:17" ht="45" hidden="1" customHeight="1" outlineLevel="1" x14ac:dyDescent="0.25">
      <c r="A134" s="83"/>
      <c r="B134" s="61" t="s">
        <v>267</v>
      </c>
      <c r="C134" s="39" t="b">
        <v>0</v>
      </c>
      <c r="D134" s="16" t="s">
        <v>254</v>
      </c>
      <c r="E134" s="81" t="s">
        <v>257</v>
      </c>
      <c r="F134" s="81"/>
      <c r="G134" s="81"/>
      <c r="H134" s="81"/>
      <c r="I134" s="20">
        <v>2</v>
      </c>
      <c r="J134" s="55">
        <f>C129*-20.9</f>
        <v>-20.9</v>
      </c>
      <c r="K134" s="52">
        <f>C129*-0.823</f>
        <v>-0.82299999999999995</v>
      </c>
      <c r="L134" s="4">
        <f>C129*-0.258</f>
        <v>-0.25800000000000001</v>
      </c>
      <c r="M134" s="56">
        <f>C129*-4.38</f>
        <v>-4.38</v>
      </c>
      <c r="N134" s="3"/>
      <c r="O134" s="4">
        <f t="shared" si="10"/>
        <v>-20.9</v>
      </c>
    </row>
    <row r="135" spans="1:17" ht="45" hidden="1" customHeight="1" outlineLevel="1" x14ac:dyDescent="0.25">
      <c r="A135" s="83"/>
      <c r="B135" s="61" t="s">
        <v>268</v>
      </c>
      <c r="C135" s="39" t="b">
        <v>0</v>
      </c>
      <c r="D135" s="16" t="s">
        <v>22</v>
      </c>
      <c r="E135" s="81" t="s">
        <v>258</v>
      </c>
      <c r="F135" s="81"/>
      <c r="G135" s="81"/>
      <c r="H135" s="81"/>
      <c r="I135" s="20">
        <v>0</v>
      </c>
      <c r="J135" s="4">
        <f>C129*-29.6</f>
        <v>-29.6</v>
      </c>
      <c r="K135" s="4">
        <f>C129*-6.06</f>
        <v>-6.06</v>
      </c>
      <c r="L135" s="4">
        <f>C129*-0.345</f>
        <v>-0.34499999999999997</v>
      </c>
      <c r="M135" s="4">
        <f>C129*-6.84</f>
        <v>-6.84</v>
      </c>
      <c r="N135" s="3"/>
      <c r="O135" s="4">
        <f t="shared" si="10"/>
        <v>-29.6</v>
      </c>
      <c r="P135" s="34" t="s">
        <v>263</v>
      </c>
    </row>
    <row r="136" spans="1:17" s="2" customFormat="1" x14ac:dyDescent="0.25">
      <c r="P136" s="34"/>
    </row>
    <row r="137" spans="1:17" s="2" customFormat="1" x14ac:dyDescent="0.25">
      <c r="P137" s="34"/>
    </row>
    <row r="138" spans="1:17" s="2" customFormat="1" x14ac:dyDescent="0.25">
      <c r="P138" s="34"/>
    </row>
    <row r="139" spans="1:17" s="2" customFormat="1" x14ac:dyDescent="0.25">
      <c r="P139" s="34"/>
    </row>
    <row r="140" spans="1:17" s="2" customFormat="1" x14ac:dyDescent="0.25">
      <c r="P140" s="34"/>
    </row>
    <row r="141" spans="1:17" s="2" customFormat="1" x14ac:dyDescent="0.25">
      <c r="P141" s="34"/>
    </row>
    <row r="142" spans="1:17" s="2" customFormat="1" x14ac:dyDescent="0.25">
      <c r="P142" s="34"/>
    </row>
    <row r="143" spans="1:17" s="2" customFormat="1" x14ac:dyDescent="0.25">
      <c r="P143" s="34"/>
    </row>
    <row r="144" spans="1:17" s="2" customFormat="1" x14ac:dyDescent="0.25">
      <c r="P144" s="34"/>
    </row>
    <row r="145" spans="16:16" s="2" customFormat="1" x14ac:dyDescent="0.25">
      <c r="P145" s="34"/>
    </row>
    <row r="146" spans="16:16" s="2" customFormat="1" x14ac:dyDescent="0.25">
      <c r="P146" s="34"/>
    </row>
    <row r="147" spans="16:16" s="2" customFormat="1" x14ac:dyDescent="0.25">
      <c r="P147" s="34"/>
    </row>
    <row r="148" spans="16:16" s="2" customFormat="1" x14ac:dyDescent="0.25">
      <c r="P148" s="34"/>
    </row>
    <row r="149" spans="16:16" s="2" customFormat="1" x14ac:dyDescent="0.25">
      <c r="P149" s="34"/>
    </row>
    <row r="150" spans="16:16" s="2" customFormat="1" x14ac:dyDescent="0.25">
      <c r="P150" s="34"/>
    </row>
    <row r="151" spans="16:16" s="2" customFormat="1" x14ac:dyDescent="0.25">
      <c r="P151" s="34"/>
    </row>
    <row r="152" spans="16:16" s="2" customFormat="1" x14ac:dyDescent="0.25">
      <c r="P152" s="34"/>
    </row>
    <row r="153" spans="16:16" s="2" customFormat="1" x14ac:dyDescent="0.25">
      <c r="P153" s="34"/>
    </row>
    <row r="154" spans="16:16" s="2" customFormat="1" x14ac:dyDescent="0.25">
      <c r="P154" s="34"/>
    </row>
    <row r="155" spans="16:16" s="2" customFormat="1" x14ac:dyDescent="0.25">
      <c r="P155" s="34"/>
    </row>
    <row r="156" spans="16:16" s="2" customFormat="1" x14ac:dyDescent="0.25">
      <c r="P156" s="34"/>
    </row>
    <row r="157" spans="16:16" s="2" customFormat="1" x14ac:dyDescent="0.25">
      <c r="P157" s="34"/>
    </row>
    <row r="158" spans="16:16" s="2" customFormat="1" x14ac:dyDescent="0.25">
      <c r="P158" s="34"/>
    </row>
    <row r="159" spans="16:16" s="2" customFormat="1" x14ac:dyDescent="0.25">
      <c r="P159" s="34"/>
    </row>
    <row r="160" spans="16:16" s="2" customFormat="1" x14ac:dyDescent="0.25">
      <c r="P160" s="34"/>
    </row>
    <row r="161" spans="16:16" s="2" customFormat="1" x14ac:dyDescent="0.25">
      <c r="P161" s="34"/>
    </row>
    <row r="162" spans="16:16" s="2" customFormat="1" x14ac:dyDescent="0.25">
      <c r="P162" s="34"/>
    </row>
    <row r="163" spans="16:16" s="2" customFormat="1" x14ac:dyDescent="0.25">
      <c r="P163" s="34"/>
    </row>
    <row r="164" spans="16:16" s="2" customFormat="1" x14ac:dyDescent="0.25">
      <c r="P164" s="34"/>
    </row>
    <row r="165" spans="16:16" s="2" customFormat="1" x14ac:dyDescent="0.25">
      <c r="P165" s="34"/>
    </row>
    <row r="166" spans="16:16" s="2" customFormat="1" x14ac:dyDescent="0.25">
      <c r="P166" s="34"/>
    </row>
    <row r="167" spans="16:16" s="2" customFormat="1" x14ac:dyDescent="0.25">
      <c r="P167" s="34"/>
    </row>
    <row r="168" spans="16:16" s="2" customFormat="1" x14ac:dyDescent="0.25">
      <c r="P168" s="34"/>
    </row>
    <row r="169" spans="16:16" s="2" customFormat="1" x14ac:dyDescent="0.25">
      <c r="P169" s="34"/>
    </row>
    <row r="170" spans="16:16" s="2" customFormat="1" x14ac:dyDescent="0.25">
      <c r="P170" s="34"/>
    </row>
    <row r="171" spans="16:16" s="2" customFormat="1" x14ac:dyDescent="0.25">
      <c r="P171" s="34"/>
    </row>
    <row r="172" spans="16:16" s="2" customFormat="1" x14ac:dyDescent="0.25">
      <c r="P172" s="34"/>
    </row>
    <row r="173" spans="16:16" s="2" customFormat="1" x14ac:dyDescent="0.25">
      <c r="P173" s="34"/>
    </row>
    <row r="174" spans="16:16" s="2" customFormat="1" x14ac:dyDescent="0.25">
      <c r="P174" s="34"/>
    </row>
    <row r="175" spans="16:16" s="2" customFormat="1" x14ac:dyDescent="0.25">
      <c r="P175" s="34"/>
    </row>
    <row r="176" spans="16:16" s="2" customFormat="1" x14ac:dyDescent="0.25">
      <c r="P176" s="34"/>
    </row>
    <row r="177" spans="16:16" s="2" customFormat="1" x14ac:dyDescent="0.25">
      <c r="P177" s="34"/>
    </row>
    <row r="178" spans="16:16" s="2" customFormat="1" x14ac:dyDescent="0.25">
      <c r="P178" s="34"/>
    </row>
    <row r="179" spans="16:16" s="2" customFormat="1" x14ac:dyDescent="0.25">
      <c r="P179" s="34"/>
    </row>
    <row r="180" spans="16:16" s="2" customFormat="1" x14ac:dyDescent="0.25">
      <c r="P180" s="34"/>
    </row>
    <row r="181" spans="16:16" s="2" customFormat="1" x14ac:dyDescent="0.25">
      <c r="P181" s="34"/>
    </row>
    <row r="182" spans="16:16" s="2" customFormat="1" x14ac:dyDescent="0.25">
      <c r="P182" s="34"/>
    </row>
    <row r="183" spans="16:16" s="2" customFormat="1" x14ac:dyDescent="0.25">
      <c r="P183" s="34"/>
    </row>
    <row r="184" spans="16:16" s="2" customFormat="1" x14ac:dyDescent="0.25">
      <c r="P184" s="34"/>
    </row>
    <row r="185" spans="16:16" s="2" customFormat="1" x14ac:dyDescent="0.25">
      <c r="P185" s="34"/>
    </row>
    <row r="186" spans="16:16" s="2" customFormat="1" x14ac:dyDescent="0.25">
      <c r="P186" s="34"/>
    </row>
    <row r="187" spans="16:16" s="2" customFormat="1" x14ac:dyDescent="0.25">
      <c r="P187" s="34"/>
    </row>
    <row r="188" spans="16:16" s="2" customFormat="1" x14ac:dyDescent="0.25">
      <c r="P188" s="34"/>
    </row>
    <row r="189" spans="16:16" s="2" customFormat="1" x14ac:dyDescent="0.25">
      <c r="P189" s="34"/>
    </row>
    <row r="190" spans="16:16" s="2" customFormat="1" x14ac:dyDescent="0.25">
      <c r="P190" s="34"/>
    </row>
    <row r="191" spans="16:16" s="2" customFormat="1" x14ac:dyDescent="0.25">
      <c r="P191" s="34"/>
    </row>
    <row r="192" spans="16:16" s="2" customFormat="1" x14ac:dyDescent="0.25">
      <c r="P192" s="34"/>
    </row>
    <row r="193" spans="16:16" s="2" customFormat="1" x14ac:dyDescent="0.25">
      <c r="P193" s="34"/>
    </row>
    <row r="194" spans="16:16" s="2" customFormat="1" x14ac:dyDescent="0.25">
      <c r="P194" s="34"/>
    </row>
    <row r="195" spans="16:16" s="2" customFormat="1" x14ac:dyDescent="0.25">
      <c r="P195" s="34"/>
    </row>
    <row r="196" spans="16:16" s="2" customFormat="1" x14ac:dyDescent="0.25">
      <c r="P196" s="34"/>
    </row>
    <row r="197" spans="16:16" s="2" customFormat="1" x14ac:dyDescent="0.25">
      <c r="P197" s="34"/>
    </row>
    <row r="198" spans="16:16" s="2" customFormat="1" x14ac:dyDescent="0.25">
      <c r="P198" s="34"/>
    </row>
    <row r="199" spans="16:16" s="2" customFormat="1" x14ac:dyDescent="0.25">
      <c r="P199" s="34"/>
    </row>
    <row r="200" spans="16:16" s="2" customFormat="1" x14ac:dyDescent="0.25">
      <c r="P200" s="34"/>
    </row>
    <row r="201" spans="16:16" s="2" customFormat="1" x14ac:dyDescent="0.25">
      <c r="P201" s="34"/>
    </row>
    <row r="202" spans="16:16" s="2" customFormat="1" x14ac:dyDescent="0.25">
      <c r="P202" s="34"/>
    </row>
    <row r="203" spans="16:16" s="2" customFormat="1" x14ac:dyDescent="0.25">
      <c r="P203" s="34"/>
    </row>
    <row r="204" spans="16:16" s="2" customFormat="1" x14ac:dyDescent="0.25">
      <c r="P204" s="34"/>
    </row>
    <row r="205" spans="16:16" s="2" customFormat="1" x14ac:dyDescent="0.25">
      <c r="P205" s="34"/>
    </row>
    <row r="206" spans="16:16" s="2" customFormat="1" x14ac:dyDescent="0.25">
      <c r="P206" s="34"/>
    </row>
    <row r="207" spans="16:16" s="2" customFormat="1" x14ac:dyDescent="0.25">
      <c r="P207" s="34"/>
    </row>
    <row r="208" spans="16:16" s="2" customFormat="1" x14ac:dyDescent="0.25">
      <c r="P208" s="34"/>
    </row>
    <row r="209" spans="16:16" s="2" customFormat="1" x14ac:dyDescent="0.25">
      <c r="P209" s="34"/>
    </row>
    <row r="210" spans="16:16" s="2" customFormat="1" x14ac:dyDescent="0.25">
      <c r="P210" s="34"/>
    </row>
    <row r="211" spans="16:16" s="2" customFormat="1" x14ac:dyDescent="0.25">
      <c r="P211" s="34"/>
    </row>
    <row r="212" spans="16:16" s="2" customFormat="1" x14ac:dyDescent="0.25">
      <c r="P212" s="34"/>
    </row>
    <row r="213" spans="16:16" s="2" customFormat="1" x14ac:dyDescent="0.25">
      <c r="P213" s="34"/>
    </row>
    <row r="214" spans="16:16" s="2" customFormat="1" x14ac:dyDescent="0.25">
      <c r="P214" s="34"/>
    </row>
    <row r="215" spans="16:16" s="2" customFormat="1" x14ac:dyDescent="0.25">
      <c r="P215" s="34"/>
    </row>
    <row r="216" spans="16:16" s="2" customFormat="1" x14ac:dyDescent="0.25">
      <c r="P216" s="34"/>
    </row>
    <row r="217" spans="16:16" s="2" customFormat="1" x14ac:dyDescent="0.25">
      <c r="P217" s="34"/>
    </row>
    <row r="218" spans="16:16" s="2" customFormat="1" x14ac:dyDescent="0.25">
      <c r="P218" s="34"/>
    </row>
    <row r="219" spans="16:16" s="2" customFormat="1" x14ac:dyDescent="0.25">
      <c r="P219" s="34"/>
    </row>
    <row r="220" spans="16:16" s="2" customFormat="1" x14ac:dyDescent="0.25">
      <c r="P220" s="34"/>
    </row>
    <row r="221" spans="16:16" s="2" customFormat="1" x14ac:dyDescent="0.25">
      <c r="P221" s="34"/>
    </row>
    <row r="222" spans="16:16" s="2" customFormat="1" x14ac:dyDescent="0.25">
      <c r="P222" s="34"/>
    </row>
    <row r="223" spans="16:16" s="2" customFormat="1" x14ac:dyDescent="0.25">
      <c r="P223" s="34"/>
    </row>
    <row r="224" spans="16:16" s="2" customFormat="1" x14ac:dyDescent="0.25">
      <c r="P224" s="34"/>
    </row>
    <row r="225" spans="16:16" s="2" customFormat="1" x14ac:dyDescent="0.25">
      <c r="P225" s="34"/>
    </row>
    <row r="226" spans="16:16" s="2" customFormat="1" x14ac:dyDescent="0.25">
      <c r="P226" s="34"/>
    </row>
    <row r="227" spans="16:16" s="2" customFormat="1" x14ac:dyDescent="0.25">
      <c r="P227" s="34"/>
    </row>
    <row r="228" spans="16:16" s="2" customFormat="1" x14ac:dyDescent="0.25">
      <c r="P228" s="34"/>
    </row>
    <row r="229" spans="16:16" s="2" customFormat="1" x14ac:dyDescent="0.25">
      <c r="P229" s="34"/>
    </row>
    <row r="230" spans="16:16" s="2" customFormat="1" x14ac:dyDescent="0.25">
      <c r="P230" s="34"/>
    </row>
    <row r="231" spans="16:16" s="2" customFormat="1" x14ac:dyDescent="0.25">
      <c r="P231" s="34"/>
    </row>
    <row r="232" spans="16:16" s="2" customFormat="1" x14ac:dyDescent="0.25">
      <c r="P232" s="34"/>
    </row>
    <row r="233" spans="16:16" s="2" customFormat="1" x14ac:dyDescent="0.25">
      <c r="P233" s="34"/>
    </row>
    <row r="234" spans="16:16" s="2" customFormat="1" x14ac:dyDescent="0.25">
      <c r="P234" s="34"/>
    </row>
    <row r="235" spans="16:16" s="2" customFormat="1" x14ac:dyDescent="0.25">
      <c r="P235" s="34"/>
    </row>
    <row r="236" spans="16:16" s="2" customFormat="1" x14ac:dyDescent="0.25">
      <c r="P236" s="34"/>
    </row>
    <row r="237" spans="16:16" s="2" customFormat="1" x14ac:dyDescent="0.25">
      <c r="P237" s="34"/>
    </row>
    <row r="238" spans="16:16" s="2" customFormat="1" x14ac:dyDescent="0.25">
      <c r="P238" s="34"/>
    </row>
    <row r="239" spans="16:16" s="2" customFormat="1" x14ac:dyDescent="0.25">
      <c r="P239" s="34"/>
    </row>
    <row r="240" spans="16:16" s="2" customFormat="1" x14ac:dyDescent="0.25">
      <c r="P240" s="34"/>
    </row>
    <row r="241" spans="16:16" s="2" customFormat="1" x14ac:dyDescent="0.25">
      <c r="P241" s="34"/>
    </row>
    <row r="242" spans="16:16" s="2" customFormat="1" x14ac:dyDescent="0.25">
      <c r="P242" s="34"/>
    </row>
    <row r="243" spans="16:16" s="2" customFormat="1" x14ac:dyDescent="0.25">
      <c r="P243" s="34"/>
    </row>
    <row r="244" spans="16:16" s="2" customFormat="1" x14ac:dyDescent="0.25">
      <c r="P244" s="34"/>
    </row>
    <row r="245" spans="16:16" s="2" customFormat="1" x14ac:dyDescent="0.25">
      <c r="P245" s="34"/>
    </row>
    <row r="246" spans="16:16" s="2" customFormat="1" x14ac:dyDescent="0.25">
      <c r="P246" s="34"/>
    </row>
    <row r="247" spans="16:16" s="2" customFormat="1" x14ac:dyDescent="0.25">
      <c r="P247" s="34"/>
    </row>
    <row r="248" spans="16:16" s="2" customFormat="1" x14ac:dyDescent="0.25">
      <c r="P248" s="34"/>
    </row>
    <row r="249" spans="16:16" s="2" customFormat="1" x14ac:dyDescent="0.25">
      <c r="P249" s="34"/>
    </row>
    <row r="250" spans="16:16" s="2" customFormat="1" x14ac:dyDescent="0.25">
      <c r="P250" s="34"/>
    </row>
    <row r="251" spans="16:16" s="2" customFormat="1" x14ac:dyDescent="0.25">
      <c r="P251" s="34"/>
    </row>
    <row r="252" spans="16:16" s="2" customFormat="1" x14ac:dyDescent="0.25">
      <c r="P252" s="34"/>
    </row>
    <row r="253" spans="16:16" s="2" customFormat="1" x14ac:dyDescent="0.25">
      <c r="P253" s="34"/>
    </row>
    <row r="254" spans="16:16" s="2" customFormat="1" x14ac:dyDescent="0.25">
      <c r="P254" s="34"/>
    </row>
    <row r="255" spans="16:16" s="2" customFormat="1" x14ac:dyDescent="0.25">
      <c r="P255" s="34"/>
    </row>
    <row r="256" spans="16:16" s="2" customFormat="1" x14ac:dyDescent="0.25">
      <c r="P256" s="34"/>
    </row>
    <row r="257" spans="16:16" s="2" customFormat="1" x14ac:dyDescent="0.25">
      <c r="P257" s="34"/>
    </row>
    <row r="258" spans="16:16" s="2" customFormat="1" x14ac:dyDescent="0.25">
      <c r="P258" s="34"/>
    </row>
    <row r="259" spans="16:16" s="2" customFormat="1" x14ac:dyDescent="0.25">
      <c r="P259" s="34"/>
    </row>
    <row r="260" spans="16:16" s="2" customFormat="1" x14ac:dyDescent="0.25">
      <c r="P260" s="34"/>
    </row>
    <row r="261" spans="16:16" s="2" customFormat="1" x14ac:dyDescent="0.25">
      <c r="P261" s="34"/>
    </row>
    <row r="262" spans="16:16" s="2" customFormat="1" x14ac:dyDescent="0.25">
      <c r="P262" s="34"/>
    </row>
    <row r="263" spans="16:16" s="2" customFormat="1" x14ac:dyDescent="0.25">
      <c r="P263" s="34"/>
    </row>
    <row r="264" spans="16:16" s="2" customFormat="1" x14ac:dyDescent="0.25">
      <c r="P264" s="34"/>
    </row>
    <row r="265" spans="16:16" s="2" customFormat="1" x14ac:dyDescent="0.25">
      <c r="P265" s="34"/>
    </row>
    <row r="266" spans="16:16" s="2" customFormat="1" x14ac:dyDescent="0.25">
      <c r="P266" s="34"/>
    </row>
    <row r="267" spans="16:16" s="2" customFormat="1" x14ac:dyDescent="0.25">
      <c r="P267" s="34"/>
    </row>
    <row r="268" spans="16:16" s="2" customFormat="1" x14ac:dyDescent="0.25">
      <c r="P268" s="34"/>
    </row>
    <row r="269" spans="16:16" s="2" customFormat="1" x14ac:dyDescent="0.25">
      <c r="P269" s="34"/>
    </row>
    <row r="270" spans="16:16" s="2" customFormat="1" x14ac:dyDescent="0.25">
      <c r="P270" s="34"/>
    </row>
    <row r="271" spans="16:16" s="2" customFormat="1" x14ac:dyDescent="0.25">
      <c r="P271" s="34"/>
    </row>
    <row r="272" spans="16:16" s="2" customFormat="1" x14ac:dyDescent="0.25">
      <c r="P272" s="34"/>
    </row>
    <row r="273" spans="16:16" s="2" customFormat="1" x14ac:dyDescent="0.25">
      <c r="P273" s="34"/>
    </row>
    <row r="274" spans="16:16" s="2" customFormat="1" x14ac:dyDescent="0.25">
      <c r="P274" s="34"/>
    </row>
    <row r="275" spans="16:16" s="2" customFormat="1" x14ac:dyDescent="0.25">
      <c r="P275" s="34"/>
    </row>
    <row r="276" spans="16:16" s="2" customFormat="1" x14ac:dyDescent="0.25">
      <c r="P276" s="34"/>
    </row>
    <row r="277" spans="16:16" s="2" customFormat="1" x14ac:dyDescent="0.25">
      <c r="P277" s="34"/>
    </row>
    <row r="278" spans="16:16" s="2" customFormat="1" x14ac:dyDescent="0.25">
      <c r="P278" s="34"/>
    </row>
    <row r="279" spans="16:16" s="2" customFormat="1" x14ac:dyDescent="0.25">
      <c r="P279" s="34"/>
    </row>
    <row r="280" spans="16:16" s="2" customFormat="1" x14ac:dyDescent="0.25">
      <c r="P280" s="34"/>
    </row>
    <row r="281" spans="16:16" s="2" customFormat="1" x14ac:dyDescent="0.25">
      <c r="P281" s="34"/>
    </row>
    <row r="282" spans="16:16" s="2" customFormat="1" x14ac:dyDescent="0.25">
      <c r="P282" s="34"/>
    </row>
    <row r="283" spans="16:16" s="2" customFormat="1" x14ac:dyDescent="0.25">
      <c r="P283" s="34"/>
    </row>
    <row r="284" spans="16:16" s="2" customFormat="1" x14ac:dyDescent="0.25">
      <c r="P284" s="34"/>
    </row>
    <row r="285" spans="16:16" s="2" customFormat="1" x14ac:dyDescent="0.25">
      <c r="P285" s="34"/>
    </row>
    <row r="286" spans="16:16" s="2" customFormat="1" x14ac:dyDescent="0.25">
      <c r="P286" s="34"/>
    </row>
    <row r="287" spans="16:16" s="2" customFormat="1" x14ac:dyDescent="0.25">
      <c r="P287" s="34"/>
    </row>
    <row r="288" spans="16:16" s="2" customFormat="1" x14ac:dyDescent="0.25">
      <c r="P288" s="34"/>
    </row>
    <row r="289" spans="16:16" s="2" customFormat="1" x14ac:dyDescent="0.25">
      <c r="P289" s="34"/>
    </row>
    <row r="290" spans="16:16" s="2" customFormat="1" x14ac:dyDescent="0.25">
      <c r="P290" s="34"/>
    </row>
    <row r="291" spans="16:16" s="2" customFormat="1" x14ac:dyDescent="0.25">
      <c r="P291" s="34"/>
    </row>
    <row r="292" spans="16:16" s="2" customFormat="1" x14ac:dyDescent="0.25">
      <c r="P292" s="34"/>
    </row>
    <row r="293" spans="16:16" s="2" customFormat="1" x14ac:dyDescent="0.25">
      <c r="P293" s="34"/>
    </row>
    <row r="294" spans="16:16" s="2" customFormat="1" x14ac:dyDescent="0.25">
      <c r="P294" s="34"/>
    </row>
    <row r="295" spans="16:16" s="2" customFormat="1" x14ac:dyDescent="0.25">
      <c r="P295" s="34"/>
    </row>
    <row r="296" spans="16:16" s="2" customFormat="1" x14ac:dyDescent="0.25">
      <c r="P296" s="34"/>
    </row>
    <row r="297" spans="16:16" s="2" customFormat="1" x14ac:dyDescent="0.25">
      <c r="P297" s="34"/>
    </row>
    <row r="298" spans="16:16" s="2" customFormat="1" x14ac:dyDescent="0.25">
      <c r="P298" s="34"/>
    </row>
    <row r="299" spans="16:16" s="2" customFormat="1" x14ac:dyDescent="0.25">
      <c r="P299" s="34"/>
    </row>
    <row r="300" spans="16:16" s="2" customFormat="1" x14ac:dyDescent="0.25">
      <c r="P300" s="34"/>
    </row>
    <row r="301" spans="16:16" s="2" customFormat="1" x14ac:dyDescent="0.25">
      <c r="P301" s="34"/>
    </row>
    <row r="302" spans="16:16" s="2" customFormat="1" x14ac:dyDescent="0.25">
      <c r="P302" s="34"/>
    </row>
    <row r="303" spans="16:16" s="2" customFormat="1" x14ac:dyDescent="0.25">
      <c r="P303" s="34"/>
    </row>
    <row r="304" spans="16:16" s="2" customFormat="1" x14ac:dyDescent="0.25">
      <c r="P304" s="34"/>
    </row>
    <row r="305" spans="16:16" s="2" customFormat="1" x14ac:dyDescent="0.25">
      <c r="P305" s="34"/>
    </row>
    <row r="306" spans="16:16" s="2" customFormat="1" x14ac:dyDescent="0.25">
      <c r="P306" s="34"/>
    </row>
    <row r="307" spans="16:16" s="2" customFormat="1" x14ac:dyDescent="0.25">
      <c r="P307" s="34"/>
    </row>
    <row r="308" spans="16:16" s="2" customFormat="1" x14ac:dyDescent="0.25">
      <c r="P308" s="34"/>
    </row>
    <row r="309" spans="16:16" s="2" customFormat="1" x14ac:dyDescent="0.25">
      <c r="P309" s="34"/>
    </row>
    <row r="310" spans="16:16" s="2" customFormat="1" x14ac:dyDescent="0.25">
      <c r="P310" s="34"/>
    </row>
    <row r="311" spans="16:16" s="2" customFormat="1" x14ac:dyDescent="0.25">
      <c r="P311" s="34"/>
    </row>
    <row r="312" spans="16:16" s="2" customFormat="1" x14ac:dyDescent="0.25">
      <c r="P312" s="34"/>
    </row>
    <row r="313" spans="16:16" s="2" customFormat="1" x14ac:dyDescent="0.25">
      <c r="P313" s="34"/>
    </row>
    <row r="314" spans="16:16" s="2" customFormat="1" x14ac:dyDescent="0.25">
      <c r="P314" s="34"/>
    </row>
    <row r="315" spans="16:16" s="2" customFormat="1" x14ac:dyDescent="0.25">
      <c r="P315" s="34"/>
    </row>
    <row r="316" spans="16:16" s="2" customFormat="1" x14ac:dyDescent="0.25">
      <c r="P316" s="34"/>
    </row>
    <row r="317" spans="16:16" s="2" customFormat="1" x14ac:dyDescent="0.25">
      <c r="P317" s="34"/>
    </row>
    <row r="318" spans="16:16" s="2" customFormat="1" x14ac:dyDescent="0.25">
      <c r="P318" s="34"/>
    </row>
    <row r="319" spans="16:16" s="2" customFormat="1" x14ac:dyDescent="0.25">
      <c r="P319" s="34"/>
    </row>
    <row r="320" spans="16:16" s="2" customFormat="1" x14ac:dyDescent="0.25">
      <c r="P320" s="34"/>
    </row>
    <row r="321" spans="16:16" s="2" customFormat="1" x14ac:dyDescent="0.25">
      <c r="P321" s="34"/>
    </row>
    <row r="322" spans="16:16" s="2" customFormat="1" x14ac:dyDescent="0.25">
      <c r="P322" s="34"/>
    </row>
    <row r="323" spans="16:16" s="2" customFormat="1" x14ac:dyDescent="0.25">
      <c r="P323" s="34"/>
    </row>
    <row r="324" spans="16:16" s="2" customFormat="1" x14ac:dyDescent="0.25">
      <c r="P324" s="34"/>
    </row>
    <row r="325" spans="16:16" s="2" customFormat="1" x14ac:dyDescent="0.25">
      <c r="P325" s="34"/>
    </row>
    <row r="326" spans="16:16" s="2" customFormat="1" x14ac:dyDescent="0.25">
      <c r="P326" s="34"/>
    </row>
    <row r="327" spans="16:16" s="2" customFormat="1" x14ac:dyDescent="0.25">
      <c r="P327" s="34"/>
    </row>
    <row r="328" spans="16:16" s="2" customFormat="1" x14ac:dyDescent="0.25">
      <c r="P328" s="34"/>
    </row>
    <row r="329" spans="16:16" s="2" customFormat="1" x14ac:dyDescent="0.25">
      <c r="P329" s="34"/>
    </row>
    <row r="330" spans="16:16" s="2" customFormat="1" x14ac:dyDescent="0.25">
      <c r="P330" s="34"/>
    </row>
    <row r="331" spans="16:16" s="2" customFormat="1" x14ac:dyDescent="0.25">
      <c r="P331" s="34"/>
    </row>
    <row r="332" spans="16:16" s="2" customFormat="1" x14ac:dyDescent="0.25">
      <c r="P332" s="34"/>
    </row>
    <row r="333" spans="16:16" s="2" customFormat="1" x14ac:dyDescent="0.25">
      <c r="P333" s="34"/>
    </row>
    <row r="334" spans="16:16" s="2" customFormat="1" x14ac:dyDescent="0.25">
      <c r="P334" s="34"/>
    </row>
    <row r="335" spans="16:16" s="2" customFormat="1" x14ac:dyDescent="0.25">
      <c r="P335" s="34"/>
    </row>
    <row r="336" spans="16:16" s="2" customFormat="1" x14ac:dyDescent="0.25">
      <c r="P336" s="34"/>
    </row>
    <row r="337" spans="16:16" s="2" customFormat="1" x14ac:dyDescent="0.25">
      <c r="P337" s="34"/>
    </row>
    <row r="338" spans="16:16" s="2" customFormat="1" x14ac:dyDescent="0.25">
      <c r="P338" s="34"/>
    </row>
    <row r="339" spans="16:16" s="2" customFormat="1" x14ac:dyDescent="0.25">
      <c r="P339" s="34"/>
    </row>
    <row r="340" spans="16:16" s="2" customFormat="1" x14ac:dyDescent="0.25">
      <c r="P340" s="34"/>
    </row>
    <row r="341" spans="16:16" s="2" customFormat="1" x14ac:dyDescent="0.25">
      <c r="P341" s="34"/>
    </row>
    <row r="342" spans="16:16" s="2" customFormat="1" x14ac:dyDescent="0.25">
      <c r="P342" s="34"/>
    </row>
    <row r="343" spans="16:16" s="2" customFormat="1" x14ac:dyDescent="0.25">
      <c r="P343" s="34"/>
    </row>
    <row r="344" spans="16:16" s="2" customFormat="1" x14ac:dyDescent="0.25">
      <c r="P344" s="34"/>
    </row>
    <row r="345" spans="16:16" s="2" customFormat="1" x14ac:dyDescent="0.25">
      <c r="P345" s="34"/>
    </row>
    <row r="346" spans="16:16" s="2" customFormat="1" x14ac:dyDescent="0.25">
      <c r="P346" s="34"/>
    </row>
    <row r="347" spans="16:16" s="2" customFormat="1" x14ac:dyDescent="0.25">
      <c r="P347" s="34"/>
    </row>
    <row r="348" spans="16:16" s="2" customFormat="1" x14ac:dyDescent="0.25">
      <c r="P348" s="34"/>
    </row>
    <row r="349" spans="16:16" s="2" customFormat="1" x14ac:dyDescent="0.25">
      <c r="P349" s="34"/>
    </row>
    <row r="350" spans="16:16" s="2" customFormat="1" x14ac:dyDescent="0.25">
      <c r="P350" s="34"/>
    </row>
    <row r="351" spans="16:16" s="2" customFormat="1" x14ac:dyDescent="0.25">
      <c r="P351" s="34"/>
    </row>
    <row r="352" spans="16:16" s="2" customFormat="1" x14ac:dyDescent="0.25">
      <c r="P352" s="34"/>
    </row>
  </sheetData>
  <mergeCells count="157">
    <mergeCell ref="A2:A7"/>
    <mergeCell ref="E3:H3"/>
    <mergeCell ref="N3:O3"/>
    <mergeCell ref="E4:H4"/>
    <mergeCell ref="E5:H5"/>
    <mergeCell ref="E6:H6"/>
    <mergeCell ref="E7:H7"/>
    <mergeCell ref="A52:A57"/>
    <mergeCell ref="E53:H53"/>
    <mergeCell ref="N53:O53"/>
    <mergeCell ref="E54:H54"/>
    <mergeCell ref="E55:H55"/>
    <mergeCell ref="E57:H57"/>
    <mergeCell ref="E48:H48"/>
    <mergeCell ref="E49:H49"/>
    <mergeCell ref="E51:H51"/>
    <mergeCell ref="E43:H43"/>
    <mergeCell ref="E44:H44"/>
    <mergeCell ref="E45:H45"/>
    <mergeCell ref="N41:O41"/>
    <mergeCell ref="A34:A39"/>
    <mergeCell ref="E35:H35"/>
    <mergeCell ref="N35:O35"/>
    <mergeCell ref="A28:A33"/>
    <mergeCell ref="A76:A81"/>
    <mergeCell ref="N77:O77"/>
    <mergeCell ref="E81:H81"/>
    <mergeCell ref="N59:O59"/>
    <mergeCell ref="E60:H60"/>
    <mergeCell ref="E61:H61"/>
    <mergeCell ref="E63:H63"/>
    <mergeCell ref="A88:A92"/>
    <mergeCell ref="E89:H89"/>
    <mergeCell ref="N89:O89"/>
    <mergeCell ref="A70:A75"/>
    <mergeCell ref="E71:H71"/>
    <mergeCell ref="N71:O71"/>
    <mergeCell ref="E72:H72"/>
    <mergeCell ref="E73:H73"/>
    <mergeCell ref="E75:H75"/>
    <mergeCell ref="A64:A69"/>
    <mergeCell ref="E65:H65"/>
    <mergeCell ref="N65:O65"/>
    <mergeCell ref="E66:H66"/>
    <mergeCell ref="E67:H67"/>
    <mergeCell ref="E69:H69"/>
    <mergeCell ref="N83:O83"/>
    <mergeCell ref="E74:H74"/>
    <mergeCell ref="E84:H84"/>
    <mergeCell ref="E37:H37"/>
    <mergeCell ref="E38:H38"/>
    <mergeCell ref="E39:H39"/>
    <mergeCell ref="E42:H42"/>
    <mergeCell ref="N9:O9"/>
    <mergeCell ref="E10:H10"/>
    <mergeCell ref="E11:H11"/>
    <mergeCell ref="E12:H12"/>
    <mergeCell ref="E13:H13"/>
    <mergeCell ref="E36:H36"/>
    <mergeCell ref="E29:H29"/>
    <mergeCell ref="N29:O29"/>
    <mergeCell ref="E30:H30"/>
    <mergeCell ref="E31:H31"/>
    <mergeCell ref="E32:H32"/>
    <mergeCell ref="E33:H33"/>
    <mergeCell ref="A14:A20"/>
    <mergeCell ref="E17:H17"/>
    <mergeCell ref="E15:H15"/>
    <mergeCell ref="N15:O15"/>
    <mergeCell ref="E16:H16"/>
    <mergeCell ref="E19:H19"/>
    <mergeCell ref="A21:A27"/>
    <mergeCell ref="E22:H22"/>
    <mergeCell ref="N22:O22"/>
    <mergeCell ref="E23:H23"/>
    <mergeCell ref="E24:H24"/>
    <mergeCell ref="E25:H25"/>
    <mergeCell ref="E26:H26"/>
    <mergeCell ref="E27:H27"/>
    <mergeCell ref="E85:H85"/>
    <mergeCell ref="E86:H86"/>
    <mergeCell ref="E87:H87"/>
    <mergeCell ref="E83:H83"/>
    <mergeCell ref="E117:H117"/>
    <mergeCell ref="N47:O47"/>
    <mergeCell ref="N116:O116"/>
    <mergeCell ref="E90:H90"/>
    <mergeCell ref="E91:H91"/>
    <mergeCell ref="E92:H92"/>
    <mergeCell ref="E94:H94"/>
    <mergeCell ref="N94:O94"/>
    <mergeCell ref="E95:H95"/>
    <mergeCell ref="E96:H96"/>
    <mergeCell ref="E97:H97"/>
    <mergeCell ref="E101:H101"/>
    <mergeCell ref="E102:H102"/>
    <mergeCell ref="N99:O99"/>
    <mergeCell ref="E100:H100"/>
    <mergeCell ref="E47:H47"/>
    <mergeCell ref="E50:H50"/>
    <mergeCell ref="E56:H56"/>
    <mergeCell ref="E62:H62"/>
    <mergeCell ref="E68:H68"/>
    <mergeCell ref="E120:H120"/>
    <mergeCell ref="A58:A63"/>
    <mergeCell ref="A82:A87"/>
    <mergeCell ref="A46:A51"/>
    <mergeCell ref="E80:H80"/>
    <mergeCell ref="A1:B1"/>
    <mergeCell ref="A115:A121"/>
    <mergeCell ref="E116:H116"/>
    <mergeCell ref="E118:H118"/>
    <mergeCell ref="E119:H119"/>
    <mergeCell ref="E121:H121"/>
    <mergeCell ref="E77:H77"/>
    <mergeCell ref="E78:H78"/>
    <mergeCell ref="E79:H79"/>
    <mergeCell ref="A93:A97"/>
    <mergeCell ref="E59:H59"/>
    <mergeCell ref="E18:H18"/>
    <mergeCell ref="E20:H20"/>
    <mergeCell ref="A98:A102"/>
    <mergeCell ref="E99:H99"/>
    <mergeCell ref="A40:A45"/>
    <mergeCell ref="E41:H41"/>
    <mergeCell ref="E9:H9"/>
    <mergeCell ref="A8:A13"/>
    <mergeCell ref="A103:A108"/>
    <mergeCell ref="E104:H104"/>
    <mergeCell ref="N104:O104"/>
    <mergeCell ref="E105:H105"/>
    <mergeCell ref="E106:H106"/>
    <mergeCell ref="E107:H107"/>
    <mergeCell ref="E108:H108"/>
    <mergeCell ref="A109:A114"/>
    <mergeCell ref="E110:H110"/>
    <mergeCell ref="N110:O110"/>
    <mergeCell ref="E111:H111"/>
    <mergeCell ref="E112:H112"/>
    <mergeCell ref="E113:H113"/>
    <mergeCell ref="E114:H114"/>
    <mergeCell ref="A122:A128"/>
    <mergeCell ref="E123:H123"/>
    <mergeCell ref="N123:O123"/>
    <mergeCell ref="E124:H124"/>
    <mergeCell ref="E125:H125"/>
    <mergeCell ref="E126:H126"/>
    <mergeCell ref="E127:H127"/>
    <mergeCell ref="E128:H128"/>
    <mergeCell ref="A129:A135"/>
    <mergeCell ref="E130:H130"/>
    <mergeCell ref="N130:O130"/>
    <mergeCell ref="E131:H131"/>
    <mergeCell ref="E132:H132"/>
    <mergeCell ref="E133:H133"/>
    <mergeCell ref="E134:H134"/>
    <mergeCell ref="E135:H135"/>
  </mergeCells>
  <conditionalFormatting sqref="B11:M13 B5:M7">
    <cfRule type="expression" dxfId="44" priority="51">
      <formula>$C5=TRUE</formula>
    </cfRule>
  </conditionalFormatting>
  <conditionalFormatting sqref="B31:M33 B43:M45 B79:M81 B85:M87 B91:M92 B96:M97 B101:M102 B118:M121 B37:M39 B49:M51 B55:M57 B61:M63 B67:M69 B73:M75 B106:M108 B112:M114">
    <cfRule type="expression" dxfId="43" priority="47">
      <formula>$C31=TRUE</formula>
    </cfRule>
  </conditionalFormatting>
  <conditionalFormatting sqref="C31">
    <cfRule type="expression" dxfId="42" priority="45">
      <formula>$C31=TRUE</formula>
    </cfRule>
  </conditionalFormatting>
  <conditionalFormatting sqref="C32:C33">
    <cfRule type="expression" dxfId="41" priority="44">
      <formula>$C32=TRUE</formula>
    </cfRule>
  </conditionalFormatting>
  <conditionalFormatting sqref="C37">
    <cfRule type="expression" dxfId="40" priority="43">
      <formula>$C37=TRUE</formula>
    </cfRule>
  </conditionalFormatting>
  <conditionalFormatting sqref="C38:C39">
    <cfRule type="expression" dxfId="39" priority="42">
      <formula>$C38=TRUE</formula>
    </cfRule>
  </conditionalFormatting>
  <conditionalFormatting sqref="C43">
    <cfRule type="expression" dxfId="38" priority="41">
      <formula>$C43=TRUE</formula>
    </cfRule>
  </conditionalFormatting>
  <conditionalFormatting sqref="C44:C45">
    <cfRule type="expression" dxfId="37" priority="40">
      <formula>$C44=TRUE</formula>
    </cfRule>
  </conditionalFormatting>
  <conditionalFormatting sqref="C49">
    <cfRule type="expression" dxfId="36" priority="39">
      <formula>$C49=TRUE</formula>
    </cfRule>
  </conditionalFormatting>
  <conditionalFormatting sqref="C50:C51">
    <cfRule type="expression" dxfId="35" priority="38">
      <formula>$C50=TRUE</formula>
    </cfRule>
  </conditionalFormatting>
  <conditionalFormatting sqref="C55">
    <cfRule type="expression" dxfId="34" priority="37">
      <formula>$C55=TRUE</formula>
    </cfRule>
  </conditionalFormatting>
  <conditionalFormatting sqref="C56:C57">
    <cfRule type="expression" dxfId="33" priority="36">
      <formula>$C56=TRUE</formula>
    </cfRule>
  </conditionalFormatting>
  <conditionalFormatting sqref="C61">
    <cfRule type="expression" dxfId="32" priority="35">
      <formula>$C61=TRUE</formula>
    </cfRule>
  </conditionalFormatting>
  <conditionalFormatting sqref="C62:C63">
    <cfRule type="expression" dxfId="31" priority="34">
      <formula>$C62=TRUE</formula>
    </cfRule>
  </conditionalFormatting>
  <conditionalFormatting sqref="C67">
    <cfRule type="expression" dxfId="30" priority="33">
      <formula>$C67=TRUE</formula>
    </cfRule>
  </conditionalFormatting>
  <conditionalFormatting sqref="C68:C69">
    <cfRule type="expression" dxfId="29" priority="32">
      <formula>$C68=TRUE</formula>
    </cfRule>
  </conditionalFormatting>
  <conditionalFormatting sqref="C73">
    <cfRule type="expression" dxfId="28" priority="31">
      <formula>$C73=TRUE</formula>
    </cfRule>
  </conditionalFormatting>
  <conditionalFormatting sqref="C74:C75">
    <cfRule type="expression" dxfId="27" priority="30">
      <formula>$C74=TRUE</formula>
    </cfRule>
  </conditionalFormatting>
  <conditionalFormatting sqref="C79">
    <cfRule type="expression" dxfId="26" priority="29">
      <formula>$C79=TRUE</formula>
    </cfRule>
  </conditionalFormatting>
  <conditionalFormatting sqref="C80:C81">
    <cfRule type="expression" dxfId="25" priority="28">
      <formula>$C80=TRUE</formula>
    </cfRule>
  </conditionalFormatting>
  <conditionalFormatting sqref="C85">
    <cfRule type="expression" dxfId="24" priority="27">
      <formula>$C85=TRUE</formula>
    </cfRule>
  </conditionalFormatting>
  <conditionalFormatting sqref="C86:C87">
    <cfRule type="expression" dxfId="23" priority="26">
      <formula>$C86=TRUE</formula>
    </cfRule>
  </conditionalFormatting>
  <conditionalFormatting sqref="C91">
    <cfRule type="expression" dxfId="22" priority="25">
      <formula>$C91=TRUE</formula>
    </cfRule>
  </conditionalFormatting>
  <conditionalFormatting sqref="C92">
    <cfRule type="expression" dxfId="21" priority="24">
      <formula>$C92=TRUE</formula>
    </cfRule>
  </conditionalFormatting>
  <conditionalFormatting sqref="C96">
    <cfRule type="expression" dxfId="20" priority="23">
      <formula>$C96=TRUE</formula>
    </cfRule>
  </conditionalFormatting>
  <conditionalFormatting sqref="C97">
    <cfRule type="expression" dxfId="19" priority="22">
      <formula>$C97=TRUE</formula>
    </cfRule>
  </conditionalFormatting>
  <conditionalFormatting sqref="C101">
    <cfRule type="expression" dxfId="18" priority="21">
      <formula>$C101=TRUE</formula>
    </cfRule>
  </conditionalFormatting>
  <conditionalFormatting sqref="C102">
    <cfRule type="expression" dxfId="17" priority="20">
      <formula>$C102=TRUE</formula>
    </cfRule>
  </conditionalFormatting>
  <conditionalFormatting sqref="C118">
    <cfRule type="expression" dxfId="16" priority="19">
      <formula>$C118=TRUE</formula>
    </cfRule>
  </conditionalFormatting>
  <conditionalFormatting sqref="C119:C121">
    <cfRule type="expression" dxfId="15" priority="18">
      <formula>$C119=TRUE</formula>
    </cfRule>
  </conditionalFormatting>
  <conditionalFormatting sqref="B17:M17">
    <cfRule type="expression" dxfId="14" priority="17">
      <formula>$C17=TRUE</formula>
    </cfRule>
  </conditionalFormatting>
  <conditionalFormatting sqref="B18:M19">
    <cfRule type="expression" dxfId="13" priority="16">
      <formula>$C18=TRUE</formula>
    </cfRule>
  </conditionalFormatting>
  <conditionalFormatting sqref="B20:M20 B27:M27">
    <cfRule type="expression" dxfId="12" priority="15">
      <formula>$C20=TRUE</formula>
    </cfRule>
  </conditionalFormatting>
  <conditionalFormatting sqref="C106">
    <cfRule type="expression" dxfId="11" priority="12">
      <formula>$C106=TRUE</formula>
    </cfRule>
  </conditionalFormatting>
  <conditionalFormatting sqref="C107:C108 C113:C114">
    <cfRule type="expression" dxfId="10" priority="11">
      <formula>$C107=TRUE</formula>
    </cfRule>
  </conditionalFormatting>
  <conditionalFormatting sqref="C112">
    <cfRule type="expression" dxfId="9" priority="10">
      <formula>$C112=TRUE</formula>
    </cfRule>
  </conditionalFormatting>
  <conditionalFormatting sqref="B24:H24 J24:M24">
    <cfRule type="expression" dxfId="8" priority="9">
      <formula>$C24=TRUE</formula>
    </cfRule>
  </conditionalFormatting>
  <conditionalFormatting sqref="B25:H26 J25:M26">
    <cfRule type="expression" dxfId="7" priority="8">
      <formula>$C25=TRUE</formula>
    </cfRule>
  </conditionalFormatting>
  <conditionalFormatting sqref="B125:M125">
    <cfRule type="expression" dxfId="6" priority="7">
      <formula>$C125=TRUE</formula>
    </cfRule>
  </conditionalFormatting>
  <conditionalFormatting sqref="B126:M127">
    <cfRule type="expression" dxfId="5" priority="6">
      <formula>$C126=TRUE</formula>
    </cfRule>
  </conditionalFormatting>
  <conditionalFormatting sqref="B128:M128 B135:M135">
    <cfRule type="expression" dxfId="4" priority="5">
      <formula>$C128=TRUE</formula>
    </cfRule>
  </conditionalFormatting>
  <conditionalFormatting sqref="B132:M132">
    <cfRule type="expression" dxfId="3" priority="4">
      <formula>$C132=TRUE</formula>
    </cfRule>
  </conditionalFormatting>
  <conditionalFormatting sqref="B133:M134">
    <cfRule type="expression" dxfId="2" priority="3">
      <formula>$C133=TRUE</formula>
    </cfRule>
  </conditionalFormatting>
  <conditionalFormatting sqref="I24">
    <cfRule type="expression" dxfId="1" priority="2">
      <formula>$C24=TRUE</formula>
    </cfRule>
  </conditionalFormatting>
  <conditionalFormatting sqref="I25:I26">
    <cfRule type="expression" dxfId="0" priority="1">
      <formula>$C25=TRUE</formula>
    </cfRule>
  </conditionalFormatting>
  <hyperlinks>
    <hyperlink ref="Q115" r:id="rId1" xr:uid="{9FAEFBE7-3909-48C2-A2CD-C0C7EAA93714}"/>
    <hyperlink ref="Q76" r:id="rId2" xr:uid="{C0AA11CF-5E40-46FC-B92A-6EA12E098909}"/>
    <hyperlink ref="Q82" r:id="rId3" xr:uid="{E823A730-2928-4EBA-B2E1-AFF3F7BD3AC8}"/>
    <hyperlink ref="Q8" r:id="rId4" xr:uid="{A1839E48-A5D6-4F1A-8230-73EB81C422A1}"/>
    <hyperlink ref="Q14" r:id="rId5" xr:uid="{F154BF14-0663-4E21-B1B0-79DED36938DB}"/>
    <hyperlink ref="Q46" r:id="rId6" xr:uid="{17388164-38CD-4813-BC5D-F24A95E6FBCE}"/>
    <hyperlink ref="Q2" r:id="rId7" xr:uid="{3DBEF48B-C69B-4092-8DBB-EEDE976CD1C8}"/>
    <hyperlink ref="Q103" r:id="rId8" xr:uid="{68AC08D3-535B-46D3-92C9-9702FEB1B7CC}"/>
  </hyperlinks>
  <pageMargins left="0.7" right="0.7" top="0.75" bottom="0.75" header="0.3" footer="0.3"/>
  <drawing r:id="rId9"/>
  <extLst>
    <ext xmlns:x14="http://schemas.microsoft.com/office/spreadsheetml/2009/9/main" uri="{CCE6A557-97BC-4b89-ADB6-D9C93CAAB3DF}">
      <x14:dataValidations xmlns:xm="http://schemas.microsoft.com/office/excel/2006/main" count="1">
        <x14:dataValidation type="list" allowBlank="1" showInputMessage="1" showErrorMessage="1" xr:uid="{70B346EF-B80A-42AF-844B-BAA4E787810C}">
          <x14:formula1>
            <xm:f>Lists!$A$1:$A$4</xm:f>
          </x14:formula1>
          <xm:sqref>O111:P111 O54:P54 O42:P42 O23:P23 O84:P84 O90:P90 O78:P78 O72:P72 O95:P95 O4 O36:P36 O30:P30 O10 O48:P48 O60:P60 O66:P66 O124:P124 O100:P100 O105:P105 O16:P16 O117:P117 O131:P131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F135C-5EDD-4EC8-99BC-B824A951C597}">
  <sheetPr codeName="Ark2">
    <outlinePr summaryBelow="0"/>
  </sheetPr>
  <dimension ref="A1:BC241"/>
  <sheetViews>
    <sheetView zoomScaleNormal="100" workbookViewId="0">
      <pane ySplit="1" topLeftCell="A2" activePane="bottomLeft" state="frozen"/>
      <selection pane="bottomLeft" activeCell="E27" sqref="E27"/>
    </sheetView>
  </sheetViews>
  <sheetFormatPr defaultRowHeight="15" x14ac:dyDescent="0.25"/>
  <cols>
    <col min="1" max="1" width="22.5703125" customWidth="1"/>
    <col min="2" max="2" width="10.7109375" customWidth="1"/>
    <col min="3" max="3" width="11.7109375" customWidth="1"/>
    <col min="4" max="4" width="11.7109375" bestFit="1" customWidth="1"/>
    <col min="5" max="5" width="17.5703125" bestFit="1" customWidth="1"/>
    <col min="6" max="8" width="11.140625" customWidth="1"/>
    <col min="9" max="9" width="15.85546875" bestFit="1" customWidth="1"/>
    <col min="10" max="10" width="15.42578125" bestFit="1" customWidth="1"/>
    <col min="11" max="11" width="13.140625" bestFit="1" customWidth="1"/>
    <col min="12" max="12" width="25.85546875" bestFit="1" customWidth="1"/>
    <col min="13" max="13" width="24.28515625" bestFit="1" customWidth="1"/>
    <col min="14" max="14" width="25.85546875" hidden="1" customWidth="1"/>
    <col min="15" max="15" width="24.28515625" hidden="1" customWidth="1"/>
    <col min="16" max="16" width="22" hidden="1" customWidth="1"/>
    <col min="17" max="17" width="25.85546875" hidden="1" customWidth="1"/>
    <col min="18" max="19" width="9.140625" style="2" customWidth="1"/>
    <col min="20" max="55" width="9.140625" style="2"/>
  </cols>
  <sheetData>
    <row r="1" spans="1:55" s="1" customFormat="1" ht="21.75" thickBot="1" x14ac:dyDescent="0.4">
      <c r="A1" s="85" t="s">
        <v>0</v>
      </c>
      <c r="B1" s="86"/>
      <c r="C1" s="5" t="s">
        <v>94</v>
      </c>
      <c r="D1" s="5" t="s">
        <v>1</v>
      </c>
      <c r="E1" s="5" t="s">
        <v>2</v>
      </c>
      <c r="F1" s="6"/>
      <c r="G1" s="6"/>
      <c r="H1" s="6"/>
      <c r="I1" s="6"/>
      <c r="J1" s="6"/>
      <c r="K1" s="6"/>
      <c r="L1" s="6"/>
      <c r="M1" s="6"/>
      <c r="N1" s="6"/>
      <c r="O1" s="6"/>
      <c r="P1" s="6"/>
      <c r="Q1" s="7"/>
      <c r="R1" s="8"/>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row>
    <row r="2" spans="1:55" s="1" customFormat="1" ht="21.75" thickBot="1" x14ac:dyDescent="0.4">
      <c r="A2" s="92" t="s">
        <v>29</v>
      </c>
      <c r="B2" s="93"/>
      <c r="C2" s="25"/>
      <c r="D2" s="5"/>
      <c r="E2" s="5"/>
      <c r="F2" s="6"/>
      <c r="G2" s="6"/>
      <c r="H2" s="6"/>
      <c r="I2" s="6"/>
      <c r="J2" s="6"/>
      <c r="K2" s="6"/>
      <c r="L2" s="6"/>
      <c r="M2" s="6"/>
      <c r="N2" s="6"/>
      <c r="O2" s="6"/>
      <c r="P2" s="6"/>
      <c r="Q2" s="7"/>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row>
    <row r="3" spans="1:55" s="8" customFormat="1" ht="21.75" thickBot="1" x14ac:dyDescent="0.4">
      <c r="A3" s="24" t="s">
        <v>73</v>
      </c>
      <c r="B3" s="89" t="s">
        <v>197</v>
      </c>
      <c r="C3" s="90"/>
      <c r="D3" s="91"/>
      <c r="E3" s="21"/>
      <c r="F3" s="22"/>
      <c r="G3" s="22"/>
      <c r="H3" s="22"/>
      <c r="I3" s="22"/>
      <c r="J3" s="22"/>
      <c r="K3" s="22"/>
      <c r="L3" s="22"/>
      <c r="M3" s="22"/>
      <c r="N3" s="22"/>
      <c r="O3" s="22"/>
      <c r="P3" s="22"/>
      <c r="Q3" s="23"/>
    </row>
    <row r="4" spans="1:55" s="1" customFormat="1" ht="21.75" thickBot="1" x14ac:dyDescent="0.4">
      <c r="A4" s="92" t="s">
        <v>30</v>
      </c>
      <c r="B4" s="93"/>
      <c r="C4" s="25"/>
      <c r="D4" s="5"/>
      <c r="E4" s="5"/>
      <c r="F4" s="6"/>
      <c r="G4" s="6"/>
      <c r="H4" s="6"/>
      <c r="I4" s="6"/>
      <c r="J4" s="6"/>
      <c r="K4" s="6"/>
      <c r="L4" s="6"/>
      <c r="M4" s="6"/>
      <c r="N4" s="6"/>
      <c r="O4" s="6"/>
      <c r="P4" s="6"/>
      <c r="Q4" s="7"/>
      <c r="R4" s="8"/>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row>
    <row r="5" spans="1:55" s="8" customFormat="1" ht="21.75" thickBot="1" x14ac:dyDescent="0.4">
      <c r="A5" s="24" t="s">
        <v>73</v>
      </c>
      <c r="B5" s="89" t="s">
        <v>197</v>
      </c>
      <c r="C5" s="90"/>
      <c r="D5" s="91"/>
      <c r="E5" s="21"/>
      <c r="F5" s="22"/>
      <c r="G5" s="22"/>
      <c r="H5" s="22"/>
      <c r="I5" s="22"/>
      <c r="J5" s="22"/>
      <c r="K5" s="22"/>
      <c r="L5" s="22"/>
      <c r="M5" s="22"/>
      <c r="N5" s="22"/>
      <c r="O5" s="22"/>
      <c r="P5" s="22"/>
      <c r="Q5" s="23"/>
    </row>
    <row r="6" spans="1:55" s="1" customFormat="1" ht="21.75" thickBot="1" x14ac:dyDescent="0.4">
      <c r="A6" s="92" t="s">
        <v>64</v>
      </c>
      <c r="B6" s="93"/>
      <c r="C6" s="25"/>
      <c r="D6" s="5"/>
      <c r="E6" s="5"/>
      <c r="F6" s="6"/>
      <c r="G6" s="6"/>
      <c r="H6" s="6"/>
      <c r="I6" s="6"/>
      <c r="J6" s="6"/>
      <c r="K6" s="6"/>
      <c r="L6" s="6"/>
      <c r="M6" s="6"/>
      <c r="N6" s="6"/>
      <c r="O6" s="6"/>
      <c r="P6" s="6"/>
      <c r="Q6" s="7"/>
      <c r="R6" s="8"/>
      <c r="S6" s="8"/>
      <c r="T6" s="8"/>
      <c r="U6" s="8"/>
      <c r="V6" s="8"/>
      <c r="W6" s="8"/>
      <c r="X6" s="8"/>
      <c r="Y6" s="8"/>
      <c r="Z6" s="8"/>
      <c r="AA6" s="8"/>
      <c r="AB6" s="8"/>
      <c r="AC6" s="8"/>
      <c r="AD6" s="8"/>
      <c r="AE6" s="8"/>
      <c r="AF6" s="8"/>
      <c r="AG6" s="8"/>
      <c r="AH6" s="8"/>
      <c r="AI6" s="8"/>
      <c r="AJ6" s="8"/>
      <c r="AK6" s="8"/>
      <c r="AL6" s="8"/>
      <c r="AM6" s="8"/>
      <c r="AN6" s="8"/>
      <c r="AO6" s="8"/>
      <c r="AP6" s="8"/>
      <c r="AQ6" s="8"/>
      <c r="AR6" s="8"/>
      <c r="AS6" s="8"/>
      <c r="AT6" s="8"/>
      <c r="AU6" s="8"/>
      <c r="AV6" s="8"/>
      <c r="AW6" s="8"/>
      <c r="AX6" s="8"/>
      <c r="AY6" s="8"/>
      <c r="AZ6" s="8"/>
      <c r="BA6" s="8"/>
      <c r="BB6" s="8"/>
      <c r="BC6" s="8"/>
    </row>
    <row r="7" spans="1:55" s="8" customFormat="1" ht="21.75" thickBot="1" x14ac:dyDescent="0.4">
      <c r="A7" s="24" t="s">
        <v>73</v>
      </c>
      <c r="B7" s="89" t="s">
        <v>197</v>
      </c>
      <c r="C7" s="90"/>
      <c r="D7" s="91"/>
      <c r="E7" s="21"/>
      <c r="F7" s="22"/>
      <c r="G7" s="22"/>
      <c r="H7" s="22"/>
      <c r="I7" s="22"/>
      <c r="J7" s="22"/>
      <c r="K7" s="22"/>
      <c r="L7" s="22"/>
      <c r="M7" s="22"/>
      <c r="N7" s="22"/>
      <c r="O7" s="22"/>
      <c r="P7" s="22"/>
      <c r="Q7" s="23"/>
    </row>
    <row r="8" spans="1:55" s="1" customFormat="1" ht="21.75" thickBot="1" x14ac:dyDescent="0.4">
      <c r="A8" s="92" t="s">
        <v>65</v>
      </c>
      <c r="B8" s="93"/>
      <c r="C8" s="25"/>
      <c r="D8" s="5"/>
      <c r="E8" s="5"/>
      <c r="F8" s="6"/>
      <c r="G8" s="6"/>
      <c r="H8" s="6"/>
      <c r="I8" s="6"/>
      <c r="J8" s="6"/>
      <c r="K8" s="6"/>
      <c r="L8" s="6"/>
      <c r="M8" s="6"/>
      <c r="N8" s="6"/>
      <c r="O8" s="6"/>
      <c r="P8" s="6"/>
      <c r="Q8" s="7"/>
      <c r="R8" s="8"/>
      <c r="S8" s="8"/>
      <c r="T8" s="8"/>
      <c r="U8" s="8"/>
      <c r="V8" s="8"/>
      <c r="W8" s="8"/>
      <c r="X8" s="8"/>
      <c r="Y8" s="8"/>
      <c r="Z8" s="8"/>
      <c r="AA8" s="8"/>
      <c r="AB8" s="8"/>
      <c r="AC8" s="8"/>
      <c r="AD8" s="8"/>
      <c r="AE8" s="8"/>
      <c r="AF8" s="8"/>
      <c r="AG8" s="8"/>
      <c r="AH8" s="8"/>
      <c r="AI8" s="8"/>
      <c r="AJ8" s="8"/>
      <c r="AK8" s="8"/>
      <c r="AL8" s="8"/>
      <c r="AM8" s="8"/>
      <c r="AN8" s="8"/>
      <c r="AO8" s="8"/>
      <c r="AP8" s="8"/>
      <c r="AQ8" s="8"/>
      <c r="AR8" s="8"/>
      <c r="AS8" s="8"/>
      <c r="AT8" s="8"/>
      <c r="AU8" s="8"/>
      <c r="AV8" s="8"/>
      <c r="AW8" s="8"/>
      <c r="AX8" s="8"/>
      <c r="AY8" s="8"/>
      <c r="AZ8" s="8"/>
      <c r="BA8" s="8"/>
      <c r="BB8" s="8"/>
      <c r="BC8" s="8"/>
    </row>
    <row r="9" spans="1:55" s="8" customFormat="1" ht="21.75" thickBot="1" x14ac:dyDescent="0.4">
      <c r="A9" s="24" t="s">
        <v>73</v>
      </c>
      <c r="B9" s="89" t="s">
        <v>197</v>
      </c>
      <c r="C9" s="90"/>
      <c r="D9" s="91"/>
      <c r="E9" s="21"/>
      <c r="F9" s="22"/>
      <c r="G9" s="22"/>
      <c r="H9" s="22"/>
      <c r="I9" s="22"/>
      <c r="J9" s="22"/>
      <c r="K9" s="22"/>
      <c r="L9" s="22"/>
      <c r="M9" s="22"/>
      <c r="N9" s="22"/>
      <c r="O9" s="22"/>
      <c r="P9" s="22"/>
      <c r="Q9" s="23"/>
    </row>
    <row r="10" spans="1:55" s="1" customFormat="1" ht="21.75" thickBot="1" x14ac:dyDescent="0.4">
      <c r="A10" s="92" t="s">
        <v>66</v>
      </c>
      <c r="B10" s="93"/>
      <c r="C10" s="25"/>
      <c r="D10" s="5"/>
      <c r="E10" s="5"/>
      <c r="F10" s="6"/>
      <c r="G10" s="6"/>
      <c r="H10" s="6"/>
      <c r="I10" s="6"/>
      <c r="J10" s="6"/>
      <c r="K10" s="6"/>
      <c r="L10" s="6"/>
      <c r="M10" s="6"/>
      <c r="N10" s="6"/>
      <c r="O10" s="6"/>
      <c r="P10" s="6"/>
      <c r="Q10" s="7"/>
      <c r="R10" s="8"/>
      <c r="S10" s="8"/>
      <c r="T10" s="8"/>
      <c r="U10" s="8"/>
      <c r="V10" s="8"/>
      <c r="W10" s="8"/>
      <c r="X10" s="8"/>
      <c r="Y10" s="8"/>
      <c r="Z10" s="8"/>
      <c r="AA10" s="8"/>
      <c r="AB10" s="8"/>
      <c r="AC10" s="8"/>
      <c r="AD10" s="8"/>
      <c r="AE10" s="8"/>
      <c r="AF10" s="8"/>
      <c r="AG10" s="8"/>
      <c r="AH10" s="8"/>
      <c r="AI10" s="8"/>
      <c r="AJ10" s="8"/>
      <c r="AK10" s="8"/>
      <c r="AL10" s="8"/>
      <c r="AM10" s="8"/>
      <c r="AN10" s="8"/>
      <c r="AO10" s="8"/>
      <c r="AP10" s="8"/>
      <c r="AQ10" s="8"/>
      <c r="AR10" s="8"/>
      <c r="AS10" s="8"/>
      <c r="AT10" s="8"/>
      <c r="AU10" s="8"/>
      <c r="AV10" s="8"/>
      <c r="AW10" s="8"/>
      <c r="AX10" s="8"/>
      <c r="AY10" s="8"/>
      <c r="AZ10" s="8"/>
      <c r="BA10" s="8"/>
      <c r="BB10" s="8"/>
      <c r="BC10" s="8"/>
    </row>
    <row r="11" spans="1:55" s="8" customFormat="1" ht="21.75" thickBot="1" x14ac:dyDescent="0.4">
      <c r="A11" s="24" t="s">
        <v>73</v>
      </c>
      <c r="B11" s="89" t="s">
        <v>197</v>
      </c>
      <c r="C11" s="90"/>
      <c r="D11" s="91"/>
      <c r="E11" s="21"/>
      <c r="F11" s="22"/>
      <c r="G11" s="22"/>
      <c r="H11" s="22"/>
      <c r="I11" s="22"/>
      <c r="J11" s="22"/>
      <c r="K11" s="22"/>
      <c r="L11" s="22"/>
      <c r="M11" s="22"/>
      <c r="N11" s="22"/>
      <c r="O11" s="22"/>
      <c r="P11" s="22"/>
      <c r="Q11" s="23"/>
    </row>
    <row r="12" spans="1:55" s="1" customFormat="1" ht="21.75" thickBot="1" x14ac:dyDescent="0.4">
      <c r="A12" s="92" t="s">
        <v>67</v>
      </c>
      <c r="B12" s="93"/>
      <c r="C12" s="25"/>
      <c r="D12" s="5"/>
      <c r="E12" s="5"/>
      <c r="F12" s="6"/>
      <c r="G12" s="6"/>
      <c r="H12" s="6"/>
      <c r="I12" s="6"/>
      <c r="J12" s="6"/>
      <c r="K12" s="6"/>
      <c r="L12" s="6"/>
      <c r="M12" s="6"/>
      <c r="N12" s="6"/>
      <c r="O12" s="6"/>
      <c r="P12" s="6"/>
      <c r="Q12" s="7"/>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row>
    <row r="13" spans="1:55" s="8" customFormat="1" ht="21.75" thickBot="1" x14ac:dyDescent="0.4">
      <c r="A13" s="24" t="s">
        <v>73</v>
      </c>
      <c r="B13" s="89" t="s">
        <v>197</v>
      </c>
      <c r="C13" s="90"/>
      <c r="D13" s="91"/>
      <c r="E13" s="21"/>
      <c r="F13" s="22"/>
      <c r="G13" s="22"/>
      <c r="H13" s="22"/>
      <c r="I13" s="22"/>
      <c r="J13" s="22"/>
      <c r="K13" s="22"/>
      <c r="L13" s="22"/>
      <c r="M13" s="22"/>
      <c r="N13" s="22"/>
      <c r="O13" s="22"/>
      <c r="P13" s="22"/>
      <c r="Q13" s="23"/>
    </row>
    <row r="14" spans="1:55" s="1" customFormat="1" ht="21.75" thickBot="1" x14ac:dyDescent="0.4">
      <c r="A14" s="92" t="s">
        <v>68</v>
      </c>
      <c r="B14" s="93"/>
      <c r="C14" s="25"/>
      <c r="D14" s="5"/>
      <c r="E14" s="5"/>
      <c r="F14" s="6"/>
      <c r="G14" s="6"/>
      <c r="H14" s="6"/>
      <c r="I14" s="6"/>
      <c r="J14" s="6"/>
      <c r="K14" s="6"/>
      <c r="L14" s="6"/>
      <c r="M14" s="6"/>
      <c r="N14" s="6"/>
      <c r="O14" s="6"/>
      <c r="P14" s="6"/>
      <c r="Q14" s="7"/>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row>
    <row r="15" spans="1:55" s="8" customFormat="1" ht="21.75" thickBot="1" x14ac:dyDescent="0.4">
      <c r="A15" s="24" t="s">
        <v>73</v>
      </c>
      <c r="B15" s="89" t="s">
        <v>197</v>
      </c>
      <c r="C15" s="90"/>
      <c r="D15" s="91"/>
      <c r="E15" s="21"/>
      <c r="F15" s="22"/>
      <c r="G15" s="22"/>
      <c r="H15" s="22"/>
      <c r="I15" s="22"/>
      <c r="J15" s="22"/>
      <c r="K15" s="22"/>
      <c r="L15" s="22"/>
      <c r="M15" s="22"/>
      <c r="N15" s="22"/>
      <c r="O15" s="22"/>
      <c r="P15" s="22"/>
      <c r="Q15" s="23"/>
    </row>
    <row r="16" spans="1:55" s="1" customFormat="1" ht="21.75" thickBot="1" x14ac:dyDescent="0.4">
      <c r="A16" s="92" t="s">
        <v>69</v>
      </c>
      <c r="B16" s="93"/>
      <c r="C16" s="25"/>
      <c r="D16" s="5"/>
      <c r="E16" s="5"/>
      <c r="F16" s="6"/>
      <c r="G16" s="6"/>
      <c r="H16" s="6"/>
      <c r="I16" s="6"/>
      <c r="J16" s="6"/>
      <c r="K16" s="6"/>
      <c r="L16" s="6"/>
      <c r="M16" s="6"/>
      <c r="N16" s="6"/>
      <c r="O16" s="6"/>
      <c r="P16" s="6"/>
      <c r="Q16" s="7"/>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row>
    <row r="17" spans="1:55" s="8" customFormat="1" ht="21.75" thickBot="1" x14ac:dyDescent="0.4">
      <c r="A17" s="24" t="s">
        <v>73</v>
      </c>
      <c r="B17" s="89" t="s">
        <v>197</v>
      </c>
      <c r="C17" s="90"/>
      <c r="D17" s="91"/>
      <c r="E17" s="21"/>
      <c r="F17" s="22"/>
      <c r="G17" s="22"/>
      <c r="H17" s="22"/>
      <c r="I17" s="22"/>
      <c r="J17" s="22"/>
      <c r="K17" s="22"/>
      <c r="L17" s="22"/>
      <c r="M17" s="22"/>
      <c r="N17" s="22"/>
      <c r="O17" s="22"/>
      <c r="P17" s="22"/>
      <c r="Q17" s="23"/>
    </row>
    <row r="18" spans="1:55" s="1" customFormat="1" ht="21.75" thickBot="1" x14ac:dyDescent="0.4">
      <c r="A18" s="92" t="s">
        <v>70</v>
      </c>
      <c r="B18" s="93"/>
      <c r="C18" s="25"/>
      <c r="D18" s="5"/>
      <c r="E18" s="5"/>
      <c r="F18" s="6"/>
      <c r="G18" s="6"/>
      <c r="H18" s="6"/>
      <c r="I18" s="6"/>
      <c r="J18" s="6"/>
      <c r="K18" s="6"/>
      <c r="L18" s="6"/>
      <c r="M18" s="6"/>
      <c r="N18" s="6"/>
      <c r="O18" s="6"/>
      <c r="P18" s="6"/>
      <c r="Q18" s="7"/>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row>
    <row r="19" spans="1:55" s="8" customFormat="1" ht="21.75" thickBot="1" x14ac:dyDescent="0.4">
      <c r="A19" s="24" t="s">
        <v>73</v>
      </c>
      <c r="B19" s="89" t="s">
        <v>197</v>
      </c>
      <c r="C19" s="90"/>
      <c r="D19" s="91"/>
      <c r="E19" s="21"/>
      <c r="F19" s="22"/>
      <c r="G19" s="22"/>
      <c r="H19" s="22"/>
      <c r="I19" s="22"/>
      <c r="J19" s="22"/>
      <c r="K19" s="22"/>
      <c r="L19" s="22"/>
      <c r="M19" s="22"/>
      <c r="N19" s="22"/>
      <c r="O19" s="22"/>
      <c r="P19" s="22"/>
      <c r="Q19" s="23"/>
    </row>
    <row r="20" spans="1:55" s="1" customFormat="1" ht="21.75" thickBot="1" x14ac:dyDescent="0.4">
      <c r="A20" s="92" t="s">
        <v>71</v>
      </c>
      <c r="B20" s="93"/>
      <c r="C20" s="25"/>
      <c r="D20" s="5"/>
      <c r="E20" s="5"/>
      <c r="F20" s="6"/>
      <c r="G20" s="6"/>
      <c r="H20" s="6"/>
      <c r="I20" s="6"/>
      <c r="J20" s="6"/>
      <c r="K20" s="6"/>
      <c r="L20" s="6"/>
      <c r="M20" s="6"/>
      <c r="N20" s="6"/>
      <c r="O20" s="6"/>
      <c r="P20" s="6"/>
      <c r="Q20" s="7"/>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row>
    <row r="21" spans="1:55" s="8" customFormat="1" ht="21.75" thickBot="1" x14ac:dyDescent="0.4">
      <c r="A21" s="24" t="s">
        <v>73</v>
      </c>
      <c r="B21" s="89" t="s">
        <v>197</v>
      </c>
      <c r="C21" s="90"/>
      <c r="D21" s="91"/>
      <c r="E21" s="21"/>
      <c r="F21" s="22"/>
      <c r="G21" s="22"/>
      <c r="H21" s="22"/>
      <c r="I21" s="22"/>
      <c r="J21" s="22"/>
      <c r="K21" s="22"/>
      <c r="L21" s="22"/>
      <c r="M21" s="22"/>
      <c r="N21" s="22"/>
      <c r="O21" s="22"/>
      <c r="P21" s="22"/>
      <c r="Q21" s="23"/>
    </row>
    <row r="22" spans="1:55" s="1" customFormat="1" ht="21.75" thickBot="1" x14ac:dyDescent="0.4">
      <c r="A22" s="92" t="s">
        <v>72</v>
      </c>
      <c r="B22" s="93"/>
      <c r="C22" s="25"/>
      <c r="D22" s="5"/>
      <c r="E22" s="5"/>
      <c r="F22" s="6"/>
      <c r="G22" s="6"/>
      <c r="H22" s="6"/>
      <c r="I22" s="6"/>
      <c r="J22" s="6"/>
      <c r="K22" s="6"/>
      <c r="L22" s="6"/>
      <c r="M22" s="6"/>
      <c r="N22" s="6"/>
      <c r="O22" s="6"/>
      <c r="P22" s="6"/>
      <c r="Q22" s="7"/>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row>
    <row r="23" spans="1:55" s="8" customFormat="1" ht="21.75" thickBot="1" x14ac:dyDescent="0.4">
      <c r="A23" s="24" t="s">
        <v>73</v>
      </c>
      <c r="B23" s="89" t="s">
        <v>197</v>
      </c>
      <c r="C23" s="90"/>
      <c r="D23" s="91"/>
      <c r="E23" s="21"/>
      <c r="F23" s="22"/>
      <c r="G23" s="22"/>
      <c r="H23" s="22"/>
      <c r="I23" s="22"/>
      <c r="J23" s="22"/>
      <c r="K23" s="22"/>
      <c r="L23" s="22"/>
      <c r="M23" s="22"/>
      <c r="N23" s="22"/>
      <c r="O23" s="22"/>
      <c r="P23" s="22"/>
      <c r="Q23" s="23"/>
    </row>
    <row r="24" spans="1:55" s="2" customFormat="1" x14ac:dyDescent="0.25"/>
    <row r="25" spans="1:55" s="2" customFormat="1" x14ac:dyDescent="0.25"/>
    <row r="26" spans="1:55" s="2" customFormat="1" x14ac:dyDescent="0.25"/>
    <row r="27" spans="1:55" s="2" customFormat="1" x14ac:dyDescent="0.25"/>
    <row r="28" spans="1:55" s="2" customFormat="1" x14ac:dyDescent="0.25"/>
    <row r="29" spans="1:55" s="2" customFormat="1" x14ac:dyDescent="0.25"/>
    <row r="30" spans="1:55" s="2" customFormat="1" x14ac:dyDescent="0.25"/>
    <row r="31" spans="1:55" s="2" customFormat="1" x14ac:dyDescent="0.25"/>
    <row r="32" spans="1:55" s="2" customFormat="1" x14ac:dyDescent="0.25"/>
    <row r="33" s="2" customFormat="1" x14ac:dyDescent="0.25"/>
    <row r="34" s="2" customFormat="1" x14ac:dyDescent="0.25"/>
    <row r="35" s="2" customFormat="1" x14ac:dyDescent="0.25"/>
    <row r="36" s="2" customFormat="1" x14ac:dyDescent="0.25"/>
    <row r="37" s="2" customFormat="1" x14ac:dyDescent="0.25"/>
    <row r="38" s="2" customFormat="1" x14ac:dyDescent="0.25"/>
    <row r="39" s="2" customFormat="1" x14ac:dyDescent="0.25"/>
    <row r="40" s="2" customFormat="1" x14ac:dyDescent="0.25"/>
    <row r="41" s="2" customFormat="1" x14ac:dyDescent="0.25"/>
    <row r="42" s="2" customFormat="1" x14ac:dyDescent="0.25"/>
    <row r="43" s="2" customFormat="1" x14ac:dyDescent="0.25"/>
    <row r="44" s="2" customFormat="1" x14ac:dyDescent="0.25"/>
    <row r="45" s="2" customFormat="1" x14ac:dyDescent="0.25"/>
    <row r="46" s="2" customFormat="1" x14ac:dyDescent="0.25"/>
    <row r="47" s="2" customFormat="1" x14ac:dyDescent="0.25"/>
    <row r="48" s="2" customFormat="1" x14ac:dyDescent="0.25"/>
    <row r="49" s="2" customFormat="1" x14ac:dyDescent="0.25"/>
    <row r="50" s="2" customFormat="1" x14ac:dyDescent="0.25"/>
    <row r="51" s="2" customFormat="1" x14ac:dyDescent="0.25"/>
    <row r="52" s="2" customFormat="1" x14ac:dyDescent="0.25"/>
    <row r="53" s="2" customFormat="1" x14ac:dyDescent="0.25"/>
    <row r="54" s="2" customFormat="1" x14ac:dyDescent="0.25"/>
    <row r="55" s="2" customFormat="1" x14ac:dyDescent="0.25"/>
    <row r="56" s="2" customFormat="1" x14ac:dyDescent="0.25"/>
    <row r="57" s="2" customFormat="1" x14ac:dyDescent="0.25"/>
    <row r="58" s="2" customFormat="1" x14ac:dyDescent="0.25"/>
    <row r="59" s="2" customFormat="1" x14ac:dyDescent="0.25"/>
    <row r="60" s="2" customFormat="1" x14ac:dyDescent="0.25"/>
    <row r="61" s="2" customFormat="1" x14ac:dyDescent="0.25"/>
    <row r="62" s="2" customFormat="1" x14ac:dyDescent="0.25"/>
    <row r="63" s="2" customFormat="1" x14ac:dyDescent="0.25"/>
    <row r="64" s="2" customFormat="1" x14ac:dyDescent="0.25"/>
    <row r="65" s="2" customFormat="1" x14ac:dyDescent="0.25"/>
    <row r="66" s="2" customFormat="1" x14ac:dyDescent="0.25"/>
    <row r="67" s="2" customFormat="1" x14ac:dyDescent="0.25"/>
    <row r="68" s="2" customFormat="1" x14ac:dyDescent="0.25"/>
    <row r="69" s="2" customFormat="1" x14ac:dyDescent="0.25"/>
    <row r="70" s="2" customFormat="1" x14ac:dyDescent="0.25"/>
    <row r="71" s="2" customFormat="1" x14ac:dyDescent="0.25"/>
    <row r="72" s="2" customFormat="1" x14ac:dyDescent="0.25"/>
    <row r="73" s="2" customFormat="1" x14ac:dyDescent="0.25"/>
    <row r="74" s="2" customFormat="1" x14ac:dyDescent="0.25"/>
    <row r="75" s="2" customFormat="1" x14ac:dyDescent="0.25"/>
    <row r="76" s="2" customFormat="1" x14ac:dyDescent="0.25"/>
    <row r="77" s="2" customFormat="1" x14ac:dyDescent="0.25"/>
    <row r="78" s="2" customFormat="1" x14ac:dyDescent="0.25"/>
    <row r="79" s="2" customFormat="1" x14ac:dyDescent="0.25"/>
    <row r="80" s="2" customFormat="1" x14ac:dyDescent="0.25"/>
    <row r="81" s="2" customFormat="1" x14ac:dyDescent="0.25"/>
    <row r="82" s="2" customFormat="1" x14ac:dyDescent="0.25"/>
    <row r="83" s="2" customFormat="1" x14ac:dyDescent="0.25"/>
    <row r="84" s="2" customFormat="1" x14ac:dyDescent="0.25"/>
    <row r="85" s="2" customFormat="1" x14ac:dyDescent="0.25"/>
    <row r="86" s="2" customFormat="1" x14ac:dyDescent="0.25"/>
    <row r="87" s="2" customFormat="1" x14ac:dyDescent="0.25"/>
    <row r="88" s="2" customFormat="1" x14ac:dyDescent="0.25"/>
    <row r="89" s="2" customFormat="1" x14ac:dyDescent="0.25"/>
    <row r="90" s="2" customFormat="1" x14ac:dyDescent="0.25"/>
    <row r="91" s="2" customFormat="1" x14ac:dyDescent="0.25"/>
    <row r="92" s="2" customFormat="1" x14ac:dyDescent="0.25"/>
    <row r="93" s="2" customFormat="1" x14ac:dyDescent="0.25"/>
    <row r="94" s="2" customFormat="1" x14ac:dyDescent="0.25"/>
    <row r="95" s="2" customFormat="1" x14ac:dyDescent="0.25"/>
    <row r="96" s="2" customFormat="1" x14ac:dyDescent="0.25"/>
    <row r="97" s="2" customFormat="1" x14ac:dyDescent="0.25"/>
    <row r="98" s="2" customFormat="1" x14ac:dyDescent="0.25"/>
    <row r="99" s="2" customFormat="1" x14ac:dyDescent="0.25"/>
    <row r="100" s="2" customFormat="1" x14ac:dyDescent="0.25"/>
    <row r="101" s="2" customFormat="1" x14ac:dyDescent="0.25"/>
    <row r="102" s="2" customFormat="1" x14ac:dyDescent="0.25"/>
    <row r="103" s="2" customFormat="1" x14ac:dyDescent="0.25"/>
    <row r="104" s="2" customFormat="1" x14ac:dyDescent="0.25"/>
    <row r="105" s="2" customFormat="1" x14ac:dyDescent="0.25"/>
    <row r="106" s="2" customFormat="1" x14ac:dyDescent="0.25"/>
    <row r="107" s="2" customFormat="1" x14ac:dyDescent="0.25"/>
    <row r="108" s="2" customFormat="1" x14ac:dyDescent="0.25"/>
    <row r="109" s="2" customFormat="1" x14ac:dyDescent="0.25"/>
    <row r="110" s="2" customFormat="1" x14ac:dyDescent="0.25"/>
    <row r="111" s="2" customFormat="1" x14ac:dyDescent="0.25"/>
    <row r="112" s="2" customFormat="1" x14ac:dyDescent="0.25"/>
    <row r="113" s="2" customFormat="1" x14ac:dyDescent="0.25"/>
    <row r="114" s="2" customFormat="1" x14ac:dyDescent="0.25"/>
    <row r="115" s="2" customFormat="1" x14ac:dyDescent="0.25"/>
    <row r="116" s="2" customFormat="1" x14ac:dyDescent="0.25"/>
    <row r="117" s="2" customFormat="1" x14ac:dyDescent="0.25"/>
    <row r="118" s="2" customFormat="1" x14ac:dyDescent="0.25"/>
    <row r="119" s="2" customFormat="1" x14ac:dyDescent="0.25"/>
    <row r="120" s="2" customFormat="1" x14ac:dyDescent="0.25"/>
    <row r="121" s="2" customFormat="1" x14ac:dyDescent="0.25"/>
    <row r="122" s="2" customFormat="1" x14ac:dyDescent="0.25"/>
    <row r="123" s="2" customFormat="1" x14ac:dyDescent="0.25"/>
    <row r="124" s="2" customFormat="1" x14ac:dyDescent="0.25"/>
    <row r="125" s="2" customFormat="1" x14ac:dyDescent="0.25"/>
    <row r="126" s="2" customFormat="1" x14ac:dyDescent="0.25"/>
    <row r="127" s="2" customFormat="1" x14ac:dyDescent="0.25"/>
    <row r="128" s="2" customFormat="1" x14ac:dyDescent="0.25"/>
    <row r="129" s="2" customFormat="1" x14ac:dyDescent="0.25"/>
    <row r="130" s="2" customFormat="1" x14ac:dyDescent="0.25"/>
    <row r="131" s="2" customFormat="1" x14ac:dyDescent="0.25"/>
    <row r="132" s="2" customFormat="1" x14ac:dyDescent="0.25"/>
    <row r="133" s="2" customFormat="1" x14ac:dyDescent="0.25"/>
    <row r="134" s="2" customFormat="1" x14ac:dyDescent="0.25"/>
    <row r="135" s="2" customFormat="1" x14ac:dyDescent="0.25"/>
    <row r="136" s="2" customFormat="1" x14ac:dyDescent="0.25"/>
    <row r="137" s="2" customFormat="1" x14ac:dyDescent="0.25"/>
    <row r="138" s="2" customFormat="1" x14ac:dyDescent="0.25"/>
    <row r="139" s="2" customFormat="1" x14ac:dyDescent="0.25"/>
    <row r="140" s="2" customFormat="1" x14ac:dyDescent="0.25"/>
    <row r="141" s="2" customFormat="1" x14ac:dyDescent="0.25"/>
    <row r="142" s="2" customFormat="1" x14ac:dyDescent="0.25"/>
    <row r="143" s="2" customFormat="1" x14ac:dyDescent="0.25"/>
    <row r="144" s="2" customFormat="1" x14ac:dyDescent="0.25"/>
    <row r="145" s="2" customFormat="1" x14ac:dyDescent="0.25"/>
    <row r="146" s="2" customFormat="1" x14ac:dyDescent="0.25"/>
    <row r="147" s="2" customFormat="1" x14ac:dyDescent="0.25"/>
    <row r="148" s="2" customFormat="1" x14ac:dyDescent="0.25"/>
    <row r="149" s="2" customFormat="1" x14ac:dyDescent="0.25"/>
    <row r="150" s="2" customFormat="1" x14ac:dyDescent="0.25"/>
    <row r="151" s="2" customFormat="1" x14ac:dyDescent="0.25"/>
    <row r="152" s="2" customFormat="1" x14ac:dyDescent="0.25"/>
    <row r="153" s="2" customFormat="1" x14ac:dyDescent="0.25"/>
    <row r="154" s="2" customFormat="1" x14ac:dyDescent="0.25"/>
    <row r="155" s="2" customFormat="1" x14ac:dyDescent="0.25"/>
    <row r="156" s="2" customFormat="1" x14ac:dyDescent="0.25"/>
    <row r="157" s="2" customFormat="1" x14ac:dyDescent="0.25"/>
    <row r="158" s="2" customFormat="1" x14ac:dyDescent="0.25"/>
    <row r="159" s="2" customFormat="1" x14ac:dyDescent="0.25"/>
    <row r="160" s="2" customFormat="1" x14ac:dyDescent="0.25"/>
    <row r="161" s="2" customFormat="1" x14ac:dyDescent="0.25"/>
    <row r="162" s="2" customFormat="1" x14ac:dyDescent="0.25"/>
    <row r="163" s="2" customFormat="1" x14ac:dyDescent="0.25"/>
    <row r="164" s="2" customFormat="1" x14ac:dyDescent="0.25"/>
    <row r="165" s="2" customFormat="1" x14ac:dyDescent="0.25"/>
    <row r="166" s="2" customFormat="1" x14ac:dyDescent="0.25"/>
    <row r="167" s="2" customFormat="1" x14ac:dyDescent="0.25"/>
    <row r="168" s="2" customFormat="1" x14ac:dyDescent="0.25"/>
    <row r="169" s="2" customFormat="1" x14ac:dyDescent="0.25"/>
    <row r="170" s="2" customFormat="1" x14ac:dyDescent="0.25"/>
    <row r="171" s="2" customFormat="1" x14ac:dyDescent="0.25"/>
    <row r="172" s="2" customFormat="1" x14ac:dyDescent="0.25"/>
    <row r="173" s="2" customFormat="1" x14ac:dyDescent="0.25"/>
    <row r="174" s="2" customFormat="1" x14ac:dyDescent="0.25"/>
    <row r="175" s="2" customFormat="1" x14ac:dyDescent="0.25"/>
    <row r="176" s="2" customFormat="1" x14ac:dyDescent="0.25"/>
    <row r="177" s="2" customFormat="1" x14ac:dyDescent="0.25"/>
    <row r="178" s="2" customFormat="1" x14ac:dyDescent="0.25"/>
    <row r="179" s="2" customFormat="1" x14ac:dyDescent="0.25"/>
    <row r="180" s="2" customFormat="1" x14ac:dyDescent="0.25"/>
    <row r="181" s="2" customFormat="1" x14ac:dyDescent="0.25"/>
    <row r="182" s="2" customFormat="1" x14ac:dyDescent="0.25"/>
    <row r="183" s="2" customFormat="1" x14ac:dyDescent="0.25"/>
    <row r="184" s="2" customFormat="1" x14ac:dyDescent="0.25"/>
    <row r="185" s="2" customFormat="1" x14ac:dyDescent="0.25"/>
    <row r="186" s="2" customFormat="1" x14ac:dyDescent="0.25"/>
    <row r="187" s="2" customFormat="1" x14ac:dyDescent="0.25"/>
    <row r="188" s="2" customFormat="1" x14ac:dyDescent="0.25"/>
    <row r="189" s="2" customFormat="1" x14ac:dyDescent="0.25"/>
    <row r="190" s="2" customFormat="1" x14ac:dyDescent="0.25"/>
    <row r="191" s="2" customFormat="1" x14ac:dyDescent="0.25"/>
    <row r="192" s="2" customFormat="1" x14ac:dyDescent="0.25"/>
    <row r="193" s="2" customFormat="1" x14ac:dyDescent="0.25"/>
    <row r="194" s="2" customFormat="1" x14ac:dyDescent="0.25"/>
    <row r="195" s="2" customFormat="1" x14ac:dyDescent="0.25"/>
    <row r="196" s="2" customFormat="1" x14ac:dyDescent="0.25"/>
    <row r="197" s="2" customFormat="1" x14ac:dyDescent="0.25"/>
    <row r="198" s="2" customFormat="1" x14ac:dyDescent="0.25"/>
    <row r="199" s="2" customFormat="1" x14ac:dyDescent="0.25"/>
    <row r="200" s="2" customFormat="1" x14ac:dyDescent="0.25"/>
    <row r="201" s="2" customFormat="1" x14ac:dyDescent="0.25"/>
    <row r="202" s="2" customFormat="1" x14ac:dyDescent="0.25"/>
    <row r="203" s="2" customFormat="1" x14ac:dyDescent="0.25"/>
    <row r="204" s="2" customFormat="1" x14ac:dyDescent="0.25"/>
    <row r="205" s="2" customFormat="1" x14ac:dyDescent="0.25"/>
    <row r="206" s="2" customFormat="1" x14ac:dyDescent="0.25"/>
    <row r="207" s="2" customFormat="1" x14ac:dyDescent="0.25"/>
    <row r="208" s="2" customFormat="1" x14ac:dyDescent="0.25"/>
    <row r="209" s="2" customFormat="1" x14ac:dyDescent="0.25"/>
    <row r="210" s="2" customFormat="1" x14ac:dyDescent="0.25"/>
    <row r="211" s="2" customFormat="1" x14ac:dyDescent="0.25"/>
    <row r="212" s="2" customFormat="1" x14ac:dyDescent="0.25"/>
    <row r="213" s="2" customFormat="1" x14ac:dyDescent="0.25"/>
    <row r="214" s="2" customFormat="1" x14ac:dyDescent="0.25"/>
    <row r="215" s="2" customFormat="1" x14ac:dyDescent="0.25"/>
    <row r="216" s="2" customFormat="1" x14ac:dyDescent="0.25"/>
    <row r="217" s="2" customFormat="1" x14ac:dyDescent="0.25"/>
    <row r="218" s="2" customFormat="1" x14ac:dyDescent="0.25"/>
    <row r="219" s="2" customFormat="1" x14ac:dyDescent="0.25"/>
    <row r="220" s="2" customFormat="1" x14ac:dyDescent="0.25"/>
    <row r="221" s="2" customFormat="1" x14ac:dyDescent="0.25"/>
    <row r="222" s="2" customFormat="1" x14ac:dyDescent="0.25"/>
    <row r="223" s="2" customFormat="1" x14ac:dyDescent="0.25"/>
    <row r="224" s="2" customFormat="1" x14ac:dyDescent="0.25"/>
    <row r="225" s="2" customFormat="1" x14ac:dyDescent="0.25"/>
    <row r="226" s="2" customFormat="1" x14ac:dyDescent="0.25"/>
    <row r="227" s="2" customFormat="1" x14ac:dyDescent="0.25"/>
    <row r="228" s="2" customFormat="1" x14ac:dyDescent="0.25"/>
    <row r="229" s="2" customFormat="1" x14ac:dyDescent="0.25"/>
    <row r="230" s="2" customFormat="1" x14ac:dyDescent="0.25"/>
    <row r="231" s="2" customFormat="1" x14ac:dyDescent="0.25"/>
    <row r="232" s="2" customFormat="1" x14ac:dyDescent="0.25"/>
    <row r="233" s="2" customFormat="1" x14ac:dyDescent="0.25"/>
    <row r="234" s="2" customFormat="1" x14ac:dyDescent="0.25"/>
    <row r="235" s="2" customFormat="1" x14ac:dyDescent="0.25"/>
    <row r="236" s="2" customFormat="1" x14ac:dyDescent="0.25"/>
    <row r="237" s="2" customFormat="1" x14ac:dyDescent="0.25"/>
    <row r="238" s="2" customFormat="1" x14ac:dyDescent="0.25"/>
    <row r="239" s="2" customFormat="1" x14ac:dyDescent="0.25"/>
    <row r="240" s="2" customFormat="1" x14ac:dyDescent="0.25"/>
    <row r="241" s="2" customFormat="1" x14ac:dyDescent="0.25"/>
  </sheetData>
  <mergeCells count="23">
    <mergeCell ref="A10:B10"/>
    <mergeCell ref="A8:B8"/>
    <mergeCell ref="A6:B6"/>
    <mergeCell ref="A4:B4"/>
    <mergeCell ref="A1:B1"/>
    <mergeCell ref="A2:B2"/>
    <mergeCell ref="B5:D5"/>
    <mergeCell ref="B7:D7"/>
    <mergeCell ref="B9:D9"/>
    <mergeCell ref="B3:D3"/>
    <mergeCell ref="B23:D23"/>
    <mergeCell ref="B11:D11"/>
    <mergeCell ref="B13:D13"/>
    <mergeCell ref="B15:D15"/>
    <mergeCell ref="B17:D17"/>
    <mergeCell ref="B19:D19"/>
    <mergeCell ref="B21:D21"/>
    <mergeCell ref="A18:B18"/>
    <mergeCell ref="A20:B20"/>
    <mergeCell ref="A22:B22"/>
    <mergeCell ref="A16:B16"/>
    <mergeCell ref="A12:B12"/>
    <mergeCell ref="A14:B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ADD">
              <controlPr defaultSize="0" print="0" autoFill="0" autoPict="0" macro="[0]!ADD1_Click" altText="ADD">
                <anchor moveWithCells="1" sizeWithCells="1">
                  <from>
                    <xdr:col>4</xdr:col>
                    <xdr:colOff>28575</xdr:colOff>
                    <xdr:row>2</xdr:row>
                    <xdr:rowOff>19050</xdr:rowOff>
                  </from>
                  <to>
                    <xdr:col>4</xdr:col>
                    <xdr:colOff>752475</xdr:colOff>
                    <xdr:row>2</xdr:row>
                    <xdr:rowOff>257175</xdr:rowOff>
                  </to>
                </anchor>
              </controlPr>
            </control>
          </mc:Choice>
        </mc:AlternateContent>
        <mc:AlternateContent xmlns:mc="http://schemas.openxmlformats.org/markup-compatibility/2006">
          <mc:Choice Requires="x14">
            <control shapeId="2056" r:id="rId5" name="Button 8">
              <controlPr defaultSize="0" print="0" autoFill="0" autoPict="0" macro="[0]!ADD2_Click" altText="ADD">
                <anchor moveWithCells="1" sizeWithCells="1">
                  <from>
                    <xdr:col>4</xdr:col>
                    <xdr:colOff>28575</xdr:colOff>
                    <xdr:row>4</xdr:row>
                    <xdr:rowOff>19050</xdr:rowOff>
                  </from>
                  <to>
                    <xdr:col>4</xdr:col>
                    <xdr:colOff>752475</xdr:colOff>
                    <xdr:row>4</xdr:row>
                    <xdr:rowOff>257175</xdr:rowOff>
                  </to>
                </anchor>
              </controlPr>
            </control>
          </mc:Choice>
        </mc:AlternateContent>
        <mc:AlternateContent xmlns:mc="http://schemas.openxmlformats.org/markup-compatibility/2006">
          <mc:Choice Requires="x14">
            <control shapeId="2057" r:id="rId6" name="Button 9">
              <controlPr defaultSize="0" print="0" autoFill="0" autoPict="0" macro="[0]!ADD3_Click" altText="ADD">
                <anchor moveWithCells="1" sizeWithCells="1">
                  <from>
                    <xdr:col>4</xdr:col>
                    <xdr:colOff>28575</xdr:colOff>
                    <xdr:row>6</xdr:row>
                    <xdr:rowOff>19050</xdr:rowOff>
                  </from>
                  <to>
                    <xdr:col>4</xdr:col>
                    <xdr:colOff>752475</xdr:colOff>
                    <xdr:row>6</xdr:row>
                    <xdr:rowOff>257175</xdr:rowOff>
                  </to>
                </anchor>
              </controlPr>
            </control>
          </mc:Choice>
        </mc:AlternateContent>
        <mc:AlternateContent xmlns:mc="http://schemas.openxmlformats.org/markup-compatibility/2006">
          <mc:Choice Requires="x14">
            <control shapeId="2058" r:id="rId7" name="Button 10">
              <controlPr defaultSize="0" print="0" autoFill="0" autoPict="0" macro="[0]!ADD4_Click" altText="ADD">
                <anchor moveWithCells="1" sizeWithCells="1">
                  <from>
                    <xdr:col>4</xdr:col>
                    <xdr:colOff>28575</xdr:colOff>
                    <xdr:row>8</xdr:row>
                    <xdr:rowOff>19050</xdr:rowOff>
                  </from>
                  <to>
                    <xdr:col>4</xdr:col>
                    <xdr:colOff>752475</xdr:colOff>
                    <xdr:row>8</xdr:row>
                    <xdr:rowOff>257175</xdr:rowOff>
                  </to>
                </anchor>
              </controlPr>
            </control>
          </mc:Choice>
        </mc:AlternateContent>
        <mc:AlternateContent xmlns:mc="http://schemas.openxmlformats.org/markup-compatibility/2006">
          <mc:Choice Requires="x14">
            <control shapeId="2059" r:id="rId8" name="Button 11">
              <controlPr defaultSize="0" print="0" autoFill="0" autoPict="0" macro="[0]!ADD5_Click" altText="ADD">
                <anchor moveWithCells="1" sizeWithCells="1">
                  <from>
                    <xdr:col>4</xdr:col>
                    <xdr:colOff>28575</xdr:colOff>
                    <xdr:row>10</xdr:row>
                    <xdr:rowOff>19050</xdr:rowOff>
                  </from>
                  <to>
                    <xdr:col>4</xdr:col>
                    <xdr:colOff>752475</xdr:colOff>
                    <xdr:row>10</xdr:row>
                    <xdr:rowOff>257175</xdr:rowOff>
                  </to>
                </anchor>
              </controlPr>
            </control>
          </mc:Choice>
        </mc:AlternateContent>
        <mc:AlternateContent xmlns:mc="http://schemas.openxmlformats.org/markup-compatibility/2006">
          <mc:Choice Requires="x14">
            <control shapeId="2060" r:id="rId9" name="Button 12">
              <controlPr defaultSize="0" print="0" autoFill="0" autoPict="0" macro="[0]!ADD6_Click" altText="ADD">
                <anchor moveWithCells="1" sizeWithCells="1">
                  <from>
                    <xdr:col>4</xdr:col>
                    <xdr:colOff>28575</xdr:colOff>
                    <xdr:row>12</xdr:row>
                    <xdr:rowOff>19050</xdr:rowOff>
                  </from>
                  <to>
                    <xdr:col>4</xdr:col>
                    <xdr:colOff>752475</xdr:colOff>
                    <xdr:row>12</xdr:row>
                    <xdr:rowOff>257175</xdr:rowOff>
                  </to>
                </anchor>
              </controlPr>
            </control>
          </mc:Choice>
        </mc:AlternateContent>
        <mc:AlternateContent xmlns:mc="http://schemas.openxmlformats.org/markup-compatibility/2006">
          <mc:Choice Requires="x14">
            <control shapeId="2061" r:id="rId10" name="Button 13">
              <controlPr defaultSize="0" print="0" autoFill="0" autoPict="0" macro="[0]!ADD7_Click" altText="ADD">
                <anchor moveWithCells="1" sizeWithCells="1">
                  <from>
                    <xdr:col>4</xdr:col>
                    <xdr:colOff>28575</xdr:colOff>
                    <xdr:row>14</xdr:row>
                    <xdr:rowOff>19050</xdr:rowOff>
                  </from>
                  <to>
                    <xdr:col>4</xdr:col>
                    <xdr:colOff>752475</xdr:colOff>
                    <xdr:row>14</xdr:row>
                    <xdr:rowOff>257175</xdr:rowOff>
                  </to>
                </anchor>
              </controlPr>
            </control>
          </mc:Choice>
        </mc:AlternateContent>
        <mc:AlternateContent xmlns:mc="http://schemas.openxmlformats.org/markup-compatibility/2006">
          <mc:Choice Requires="x14">
            <control shapeId="2062" r:id="rId11" name="Button 14">
              <controlPr defaultSize="0" print="0" autoFill="0" autoPict="0" macro="[0]!ADD8_Click" altText="ADD">
                <anchor moveWithCells="1" sizeWithCells="1">
                  <from>
                    <xdr:col>4</xdr:col>
                    <xdr:colOff>28575</xdr:colOff>
                    <xdr:row>16</xdr:row>
                    <xdr:rowOff>19050</xdr:rowOff>
                  </from>
                  <to>
                    <xdr:col>4</xdr:col>
                    <xdr:colOff>752475</xdr:colOff>
                    <xdr:row>16</xdr:row>
                    <xdr:rowOff>257175</xdr:rowOff>
                  </to>
                </anchor>
              </controlPr>
            </control>
          </mc:Choice>
        </mc:AlternateContent>
        <mc:AlternateContent xmlns:mc="http://schemas.openxmlformats.org/markup-compatibility/2006">
          <mc:Choice Requires="x14">
            <control shapeId="2063" r:id="rId12" name="Button 15">
              <controlPr defaultSize="0" print="0" autoFill="0" autoPict="0" macro="[0]!ADD9_Click" altText="ADD">
                <anchor moveWithCells="1" sizeWithCells="1">
                  <from>
                    <xdr:col>4</xdr:col>
                    <xdr:colOff>28575</xdr:colOff>
                    <xdr:row>18</xdr:row>
                    <xdr:rowOff>19050</xdr:rowOff>
                  </from>
                  <to>
                    <xdr:col>4</xdr:col>
                    <xdr:colOff>752475</xdr:colOff>
                    <xdr:row>18</xdr:row>
                    <xdr:rowOff>257175</xdr:rowOff>
                  </to>
                </anchor>
              </controlPr>
            </control>
          </mc:Choice>
        </mc:AlternateContent>
        <mc:AlternateContent xmlns:mc="http://schemas.openxmlformats.org/markup-compatibility/2006">
          <mc:Choice Requires="x14">
            <control shapeId="2064" r:id="rId13" name="Button 16">
              <controlPr defaultSize="0" print="0" autoFill="0" autoPict="0" macro="[0]!ADD10_Click" altText="ADD">
                <anchor moveWithCells="1" sizeWithCells="1">
                  <from>
                    <xdr:col>4</xdr:col>
                    <xdr:colOff>28575</xdr:colOff>
                    <xdr:row>20</xdr:row>
                    <xdr:rowOff>19050</xdr:rowOff>
                  </from>
                  <to>
                    <xdr:col>4</xdr:col>
                    <xdr:colOff>752475</xdr:colOff>
                    <xdr:row>20</xdr:row>
                    <xdr:rowOff>257175</xdr:rowOff>
                  </to>
                </anchor>
              </controlPr>
            </control>
          </mc:Choice>
        </mc:AlternateContent>
        <mc:AlternateContent xmlns:mc="http://schemas.openxmlformats.org/markup-compatibility/2006">
          <mc:Choice Requires="x14">
            <control shapeId="2065" r:id="rId14" name="Button 17">
              <controlPr defaultSize="0" print="0" autoFill="0" autoPict="0" macro="[0]!ADD11_Click" altText="ADD">
                <anchor moveWithCells="1" sizeWithCells="1">
                  <from>
                    <xdr:col>4</xdr:col>
                    <xdr:colOff>28575</xdr:colOff>
                    <xdr:row>22</xdr:row>
                    <xdr:rowOff>19050</xdr:rowOff>
                  </from>
                  <to>
                    <xdr:col>4</xdr:col>
                    <xdr:colOff>752475</xdr:colOff>
                    <xdr:row>22</xdr:row>
                    <xdr:rowOff>257175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A8B532D-7B9D-428C-ADF9-FA03B01AC673}">
          <x14:formula1>
            <xm:f>Lists!$C:$C</xm:f>
          </x14:formula1>
          <xm:sqref>B21:D21 B23:D23 B13:D13 B7:D7 B3:D3 B11:D11 B5:D5 B15:D15 B17:D17 B19:D19 B9:D9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C05D1-D57C-45DD-A4CD-3139CFBCB9F8}">
  <sheetPr codeName="Ark8">
    <outlinePr summaryBelow="0"/>
  </sheetPr>
  <dimension ref="A1:BC241"/>
  <sheetViews>
    <sheetView zoomScaleNormal="100" workbookViewId="0">
      <pane ySplit="1" topLeftCell="A2" activePane="bottomLeft" state="frozen"/>
      <selection pane="bottomLeft" sqref="A1:B1"/>
    </sheetView>
  </sheetViews>
  <sheetFormatPr defaultRowHeight="15" x14ac:dyDescent="0.25"/>
  <cols>
    <col min="1" max="1" width="22.5703125" customWidth="1"/>
    <col min="2" max="2" width="10.7109375" customWidth="1"/>
    <col min="3" max="3" width="11.7109375" customWidth="1"/>
    <col min="4" max="4" width="11.7109375" bestFit="1" customWidth="1"/>
    <col min="5" max="5" width="17.5703125" bestFit="1" customWidth="1"/>
    <col min="6" max="8" width="11.140625" customWidth="1"/>
    <col min="9" max="9" width="15.85546875" bestFit="1" customWidth="1"/>
    <col min="10" max="10" width="15.42578125" bestFit="1" customWidth="1"/>
    <col min="11" max="11" width="13.140625" bestFit="1" customWidth="1"/>
    <col min="12" max="12" width="25.85546875" bestFit="1" customWidth="1"/>
    <col min="13" max="13" width="24.28515625" bestFit="1" customWidth="1"/>
    <col min="14" max="14" width="25.85546875" hidden="1" customWidth="1"/>
    <col min="15" max="15" width="24.28515625" hidden="1" customWidth="1"/>
    <col min="16" max="16" width="22" hidden="1" customWidth="1"/>
    <col min="17" max="17" width="25.85546875" hidden="1" customWidth="1"/>
    <col min="18" max="19" width="9.140625" style="2" customWidth="1"/>
    <col min="20" max="55" width="9.140625" style="2"/>
  </cols>
  <sheetData>
    <row r="1" spans="1:55" s="1" customFormat="1" ht="21.75" thickBot="1" x14ac:dyDescent="0.4">
      <c r="A1" s="85" t="s">
        <v>0</v>
      </c>
      <c r="B1" s="86"/>
      <c r="C1" s="5" t="s">
        <v>94</v>
      </c>
      <c r="D1" s="5" t="s">
        <v>1</v>
      </c>
      <c r="E1" s="5" t="s">
        <v>2</v>
      </c>
      <c r="F1" s="6"/>
      <c r="G1" s="6"/>
      <c r="H1" s="6"/>
      <c r="I1" s="6"/>
      <c r="J1" s="6"/>
      <c r="K1" s="6"/>
      <c r="L1" s="6"/>
      <c r="M1" s="6"/>
      <c r="N1" s="6"/>
      <c r="O1" s="6"/>
      <c r="P1" s="6"/>
      <c r="Q1" s="7"/>
      <c r="R1" s="8"/>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row>
    <row r="2" spans="1:55" s="1" customFormat="1" ht="21.75" thickBot="1" x14ac:dyDescent="0.4">
      <c r="A2" s="92" t="s">
        <v>29</v>
      </c>
      <c r="B2" s="93"/>
      <c r="C2" s="25"/>
      <c r="D2" s="5"/>
      <c r="E2" s="5"/>
      <c r="F2" s="6"/>
      <c r="G2" s="6"/>
      <c r="H2" s="6"/>
      <c r="I2" s="6"/>
      <c r="J2" s="6"/>
      <c r="K2" s="6"/>
      <c r="L2" s="6"/>
      <c r="M2" s="6"/>
      <c r="N2" s="6"/>
      <c r="O2" s="6"/>
      <c r="P2" s="6"/>
      <c r="Q2" s="7"/>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row>
    <row r="3" spans="1:55" s="8" customFormat="1" ht="21.75" thickBot="1" x14ac:dyDescent="0.4">
      <c r="A3" s="24" t="s">
        <v>73</v>
      </c>
      <c r="B3" s="89" t="s">
        <v>197</v>
      </c>
      <c r="C3" s="90"/>
      <c r="D3" s="91"/>
      <c r="E3" s="21"/>
      <c r="F3" s="22"/>
      <c r="G3" s="22"/>
      <c r="H3" s="22"/>
      <c r="I3" s="22"/>
      <c r="J3" s="22"/>
      <c r="K3" s="22"/>
      <c r="L3" s="22"/>
      <c r="M3" s="22"/>
      <c r="N3" s="22"/>
      <c r="O3" s="22"/>
      <c r="P3" s="22"/>
      <c r="Q3" s="23"/>
    </row>
    <row r="4" spans="1:55" s="1" customFormat="1" ht="21.75" thickBot="1" x14ac:dyDescent="0.4">
      <c r="A4" s="92" t="s">
        <v>30</v>
      </c>
      <c r="B4" s="93"/>
      <c r="C4" s="25"/>
      <c r="D4" s="5"/>
      <c r="E4" s="5"/>
      <c r="F4" s="6"/>
      <c r="G4" s="6"/>
      <c r="H4" s="6"/>
      <c r="I4" s="6"/>
      <c r="J4" s="6"/>
      <c r="K4" s="6"/>
      <c r="L4" s="6"/>
      <c r="M4" s="6"/>
      <c r="N4" s="6"/>
      <c r="O4" s="6"/>
      <c r="P4" s="6"/>
      <c r="Q4" s="7"/>
      <c r="R4" s="8"/>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row>
    <row r="5" spans="1:55" s="8" customFormat="1" ht="21.75" thickBot="1" x14ac:dyDescent="0.4">
      <c r="A5" s="24" t="s">
        <v>73</v>
      </c>
      <c r="B5" s="89" t="s">
        <v>197</v>
      </c>
      <c r="C5" s="90"/>
      <c r="D5" s="91"/>
      <c r="E5" s="21"/>
      <c r="F5" s="22"/>
      <c r="G5" s="22"/>
      <c r="H5" s="22"/>
      <c r="I5" s="22"/>
      <c r="J5" s="22"/>
      <c r="K5" s="22"/>
      <c r="L5" s="22"/>
      <c r="M5" s="22"/>
      <c r="N5" s="22"/>
      <c r="O5" s="22"/>
      <c r="P5" s="22"/>
      <c r="Q5" s="23"/>
    </row>
    <row r="6" spans="1:55" s="1" customFormat="1" ht="21.75" thickBot="1" x14ac:dyDescent="0.4">
      <c r="A6" s="92" t="s">
        <v>64</v>
      </c>
      <c r="B6" s="93"/>
      <c r="C6" s="25"/>
      <c r="D6" s="5"/>
      <c r="E6" s="5"/>
      <c r="F6" s="6"/>
      <c r="G6" s="6"/>
      <c r="H6" s="6"/>
      <c r="I6" s="6"/>
      <c r="J6" s="6"/>
      <c r="K6" s="6"/>
      <c r="L6" s="6"/>
      <c r="M6" s="6"/>
      <c r="N6" s="6"/>
      <c r="O6" s="6"/>
      <c r="P6" s="6"/>
      <c r="Q6" s="7"/>
      <c r="R6" s="8"/>
      <c r="S6" s="8"/>
      <c r="T6" s="8"/>
      <c r="U6" s="8"/>
      <c r="V6" s="8"/>
      <c r="W6" s="8"/>
      <c r="X6" s="8"/>
      <c r="Y6" s="8"/>
      <c r="Z6" s="8"/>
      <c r="AA6" s="8"/>
      <c r="AB6" s="8"/>
      <c r="AC6" s="8"/>
      <c r="AD6" s="8"/>
      <c r="AE6" s="8"/>
      <c r="AF6" s="8"/>
      <c r="AG6" s="8"/>
      <c r="AH6" s="8"/>
      <c r="AI6" s="8"/>
      <c r="AJ6" s="8"/>
      <c r="AK6" s="8"/>
      <c r="AL6" s="8"/>
      <c r="AM6" s="8"/>
      <c r="AN6" s="8"/>
      <c r="AO6" s="8"/>
      <c r="AP6" s="8"/>
      <c r="AQ6" s="8"/>
      <c r="AR6" s="8"/>
      <c r="AS6" s="8"/>
      <c r="AT6" s="8"/>
      <c r="AU6" s="8"/>
      <c r="AV6" s="8"/>
      <c r="AW6" s="8"/>
      <c r="AX6" s="8"/>
      <c r="AY6" s="8"/>
      <c r="AZ6" s="8"/>
      <c r="BA6" s="8"/>
      <c r="BB6" s="8"/>
      <c r="BC6" s="8"/>
    </row>
    <row r="7" spans="1:55" s="8" customFormat="1" ht="21.75" thickBot="1" x14ac:dyDescent="0.4">
      <c r="A7" s="24" t="s">
        <v>73</v>
      </c>
      <c r="B7" s="89" t="s">
        <v>197</v>
      </c>
      <c r="C7" s="90"/>
      <c r="D7" s="91"/>
      <c r="E7" s="21"/>
      <c r="F7" s="22"/>
      <c r="G7" s="22"/>
      <c r="H7" s="22"/>
      <c r="I7" s="22"/>
      <c r="J7" s="22"/>
      <c r="K7" s="22"/>
      <c r="L7" s="22"/>
      <c r="M7" s="22"/>
      <c r="N7" s="22"/>
      <c r="O7" s="22"/>
      <c r="P7" s="22"/>
      <c r="Q7" s="23"/>
    </row>
    <row r="8" spans="1:55" s="1" customFormat="1" ht="21.75" thickBot="1" x14ac:dyDescent="0.4">
      <c r="A8" s="92" t="s">
        <v>65</v>
      </c>
      <c r="B8" s="93"/>
      <c r="C8" s="25"/>
      <c r="D8" s="5"/>
      <c r="E8" s="5"/>
      <c r="F8" s="6"/>
      <c r="G8" s="6"/>
      <c r="H8" s="6"/>
      <c r="I8" s="6"/>
      <c r="J8" s="6"/>
      <c r="K8" s="6"/>
      <c r="L8" s="6"/>
      <c r="M8" s="6"/>
      <c r="N8" s="6"/>
      <c r="O8" s="6"/>
      <c r="P8" s="6"/>
      <c r="Q8" s="7"/>
      <c r="R8" s="8"/>
      <c r="S8" s="8"/>
      <c r="T8" s="8"/>
      <c r="U8" s="8"/>
      <c r="V8" s="8"/>
      <c r="W8" s="8"/>
      <c r="X8" s="8"/>
      <c r="Y8" s="8"/>
      <c r="Z8" s="8"/>
      <c r="AA8" s="8"/>
      <c r="AB8" s="8"/>
      <c r="AC8" s="8"/>
      <c r="AD8" s="8"/>
      <c r="AE8" s="8"/>
      <c r="AF8" s="8"/>
      <c r="AG8" s="8"/>
      <c r="AH8" s="8"/>
      <c r="AI8" s="8"/>
      <c r="AJ8" s="8"/>
      <c r="AK8" s="8"/>
      <c r="AL8" s="8"/>
      <c r="AM8" s="8"/>
      <c r="AN8" s="8"/>
      <c r="AO8" s="8"/>
      <c r="AP8" s="8"/>
      <c r="AQ8" s="8"/>
      <c r="AR8" s="8"/>
      <c r="AS8" s="8"/>
      <c r="AT8" s="8"/>
      <c r="AU8" s="8"/>
      <c r="AV8" s="8"/>
      <c r="AW8" s="8"/>
      <c r="AX8" s="8"/>
      <c r="AY8" s="8"/>
      <c r="AZ8" s="8"/>
      <c r="BA8" s="8"/>
      <c r="BB8" s="8"/>
      <c r="BC8" s="8"/>
    </row>
    <row r="9" spans="1:55" s="8" customFormat="1" ht="21.75" thickBot="1" x14ac:dyDescent="0.4">
      <c r="A9" s="24" t="s">
        <v>73</v>
      </c>
      <c r="B9" s="89" t="s">
        <v>197</v>
      </c>
      <c r="C9" s="90"/>
      <c r="D9" s="91"/>
      <c r="E9" s="21"/>
      <c r="F9" s="22"/>
      <c r="G9" s="22"/>
      <c r="H9" s="22"/>
      <c r="I9" s="22"/>
      <c r="J9" s="22"/>
      <c r="K9" s="22"/>
      <c r="L9" s="22"/>
      <c r="M9" s="22"/>
      <c r="N9" s="22"/>
      <c r="O9" s="22"/>
      <c r="P9" s="22"/>
      <c r="Q9" s="23"/>
    </row>
    <row r="10" spans="1:55" s="1" customFormat="1" ht="21.75" thickBot="1" x14ac:dyDescent="0.4">
      <c r="A10" s="92" t="s">
        <v>66</v>
      </c>
      <c r="B10" s="93"/>
      <c r="C10" s="25"/>
      <c r="D10" s="5"/>
      <c r="E10" s="5"/>
      <c r="F10" s="6"/>
      <c r="G10" s="6"/>
      <c r="H10" s="6"/>
      <c r="I10" s="6"/>
      <c r="J10" s="6"/>
      <c r="K10" s="6"/>
      <c r="L10" s="6"/>
      <c r="M10" s="6"/>
      <c r="N10" s="6"/>
      <c r="O10" s="6"/>
      <c r="P10" s="6"/>
      <c r="Q10" s="7"/>
      <c r="R10" s="8"/>
      <c r="S10" s="8"/>
      <c r="T10" s="8"/>
      <c r="U10" s="8"/>
      <c r="V10" s="8"/>
      <c r="W10" s="8"/>
      <c r="X10" s="8"/>
      <c r="Y10" s="8"/>
      <c r="Z10" s="8"/>
      <c r="AA10" s="8"/>
      <c r="AB10" s="8"/>
      <c r="AC10" s="8"/>
      <c r="AD10" s="8"/>
      <c r="AE10" s="8"/>
      <c r="AF10" s="8"/>
      <c r="AG10" s="8"/>
      <c r="AH10" s="8"/>
      <c r="AI10" s="8"/>
      <c r="AJ10" s="8"/>
      <c r="AK10" s="8"/>
      <c r="AL10" s="8"/>
      <c r="AM10" s="8"/>
      <c r="AN10" s="8"/>
      <c r="AO10" s="8"/>
      <c r="AP10" s="8"/>
      <c r="AQ10" s="8"/>
      <c r="AR10" s="8"/>
      <c r="AS10" s="8"/>
      <c r="AT10" s="8"/>
      <c r="AU10" s="8"/>
      <c r="AV10" s="8"/>
      <c r="AW10" s="8"/>
      <c r="AX10" s="8"/>
      <c r="AY10" s="8"/>
      <c r="AZ10" s="8"/>
      <c r="BA10" s="8"/>
      <c r="BB10" s="8"/>
      <c r="BC10" s="8"/>
    </row>
    <row r="11" spans="1:55" s="8" customFormat="1" ht="21.75" thickBot="1" x14ac:dyDescent="0.4">
      <c r="A11" s="24" t="s">
        <v>73</v>
      </c>
      <c r="B11" s="89" t="s">
        <v>197</v>
      </c>
      <c r="C11" s="90"/>
      <c r="D11" s="91"/>
      <c r="E11" s="21"/>
      <c r="F11" s="22"/>
      <c r="G11" s="22"/>
      <c r="H11" s="22"/>
      <c r="I11" s="22"/>
      <c r="J11" s="22"/>
      <c r="K11" s="22"/>
      <c r="L11" s="22"/>
      <c r="M11" s="22"/>
      <c r="N11" s="22"/>
      <c r="O11" s="22"/>
      <c r="P11" s="22"/>
      <c r="Q11" s="23"/>
    </row>
    <row r="12" spans="1:55" s="1" customFormat="1" ht="21.75" thickBot="1" x14ac:dyDescent="0.4">
      <c r="A12" s="92" t="s">
        <v>67</v>
      </c>
      <c r="B12" s="93"/>
      <c r="C12" s="25"/>
      <c r="D12" s="5"/>
      <c r="E12" s="5"/>
      <c r="F12" s="6"/>
      <c r="G12" s="6"/>
      <c r="H12" s="6"/>
      <c r="I12" s="6"/>
      <c r="J12" s="6"/>
      <c r="K12" s="6"/>
      <c r="L12" s="6"/>
      <c r="M12" s="6"/>
      <c r="N12" s="6"/>
      <c r="O12" s="6"/>
      <c r="P12" s="6"/>
      <c r="Q12" s="7"/>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row>
    <row r="13" spans="1:55" s="8" customFormat="1" ht="21.75" thickBot="1" x14ac:dyDescent="0.4">
      <c r="A13" s="24" t="s">
        <v>73</v>
      </c>
      <c r="B13" s="89" t="s">
        <v>197</v>
      </c>
      <c r="C13" s="90"/>
      <c r="D13" s="91"/>
      <c r="E13" s="21"/>
      <c r="F13" s="22"/>
      <c r="G13" s="22"/>
      <c r="H13" s="22"/>
      <c r="I13" s="22"/>
      <c r="J13" s="22"/>
      <c r="K13" s="22"/>
      <c r="L13" s="22"/>
      <c r="M13" s="22"/>
      <c r="N13" s="22"/>
      <c r="O13" s="22"/>
      <c r="P13" s="22"/>
      <c r="Q13" s="23"/>
    </row>
    <row r="14" spans="1:55" s="1" customFormat="1" ht="21.75" thickBot="1" x14ac:dyDescent="0.4">
      <c r="A14" s="92" t="s">
        <v>68</v>
      </c>
      <c r="B14" s="93"/>
      <c r="C14" s="25"/>
      <c r="D14" s="5"/>
      <c r="E14" s="5"/>
      <c r="F14" s="6"/>
      <c r="G14" s="6"/>
      <c r="H14" s="6"/>
      <c r="I14" s="6"/>
      <c r="J14" s="6"/>
      <c r="K14" s="6"/>
      <c r="L14" s="6"/>
      <c r="M14" s="6"/>
      <c r="N14" s="6"/>
      <c r="O14" s="6"/>
      <c r="P14" s="6"/>
      <c r="Q14" s="7"/>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row>
    <row r="15" spans="1:55" s="8" customFormat="1" ht="21.75" thickBot="1" x14ac:dyDescent="0.4">
      <c r="A15" s="24" t="s">
        <v>73</v>
      </c>
      <c r="B15" s="89" t="s">
        <v>197</v>
      </c>
      <c r="C15" s="90"/>
      <c r="D15" s="91"/>
      <c r="E15" s="21"/>
      <c r="F15" s="22"/>
      <c r="G15" s="22"/>
      <c r="H15" s="22"/>
      <c r="I15" s="22"/>
      <c r="J15" s="22"/>
      <c r="K15" s="22"/>
      <c r="L15" s="22"/>
      <c r="M15" s="22"/>
      <c r="N15" s="22"/>
      <c r="O15" s="22"/>
      <c r="P15" s="22"/>
      <c r="Q15" s="23"/>
    </row>
    <row r="16" spans="1:55" s="1" customFormat="1" ht="21.75" thickBot="1" x14ac:dyDescent="0.4">
      <c r="A16" s="92" t="s">
        <v>69</v>
      </c>
      <c r="B16" s="93"/>
      <c r="C16" s="25"/>
      <c r="D16" s="5"/>
      <c r="E16" s="5"/>
      <c r="F16" s="6"/>
      <c r="G16" s="6"/>
      <c r="H16" s="6"/>
      <c r="I16" s="6"/>
      <c r="J16" s="6"/>
      <c r="K16" s="6"/>
      <c r="L16" s="6"/>
      <c r="M16" s="6"/>
      <c r="N16" s="6"/>
      <c r="O16" s="6"/>
      <c r="P16" s="6"/>
      <c r="Q16" s="7"/>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row>
    <row r="17" spans="1:55" s="8" customFormat="1" ht="21.75" thickBot="1" x14ac:dyDescent="0.4">
      <c r="A17" s="24" t="s">
        <v>73</v>
      </c>
      <c r="B17" s="89" t="s">
        <v>197</v>
      </c>
      <c r="C17" s="90"/>
      <c r="D17" s="91"/>
      <c r="E17" s="21"/>
      <c r="F17" s="22"/>
      <c r="G17" s="22"/>
      <c r="H17" s="22"/>
      <c r="I17" s="22"/>
      <c r="J17" s="22"/>
      <c r="K17" s="22"/>
      <c r="L17" s="22"/>
      <c r="M17" s="22"/>
      <c r="N17" s="22"/>
      <c r="O17" s="22"/>
      <c r="P17" s="22"/>
      <c r="Q17" s="23"/>
    </row>
    <row r="18" spans="1:55" s="1" customFormat="1" ht="21.75" thickBot="1" x14ac:dyDescent="0.4">
      <c r="A18" s="92" t="s">
        <v>70</v>
      </c>
      <c r="B18" s="93"/>
      <c r="C18" s="25"/>
      <c r="D18" s="5"/>
      <c r="E18" s="5"/>
      <c r="F18" s="6"/>
      <c r="G18" s="6"/>
      <c r="H18" s="6"/>
      <c r="I18" s="6"/>
      <c r="J18" s="6"/>
      <c r="K18" s="6"/>
      <c r="L18" s="6"/>
      <c r="M18" s="6"/>
      <c r="N18" s="6"/>
      <c r="O18" s="6"/>
      <c r="P18" s="6"/>
      <c r="Q18" s="7"/>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row>
    <row r="19" spans="1:55" s="8" customFormat="1" ht="21.75" thickBot="1" x14ac:dyDescent="0.4">
      <c r="A19" s="24" t="s">
        <v>73</v>
      </c>
      <c r="B19" s="89" t="s">
        <v>197</v>
      </c>
      <c r="C19" s="90"/>
      <c r="D19" s="91"/>
      <c r="E19" s="21"/>
      <c r="F19" s="22"/>
      <c r="G19" s="22"/>
      <c r="H19" s="22"/>
      <c r="I19" s="22"/>
      <c r="J19" s="22"/>
      <c r="K19" s="22"/>
      <c r="L19" s="22"/>
      <c r="M19" s="22"/>
      <c r="N19" s="22"/>
      <c r="O19" s="22"/>
      <c r="P19" s="22"/>
      <c r="Q19" s="23"/>
    </row>
    <row r="20" spans="1:55" s="1" customFormat="1" ht="21.75" thickBot="1" x14ac:dyDescent="0.4">
      <c r="A20" s="92" t="s">
        <v>71</v>
      </c>
      <c r="B20" s="93"/>
      <c r="C20" s="25"/>
      <c r="D20" s="5"/>
      <c r="E20" s="5"/>
      <c r="F20" s="6"/>
      <c r="G20" s="6"/>
      <c r="H20" s="6"/>
      <c r="I20" s="6"/>
      <c r="J20" s="6"/>
      <c r="K20" s="6"/>
      <c r="L20" s="6"/>
      <c r="M20" s="6"/>
      <c r="N20" s="6"/>
      <c r="O20" s="6"/>
      <c r="P20" s="6"/>
      <c r="Q20" s="7"/>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row>
    <row r="21" spans="1:55" s="8" customFormat="1" ht="21.75" thickBot="1" x14ac:dyDescent="0.4">
      <c r="A21" s="24" t="s">
        <v>73</v>
      </c>
      <c r="B21" s="89" t="s">
        <v>197</v>
      </c>
      <c r="C21" s="90"/>
      <c r="D21" s="91"/>
      <c r="E21" s="21"/>
      <c r="F21" s="22"/>
      <c r="G21" s="22"/>
      <c r="H21" s="22"/>
      <c r="I21" s="22"/>
      <c r="J21" s="22"/>
      <c r="K21" s="22"/>
      <c r="L21" s="22"/>
      <c r="M21" s="22"/>
      <c r="N21" s="22"/>
      <c r="O21" s="22"/>
      <c r="P21" s="22"/>
      <c r="Q21" s="23"/>
    </row>
    <row r="22" spans="1:55" s="1" customFormat="1" ht="21.75" thickBot="1" x14ac:dyDescent="0.4">
      <c r="A22" s="92" t="s">
        <v>72</v>
      </c>
      <c r="B22" s="93"/>
      <c r="C22" s="25"/>
      <c r="D22" s="5"/>
      <c r="E22" s="5"/>
      <c r="F22" s="6"/>
      <c r="G22" s="6"/>
      <c r="H22" s="6"/>
      <c r="I22" s="6"/>
      <c r="J22" s="6"/>
      <c r="K22" s="6"/>
      <c r="L22" s="6"/>
      <c r="M22" s="6"/>
      <c r="N22" s="6"/>
      <c r="O22" s="6"/>
      <c r="P22" s="6"/>
      <c r="Q22" s="7"/>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row>
    <row r="23" spans="1:55" s="8" customFormat="1" ht="21.75" thickBot="1" x14ac:dyDescent="0.4">
      <c r="A23" s="24" t="s">
        <v>73</v>
      </c>
      <c r="B23" s="89" t="s">
        <v>197</v>
      </c>
      <c r="C23" s="90"/>
      <c r="D23" s="91"/>
      <c r="E23" s="21"/>
      <c r="F23" s="22"/>
      <c r="G23" s="22"/>
      <c r="H23" s="22"/>
      <c r="I23" s="22"/>
      <c r="J23" s="22"/>
      <c r="K23" s="22"/>
      <c r="L23" s="22"/>
      <c r="M23" s="22"/>
      <c r="N23" s="22"/>
      <c r="O23" s="22"/>
      <c r="P23" s="22"/>
      <c r="Q23" s="23"/>
    </row>
    <row r="24" spans="1:55" s="2" customFormat="1" x14ac:dyDescent="0.25"/>
    <row r="25" spans="1:55" s="2" customFormat="1" x14ac:dyDescent="0.25"/>
    <row r="26" spans="1:55" s="2" customFormat="1" x14ac:dyDescent="0.25"/>
    <row r="27" spans="1:55" s="2" customFormat="1" x14ac:dyDescent="0.25"/>
    <row r="28" spans="1:55" s="2" customFormat="1" x14ac:dyDescent="0.25"/>
    <row r="29" spans="1:55" s="2" customFormat="1" x14ac:dyDescent="0.25"/>
    <row r="30" spans="1:55" s="2" customFormat="1" x14ac:dyDescent="0.25"/>
    <row r="31" spans="1:55" s="2" customFormat="1" x14ac:dyDescent="0.25"/>
    <row r="32" spans="1:55" s="2" customFormat="1" x14ac:dyDescent="0.25"/>
    <row r="33" s="2" customFormat="1" x14ac:dyDescent="0.25"/>
    <row r="34" s="2" customFormat="1" x14ac:dyDescent="0.25"/>
    <row r="35" s="2" customFormat="1" x14ac:dyDescent="0.25"/>
    <row r="36" s="2" customFormat="1" x14ac:dyDescent="0.25"/>
    <row r="37" s="2" customFormat="1" x14ac:dyDescent="0.25"/>
    <row r="38" s="2" customFormat="1" x14ac:dyDescent="0.25"/>
    <row r="39" s="2" customFormat="1" x14ac:dyDescent="0.25"/>
    <row r="40" s="2" customFormat="1" x14ac:dyDescent="0.25"/>
    <row r="41" s="2" customFormat="1" x14ac:dyDescent="0.25"/>
    <row r="42" s="2" customFormat="1" x14ac:dyDescent="0.25"/>
    <row r="43" s="2" customFormat="1" x14ac:dyDescent="0.25"/>
    <row r="44" s="2" customFormat="1" x14ac:dyDescent="0.25"/>
    <row r="45" s="2" customFormat="1" x14ac:dyDescent="0.25"/>
    <row r="46" s="2" customFormat="1" x14ac:dyDescent="0.25"/>
    <row r="47" s="2" customFormat="1" x14ac:dyDescent="0.25"/>
    <row r="48" s="2" customFormat="1" x14ac:dyDescent="0.25"/>
    <row r="49" s="2" customFormat="1" x14ac:dyDescent="0.25"/>
    <row r="50" s="2" customFormat="1" x14ac:dyDescent="0.25"/>
    <row r="51" s="2" customFormat="1" x14ac:dyDescent="0.25"/>
    <row r="52" s="2" customFormat="1" x14ac:dyDescent="0.25"/>
    <row r="53" s="2" customFormat="1" x14ac:dyDescent="0.25"/>
    <row r="54" s="2" customFormat="1" x14ac:dyDescent="0.25"/>
    <row r="55" s="2" customFormat="1" x14ac:dyDescent="0.25"/>
    <row r="56" s="2" customFormat="1" x14ac:dyDescent="0.25"/>
    <row r="57" s="2" customFormat="1" x14ac:dyDescent="0.25"/>
    <row r="58" s="2" customFormat="1" x14ac:dyDescent="0.25"/>
    <row r="59" s="2" customFormat="1" x14ac:dyDescent="0.25"/>
    <row r="60" s="2" customFormat="1" x14ac:dyDescent="0.25"/>
    <row r="61" s="2" customFormat="1" x14ac:dyDescent="0.25"/>
    <row r="62" s="2" customFormat="1" x14ac:dyDescent="0.25"/>
    <row r="63" s="2" customFormat="1" x14ac:dyDescent="0.25"/>
    <row r="64" s="2" customFormat="1" x14ac:dyDescent="0.25"/>
    <row r="65" s="2" customFormat="1" x14ac:dyDescent="0.25"/>
    <row r="66" s="2" customFormat="1" x14ac:dyDescent="0.25"/>
    <row r="67" s="2" customFormat="1" x14ac:dyDescent="0.25"/>
    <row r="68" s="2" customFormat="1" x14ac:dyDescent="0.25"/>
    <row r="69" s="2" customFormat="1" x14ac:dyDescent="0.25"/>
    <row r="70" s="2" customFormat="1" x14ac:dyDescent="0.25"/>
    <row r="71" s="2" customFormat="1" x14ac:dyDescent="0.25"/>
    <row r="72" s="2" customFormat="1" x14ac:dyDescent="0.25"/>
    <row r="73" s="2" customFormat="1" x14ac:dyDescent="0.25"/>
    <row r="74" s="2" customFormat="1" x14ac:dyDescent="0.25"/>
    <row r="75" s="2" customFormat="1" x14ac:dyDescent="0.25"/>
    <row r="76" s="2" customFormat="1" x14ac:dyDescent="0.25"/>
    <row r="77" s="2" customFormat="1" x14ac:dyDescent="0.25"/>
    <row r="78" s="2" customFormat="1" x14ac:dyDescent="0.25"/>
    <row r="79" s="2" customFormat="1" x14ac:dyDescent="0.25"/>
    <row r="80" s="2" customFormat="1" x14ac:dyDescent="0.25"/>
    <row r="81" s="2" customFormat="1" x14ac:dyDescent="0.25"/>
    <row r="82" s="2" customFormat="1" x14ac:dyDescent="0.25"/>
    <row r="83" s="2" customFormat="1" x14ac:dyDescent="0.25"/>
    <row r="84" s="2" customFormat="1" x14ac:dyDescent="0.25"/>
    <row r="85" s="2" customFormat="1" x14ac:dyDescent="0.25"/>
    <row r="86" s="2" customFormat="1" x14ac:dyDescent="0.25"/>
    <row r="87" s="2" customFormat="1" x14ac:dyDescent="0.25"/>
    <row r="88" s="2" customFormat="1" x14ac:dyDescent="0.25"/>
    <row r="89" s="2" customFormat="1" x14ac:dyDescent="0.25"/>
    <row r="90" s="2" customFormat="1" x14ac:dyDescent="0.25"/>
    <row r="91" s="2" customFormat="1" x14ac:dyDescent="0.25"/>
    <row r="92" s="2" customFormat="1" x14ac:dyDescent="0.25"/>
    <row r="93" s="2" customFormat="1" x14ac:dyDescent="0.25"/>
    <row r="94" s="2" customFormat="1" x14ac:dyDescent="0.25"/>
    <row r="95" s="2" customFormat="1" x14ac:dyDescent="0.25"/>
    <row r="96" s="2" customFormat="1" x14ac:dyDescent="0.25"/>
    <row r="97" s="2" customFormat="1" x14ac:dyDescent="0.25"/>
    <row r="98" s="2" customFormat="1" x14ac:dyDescent="0.25"/>
    <row r="99" s="2" customFormat="1" x14ac:dyDescent="0.25"/>
    <row r="100" s="2" customFormat="1" x14ac:dyDescent="0.25"/>
    <row r="101" s="2" customFormat="1" x14ac:dyDescent="0.25"/>
    <row r="102" s="2" customFormat="1" x14ac:dyDescent="0.25"/>
    <row r="103" s="2" customFormat="1" x14ac:dyDescent="0.25"/>
    <row r="104" s="2" customFormat="1" x14ac:dyDescent="0.25"/>
    <row r="105" s="2" customFormat="1" x14ac:dyDescent="0.25"/>
    <row r="106" s="2" customFormat="1" x14ac:dyDescent="0.25"/>
    <row r="107" s="2" customFormat="1" x14ac:dyDescent="0.25"/>
    <row r="108" s="2" customFormat="1" x14ac:dyDescent="0.25"/>
    <row r="109" s="2" customFormat="1" x14ac:dyDescent="0.25"/>
    <row r="110" s="2" customFormat="1" x14ac:dyDescent="0.25"/>
    <row r="111" s="2" customFormat="1" x14ac:dyDescent="0.25"/>
    <row r="112" s="2" customFormat="1" x14ac:dyDescent="0.25"/>
    <row r="113" s="2" customFormat="1" x14ac:dyDescent="0.25"/>
    <row r="114" s="2" customFormat="1" x14ac:dyDescent="0.25"/>
    <row r="115" s="2" customFormat="1" x14ac:dyDescent="0.25"/>
    <row r="116" s="2" customFormat="1" x14ac:dyDescent="0.25"/>
    <row r="117" s="2" customFormat="1" x14ac:dyDescent="0.25"/>
    <row r="118" s="2" customFormat="1" x14ac:dyDescent="0.25"/>
    <row r="119" s="2" customFormat="1" x14ac:dyDescent="0.25"/>
    <row r="120" s="2" customFormat="1" x14ac:dyDescent="0.25"/>
    <row r="121" s="2" customFormat="1" x14ac:dyDescent="0.25"/>
    <row r="122" s="2" customFormat="1" x14ac:dyDescent="0.25"/>
    <row r="123" s="2" customFormat="1" x14ac:dyDescent="0.25"/>
    <row r="124" s="2" customFormat="1" x14ac:dyDescent="0.25"/>
    <row r="125" s="2" customFormat="1" x14ac:dyDescent="0.25"/>
    <row r="126" s="2" customFormat="1" x14ac:dyDescent="0.25"/>
    <row r="127" s="2" customFormat="1" x14ac:dyDescent="0.25"/>
    <row r="128" s="2" customFormat="1" x14ac:dyDescent="0.25"/>
    <row r="129" s="2" customFormat="1" x14ac:dyDescent="0.25"/>
    <row r="130" s="2" customFormat="1" x14ac:dyDescent="0.25"/>
    <row r="131" s="2" customFormat="1" x14ac:dyDescent="0.25"/>
    <row r="132" s="2" customFormat="1" x14ac:dyDescent="0.25"/>
    <row r="133" s="2" customFormat="1" x14ac:dyDescent="0.25"/>
    <row r="134" s="2" customFormat="1" x14ac:dyDescent="0.25"/>
    <row r="135" s="2" customFormat="1" x14ac:dyDescent="0.25"/>
    <row r="136" s="2" customFormat="1" x14ac:dyDescent="0.25"/>
    <row r="137" s="2" customFormat="1" x14ac:dyDescent="0.25"/>
    <row r="138" s="2" customFormat="1" x14ac:dyDescent="0.25"/>
    <row r="139" s="2" customFormat="1" x14ac:dyDescent="0.25"/>
    <row r="140" s="2" customFormat="1" x14ac:dyDescent="0.25"/>
    <row r="141" s="2" customFormat="1" x14ac:dyDescent="0.25"/>
    <row r="142" s="2" customFormat="1" x14ac:dyDescent="0.25"/>
    <row r="143" s="2" customFormat="1" x14ac:dyDescent="0.25"/>
    <row r="144" s="2" customFormat="1" x14ac:dyDescent="0.25"/>
    <row r="145" s="2" customFormat="1" x14ac:dyDescent="0.25"/>
    <row r="146" s="2" customFormat="1" x14ac:dyDescent="0.25"/>
    <row r="147" s="2" customFormat="1" x14ac:dyDescent="0.25"/>
    <row r="148" s="2" customFormat="1" x14ac:dyDescent="0.25"/>
    <row r="149" s="2" customFormat="1" x14ac:dyDescent="0.25"/>
    <row r="150" s="2" customFormat="1" x14ac:dyDescent="0.25"/>
    <row r="151" s="2" customFormat="1" x14ac:dyDescent="0.25"/>
    <row r="152" s="2" customFormat="1" x14ac:dyDescent="0.25"/>
    <row r="153" s="2" customFormat="1" x14ac:dyDescent="0.25"/>
    <row r="154" s="2" customFormat="1" x14ac:dyDescent="0.25"/>
    <row r="155" s="2" customFormat="1" x14ac:dyDescent="0.25"/>
    <row r="156" s="2" customFormat="1" x14ac:dyDescent="0.25"/>
    <row r="157" s="2" customFormat="1" x14ac:dyDescent="0.25"/>
    <row r="158" s="2" customFormat="1" x14ac:dyDescent="0.25"/>
    <row r="159" s="2" customFormat="1" x14ac:dyDescent="0.25"/>
    <row r="160" s="2" customFormat="1" x14ac:dyDescent="0.25"/>
    <row r="161" s="2" customFormat="1" x14ac:dyDescent="0.25"/>
    <row r="162" s="2" customFormat="1" x14ac:dyDescent="0.25"/>
    <row r="163" s="2" customFormat="1" x14ac:dyDescent="0.25"/>
    <row r="164" s="2" customFormat="1" x14ac:dyDescent="0.25"/>
    <row r="165" s="2" customFormat="1" x14ac:dyDescent="0.25"/>
    <row r="166" s="2" customFormat="1" x14ac:dyDescent="0.25"/>
    <row r="167" s="2" customFormat="1" x14ac:dyDescent="0.25"/>
    <row r="168" s="2" customFormat="1" x14ac:dyDescent="0.25"/>
    <row r="169" s="2" customFormat="1" x14ac:dyDescent="0.25"/>
    <row r="170" s="2" customFormat="1" x14ac:dyDescent="0.25"/>
    <row r="171" s="2" customFormat="1" x14ac:dyDescent="0.25"/>
    <row r="172" s="2" customFormat="1" x14ac:dyDescent="0.25"/>
    <row r="173" s="2" customFormat="1" x14ac:dyDescent="0.25"/>
    <row r="174" s="2" customFormat="1" x14ac:dyDescent="0.25"/>
    <row r="175" s="2" customFormat="1" x14ac:dyDescent="0.25"/>
    <row r="176" s="2" customFormat="1" x14ac:dyDescent="0.25"/>
    <row r="177" s="2" customFormat="1" x14ac:dyDescent="0.25"/>
    <row r="178" s="2" customFormat="1" x14ac:dyDescent="0.25"/>
    <row r="179" s="2" customFormat="1" x14ac:dyDescent="0.25"/>
    <row r="180" s="2" customFormat="1" x14ac:dyDescent="0.25"/>
    <row r="181" s="2" customFormat="1" x14ac:dyDescent="0.25"/>
    <row r="182" s="2" customFormat="1" x14ac:dyDescent="0.25"/>
    <row r="183" s="2" customFormat="1" x14ac:dyDescent="0.25"/>
    <row r="184" s="2" customFormat="1" x14ac:dyDescent="0.25"/>
    <row r="185" s="2" customFormat="1" x14ac:dyDescent="0.25"/>
    <row r="186" s="2" customFormat="1" x14ac:dyDescent="0.25"/>
    <row r="187" s="2" customFormat="1" x14ac:dyDescent="0.25"/>
    <row r="188" s="2" customFormat="1" x14ac:dyDescent="0.25"/>
    <row r="189" s="2" customFormat="1" x14ac:dyDescent="0.25"/>
    <row r="190" s="2" customFormat="1" x14ac:dyDescent="0.25"/>
    <row r="191" s="2" customFormat="1" x14ac:dyDescent="0.25"/>
    <row r="192" s="2" customFormat="1" x14ac:dyDescent="0.25"/>
    <row r="193" s="2" customFormat="1" x14ac:dyDescent="0.25"/>
    <row r="194" s="2" customFormat="1" x14ac:dyDescent="0.25"/>
    <row r="195" s="2" customFormat="1" x14ac:dyDescent="0.25"/>
    <row r="196" s="2" customFormat="1" x14ac:dyDescent="0.25"/>
    <row r="197" s="2" customFormat="1" x14ac:dyDescent="0.25"/>
    <row r="198" s="2" customFormat="1" x14ac:dyDescent="0.25"/>
    <row r="199" s="2" customFormat="1" x14ac:dyDescent="0.25"/>
    <row r="200" s="2" customFormat="1" x14ac:dyDescent="0.25"/>
    <row r="201" s="2" customFormat="1" x14ac:dyDescent="0.25"/>
    <row r="202" s="2" customFormat="1" x14ac:dyDescent="0.25"/>
    <row r="203" s="2" customFormat="1" x14ac:dyDescent="0.25"/>
    <row r="204" s="2" customFormat="1" x14ac:dyDescent="0.25"/>
    <row r="205" s="2" customFormat="1" x14ac:dyDescent="0.25"/>
    <row r="206" s="2" customFormat="1" x14ac:dyDescent="0.25"/>
    <row r="207" s="2" customFormat="1" x14ac:dyDescent="0.25"/>
    <row r="208" s="2" customFormat="1" x14ac:dyDescent="0.25"/>
    <row r="209" s="2" customFormat="1" x14ac:dyDescent="0.25"/>
    <row r="210" s="2" customFormat="1" x14ac:dyDescent="0.25"/>
    <row r="211" s="2" customFormat="1" x14ac:dyDescent="0.25"/>
    <row r="212" s="2" customFormat="1" x14ac:dyDescent="0.25"/>
    <row r="213" s="2" customFormat="1" x14ac:dyDescent="0.25"/>
    <row r="214" s="2" customFormat="1" x14ac:dyDescent="0.25"/>
    <row r="215" s="2" customFormat="1" x14ac:dyDescent="0.25"/>
    <row r="216" s="2" customFormat="1" x14ac:dyDescent="0.25"/>
    <row r="217" s="2" customFormat="1" x14ac:dyDescent="0.25"/>
    <row r="218" s="2" customFormat="1" x14ac:dyDescent="0.25"/>
    <row r="219" s="2" customFormat="1" x14ac:dyDescent="0.25"/>
    <row r="220" s="2" customFormat="1" x14ac:dyDescent="0.25"/>
    <row r="221" s="2" customFormat="1" x14ac:dyDescent="0.25"/>
    <row r="222" s="2" customFormat="1" x14ac:dyDescent="0.25"/>
    <row r="223" s="2" customFormat="1" x14ac:dyDescent="0.25"/>
    <row r="224" s="2" customFormat="1" x14ac:dyDescent="0.25"/>
    <row r="225" s="2" customFormat="1" x14ac:dyDescent="0.25"/>
    <row r="226" s="2" customFormat="1" x14ac:dyDescent="0.25"/>
    <row r="227" s="2" customFormat="1" x14ac:dyDescent="0.25"/>
    <row r="228" s="2" customFormat="1" x14ac:dyDescent="0.25"/>
    <row r="229" s="2" customFormat="1" x14ac:dyDescent="0.25"/>
    <row r="230" s="2" customFormat="1" x14ac:dyDescent="0.25"/>
    <row r="231" s="2" customFormat="1" x14ac:dyDescent="0.25"/>
    <row r="232" s="2" customFormat="1" x14ac:dyDescent="0.25"/>
    <row r="233" s="2" customFormat="1" x14ac:dyDescent="0.25"/>
    <row r="234" s="2" customFormat="1" x14ac:dyDescent="0.25"/>
    <row r="235" s="2" customFormat="1" x14ac:dyDescent="0.25"/>
    <row r="236" s="2" customFormat="1" x14ac:dyDescent="0.25"/>
    <row r="237" s="2" customFormat="1" x14ac:dyDescent="0.25"/>
    <row r="238" s="2" customFormat="1" x14ac:dyDescent="0.25"/>
    <row r="239" s="2" customFormat="1" x14ac:dyDescent="0.25"/>
    <row r="240" s="2" customFormat="1" x14ac:dyDescent="0.25"/>
    <row r="241" s="2" customFormat="1" x14ac:dyDescent="0.25"/>
  </sheetData>
  <mergeCells count="23">
    <mergeCell ref="A6:B6"/>
    <mergeCell ref="A1:B1"/>
    <mergeCell ref="A2:B2"/>
    <mergeCell ref="B3:D3"/>
    <mergeCell ref="A4:B4"/>
    <mergeCell ref="B5:D5"/>
    <mergeCell ref="A16:B16"/>
    <mergeCell ref="B17:D17"/>
    <mergeCell ref="A18:B18"/>
    <mergeCell ref="B7:D7"/>
    <mergeCell ref="A8:B8"/>
    <mergeCell ref="B9:D9"/>
    <mergeCell ref="A10:B10"/>
    <mergeCell ref="B11:D11"/>
    <mergeCell ref="A12:B12"/>
    <mergeCell ref="B13:D13"/>
    <mergeCell ref="A14:B14"/>
    <mergeCell ref="B15:D15"/>
    <mergeCell ref="B19:D19"/>
    <mergeCell ref="A20:B20"/>
    <mergeCell ref="B21:D21"/>
    <mergeCell ref="A22:B22"/>
    <mergeCell ref="B23:D2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ADD">
              <controlPr defaultSize="0" print="0" autoFill="0" autoPict="0" macro="[0]!ADD12_Click" altText="ADD">
                <anchor moveWithCells="1" sizeWithCells="1">
                  <from>
                    <xdr:col>4</xdr:col>
                    <xdr:colOff>28575</xdr:colOff>
                    <xdr:row>2</xdr:row>
                    <xdr:rowOff>19050</xdr:rowOff>
                  </from>
                  <to>
                    <xdr:col>4</xdr:col>
                    <xdr:colOff>752475</xdr:colOff>
                    <xdr:row>2</xdr:row>
                    <xdr:rowOff>257175</xdr:rowOff>
                  </to>
                </anchor>
              </controlPr>
            </control>
          </mc:Choice>
        </mc:AlternateContent>
        <mc:AlternateContent xmlns:mc="http://schemas.openxmlformats.org/markup-compatibility/2006">
          <mc:Choice Requires="x14">
            <control shapeId="8194" r:id="rId5" name="Button 2">
              <controlPr defaultSize="0" print="0" autoFill="0" autoPict="0" macro="[0]!ADD13_Click" altText="ADD">
                <anchor moveWithCells="1" sizeWithCells="1">
                  <from>
                    <xdr:col>4</xdr:col>
                    <xdr:colOff>28575</xdr:colOff>
                    <xdr:row>4</xdr:row>
                    <xdr:rowOff>19050</xdr:rowOff>
                  </from>
                  <to>
                    <xdr:col>4</xdr:col>
                    <xdr:colOff>752475</xdr:colOff>
                    <xdr:row>4</xdr:row>
                    <xdr:rowOff>257175</xdr:rowOff>
                  </to>
                </anchor>
              </controlPr>
            </control>
          </mc:Choice>
        </mc:AlternateContent>
        <mc:AlternateContent xmlns:mc="http://schemas.openxmlformats.org/markup-compatibility/2006">
          <mc:Choice Requires="x14">
            <control shapeId="8195" r:id="rId6" name="Button 3">
              <controlPr defaultSize="0" print="0" autoFill="0" autoPict="0" macro="[0]!ADD14_Click" altText="ADD">
                <anchor moveWithCells="1" sizeWithCells="1">
                  <from>
                    <xdr:col>4</xdr:col>
                    <xdr:colOff>28575</xdr:colOff>
                    <xdr:row>6</xdr:row>
                    <xdr:rowOff>19050</xdr:rowOff>
                  </from>
                  <to>
                    <xdr:col>4</xdr:col>
                    <xdr:colOff>752475</xdr:colOff>
                    <xdr:row>6</xdr:row>
                    <xdr:rowOff>257175</xdr:rowOff>
                  </to>
                </anchor>
              </controlPr>
            </control>
          </mc:Choice>
        </mc:AlternateContent>
        <mc:AlternateContent xmlns:mc="http://schemas.openxmlformats.org/markup-compatibility/2006">
          <mc:Choice Requires="x14">
            <control shapeId="8196" r:id="rId7" name="Button 4">
              <controlPr defaultSize="0" print="0" autoFill="0" autoPict="0" macro="[0]!ADD15_Click" altText="ADD">
                <anchor moveWithCells="1" sizeWithCells="1">
                  <from>
                    <xdr:col>4</xdr:col>
                    <xdr:colOff>28575</xdr:colOff>
                    <xdr:row>8</xdr:row>
                    <xdr:rowOff>19050</xdr:rowOff>
                  </from>
                  <to>
                    <xdr:col>4</xdr:col>
                    <xdr:colOff>752475</xdr:colOff>
                    <xdr:row>8</xdr:row>
                    <xdr:rowOff>257175</xdr:rowOff>
                  </to>
                </anchor>
              </controlPr>
            </control>
          </mc:Choice>
        </mc:AlternateContent>
        <mc:AlternateContent xmlns:mc="http://schemas.openxmlformats.org/markup-compatibility/2006">
          <mc:Choice Requires="x14">
            <control shapeId="8197" r:id="rId8" name="Button 5">
              <controlPr defaultSize="0" print="0" autoFill="0" autoPict="0" macro="[0]!ADD16_Click" altText="ADD">
                <anchor moveWithCells="1" sizeWithCells="1">
                  <from>
                    <xdr:col>4</xdr:col>
                    <xdr:colOff>28575</xdr:colOff>
                    <xdr:row>10</xdr:row>
                    <xdr:rowOff>19050</xdr:rowOff>
                  </from>
                  <to>
                    <xdr:col>4</xdr:col>
                    <xdr:colOff>752475</xdr:colOff>
                    <xdr:row>10</xdr:row>
                    <xdr:rowOff>257175</xdr:rowOff>
                  </to>
                </anchor>
              </controlPr>
            </control>
          </mc:Choice>
        </mc:AlternateContent>
        <mc:AlternateContent xmlns:mc="http://schemas.openxmlformats.org/markup-compatibility/2006">
          <mc:Choice Requires="x14">
            <control shapeId="8198" r:id="rId9" name="Button 6">
              <controlPr defaultSize="0" print="0" autoFill="0" autoPict="0" macro="[0]!ADD17_Click" altText="ADD">
                <anchor moveWithCells="1" sizeWithCells="1">
                  <from>
                    <xdr:col>4</xdr:col>
                    <xdr:colOff>28575</xdr:colOff>
                    <xdr:row>12</xdr:row>
                    <xdr:rowOff>19050</xdr:rowOff>
                  </from>
                  <to>
                    <xdr:col>4</xdr:col>
                    <xdr:colOff>752475</xdr:colOff>
                    <xdr:row>12</xdr:row>
                    <xdr:rowOff>257175</xdr:rowOff>
                  </to>
                </anchor>
              </controlPr>
            </control>
          </mc:Choice>
        </mc:AlternateContent>
        <mc:AlternateContent xmlns:mc="http://schemas.openxmlformats.org/markup-compatibility/2006">
          <mc:Choice Requires="x14">
            <control shapeId="8199" r:id="rId10" name="Button 7">
              <controlPr defaultSize="0" print="0" autoFill="0" autoPict="0" macro="[0]!ADD18_Click" altText="ADD">
                <anchor moveWithCells="1" sizeWithCells="1">
                  <from>
                    <xdr:col>4</xdr:col>
                    <xdr:colOff>28575</xdr:colOff>
                    <xdr:row>14</xdr:row>
                    <xdr:rowOff>19050</xdr:rowOff>
                  </from>
                  <to>
                    <xdr:col>4</xdr:col>
                    <xdr:colOff>752475</xdr:colOff>
                    <xdr:row>14</xdr:row>
                    <xdr:rowOff>257175</xdr:rowOff>
                  </to>
                </anchor>
              </controlPr>
            </control>
          </mc:Choice>
        </mc:AlternateContent>
        <mc:AlternateContent xmlns:mc="http://schemas.openxmlformats.org/markup-compatibility/2006">
          <mc:Choice Requires="x14">
            <control shapeId="8200" r:id="rId11" name="Button 8">
              <controlPr defaultSize="0" print="0" autoFill="0" autoPict="0" macro="[0]!ADD19_Click" altText="ADD">
                <anchor moveWithCells="1" sizeWithCells="1">
                  <from>
                    <xdr:col>4</xdr:col>
                    <xdr:colOff>28575</xdr:colOff>
                    <xdr:row>16</xdr:row>
                    <xdr:rowOff>19050</xdr:rowOff>
                  </from>
                  <to>
                    <xdr:col>4</xdr:col>
                    <xdr:colOff>752475</xdr:colOff>
                    <xdr:row>16</xdr:row>
                    <xdr:rowOff>257175</xdr:rowOff>
                  </to>
                </anchor>
              </controlPr>
            </control>
          </mc:Choice>
        </mc:AlternateContent>
        <mc:AlternateContent xmlns:mc="http://schemas.openxmlformats.org/markup-compatibility/2006">
          <mc:Choice Requires="x14">
            <control shapeId="8201" r:id="rId12" name="Button 9">
              <controlPr defaultSize="0" print="0" autoFill="0" autoPict="0" macro="[0]!ADD20_Click" altText="ADD">
                <anchor moveWithCells="1" sizeWithCells="1">
                  <from>
                    <xdr:col>4</xdr:col>
                    <xdr:colOff>28575</xdr:colOff>
                    <xdr:row>18</xdr:row>
                    <xdr:rowOff>19050</xdr:rowOff>
                  </from>
                  <to>
                    <xdr:col>4</xdr:col>
                    <xdr:colOff>752475</xdr:colOff>
                    <xdr:row>18</xdr:row>
                    <xdr:rowOff>257175</xdr:rowOff>
                  </to>
                </anchor>
              </controlPr>
            </control>
          </mc:Choice>
        </mc:AlternateContent>
        <mc:AlternateContent xmlns:mc="http://schemas.openxmlformats.org/markup-compatibility/2006">
          <mc:Choice Requires="x14">
            <control shapeId="8202" r:id="rId13" name="Button 10">
              <controlPr defaultSize="0" print="0" autoFill="0" autoPict="0" macro="[0]!ADD21_Click" altText="ADD">
                <anchor moveWithCells="1" sizeWithCells="1">
                  <from>
                    <xdr:col>4</xdr:col>
                    <xdr:colOff>28575</xdr:colOff>
                    <xdr:row>20</xdr:row>
                    <xdr:rowOff>19050</xdr:rowOff>
                  </from>
                  <to>
                    <xdr:col>4</xdr:col>
                    <xdr:colOff>752475</xdr:colOff>
                    <xdr:row>20</xdr:row>
                    <xdr:rowOff>257175</xdr:rowOff>
                  </to>
                </anchor>
              </controlPr>
            </control>
          </mc:Choice>
        </mc:AlternateContent>
        <mc:AlternateContent xmlns:mc="http://schemas.openxmlformats.org/markup-compatibility/2006">
          <mc:Choice Requires="x14">
            <control shapeId="8203" r:id="rId14" name="Button 11">
              <controlPr defaultSize="0" print="0" autoFill="0" autoPict="0" macro="[0]!ADD22_Click" altText="ADD">
                <anchor moveWithCells="1" sizeWithCells="1">
                  <from>
                    <xdr:col>4</xdr:col>
                    <xdr:colOff>28575</xdr:colOff>
                    <xdr:row>22</xdr:row>
                    <xdr:rowOff>19050</xdr:rowOff>
                  </from>
                  <to>
                    <xdr:col>4</xdr:col>
                    <xdr:colOff>752475</xdr:colOff>
                    <xdr:row>22</xdr:row>
                    <xdr:rowOff>257175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1B89030-8FDC-4C7A-8643-4EBD4CB5C456}">
          <x14:formula1>
            <xm:f>Lists!$C:$C</xm:f>
          </x14:formula1>
          <xm:sqref>B21:D21 B23:D23 B13:D13 B11:D11 B3:D3 B9:D9 B5:D5 B15:D15 B17:D17 B19:D19 B7:D7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8AE489-6F0C-47CB-AD67-DDE9EF259260}">
  <sheetPr codeName="Ark7"/>
  <dimension ref="A1:AH185"/>
  <sheetViews>
    <sheetView workbookViewId="0">
      <selection activeCell="K9" sqref="K9"/>
    </sheetView>
  </sheetViews>
  <sheetFormatPr defaultRowHeight="15" x14ac:dyDescent="0.25"/>
  <cols>
    <col min="1" max="1" width="25" bestFit="1" customWidth="1"/>
    <col min="2" max="2" width="6.85546875" bestFit="1" customWidth="1"/>
    <col min="3" max="3" width="11.5703125" bestFit="1" customWidth="1"/>
    <col min="4" max="4" width="9.140625" style="2"/>
    <col min="5" max="5" width="25.42578125" style="2" bestFit="1" customWidth="1"/>
    <col min="6" max="6" width="6.85546875" style="2" bestFit="1" customWidth="1"/>
    <col min="7" max="7" width="11.5703125" style="2" bestFit="1" customWidth="1"/>
    <col min="8" max="34" width="9.140625" style="2"/>
  </cols>
  <sheetData>
    <row r="1" spans="1:34" s="2" customFormat="1" ht="21.75" thickBot="1" x14ac:dyDescent="0.4">
      <c r="A1" s="8" t="s">
        <v>271</v>
      </c>
      <c r="E1" s="8" t="s">
        <v>272</v>
      </c>
    </row>
    <row r="2" spans="1:34" s="50" customFormat="1" ht="19.5" thickBot="1" x14ac:dyDescent="0.35">
      <c r="A2" s="47" t="s">
        <v>187</v>
      </c>
      <c r="B2" s="48" t="s">
        <v>186</v>
      </c>
      <c r="C2" s="49" t="s">
        <v>1</v>
      </c>
      <c r="D2" s="51"/>
      <c r="E2" s="47" t="s">
        <v>187</v>
      </c>
      <c r="F2" s="48" t="s">
        <v>186</v>
      </c>
      <c r="G2" s="49" t="s">
        <v>1</v>
      </c>
      <c r="H2" s="51"/>
      <c r="I2" s="51"/>
      <c r="J2" s="51"/>
      <c r="K2" s="51"/>
      <c r="L2" s="51"/>
      <c r="M2" s="51"/>
      <c r="N2" s="51"/>
      <c r="O2" s="51"/>
      <c r="P2" s="51"/>
      <c r="Q2" s="51"/>
      <c r="R2" s="51"/>
      <c r="S2" s="51"/>
      <c r="T2" s="51"/>
      <c r="U2" s="51"/>
      <c r="V2" s="51"/>
      <c r="W2" s="51"/>
      <c r="X2" s="51"/>
      <c r="Y2" s="51"/>
      <c r="Z2" s="51"/>
      <c r="AA2" s="51"/>
      <c r="AB2" s="51"/>
      <c r="AC2" s="51"/>
      <c r="AD2" s="51"/>
      <c r="AE2" s="51"/>
      <c r="AF2" s="51"/>
      <c r="AG2" s="51"/>
      <c r="AH2" s="51"/>
    </row>
    <row r="3" spans="1:34" ht="18" x14ac:dyDescent="0.35">
      <c r="A3" s="44" t="s">
        <v>13</v>
      </c>
      <c r="B3" s="62">
        <f>SUMIF('Building Scenario 1'!C:C,TRUE,'Building Scenario 1'!J:J)</f>
        <v>0</v>
      </c>
      <c r="C3" s="41" t="s">
        <v>182</v>
      </c>
      <c r="E3" s="44" t="s">
        <v>13</v>
      </c>
      <c r="F3" s="62">
        <f>SUMIF('Building Scenario 2'!C:C,TRUE,'Building Scenario 2'!J:J)</f>
        <v>0</v>
      </c>
      <c r="G3" s="41" t="s">
        <v>182</v>
      </c>
    </row>
    <row r="4" spans="1:34" x14ac:dyDescent="0.25">
      <c r="A4" s="45" t="s">
        <v>15</v>
      </c>
      <c r="B4" s="63">
        <f>SUMIF('Building Scenario 1'!C:C,TRUE,'Building Scenario 1'!K:K)</f>
        <v>0</v>
      </c>
      <c r="C4" s="42" t="s">
        <v>183</v>
      </c>
      <c r="E4" s="45" t="s">
        <v>15</v>
      </c>
      <c r="F4" s="63">
        <f>SUMIF('Building Scenario 2'!C:C,TRUE,'Building Scenario 2'!K:K)</f>
        <v>0</v>
      </c>
      <c r="G4" s="42" t="s">
        <v>183</v>
      </c>
    </row>
    <row r="5" spans="1:34" x14ac:dyDescent="0.25">
      <c r="A5" s="45" t="s">
        <v>302</v>
      </c>
      <c r="B5" s="63">
        <f>SUMIF('Building Scenario 1'!C:C,TRUE,'Building Scenario 1'!L:L)</f>
        <v>0</v>
      </c>
      <c r="C5" s="42" t="s">
        <v>184</v>
      </c>
      <c r="E5" s="45" t="s">
        <v>302</v>
      </c>
      <c r="F5" s="63">
        <f>SUMIF('Building Scenario 2'!C:C,TRUE,'Building Scenario 2'!L:L)</f>
        <v>0</v>
      </c>
      <c r="G5" s="42" t="s">
        <v>184</v>
      </c>
    </row>
    <row r="6" spans="1:34" ht="15.75" thickBot="1" x14ac:dyDescent="0.3">
      <c r="A6" s="46" t="s">
        <v>303</v>
      </c>
      <c r="B6" s="64">
        <f>SUMIF('Building Scenario 1'!C:C,TRUE,'Building Scenario 1'!M:M)</f>
        <v>0</v>
      </c>
      <c r="C6" s="43" t="s">
        <v>185</v>
      </c>
      <c r="E6" s="46" t="s">
        <v>303</v>
      </c>
      <c r="F6" s="64">
        <f>SUMIF('Building Scenario 2'!C:C,TRUE,'Building Scenario 2'!M:M)</f>
        <v>0</v>
      </c>
      <c r="G6" s="43" t="s">
        <v>185</v>
      </c>
    </row>
    <row r="7" spans="1:34" s="2" customFormat="1" x14ac:dyDescent="0.25"/>
    <row r="8" spans="1:34" s="2" customFormat="1" x14ac:dyDescent="0.25"/>
    <row r="9" spans="1:34" s="2" customFormat="1" x14ac:dyDescent="0.25"/>
    <row r="10" spans="1:34" s="2" customFormat="1" x14ac:dyDescent="0.25"/>
    <row r="11" spans="1:34" s="2" customFormat="1" x14ac:dyDescent="0.25"/>
    <row r="12" spans="1:34" s="2" customFormat="1" x14ac:dyDescent="0.25"/>
    <row r="13" spans="1:34" s="2" customFormat="1" x14ac:dyDescent="0.25"/>
    <row r="14" spans="1:34" s="2" customFormat="1" x14ac:dyDescent="0.25"/>
    <row r="15" spans="1:34" s="2" customFormat="1" x14ac:dyDescent="0.25"/>
    <row r="16" spans="1:34" s="2" customFormat="1" x14ac:dyDescent="0.25"/>
    <row r="17" s="2" customFormat="1" x14ac:dyDescent="0.25"/>
    <row r="18" s="2" customFormat="1" x14ac:dyDescent="0.25"/>
    <row r="19" s="2" customFormat="1" x14ac:dyDescent="0.25"/>
    <row r="20" s="2" customFormat="1" x14ac:dyDescent="0.25"/>
    <row r="21" s="2" customFormat="1" x14ac:dyDescent="0.25"/>
    <row r="22" s="2" customFormat="1" x14ac:dyDescent="0.25"/>
    <row r="23" s="2" customFormat="1" x14ac:dyDescent="0.25"/>
    <row r="24" s="2" customFormat="1" x14ac:dyDescent="0.25"/>
    <row r="25" s="2" customFormat="1" x14ac:dyDescent="0.25"/>
    <row r="26" s="2" customFormat="1" x14ac:dyDescent="0.25"/>
    <row r="27" s="2" customFormat="1" x14ac:dyDescent="0.25"/>
    <row r="28" s="2" customFormat="1" x14ac:dyDescent="0.25"/>
    <row r="29" s="2" customFormat="1" x14ac:dyDescent="0.25"/>
    <row r="30" s="2" customFormat="1" x14ac:dyDescent="0.25"/>
    <row r="31" s="2" customFormat="1" x14ac:dyDescent="0.25"/>
    <row r="32" s="2" customFormat="1" x14ac:dyDescent="0.25"/>
    <row r="33" s="2" customFormat="1" x14ac:dyDescent="0.25"/>
    <row r="34" s="2" customFormat="1" x14ac:dyDescent="0.25"/>
    <row r="35" s="2" customFormat="1" x14ac:dyDescent="0.25"/>
    <row r="36" s="2" customFormat="1" x14ac:dyDescent="0.25"/>
    <row r="37" s="2" customFormat="1" x14ac:dyDescent="0.25"/>
    <row r="38" s="2" customFormat="1" x14ac:dyDescent="0.25"/>
    <row r="39" s="2" customFormat="1" x14ac:dyDescent="0.25"/>
    <row r="40" s="2" customFormat="1" x14ac:dyDescent="0.25"/>
    <row r="41" s="2" customFormat="1" x14ac:dyDescent="0.25"/>
    <row r="42" s="2" customFormat="1" x14ac:dyDescent="0.25"/>
    <row r="43" s="2" customFormat="1" x14ac:dyDescent="0.25"/>
    <row r="44" s="2" customFormat="1" x14ac:dyDescent="0.25"/>
    <row r="45" s="2" customFormat="1" x14ac:dyDescent="0.25"/>
    <row r="46" s="2" customFormat="1" x14ac:dyDescent="0.25"/>
    <row r="47" s="2" customFormat="1" x14ac:dyDescent="0.25"/>
    <row r="48" s="2" customFormat="1" x14ac:dyDescent="0.25"/>
    <row r="49" s="2" customFormat="1" x14ac:dyDescent="0.25"/>
    <row r="50" s="2" customFormat="1" x14ac:dyDescent="0.25"/>
    <row r="51" s="2" customFormat="1" x14ac:dyDescent="0.25"/>
    <row r="52" s="2" customFormat="1" x14ac:dyDescent="0.25"/>
    <row r="53" s="2" customFormat="1" x14ac:dyDescent="0.25"/>
    <row r="54" s="2" customFormat="1" x14ac:dyDescent="0.25"/>
    <row r="55" s="2" customFormat="1" x14ac:dyDescent="0.25"/>
    <row r="56" s="2" customFormat="1" x14ac:dyDescent="0.25"/>
    <row r="57" s="2" customFormat="1" x14ac:dyDescent="0.25"/>
    <row r="58" s="2" customFormat="1" x14ac:dyDescent="0.25"/>
    <row r="59" s="2" customFormat="1" x14ac:dyDescent="0.25"/>
    <row r="60" s="2" customFormat="1" x14ac:dyDescent="0.25"/>
    <row r="61" s="2" customFormat="1" x14ac:dyDescent="0.25"/>
    <row r="62" s="2" customFormat="1" x14ac:dyDescent="0.25"/>
    <row r="63" s="2" customFormat="1" x14ac:dyDescent="0.25"/>
    <row r="64" s="2" customFormat="1" x14ac:dyDescent="0.25"/>
    <row r="65" s="2" customFormat="1" x14ac:dyDescent="0.25"/>
    <row r="66" s="2" customFormat="1" x14ac:dyDescent="0.25"/>
    <row r="67" s="2" customFormat="1" x14ac:dyDescent="0.25"/>
    <row r="68" s="2" customFormat="1" x14ac:dyDescent="0.25"/>
    <row r="69" s="2" customFormat="1" x14ac:dyDescent="0.25"/>
    <row r="70" s="2" customFormat="1" x14ac:dyDescent="0.25"/>
    <row r="71" s="2" customFormat="1" x14ac:dyDescent="0.25"/>
    <row r="72" s="2" customFormat="1" x14ac:dyDescent="0.25"/>
    <row r="73" s="2" customFormat="1" x14ac:dyDescent="0.25"/>
    <row r="74" s="2" customFormat="1" x14ac:dyDescent="0.25"/>
    <row r="75" s="2" customFormat="1" x14ac:dyDescent="0.25"/>
    <row r="76" s="2" customFormat="1" x14ac:dyDescent="0.25"/>
    <row r="77" s="2" customFormat="1" x14ac:dyDescent="0.25"/>
    <row r="78" s="2" customFormat="1" x14ac:dyDescent="0.25"/>
    <row r="79" s="2" customFormat="1" x14ac:dyDescent="0.25"/>
    <row r="80" s="2" customFormat="1" x14ac:dyDescent="0.25"/>
    <row r="81" s="2" customFormat="1" x14ac:dyDescent="0.25"/>
    <row r="82" s="2" customFormat="1" x14ac:dyDescent="0.25"/>
    <row r="83" s="2" customFormat="1" x14ac:dyDescent="0.25"/>
    <row r="84" s="2" customFormat="1" x14ac:dyDescent="0.25"/>
    <row r="85" s="2" customFormat="1" x14ac:dyDescent="0.25"/>
    <row r="86" s="2" customFormat="1" x14ac:dyDescent="0.25"/>
    <row r="87" s="2" customFormat="1" x14ac:dyDescent="0.25"/>
    <row r="88" s="2" customFormat="1" x14ac:dyDescent="0.25"/>
    <row r="89" s="2" customFormat="1" x14ac:dyDescent="0.25"/>
    <row r="90" s="2" customFormat="1" x14ac:dyDescent="0.25"/>
    <row r="91" s="2" customFormat="1" x14ac:dyDescent="0.25"/>
    <row r="92" s="2" customFormat="1" x14ac:dyDescent="0.25"/>
    <row r="93" s="2" customFormat="1" x14ac:dyDescent="0.25"/>
    <row r="94" s="2" customFormat="1" x14ac:dyDescent="0.25"/>
    <row r="95" s="2" customFormat="1" x14ac:dyDescent="0.25"/>
    <row r="96" s="2" customFormat="1" x14ac:dyDescent="0.25"/>
    <row r="97" s="2" customFormat="1" x14ac:dyDescent="0.25"/>
    <row r="98" s="2" customFormat="1" x14ac:dyDescent="0.25"/>
    <row r="99" s="2" customFormat="1" x14ac:dyDescent="0.25"/>
    <row r="100" s="2" customFormat="1" x14ac:dyDescent="0.25"/>
    <row r="101" s="2" customFormat="1" x14ac:dyDescent="0.25"/>
    <row r="102" s="2" customFormat="1" x14ac:dyDescent="0.25"/>
    <row r="103" s="2" customFormat="1" x14ac:dyDescent="0.25"/>
    <row r="104" s="2" customFormat="1" x14ac:dyDescent="0.25"/>
    <row r="105" s="2" customFormat="1" x14ac:dyDescent="0.25"/>
    <row r="106" s="2" customFormat="1" x14ac:dyDescent="0.25"/>
    <row r="107" s="2" customFormat="1" x14ac:dyDescent="0.25"/>
    <row r="108" s="2" customFormat="1" x14ac:dyDescent="0.25"/>
    <row r="109" s="2" customFormat="1" x14ac:dyDescent="0.25"/>
    <row r="110" s="2" customFormat="1" x14ac:dyDescent="0.25"/>
    <row r="111" s="2" customFormat="1" x14ac:dyDescent="0.25"/>
    <row r="112" s="2" customFormat="1" x14ac:dyDescent="0.25"/>
    <row r="113" s="2" customFormat="1" x14ac:dyDescent="0.25"/>
    <row r="114" s="2" customFormat="1" x14ac:dyDescent="0.25"/>
    <row r="115" s="2" customFormat="1" x14ac:dyDescent="0.25"/>
    <row r="116" s="2" customFormat="1" x14ac:dyDescent="0.25"/>
    <row r="117" s="2" customFormat="1" x14ac:dyDescent="0.25"/>
    <row r="118" s="2" customFormat="1" x14ac:dyDescent="0.25"/>
    <row r="119" s="2" customFormat="1" x14ac:dyDescent="0.25"/>
    <row r="120" s="2" customFormat="1" x14ac:dyDescent="0.25"/>
    <row r="121" s="2" customFormat="1" x14ac:dyDescent="0.25"/>
    <row r="122" s="2" customFormat="1" x14ac:dyDescent="0.25"/>
    <row r="123" s="2" customFormat="1" x14ac:dyDescent="0.25"/>
    <row r="124" s="2" customFormat="1" x14ac:dyDescent="0.25"/>
    <row r="125" s="2" customFormat="1" x14ac:dyDescent="0.25"/>
    <row r="126" s="2" customFormat="1" x14ac:dyDescent="0.25"/>
    <row r="127" s="2" customFormat="1" x14ac:dyDescent="0.25"/>
    <row r="128" s="2" customFormat="1" x14ac:dyDescent="0.25"/>
    <row r="129" s="2" customFormat="1" x14ac:dyDescent="0.25"/>
    <row r="130" s="2" customFormat="1" x14ac:dyDescent="0.25"/>
    <row r="131" s="2" customFormat="1" x14ac:dyDescent="0.25"/>
    <row r="132" s="2" customFormat="1" x14ac:dyDescent="0.25"/>
    <row r="133" s="2" customFormat="1" x14ac:dyDescent="0.25"/>
    <row r="134" s="2" customFormat="1" x14ac:dyDescent="0.25"/>
    <row r="135" s="2" customFormat="1" x14ac:dyDescent="0.25"/>
    <row r="136" s="2" customFormat="1" x14ac:dyDescent="0.25"/>
    <row r="137" s="2" customFormat="1" x14ac:dyDescent="0.25"/>
    <row r="138" s="2" customFormat="1" x14ac:dyDescent="0.25"/>
    <row r="139" s="2" customFormat="1" x14ac:dyDescent="0.25"/>
    <row r="140" s="2" customFormat="1" x14ac:dyDescent="0.25"/>
    <row r="141" s="2" customFormat="1" x14ac:dyDescent="0.25"/>
    <row r="142" s="2" customFormat="1" x14ac:dyDescent="0.25"/>
    <row r="143" s="2" customFormat="1" x14ac:dyDescent="0.25"/>
    <row r="144" s="2" customFormat="1" x14ac:dyDescent="0.25"/>
    <row r="145" s="2" customFormat="1" x14ac:dyDescent="0.25"/>
    <row r="146" s="2" customFormat="1" x14ac:dyDescent="0.25"/>
    <row r="147" s="2" customFormat="1" x14ac:dyDescent="0.25"/>
    <row r="148" s="2" customFormat="1" x14ac:dyDescent="0.25"/>
    <row r="149" s="2" customFormat="1" x14ac:dyDescent="0.25"/>
    <row r="150" s="2" customFormat="1" x14ac:dyDescent="0.25"/>
    <row r="151" s="2" customFormat="1" x14ac:dyDescent="0.25"/>
    <row r="152" s="2" customFormat="1" x14ac:dyDescent="0.25"/>
    <row r="153" s="2" customFormat="1" x14ac:dyDescent="0.25"/>
    <row r="154" s="2" customFormat="1" x14ac:dyDescent="0.25"/>
    <row r="155" s="2" customFormat="1" x14ac:dyDescent="0.25"/>
    <row r="156" s="2" customFormat="1" x14ac:dyDescent="0.25"/>
    <row r="157" s="2" customFormat="1" x14ac:dyDescent="0.25"/>
    <row r="158" s="2" customFormat="1" x14ac:dyDescent="0.25"/>
    <row r="159" s="2" customFormat="1" x14ac:dyDescent="0.25"/>
    <row r="160" s="2" customFormat="1" x14ac:dyDescent="0.25"/>
    <row r="161" s="2" customFormat="1" x14ac:dyDescent="0.25"/>
    <row r="162" s="2" customFormat="1" x14ac:dyDescent="0.25"/>
    <row r="163" s="2" customFormat="1" x14ac:dyDescent="0.25"/>
    <row r="164" s="2" customFormat="1" x14ac:dyDescent="0.25"/>
    <row r="165" s="2" customFormat="1" x14ac:dyDescent="0.25"/>
    <row r="166" s="2" customFormat="1" x14ac:dyDescent="0.25"/>
    <row r="167" s="2" customFormat="1" x14ac:dyDescent="0.25"/>
    <row r="168" s="2" customFormat="1" x14ac:dyDescent="0.25"/>
    <row r="169" s="2" customFormat="1" x14ac:dyDescent="0.25"/>
    <row r="170" s="2" customFormat="1" x14ac:dyDescent="0.25"/>
    <row r="171" s="2" customFormat="1" x14ac:dyDescent="0.25"/>
    <row r="172" s="2" customFormat="1" x14ac:dyDescent="0.25"/>
    <row r="173" s="2" customFormat="1" x14ac:dyDescent="0.25"/>
    <row r="174" s="2" customFormat="1" x14ac:dyDescent="0.25"/>
    <row r="175" s="2" customFormat="1" x14ac:dyDescent="0.25"/>
    <row r="176" s="2" customFormat="1" x14ac:dyDescent="0.25"/>
    <row r="177" s="2" customFormat="1" x14ac:dyDescent="0.25"/>
    <row r="178" s="2" customFormat="1" x14ac:dyDescent="0.25"/>
    <row r="179" s="2" customFormat="1" x14ac:dyDescent="0.25"/>
    <row r="180" s="2" customFormat="1" x14ac:dyDescent="0.25"/>
    <row r="181" s="2" customFormat="1" x14ac:dyDescent="0.25"/>
    <row r="182" s="2" customFormat="1" x14ac:dyDescent="0.25"/>
    <row r="183" s="2" customFormat="1" x14ac:dyDescent="0.25"/>
    <row r="184" s="2" customFormat="1" x14ac:dyDescent="0.25"/>
    <row r="185" s="2" customFormat="1"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6AE68F-0E6F-4553-A4CD-B45E2210DFC5}">
  <sheetPr codeName="Ark1"/>
  <dimension ref="A1:E22"/>
  <sheetViews>
    <sheetView workbookViewId="0">
      <selection activeCell="G4" sqref="G4"/>
    </sheetView>
  </sheetViews>
  <sheetFormatPr defaultRowHeight="15" x14ac:dyDescent="0.25"/>
  <cols>
    <col min="1" max="1" width="19.7109375" bestFit="1" customWidth="1"/>
    <col min="2" max="2" width="17.42578125" bestFit="1" customWidth="1"/>
    <col min="3" max="3" width="10.28515625" bestFit="1" customWidth="1"/>
    <col min="6" max="6" width="12.85546875" bestFit="1" customWidth="1"/>
  </cols>
  <sheetData>
    <row r="1" spans="1:5" ht="19.5" thickBot="1" x14ac:dyDescent="0.35">
      <c r="A1" s="94" t="s">
        <v>29</v>
      </c>
      <c r="B1" s="95"/>
      <c r="D1" s="94" t="s">
        <v>29</v>
      </c>
      <c r="E1" s="95"/>
    </row>
    <row r="2" spans="1:5" ht="15.75" thickBot="1" x14ac:dyDescent="0.3">
      <c r="A2" cm="1">
        <f t="array" aca="1" ref="A2" ca="1">CELL("row",'Building Scenario 1'!A3)</f>
        <v>3</v>
      </c>
      <c r="D2" cm="1">
        <f t="array" aca="1" ref="D2" ca="1">CELL("row",'Building Scenario 2'!A3)</f>
        <v>3</v>
      </c>
    </row>
    <row r="3" spans="1:5" ht="19.5" thickBot="1" x14ac:dyDescent="0.35">
      <c r="A3" s="94" t="s">
        <v>30</v>
      </c>
      <c r="B3" s="95"/>
      <c r="D3" s="94" t="s">
        <v>30</v>
      </c>
      <c r="E3" s="95"/>
    </row>
    <row r="4" spans="1:5" ht="15.75" thickBot="1" x14ac:dyDescent="0.3">
      <c r="A4" cm="1">
        <f t="array" aca="1" ref="A4" ca="1">CELL("row",'Building Scenario 1'!A5)</f>
        <v>5</v>
      </c>
      <c r="D4" cm="1">
        <f t="array" aca="1" ref="D4" ca="1">CELL("row",'Building Scenario 2'!A5)</f>
        <v>5</v>
      </c>
    </row>
    <row r="5" spans="1:5" ht="19.5" thickBot="1" x14ac:dyDescent="0.35">
      <c r="A5" s="94" t="s">
        <v>64</v>
      </c>
      <c r="B5" s="95"/>
      <c r="D5" s="94" t="s">
        <v>64</v>
      </c>
      <c r="E5" s="95"/>
    </row>
    <row r="6" spans="1:5" ht="15.75" thickBot="1" x14ac:dyDescent="0.3">
      <c r="A6" cm="1">
        <f t="array" aca="1" ref="A6" ca="1">CELL("row",'Building Scenario 1'!A7)</f>
        <v>7</v>
      </c>
      <c r="D6" cm="1">
        <f t="array" aca="1" ref="D6" ca="1">CELL("row",'Building Scenario 2'!A7)</f>
        <v>7</v>
      </c>
    </row>
    <row r="7" spans="1:5" ht="19.5" thickBot="1" x14ac:dyDescent="0.35">
      <c r="A7" s="94" t="s">
        <v>65</v>
      </c>
      <c r="B7" s="95"/>
      <c r="D7" s="94" t="s">
        <v>65</v>
      </c>
      <c r="E7" s="95"/>
    </row>
    <row r="8" spans="1:5" ht="15.75" thickBot="1" x14ac:dyDescent="0.3">
      <c r="A8" cm="1">
        <f t="array" aca="1" ref="A8" ca="1">CELL("row",'Building Scenario 1'!A9)</f>
        <v>9</v>
      </c>
      <c r="D8" cm="1">
        <f t="array" aca="1" ref="D8" ca="1">CELL("row",'Building Scenario 2'!A9)</f>
        <v>9</v>
      </c>
    </row>
    <row r="9" spans="1:5" ht="19.5" thickBot="1" x14ac:dyDescent="0.35">
      <c r="A9" s="94" t="s">
        <v>66</v>
      </c>
      <c r="B9" s="95"/>
      <c r="D9" s="94" t="s">
        <v>66</v>
      </c>
      <c r="E9" s="95"/>
    </row>
    <row r="10" spans="1:5" ht="15.75" thickBot="1" x14ac:dyDescent="0.3">
      <c r="A10" cm="1">
        <f t="array" aca="1" ref="A10" ca="1">CELL("row",'Building Scenario 1'!A11)</f>
        <v>11</v>
      </c>
      <c r="D10" cm="1">
        <f t="array" aca="1" ref="D10" ca="1">CELL("row",'Building Scenario 2'!A11)</f>
        <v>11</v>
      </c>
    </row>
    <row r="11" spans="1:5" ht="19.5" thickBot="1" x14ac:dyDescent="0.35">
      <c r="A11" s="94" t="s">
        <v>67</v>
      </c>
      <c r="B11" s="95"/>
      <c r="D11" s="94" t="s">
        <v>67</v>
      </c>
      <c r="E11" s="95"/>
    </row>
    <row r="12" spans="1:5" ht="15.75" thickBot="1" x14ac:dyDescent="0.3">
      <c r="A12" cm="1">
        <f t="array" aca="1" ref="A12" ca="1">CELL("row",'Building Scenario 1'!A13)</f>
        <v>13</v>
      </c>
      <c r="D12" cm="1">
        <f t="array" aca="1" ref="D12" ca="1">CELL("row",'Building Scenario 2'!A13)</f>
        <v>13</v>
      </c>
    </row>
    <row r="13" spans="1:5" ht="19.5" thickBot="1" x14ac:dyDescent="0.35">
      <c r="A13" s="94" t="s">
        <v>68</v>
      </c>
      <c r="B13" s="95"/>
      <c r="D13" s="94" t="s">
        <v>68</v>
      </c>
      <c r="E13" s="95"/>
    </row>
    <row r="14" spans="1:5" ht="15.75" thickBot="1" x14ac:dyDescent="0.3">
      <c r="A14" cm="1">
        <f t="array" aca="1" ref="A14" ca="1">CELL("row",'Building Scenario 1'!A15)</f>
        <v>15</v>
      </c>
      <c r="D14" cm="1">
        <f t="array" aca="1" ref="D14" ca="1">CELL("row",'Building Scenario 2'!A15)</f>
        <v>15</v>
      </c>
    </row>
    <row r="15" spans="1:5" ht="19.5" thickBot="1" x14ac:dyDescent="0.35">
      <c r="A15" s="94" t="s">
        <v>69</v>
      </c>
      <c r="B15" s="95"/>
      <c r="D15" s="94" t="s">
        <v>69</v>
      </c>
      <c r="E15" s="95"/>
    </row>
    <row r="16" spans="1:5" ht="15.75" thickBot="1" x14ac:dyDescent="0.3">
      <c r="A16" cm="1">
        <f t="array" aca="1" ref="A16" ca="1">CELL("row",'Building Scenario 1'!A17)</f>
        <v>17</v>
      </c>
      <c r="D16" cm="1">
        <f t="array" aca="1" ref="D16" ca="1">CELL("row",'Building Scenario 2'!A17)</f>
        <v>17</v>
      </c>
    </row>
    <row r="17" spans="1:5" ht="19.5" thickBot="1" x14ac:dyDescent="0.35">
      <c r="A17" s="94" t="s">
        <v>70</v>
      </c>
      <c r="B17" s="95"/>
      <c r="D17" s="94" t="s">
        <v>70</v>
      </c>
      <c r="E17" s="95"/>
    </row>
    <row r="18" spans="1:5" ht="15.75" thickBot="1" x14ac:dyDescent="0.3">
      <c r="A18" cm="1">
        <f t="array" aca="1" ref="A18" ca="1">CELL("row",'Building Scenario 1'!A19)</f>
        <v>19</v>
      </c>
      <c r="D18" cm="1">
        <f t="array" aca="1" ref="D18" ca="1">CELL("row",'Building Scenario 2'!A19)</f>
        <v>19</v>
      </c>
    </row>
    <row r="19" spans="1:5" ht="19.5" thickBot="1" x14ac:dyDescent="0.35">
      <c r="A19" s="94" t="s">
        <v>71</v>
      </c>
      <c r="B19" s="95"/>
      <c r="D19" s="94" t="s">
        <v>71</v>
      </c>
      <c r="E19" s="95"/>
    </row>
    <row r="20" spans="1:5" ht="15.75" thickBot="1" x14ac:dyDescent="0.3">
      <c r="A20" cm="1">
        <f t="array" aca="1" ref="A20" ca="1">CELL("row",'Building Scenario 1'!A21)</f>
        <v>21</v>
      </c>
      <c r="D20" cm="1">
        <f t="array" aca="1" ref="D20" ca="1">CELL("row",'Building Scenario 2'!A21)</f>
        <v>21</v>
      </c>
    </row>
    <row r="21" spans="1:5" ht="19.5" thickBot="1" x14ac:dyDescent="0.35">
      <c r="A21" s="94" t="s">
        <v>72</v>
      </c>
      <c r="B21" s="95"/>
      <c r="D21" s="94" t="s">
        <v>72</v>
      </c>
      <c r="E21" s="95"/>
    </row>
    <row r="22" spans="1:5" x14ac:dyDescent="0.25">
      <c r="A22" cm="1">
        <f t="array" aca="1" ref="A22" ca="1">CELL("row",'Building Scenario 1'!A23)</f>
        <v>23</v>
      </c>
      <c r="D22" cm="1">
        <f t="array" aca="1" ref="D22" ca="1">CELL("row",'Building Scenario 2'!A23)</f>
        <v>23</v>
      </c>
    </row>
  </sheetData>
  <mergeCells count="22">
    <mergeCell ref="A11:B11"/>
    <mergeCell ref="A1:B1"/>
    <mergeCell ref="A3:B3"/>
    <mergeCell ref="A5:B5"/>
    <mergeCell ref="A7:B7"/>
    <mergeCell ref="A9:B9"/>
    <mergeCell ref="D21:E21"/>
    <mergeCell ref="A13:B13"/>
    <mergeCell ref="A15:B15"/>
    <mergeCell ref="A17:B17"/>
    <mergeCell ref="A19:B19"/>
    <mergeCell ref="A21:B21"/>
    <mergeCell ref="D11:E11"/>
    <mergeCell ref="D13:E13"/>
    <mergeCell ref="D15:E15"/>
    <mergeCell ref="D17:E17"/>
    <mergeCell ref="D19:E19"/>
    <mergeCell ref="D1:E1"/>
    <mergeCell ref="D3:E3"/>
    <mergeCell ref="D5:E5"/>
    <mergeCell ref="D7:E7"/>
    <mergeCell ref="D9:E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7F577-0890-4A77-AF24-11D3A489524D}">
  <sheetPr codeName="Ark5"/>
  <dimension ref="A1:C22"/>
  <sheetViews>
    <sheetView workbookViewId="0">
      <selection activeCell="A5" sqref="A5"/>
    </sheetView>
  </sheetViews>
  <sheetFormatPr defaultRowHeight="15" x14ac:dyDescent="0.25"/>
  <sheetData>
    <row r="1" spans="1:3" x14ac:dyDescent="0.25">
      <c r="A1" t="s">
        <v>13</v>
      </c>
      <c r="C1" t="str" cm="1">
        <f t="array" ref="C1:C22">_xlfn._xlws.FILTER(_xlfn.DROP(Catalogue!A:B,1,-1),_xlfn.DROP(Catalogue!A:B,1,-1)&lt;&gt;0)</f>
        <v>Reinforced Insitu Concrete</v>
      </c>
    </row>
    <row r="2" spans="1:3" x14ac:dyDescent="0.25">
      <c r="A2" t="s">
        <v>15</v>
      </c>
      <c r="C2" t="str">
        <v>Unreinforced Insitu Concrete</v>
      </c>
    </row>
    <row r="3" spans="1:3" x14ac:dyDescent="0.25">
      <c r="A3" t="s">
        <v>302</v>
      </c>
      <c r="C3" t="str">
        <v>Concrete Wall Element</v>
      </c>
    </row>
    <row r="4" spans="1:3" x14ac:dyDescent="0.25">
      <c r="A4" t="s">
        <v>303</v>
      </c>
      <c r="C4" t="str">
        <v>Hollow Core Slab</v>
      </c>
    </row>
    <row r="5" spans="1:3" x14ac:dyDescent="0.25">
      <c r="C5" t="str">
        <v>Structural Steel</v>
      </c>
    </row>
    <row r="6" spans="1:3" x14ac:dyDescent="0.25">
      <c r="C6" t="str">
        <v>Steel Profiles</v>
      </c>
    </row>
    <row r="7" spans="1:3" x14ac:dyDescent="0.25">
      <c r="C7" t="str">
        <v>Steel Sheets</v>
      </c>
    </row>
    <row r="8" spans="1:3" x14ac:dyDescent="0.25">
      <c r="C8" t="str">
        <v>Construction Wood</v>
      </c>
    </row>
    <row r="9" spans="1:3" x14ac:dyDescent="0.25">
      <c r="C9" t="str">
        <v>Cross Laminated Timber (CLT)</v>
      </c>
    </row>
    <row r="10" spans="1:3" x14ac:dyDescent="0.25">
      <c r="C10" t="str">
        <v>Glue Laminated Timber (Glulam)</v>
      </c>
    </row>
    <row r="11" spans="1:3" x14ac:dyDescent="0.25">
      <c r="C11" t="str">
        <v>Plywood</v>
      </c>
    </row>
    <row r="12" spans="1:3" x14ac:dyDescent="0.25">
      <c r="C12" t="str">
        <v>Particle  Board</v>
      </c>
    </row>
    <row r="13" spans="1:3" x14ac:dyDescent="0.25">
      <c r="C13" t="str">
        <v>Brick Wall</v>
      </c>
    </row>
    <row r="14" spans="1:3" x14ac:dyDescent="0.25">
      <c r="C14" t="str">
        <v>Roof Tiles</v>
      </c>
    </row>
    <row r="15" spans="1:3" x14ac:dyDescent="0.25">
      <c r="C15" t="str">
        <v>Gypsum Boards</v>
      </c>
    </row>
    <row r="16" spans="1:3" x14ac:dyDescent="0.25">
      <c r="C16" t="str">
        <v>Stone Wool</v>
      </c>
    </row>
    <row r="17" spans="3:3" x14ac:dyDescent="0.25">
      <c r="C17" t="str">
        <v>Glass Wool</v>
      </c>
    </row>
    <row r="18" spans="3:3" x14ac:dyDescent="0.25">
      <c r="C18" t="str">
        <v>Wood Floor</v>
      </c>
    </row>
    <row r="19" spans="3:3" x14ac:dyDescent="0.25">
      <c r="C19" t="str">
        <v>Tile Floor</v>
      </c>
    </row>
    <row r="20" spans="3:3" x14ac:dyDescent="0.25">
      <c r="C20" t="str">
        <v>Roofing Felt</v>
      </c>
    </row>
    <row r="21" spans="3:3" x14ac:dyDescent="0.25">
      <c r="C21" t="str">
        <v>Wood Window</v>
      </c>
    </row>
    <row r="22" spans="3:3" x14ac:dyDescent="0.25">
      <c r="C22" t="str">
        <v>Wood/Aluminium Window</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3F613-C574-418B-A74A-A93163004441}">
  <sheetPr codeName="Ark4"/>
  <dimension ref="A1:E19"/>
  <sheetViews>
    <sheetView workbookViewId="0">
      <selection sqref="A1:C6"/>
    </sheetView>
  </sheetViews>
  <sheetFormatPr defaultRowHeight="15" x14ac:dyDescent="0.25"/>
  <sheetData>
    <row r="1" spans="1:5" x14ac:dyDescent="0.25">
      <c r="A1">
        <v>0</v>
      </c>
      <c r="B1" t="s">
        <v>22</v>
      </c>
      <c r="C1" t="s">
        <v>47</v>
      </c>
      <c r="E1" t="s">
        <v>41</v>
      </c>
    </row>
    <row r="2" spans="1:5" x14ac:dyDescent="0.25">
      <c r="A2">
        <v>1</v>
      </c>
      <c r="B2" t="s">
        <v>22</v>
      </c>
      <c r="C2" t="s">
        <v>48</v>
      </c>
      <c r="E2" t="s">
        <v>63</v>
      </c>
    </row>
    <row r="3" spans="1:5" x14ac:dyDescent="0.25">
      <c r="A3">
        <v>2</v>
      </c>
      <c r="B3" t="s">
        <v>49</v>
      </c>
      <c r="C3" t="s">
        <v>47</v>
      </c>
      <c r="E3" t="s">
        <v>61</v>
      </c>
    </row>
    <row r="4" spans="1:5" x14ac:dyDescent="0.25">
      <c r="A4">
        <v>3</v>
      </c>
      <c r="B4" t="s">
        <v>49</v>
      </c>
      <c r="C4" t="s">
        <v>48</v>
      </c>
      <c r="E4" t="s">
        <v>61</v>
      </c>
    </row>
    <row r="5" spans="1:5" x14ac:dyDescent="0.25">
      <c r="A5">
        <v>4</v>
      </c>
      <c r="B5" t="s">
        <v>50</v>
      </c>
      <c r="E5" t="s">
        <v>62</v>
      </c>
    </row>
    <row r="6" spans="1:5" x14ac:dyDescent="0.25">
      <c r="A6">
        <v>5</v>
      </c>
      <c r="B6" t="s">
        <v>51</v>
      </c>
    </row>
    <row r="9" spans="1:5" x14ac:dyDescent="0.25">
      <c r="A9" t="s">
        <v>39</v>
      </c>
      <c r="B9" t="s">
        <v>40</v>
      </c>
    </row>
    <row r="10" spans="1:5" x14ac:dyDescent="0.25">
      <c r="A10" t="s">
        <v>58</v>
      </c>
      <c r="B10" t="s">
        <v>52</v>
      </c>
    </row>
    <row r="11" spans="1:5" x14ac:dyDescent="0.25">
      <c r="A11" t="s">
        <v>42</v>
      </c>
      <c r="B11" t="s">
        <v>53</v>
      </c>
    </row>
    <row r="12" spans="1:5" x14ac:dyDescent="0.25">
      <c r="A12" t="s">
        <v>41</v>
      </c>
      <c r="B12" t="s">
        <v>22</v>
      </c>
    </row>
    <row r="13" spans="1:5" x14ac:dyDescent="0.25">
      <c r="A13" t="s">
        <v>43</v>
      </c>
      <c r="B13" t="s">
        <v>44</v>
      </c>
    </row>
    <row r="14" spans="1:5" x14ac:dyDescent="0.25">
      <c r="A14" t="s">
        <v>45</v>
      </c>
      <c r="B14" t="s">
        <v>46</v>
      </c>
    </row>
    <row r="15" spans="1:5" x14ac:dyDescent="0.25">
      <c r="A15" t="s">
        <v>59</v>
      </c>
      <c r="B15" t="s">
        <v>54</v>
      </c>
    </row>
    <row r="16" spans="1:5" x14ac:dyDescent="0.25">
      <c r="A16" t="s">
        <v>60</v>
      </c>
      <c r="B16" t="s">
        <v>55</v>
      </c>
    </row>
    <row r="17" spans="1:3" x14ac:dyDescent="0.25">
      <c r="A17" t="s">
        <v>61</v>
      </c>
      <c r="B17" t="s">
        <v>49</v>
      </c>
      <c r="C17" t="s">
        <v>56</v>
      </c>
    </row>
    <row r="18" spans="1:3" x14ac:dyDescent="0.25">
      <c r="A18" t="s">
        <v>61</v>
      </c>
      <c r="B18" t="s">
        <v>49</v>
      </c>
      <c r="C18" t="s">
        <v>57</v>
      </c>
    </row>
    <row r="19" spans="1:3" x14ac:dyDescent="0.25">
      <c r="A19" t="s">
        <v>62</v>
      </c>
      <c r="B19" t="s">
        <v>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Instructions</vt:lpstr>
      <vt:lpstr>Catalogue</vt:lpstr>
      <vt:lpstr>Building Scenario 1</vt:lpstr>
      <vt:lpstr>Building Scenario 2</vt:lpstr>
      <vt:lpstr>Results</vt:lpstr>
      <vt:lpstr>Ref</vt:lpstr>
      <vt:lpstr>Lists</vt:lpstr>
      <vt:lpstr>CLs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Gustav Søgaard</dc:creator>
  <cp:lastModifiedBy>Gustav Søgaard</cp:lastModifiedBy>
  <dcterms:created xsi:type="dcterms:W3CDTF">2026-01-13T16:47:03Z</dcterms:created>
  <dcterms:modified xsi:type="dcterms:W3CDTF">2026-08-06T17:39:45Z</dcterms:modified>
</cp:coreProperties>
</file>