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phael\Downloads\"/>
    </mc:Choice>
  </mc:AlternateContent>
  <xr:revisionPtr revIDLastSave="0" documentId="13_ncr:1_{D1EDE48B-E7A4-47A2-9408-FE48F18F01CA}" xr6:coauthVersionLast="37" xr6:coauthVersionMax="37" xr10:uidLastSave="{00000000-0000-0000-0000-000000000000}"/>
  <bookViews>
    <workbookView xWindow="1305" yWindow="1320" windowWidth="23880" windowHeight="13560" tabRatio="762" firstSheet="4" activeTab="8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8" l="1"/>
  <c r="D27" i="8"/>
  <c r="D28" i="8"/>
  <c r="D29" i="8"/>
  <c r="D25" i="8" l="1"/>
  <c r="C25" i="8" l="1"/>
  <c r="C31" i="8"/>
  <c r="C30" i="8"/>
  <c r="C29" i="8"/>
  <c r="C28" i="8"/>
  <c r="C27" i="8"/>
  <c r="C33" i="8" s="1"/>
  <c r="C26" i="8"/>
  <c r="F17" i="22" l="1"/>
  <c r="F16" i="22"/>
  <c r="D17" i="22"/>
  <c r="D16" i="22"/>
  <c r="B17" i="22"/>
  <c r="B16" i="22"/>
  <c r="P4" i="2"/>
  <c r="P7" i="2"/>
  <c r="Q7" i="2" s="1"/>
  <c r="R7" i="2" s="1"/>
  <c r="B6" i="5"/>
  <c r="J15" i="11"/>
  <c r="L15" i="11" s="1"/>
  <c r="J16" i="11"/>
  <c r="L16" i="11"/>
  <c r="J17" i="11"/>
  <c r="L17" i="11" s="1"/>
  <c r="J18" i="11"/>
  <c r="L18" i="11" s="1"/>
  <c r="J19" i="11"/>
  <c r="L19" i="11" s="1"/>
  <c r="J20" i="11"/>
  <c r="L20" i="11" s="1"/>
  <c r="J21" i="11"/>
  <c r="L21" i="11"/>
  <c r="O21" i="19"/>
  <c r="O20" i="19"/>
  <c r="M21" i="19"/>
  <c r="M20" i="19"/>
  <c r="O19" i="19"/>
  <c r="M19" i="19"/>
  <c r="P19" i="19"/>
  <c r="G19" i="11" s="1"/>
  <c r="I21" i="19"/>
  <c r="H21" i="11"/>
  <c r="I20" i="19"/>
  <c r="H20" i="11" s="1"/>
  <c r="I19" i="19"/>
  <c r="H19" i="11" s="1"/>
  <c r="G21" i="20"/>
  <c r="G20" i="20"/>
  <c r="G19" i="20"/>
  <c r="I15" i="19"/>
  <c r="H15" i="11" s="1"/>
  <c r="I16" i="19"/>
  <c r="H16" i="11" s="1"/>
  <c r="I17" i="19"/>
  <c r="H17" i="11"/>
  <c r="I18" i="19"/>
  <c r="H18" i="11" s="1"/>
  <c r="M15" i="19"/>
  <c r="M16" i="19"/>
  <c r="M17" i="19"/>
  <c r="M18" i="19"/>
  <c r="O15" i="19"/>
  <c r="P15" i="19"/>
  <c r="G15" i="11" s="1"/>
  <c r="O16" i="19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/>
  <c r="G20" i="11" s="1"/>
  <c r="Q21" i="19"/>
  <c r="Q19" i="19"/>
  <c r="O21" i="11"/>
  <c r="N21" i="11"/>
  <c r="P21" i="11" s="1"/>
  <c r="N16" i="11"/>
  <c r="Q17" i="19"/>
  <c r="E16" i="9"/>
  <c r="E15" i="9"/>
  <c r="D16" i="9"/>
  <c r="D15" i="9"/>
  <c r="C16" i="9"/>
  <c r="C15" i="9"/>
  <c r="D31" i="8"/>
  <c r="D30" i="8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D12" i="9" s="1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D11" i="9" s="1"/>
  <c r="AM33" i="6"/>
  <c r="AM34" i="6"/>
  <c r="AM35" i="6"/>
  <c r="AY35" i="6" s="1"/>
  <c r="AM36" i="6"/>
  <c r="AM37" i="6"/>
  <c r="AM38" i="6"/>
  <c r="AM3" i="6"/>
  <c r="C17" i="21"/>
  <c r="C16" i="21"/>
  <c r="C11" i="21"/>
  <c r="C10" i="21"/>
  <c r="C9" i="21"/>
  <c r="C8" i="21"/>
  <c r="E5" i="21"/>
  <c r="G4" i="21" s="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 s="1"/>
  <c r="H22" i="18" s="1"/>
  <c r="E22" i="18"/>
  <c r="F26" i="18" s="1"/>
  <c r="I17" i="18"/>
  <c r="P17" i="18" s="1"/>
  <c r="I16" i="18"/>
  <c r="P16" i="18" s="1"/>
  <c r="I15" i="18"/>
  <c r="P15" i="18"/>
  <c r="I14" i="18"/>
  <c r="P14" i="18" s="1"/>
  <c r="I13" i="18"/>
  <c r="P13" i="18" s="1"/>
  <c r="I12" i="18"/>
  <c r="P12" i="18" s="1"/>
  <c r="I11" i="18"/>
  <c r="P11" i="18"/>
  <c r="I10" i="18"/>
  <c r="P10" i="18" s="1"/>
  <c r="I9" i="18"/>
  <c r="P9" i="18" s="1"/>
  <c r="I8" i="18"/>
  <c r="P8" i="18" s="1"/>
  <c r="I7" i="18"/>
  <c r="P7" i="18"/>
  <c r="I6" i="18"/>
  <c r="P6" i="18" s="1"/>
  <c r="I5" i="18"/>
  <c r="P5" i="18" s="1"/>
  <c r="I4" i="18"/>
  <c r="P4" i="18" s="1"/>
  <c r="I3" i="18"/>
  <c r="P3" i="18"/>
  <c r="E13" i="9"/>
  <c r="BA3" i="6"/>
  <c r="AY3" i="6"/>
  <c r="AW3" i="6"/>
  <c r="AU3" i="6"/>
  <c r="AR3" i="6"/>
  <c r="AN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 s="1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AY16" i="6"/>
  <c r="BA16" i="6"/>
  <c r="AZ16" i="6"/>
  <c r="BB16" i="6"/>
  <c r="AX16" i="6"/>
  <c r="AW16" i="6"/>
  <c r="AV16" i="6"/>
  <c r="AT16" i="6"/>
  <c r="AU16" i="6"/>
  <c r="AR16" i="6"/>
  <c r="AP16" i="6"/>
  <c r="AO16" i="6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E12" i="9"/>
  <c r="AY4" i="6"/>
  <c r="BA4" i="6"/>
  <c r="AX4" i="6"/>
  <c r="AZ4" i="6"/>
  <c r="BB4" i="6"/>
  <c r="AW4" i="6"/>
  <c r="AV4" i="6"/>
  <c r="AT4" i="6"/>
  <c r="AU4" i="6"/>
  <c r="AR4" i="6"/>
  <c r="Q15" i="11" s="1"/>
  <c r="AP4" i="6"/>
  <c r="AO4" i="6"/>
  <c r="Q10" i="11" s="1"/>
  <c r="AS4" i="6"/>
  <c r="AQ4" i="6"/>
  <c r="AN4" i="6"/>
  <c r="P12" i="19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3" i="21"/>
  <c r="F4" i="21"/>
  <c r="G12" i="21" s="1"/>
  <c r="G3" i="21"/>
  <c r="G26" i="18"/>
  <c r="Q9" i="18" s="1"/>
  <c r="G21" i="18"/>
  <c r="F28" i="18"/>
  <c r="G29" i="18"/>
  <c r="G28" i="18"/>
  <c r="Q6" i="18" s="1"/>
  <c r="G27" i="18"/>
  <c r="Z7" i="12"/>
  <c r="Z6" i="12"/>
  <c r="Z5" i="12"/>
  <c r="Z4" i="12"/>
  <c r="Z3" i="12"/>
  <c r="B3" i="5"/>
  <c r="F6" i="15"/>
  <c r="J5" i="11"/>
  <c r="L5" i="11" s="1"/>
  <c r="Q18" i="11"/>
  <c r="G9" i="21"/>
  <c r="E12" i="21"/>
  <c r="E9" i="21"/>
  <c r="E10" i="21"/>
  <c r="E11" i="21"/>
  <c r="E8" i="21"/>
  <c r="H3" i="21"/>
  <c r="H8" i="21" s="1"/>
  <c r="Q4" i="18"/>
  <c r="Q5" i="18"/>
  <c r="H3" i="3"/>
  <c r="H4" i="3"/>
  <c r="H5" i="3"/>
  <c r="H6" i="3"/>
  <c r="H2" i="3"/>
  <c r="B5" i="5"/>
  <c r="B4" i="5"/>
  <c r="B8" i="5" s="1"/>
  <c r="J4" i="11"/>
  <c r="J6" i="11"/>
  <c r="L6" i="11" s="1"/>
  <c r="J7" i="11"/>
  <c r="J8" i="11"/>
  <c r="L8" i="11" s="1"/>
  <c r="J9" i="11"/>
  <c r="J10" i="11"/>
  <c r="L10" i="11" s="1"/>
  <c r="J11" i="11"/>
  <c r="J12" i="11"/>
  <c r="L12" i="11" s="1"/>
  <c r="J13" i="11"/>
  <c r="J14" i="11"/>
  <c r="L14" i="11" s="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B3" i="15"/>
  <c r="B8" i="15" s="1"/>
  <c r="F2" i="15"/>
  <c r="E2" i="15"/>
  <c r="D2" i="15"/>
  <c r="C2" i="15"/>
  <c r="B2" i="15"/>
  <c r="L4" i="11"/>
  <c r="O4" i="11" s="1"/>
  <c r="P4" i="11" s="1"/>
  <c r="L7" i="11"/>
  <c r="L13" i="11"/>
  <c r="L9" i="11"/>
  <c r="N9" i="11" s="1"/>
  <c r="L11" i="11"/>
  <c r="L3" i="11"/>
  <c r="H12" i="21"/>
  <c r="H11" i="21"/>
  <c r="P5" i="2"/>
  <c r="Q5" i="2" s="1"/>
  <c r="R5" i="2" s="1"/>
  <c r="N3" i="11"/>
  <c r="O11" i="11"/>
  <c r="O9" i="11"/>
  <c r="O7" i="11"/>
  <c r="O13" i="11"/>
  <c r="N13" i="11"/>
  <c r="N4" i="11"/>
  <c r="P6" i="2"/>
  <c r="Q6" i="2" s="1"/>
  <c r="Q4" i="2"/>
  <c r="P13" i="11"/>
  <c r="E2" i="8"/>
  <c r="R4" i="2"/>
  <c r="W14" i="11" l="1"/>
  <c r="V14" i="11"/>
  <c r="B12" i="22"/>
  <c r="D12" i="22"/>
  <c r="O14" i="11"/>
  <c r="N14" i="11"/>
  <c r="D15" i="22"/>
  <c r="W10" i="11"/>
  <c r="V10" i="11"/>
  <c r="O10" i="11"/>
  <c r="N10" i="11"/>
  <c r="P10" i="11" s="1"/>
  <c r="D13" i="22"/>
  <c r="W6" i="11"/>
  <c r="V6" i="11"/>
  <c r="O6" i="11"/>
  <c r="N6" i="11"/>
  <c r="I30" i="18"/>
  <c r="I29" i="18"/>
  <c r="I27" i="18"/>
  <c r="N18" i="11"/>
  <c r="W18" i="11"/>
  <c r="V18" i="11"/>
  <c r="N5" i="11"/>
  <c r="V5" i="11"/>
  <c r="W5" i="11"/>
  <c r="V19" i="11"/>
  <c r="W19" i="11"/>
  <c r="N19" i="11"/>
  <c r="P19" i="11" s="1"/>
  <c r="O19" i="11"/>
  <c r="P9" i="11"/>
  <c r="W3" i="11"/>
  <c r="V3" i="11"/>
  <c r="B18" i="22"/>
  <c r="V7" i="11"/>
  <c r="W7" i="11"/>
  <c r="F15" i="22"/>
  <c r="N7" i="11"/>
  <c r="P7" i="11" s="1"/>
  <c r="O3" i="11"/>
  <c r="P3" i="11" s="1"/>
  <c r="H9" i="21"/>
  <c r="V11" i="11"/>
  <c r="W11" i="11"/>
  <c r="V13" i="11"/>
  <c r="W13" i="11"/>
  <c r="G2" i="15"/>
  <c r="G3" i="15"/>
  <c r="Q14" i="11"/>
  <c r="Q9" i="11"/>
  <c r="F27" i="18"/>
  <c r="E21" i="18"/>
  <c r="F21" i="18"/>
  <c r="E3" i="21"/>
  <c r="BB3" i="6"/>
  <c r="E18" i="9"/>
  <c r="C10" i="9"/>
  <c r="C13" i="9"/>
  <c r="D18" i="9"/>
  <c r="D10" i="9"/>
  <c r="V21" i="11"/>
  <c r="W20" i="11"/>
  <c r="V20" i="11"/>
  <c r="O16" i="11"/>
  <c r="V16" i="11"/>
  <c r="V15" i="11"/>
  <c r="W15" i="11"/>
  <c r="B15" i="22"/>
  <c r="V9" i="11"/>
  <c r="W9" i="11"/>
  <c r="W4" i="11"/>
  <c r="V4" i="11"/>
  <c r="W12" i="11"/>
  <c r="V12" i="11"/>
  <c r="W8" i="11"/>
  <c r="V8" i="11"/>
  <c r="Q10" i="18"/>
  <c r="D13" i="9"/>
  <c r="C11" i="9"/>
  <c r="C12" i="9"/>
  <c r="C18" i="9"/>
  <c r="C14" i="9"/>
  <c r="P16" i="19"/>
  <c r="G16" i="11" s="1"/>
  <c r="P21" i="19"/>
  <c r="G21" i="11" s="1"/>
  <c r="V17" i="11"/>
  <c r="W17" i="11"/>
  <c r="Q8" i="2"/>
  <c r="P8" i="2"/>
  <c r="D11" i="22"/>
  <c r="C6" i="9"/>
  <c r="C4" i="9"/>
  <c r="D6" i="9"/>
  <c r="D3" i="9"/>
  <c r="N11" i="11"/>
  <c r="P11" i="11" s="1"/>
  <c r="N12" i="11"/>
  <c r="B11" i="22"/>
  <c r="O12" i="11"/>
  <c r="N8" i="11"/>
  <c r="O8" i="11"/>
  <c r="B13" i="22"/>
  <c r="P16" i="11"/>
  <c r="O20" i="11"/>
  <c r="F14" i="22" s="1"/>
  <c r="D14" i="22"/>
  <c r="B14" i="22"/>
  <c r="N20" i="11"/>
  <c r="N15" i="11"/>
  <c r="O15" i="11"/>
  <c r="R6" i="2"/>
  <c r="M2" i="15"/>
  <c r="I2" i="15"/>
  <c r="G8" i="15"/>
  <c r="O17" i="11"/>
  <c r="N17" i="11"/>
  <c r="P17" i="11" s="1"/>
  <c r="D18" i="22"/>
  <c r="I26" i="18"/>
  <c r="H4" i="21"/>
  <c r="G8" i="21"/>
  <c r="O5" i="11"/>
  <c r="P5" i="11" s="1"/>
  <c r="Q13" i="11"/>
  <c r="Q17" i="11"/>
  <c r="BA35" i="6"/>
  <c r="D5" i="9" s="1"/>
  <c r="AP3" i="6"/>
  <c r="AS3" i="6"/>
  <c r="C2" i="9" s="1"/>
  <c r="AX3" i="6"/>
  <c r="D2" i="9" s="1"/>
  <c r="AZ3" i="6"/>
  <c r="D4" i="9" s="1"/>
  <c r="F30" i="18"/>
  <c r="O18" i="11"/>
  <c r="Q18" i="19"/>
  <c r="C8" i="15"/>
  <c r="I28" i="18"/>
  <c r="Q8" i="18"/>
  <c r="G10" i="21"/>
  <c r="G11" i="21"/>
  <c r="Q12" i="11"/>
  <c r="Q16" i="11"/>
  <c r="AQ3" i="6"/>
  <c r="AT3" i="6"/>
  <c r="C3" i="9" s="1"/>
  <c r="E3" i="9" s="1"/>
  <c r="AV3" i="6"/>
  <c r="C5" i="9" s="1"/>
  <c r="F29" i="18"/>
  <c r="Q17" i="18" s="1"/>
  <c r="E4" i="21"/>
  <c r="Q20" i="19"/>
  <c r="H10" i="21"/>
  <c r="Q11" i="11"/>
  <c r="R17" i="18" l="1"/>
  <c r="W16" i="11"/>
  <c r="W21" i="11"/>
  <c r="D9" i="21"/>
  <c r="D10" i="21"/>
  <c r="D11" i="21"/>
  <c r="R18" i="11" s="1"/>
  <c r="D12" i="21"/>
  <c r="D8" i="21"/>
  <c r="D28" i="18"/>
  <c r="D27" i="18"/>
  <c r="D30" i="18"/>
  <c r="D26" i="18"/>
  <c r="D29" i="18"/>
  <c r="P6" i="11"/>
  <c r="P14" i="11"/>
  <c r="S17" i="18"/>
  <c r="S18" i="11"/>
  <c r="S15" i="11"/>
  <c r="P8" i="11"/>
  <c r="R8" i="2"/>
  <c r="E29" i="18"/>
  <c r="E28" i="18"/>
  <c r="Q7" i="18" s="1"/>
  <c r="H21" i="18"/>
  <c r="E26" i="18"/>
  <c r="E27" i="18"/>
  <c r="Q3" i="18" s="1"/>
  <c r="E30" i="18"/>
  <c r="R14" i="11"/>
  <c r="S14" i="11"/>
  <c r="F12" i="22"/>
  <c r="E6" i="9"/>
  <c r="I6" i="3"/>
  <c r="I3" i="3"/>
  <c r="C4" i="5" s="1"/>
  <c r="D4" i="5" s="1"/>
  <c r="I2" i="3"/>
  <c r="E2" i="5" s="1"/>
  <c r="I4" i="3"/>
  <c r="E3" i="5" s="1"/>
  <c r="I5" i="3"/>
  <c r="E5" i="5" s="1"/>
  <c r="E4" i="9"/>
  <c r="Q8" i="11"/>
  <c r="Q5" i="11"/>
  <c r="Q6" i="11"/>
  <c r="Q4" i="11"/>
  <c r="Q7" i="11"/>
  <c r="T18" i="11"/>
  <c r="C5" i="5"/>
  <c r="D5" i="5" s="1"/>
  <c r="F9" i="21"/>
  <c r="F12" i="21"/>
  <c r="F11" i="21"/>
  <c r="F10" i="21"/>
  <c r="F8" i="21"/>
  <c r="D7" i="9"/>
  <c r="R17" i="11"/>
  <c r="S17" i="11"/>
  <c r="I9" i="21"/>
  <c r="I10" i="21"/>
  <c r="I11" i="21"/>
  <c r="I12" i="21"/>
  <c r="I8" i="21"/>
  <c r="S9" i="11" s="1"/>
  <c r="F11" i="22"/>
  <c r="R16" i="11"/>
  <c r="S16" i="11"/>
  <c r="P15" i="11"/>
  <c r="E5" i="9"/>
  <c r="R12" i="11"/>
  <c r="S12" i="11"/>
  <c r="R8" i="18"/>
  <c r="R6" i="18"/>
  <c r="S6" i="18" s="1"/>
  <c r="R4" i="18"/>
  <c r="S4" i="18" s="1"/>
  <c r="R5" i="18"/>
  <c r="S5" i="18" s="1"/>
  <c r="Q19" i="11"/>
  <c r="Q3" i="11"/>
  <c r="Q20" i="11"/>
  <c r="Q21" i="11"/>
  <c r="F18" i="22"/>
  <c r="F13" i="22"/>
  <c r="R10" i="18"/>
  <c r="S10" i="18" s="1"/>
  <c r="R9" i="18"/>
  <c r="S9" i="18" s="1"/>
  <c r="P20" i="11"/>
  <c r="P18" i="11"/>
  <c r="S11" i="11"/>
  <c r="R11" i="11"/>
  <c r="S8" i="18"/>
  <c r="C7" i="9"/>
  <c r="E2" i="9"/>
  <c r="R13" i="11"/>
  <c r="S13" i="11"/>
  <c r="R9" i="11"/>
  <c r="T9" i="11" s="1"/>
  <c r="F7" i="15"/>
  <c r="C7" i="15"/>
  <c r="D7" i="15"/>
  <c r="E7" i="15"/>
  <c r="B7" i="15"/>
  <c r="P12" i="11"/>
  <c r="E4" i="5"/>
  <c r="C6" i="5"/>
  <c r="D6" i="5" s="1"/>
  <c r="E6" i="5"/>
  <c r="T14" i="11" l="1"/>
  <c r="H29" i="18"/>
  <c r="H30" i="18"/>
  <c r="H28" i="18"/>
  <c r="R7" i="18" s="1"/>
  <c r="H26" i="18"/>
  <c r="R11" i="18" s="1"/>
  <c r="H27" i="18"/>
  <c r="R3" i="18" s="1"/>
  <c r="S3" i="18" s="1"/>
  <c r="Q16" i="18"/>
  <c r="Q15" i="18"/>
  <c r="Q14" i="18"/>
  <c r="Q12" i="18"/>
  <c r="Q13" i="18"/>
  <c r="S7" i="18"/>
  <c r="Q11" i="18"/>
  <c r="S10" i="11"/>
  <c r="R10" i="11"/>
  <c r="T10" i="11" s="1"/>
  <c r="R15" i="11"/>
  <c r="T15" i="11" s="1"/>
  <c r="E7" i="9"/>
  <c r="I7" i="3"/>
  <c r="E7" i="5" s="1"/>
  <c r="C3" i="5"/>
  <c r="D3" i="5" s="1"/>
  <c r="I8" i="3"/>
  <c r="E8" i="5" s="1"/>
  <c r="C8" i="5"/>
  <c r="D8" i="5" s="1"/>
  <c r="Y7" i="12"/>
  <c r="AA7" i="12" s="1"/>
  <c r="B29" i="8"/>
  <c r="C3" i="8"/>
  <c r="E3" i="8" s="1"/>
  <c r="R19" i="11"/>
  <c r="S19" i="11"/>
  <c r="T17" i="11"/>
  <c r="S6" i="11"/>
  <c r="R6" i="11"/>
  <c r="S3" i="11"/>
  <c r="R3" i="11"/>
  <c r="R4" i="11"/>
  <c r="T4" i="11" s="1"/>
  <c r="S4" i="11"/>
  <c r="R5" i="11"/>
  <c r="S5" i="11"/>
  <c r="R21" i="11"/>
  <c r="T21" i="11" s="1"/>
  <c r="S21" i="11"/>
  <c r="G7" i="15"/>
  <c r="T13" i="11"/>
  <c r="T11" i="11"/>
  <c r="S20" i="11"/>
  <c r="R20" i="11"/>
  <c r="T20" i="11" s="1"/>
  <c r="T12" i="11"/>
  <c r="T16" i="11"/>
  <c r="S7" i="11"/>
  <c r="R7" i="11"/>
  <c r="T7" i="11" s="1"/>
  <c r="S8" i="11"/>
  <c r="R8" i="11"/>
  <c r="R15" i="18" l="1"/>
  <c r="S15" i="18" s="1"/>
  <c r="R13" i="18"/>
  <c r="S13" i="18" s="1"/>
  <c r="R14" i="18"/>
  <c r="S14" i="18" s="1"/>
  <c r="R12" i="18"/>
  <c r="S12" i="18" s="1"/>
  <c r="R16" i="18"/>
  <c r="S16" i="18" s="1"/>
  <c r="T3" i="11"/>
  <c r="S11" i="18"/>
  <c r="T5" i="11"/>
  <c r="Y6" i="12"/>
  <c r="AA6" i="12" s="1"/>
  <c r="T6" i="11"/>
  <c r="T19" i="11"/>
  <c r="B28" i="8" s="1"/>
  <c r="B26" i="8"/>
  <c r="Y4" i="12"/>
  <c r="AA4" i="12" s="1"/>
  <c r="T8" i="11"/>
  <c r="Y3" i="12"/>
  <c r="AA3" i="12" s="1"/>
  <c r="C6" i="8"/>
  <c r="E6" i="8" s="1"/>
  <c r="B25" i="8"/>
  <c r="Y5" i="12"/>
  <c r="AA5" i="12" s="1"/>
  <c r="B27" i="8" l="1"/>
  <c r="D33" i="8" s="1"/>
  <c r="C4" i="8"/>
  <c r="E4" i="8" s="1"/>
  <c r="B33" i="8"/>
  <c r="C5" i="8"/>
  <c r="E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<sst xmlns="http://schemas.openxmlformats.org/spreadsheetml/2006/main" count="1279" uniqueCount="457">
  <si>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</si>
  <si>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</si>
  <si>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</si>
  <si>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</si>
  <si>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</si>
  <si>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</si>
  <si>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</si>
  <si>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</si>
  <si>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</si>
  <si>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</si>
  <si>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</si>
  <si>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</si>
  <si>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</si>
  <si>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</si>
  <si>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</si>
  <si>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</si>
  <si>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</si>
  <si>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</si>
  <si>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</si>
  <si>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</si>
  <si>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</si>
  <si>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</si>
  <si>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</si>
  <si>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</si>
  <si>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</si>
  <si>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</si>
  <si>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</si>
  <si>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</si>
  <si>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</si>
  <si>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</si>
  <si>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</si>
  <si>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</si>
  <si>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</si>
  <si>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</si>
  <si>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</si>
  <si>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</si>
  <si>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</si>
  <si>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</si>
  <si>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</si>
  <si>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</si>
  <si>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</si>
  <si>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</si>
  <si>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</si>
  <si>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</si>
  <si>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</si>
  <si>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</si>
  <si>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</si>
  <si>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</si>
  <si>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</si>
  <si>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</si>
  <si>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</si>
  <si>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</si>
  <si>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</si>
  <si>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</si>
  <si>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</si>
  <si>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</si>
  <si>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</si>
  <si>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</si>
  <si>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</si>
  <si>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</si>
  <si>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</si>
  <si>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</si>
  <si>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</si>
  <si>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</si>
  <si>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</si>
  <si>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</si>
  <si>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</si>
  <si>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</si>
  <si>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</si>
  <si>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</si>
  <si>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</si>
  <si>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</si>
  <si>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</si>
  <si>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</si>
  <si>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</si>
  <si>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</si>
  <si>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</si>
  <si>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</si>
  <si>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</si>
  <si>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</si>
  <si>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</si>
  <si>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</si>
  <si>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</si>
  <si>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</si>
  <si>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</si>
  <si>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</si>
  <si>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</si>
  <si>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</si>
  <si>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</si>
  <si>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</si>
  <si>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</si>
  <si>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</si>
  <si>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</si>
  <si>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</si>
  <si>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</si>
  <si>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</si>
  <si>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</si>
  <si>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</si>
  <si>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</si>
  <si>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</si>
  <si>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</si>
  <si>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</si>
  <si>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</si>
  <si>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</si>
  <si>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</si>
  <si>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</si>
  <si>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</si>
  <si>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</si>
  <si>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</si>
  <si>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</si>
  <si>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</si>
  <si>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</si>
  <si>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</si>
  <si>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</si>
  <si>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</si>
  <si>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</si>
  <si>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</si>
  <si>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</si>
  <si>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</si>
  <si>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</si>
  <si>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</si>
  <si>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</si>
  <si>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</si>
  <si>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</si>
  <si>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</si>
  <si>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</si>
  <si>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</si>
  <si>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</si>
  <si>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</si>
  <si>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</si>
  <si>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</si>
  <si>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</si>
  <si>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</si>
  <si>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</si>
  <si>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</si>
  <si>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</si>
  <si>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</si>
  <si>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</si>
  <si>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</si>
  <si>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</si>
  <si>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</si>
  <si>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</si>
  <si>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</si>
  <si>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</si>
  <si>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</si>
  <si>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</si>
  <si>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</si>
  <si>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</si>
  <si>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</si>
  <si>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</si>
  <si>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</si>
  <si>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</si>
  <si>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</si>
  <si>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</si>
  <si>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</si>
  <si>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</si>
  <si>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</si>
  <si>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</si>
  <si>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</si>
  <si>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</si>
  <si>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</si>
  <si>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</si>
  <si>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</si>
  <si>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</si>
  <si>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</si>
  <si>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</si>
  <si>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</si>
  <si>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</si>
  <si>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</si>
  <si>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</si>
  <si>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</si>
  <si>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</si>
  <si>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</si>
  <si>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</si>
  <si>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</si>
  <si>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</si>
  <si>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</si>
  <si>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</si>
  <si>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</si>
  <si>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</si>
  <si>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</si>
  <si>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</si>
  <si>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</si>
  <si>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</si>
  <si>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</si>
  <si>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</si>
  <si>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</si>
  <si>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</si>
  <si>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</si>
  <si>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</si>
  <si>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</si>
  <si>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</si>
  <si>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</si>
  <si>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</si>
  <si>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</si>
  <si>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</si>
  <si>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</si>
  <si>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</si>
  <si>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</si>
  <si>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</si>
  <si>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</si>
  <si>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</si>
  <si>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</si>
  <si>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</si>
  <si>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</si>
  <si>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</si>
  <si>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</si>
  <si>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</si>
  <si>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</si>
  <si>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</si>
  <si>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</si>
  <si>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</si>
  <si>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</si>
  <si>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</si>
  <si>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</si>
  <si>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</si>
  <si>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</si>
  <si>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</si>
  <si>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</si>
  <si>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</si>
  <si>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</si>
  <si>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</si>
  <si>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</si>
  <si>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</si>
  <si>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</si>
  <si>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</si>
  <si>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</si>
  <si>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</si>
  <si>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</si>
  <si>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</si>
  <si>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</si>
  <si>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</si>
  <si>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</si>
  <si>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</si>
  <si>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</si>
  <si>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</si>
  <si>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</si>
  <si>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</si>
  <si>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</si>
  <si>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</si>
  <si>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</si>
  <si>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</si>
  <si>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</si>
  <si>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</si>
  <si>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</si>
  <si>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</si>
  <si>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</si>
  <si>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</si>
  <si>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</si>
  <si>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</si>
  <si>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</si>
  <si>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</si>
  <si>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</si>
  <si>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</si>
  <si>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</si>
  <si>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</si>
  <si>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</si>
  <si>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</si>
  <si>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</si>
  <si>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</si>
  <si>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</si>
  <si>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</si>
  <si>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</si>
  <si>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</si>
  <si>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</si>
  <si>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</si>
  <si>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</si>
  <si>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</si>
  <si>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</si>
  <si>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</si>
  <si>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</si>
  <si>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</si>
  <si>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</si>
  <si>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</si>
  <si>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</si>
  <si>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</si>
  <si>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</si>
  <si>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</si>
  <si>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</si>
  <si>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</si>
  <si>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</si>
  <si>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</si>
  <si>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</si>
  <si>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</si>
  <si>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</si>
  <si>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</si>
  <si>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</si>
  <si>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</si>
  <si>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</si>
  <si>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</si>
  <si>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</si>
  <si>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</si>
  <si>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</si>
  <si>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</si>
  <si>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</si>
  <si>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</si>
  <si>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</si>
  <si>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</si>
  <si>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</si>
  <si>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</si>
  <si>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</si>
  <si>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</si>
  <si>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</si>
  <si>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</si>
  <si>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</si>
  <si>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</si>
  <si>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</si>
  <si>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</si>
  <si>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</si>
  <si>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</si>
  <si>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</si>
  <si>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</si>
  <si>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</si>
  <si>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</si>
  <si>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</si>
  <si>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</si>
  <si>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</si>
  <si>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</si>
  <si>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</si>
  <si>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</si>
  <si>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</si>
  <si>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</si>
  <si>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</si>
  <si>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</si>
  <si>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</si>
  <si>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</si>
  <si>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</si>
  <si>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</si>
  <si>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</si>
  <si>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</si>
  <si>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</si>
  <si>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</si>
  <si>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</si>
  <si>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</si>
  <si>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</si>
  <si>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</si>
  <si>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</si>
  <si>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</si>
  <si>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</si>
  <si>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</si>
  <si>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</si>
  <si>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</si>
  <si>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</si>
  <si>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</si>
  <si>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</si>
  <si>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</si>
  <si>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</si>
  <si>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</si>
  <si>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</si>
  <si>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</si>
  <si>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</si>
  <si>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</si>
  <si>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</si>
  <si>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</si>
  <si>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</si>
  <si>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</si>
  <si>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</si>
  <si>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</si>
  <si>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</si>
  <si>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</si>
  <si>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</si>
  <si>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</si>
  <si>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</si>
  <si>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</si>
  <si>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</si>
  <si>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</si>
  <si>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</si>
  <si>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</si>
  <si>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</si>
  <si>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</si>
  <si>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</si>
  <si>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</si>
  <si>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</si>
  <si>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</si>
  <si>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</si>
  <si>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</si>
  <si>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</si>
  <si>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</si>
  <si>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</si>
  <si>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</si>
  <si>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</si>
  <si>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</si>
  <si>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</si>
  <si>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</si>
  <si>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</si>
  <si>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</si>
  <si>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</si>
  <si>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</si>
  <si>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</si>
  <si>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</si>
  <si>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</si>
  <si>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</si>
  <si>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</si>
  <si>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</si>
  <si>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</si>
  <si>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</si>
  <si>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</si>
  <si>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</si>
  <si>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</si>
  <si>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</si>
  <si>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</si>
  <si>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</si>
  <si>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</si>
  <si>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</si>
  <si>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</si>
  <si>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</si>
  <si>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</si>
  <si>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</si>
  <si>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</si>
  <si>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</si>
  <si>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</si>
  <si>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</si>
  <si>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</si>
  <si>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</si>
  <si>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</si>
  <si>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</si>
  <si>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</si>
  <si>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</si>
  <si>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</si>
  <si>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</si>
  <si>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</si>
  <si>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</si>
  <si>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</si>
  <si>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</si>
  <si>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</si>
  <si>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</si>
  <si>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</si>
  <si>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</si>
  <si>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</si>
  <si>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</si>
  <si>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</si>
  <si>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</si>
  <si>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</si>
  <si>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</si>
  <si>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</si>
  <si>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</si>
  <si>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</si>
  <si>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</si>
  <si>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</si>
  <si>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</si>
  <si>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</si>
  <si>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</si>
  <si>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</si>
  <si>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</si>
  <si>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</si>
  <si>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</si>
  <si>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</si>
  <si>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</si>
  <si>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</si>
  <si>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</si>
  <si>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</si>
  <si>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</si>
  <si>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</si>
  <si>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</si>
  <si>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</si>
  <si>
    <t>Bicycling</t>
  </si>
  <si>
    <t>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</si>
</sst>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9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5" fillId="0" borderId="0" xfId="1" applyNumberFormat="1" applyFont="1"/>
    <xf numFmtId="0" fontId="7" fillId="0" borderId="0" xfId="0" applyFont="1"/>
    <xf numFmtId="1" fontId="7" fillId="0" borderId="0" xfId="0" applyNumberFormat="1" applyFont="1"/>
    <xf numFmtId="0" fontId="5" fillId="0" borderId="0" xfId="0" applyNumberFormat="1" applyFont="1"/>
    <xf numFmtId="1" fontId="7" fillId="2" borderId="0" xfId="0" applyNumberFormat="1" applyFont="1" applyFill="1"/>
    <xf numFmtId="1" fontId="7" fillId="0" borderId="0" xfId="0" applyNumberFormat="1" applyFont="1" applyFill="1"/>
    <xf numFmtId="2" fontId="7" fillId="0" borderId="0" xfId="0" applyNumberFormat="1" applyFont="1" applyFill="1"/>
    <xf numFmtId="0" fontId="11" fillId="0" borderId="0" xfId="0" applyFont="1"/>
    <xf numFmtId="0" fontId="7" fillId="0" borderId="0" xfId="1" applyNumberFormat="1" applyFont="1"/>
    <xf numFmtId="9" fontId="7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ColWidth="8.85546875"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382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E4" sqref="E4"/>
    </sheetView>
  </sheetViews>
  <sheetFormatPr defaultColWidth="8.85546875"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42578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75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76">
        <f>SUM('INPUT - Housing per plan '!N9:O10)-'BASIS - Housing demand'!I4</f>
        <v>-653.90301837599327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76">
        <f>SUM('INPUT - Housing per plan '!N3:O3)+SUM('INPUT - Housing per plan '!N19:O21)-'BASIS - Housing demand'!I3</f>
        <v>-806.5318759557772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76">
        <f>SUM('INPUT - Housing per plan '!N4:O8)-'BASIS - Housing demand'!I5</f>
        <v>-2002.9590551279803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76">
        <f>SUM('INPUT - Housing per plan '!N11:O18)-'BASIS - Housing demand'!I6</f>
        <v>-5082.9177718167921</v>
      </c>
    </row>
    <row r="7" spans="1:5" x14ac:dyDescent="0.25">
      <c r="A7" s="2" t="s">
        <v>281</v>
      </c>
      <c r="C7" s="6"/>
      <c r="D7" s="6"/>
      <c r="E7" s="75">
        <f>SUM('INPUT - Housing per plan '!N3:O21)-'BASIS - Housing demand'!I7</f>
        <v>-63720.124050490107</v>
      </c>
    </row>
    <row r="8" spans="1:5" x14ac:dyDescent="0.25">
      <c r="A8" s="57" t="s">
        <v>13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76">
        <f>SUM('INPUT - Housing per plan '!N3:O21)-'BASIS - Housing demand'!I8</f>
        <v>-8546.3117212765428</v>
      </c>
    </row>
    <row r="9" spans="1:5" x14ac:dyDescent="0.25">
      <c r="E9" s="77"/>
    </row>
    <row r="10" spans="1:5" x14ac:dyDescent="0.25">
      <c r="E10" s="55"/>
    </row>
    <row r="11" spans="1:5" x14ac:dyDescent="0.25">
      <c r="A11" t="s">
        <v>331</v>
      </c>
    </row>
    <row r="12" spans="1:5" x14ac:dyDescent="0.25">
      <c r="A12" t="s">
        <v>332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6"/>
  <sheetViews>
    <sheetView workbookViewId="0">
      <selection activeCell="F20" sqref="F20"/>
    </sheetView>
  </sheetViews>
  <sheetFormatPr defaultColWidth="8.85546875"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42578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2895644.6780366879</v>
      </c>
      <c r="D3" s="6">
        <f>'Indicator 3 Finances'!B17</f>
        <v>0</v>
      </c>
      <c r="E3">
        <f t="shared" ref="E3:E6" si="0">C3-D3</f>
        <v>2895644.6780366879</v>
      </c>
    </row>
    <row r="4" spans="1:5" x14ac:dyDescent="0.25">
      <c r="A4" t="s">
        <v>3</v>
      </c>
      <c r="B4" t="s">
        <v>43</v>
      </c>
      <c r="C4" s="57">
        <f>'INPUT - Housing per plan '!T3+SUM('INPUT - Housing per plan '!T19:T21)</f>
        <v>10208915.358117528</v>
      </c>
      <c r="D4" s="6">
        <f>'Indicator 3 Finances'!B18</f>
        <v>0</v>
      </c>
      <c r="E4">
        <f t="shared" si="0"/>
        <v>10208915.358117528</v>
      </c>
    </row>
    <row r="5" spans="1:5" x14ac:dyDescent="0.25">
      <c r="A5" t="s">
        <v>4</v>
      </c>
      <c r="B5" t="s">
        <v>43</v>
      </c>
      <c r="C5">
        <f>SUM('INPUT - Housing per plan '!T4:T8)</f>
        <v>7380315.8002510583</v>
      </c>
      <c r="D5" s="6">
        <f>'Indicator 3 Finances'!B19</f>
        <v>0</v>
      </c>
      <c r="E5">
        <f t="shared" si="0"/>
        <v>7380315.8002510583</v>
      </c>
    </row>
    <row r="6" spans="1:5" x14ac:dyDescent="0.25">
      <c r="A6" t="s">
        <v>1</v>
      </c>
      <c r="B6" t="s">
        <v>43</v>
      </c>
      <c r="C6" s="57">
        <f>SUM('INPUT - Housing per plan '!T11:T18)</f>
        <v>27691206.75585781</v>
      </c>
      <c r="D6" s="6">
        <f>'Indicator 3 Finances'!B20</f>
        <v>0</v>
      </c>
      <c r="E6">
        <f t="shared" si="0"/>
        <v>27691206.75585781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333</v>
      </c>
      <c r="C24" s="1" t="s">
        <v>334</v>
      </c>
      <c r="D24" s="1" t="s">
        <v>186</v>
      </c>
    </row>
    <row r="25" spans="1:4" x14ac:dyDescent="0.25">
      <c r="A25" t="s">
        <v>320</v>
      </c>
      <c r="B25" s="73">
        <f>'INPUT - Housing per plan '!T11+'INPUT - Housing per plan '!T12+SUM('INPUT - Housing per plan '!T15:T18)</f>
        <v>8556317.0133025888</v>
      </c>
      <c r="C25" s="57">
        <f>SUMIFS('INPUT - Infra Projects'!I3:I38,'INPUT - Infra Projects'!R3:R38,"1",'INPUT - Infra Projects'!M3:M38,"p1")*1000000</f>
        <v>1124000000</v>
      </c>
      <c r="D25" s="6">
        <f>SUM(B25-C25)</f>
        <v>-1115443682.9866974</v>
      </c>
    </row>
    <row r="26" spans="1:4" x14ac:dyDescent="0.25">
      <c r="A26" t="s">
        <v>321</v>
      </c>
      <c r="B26" s="73">
        <f>'INPUT - Housing per plan '!T13+'INPUT - Housing per plan '!T14</f>
        <v>19134889.742555223</v>
      </c>
      <c r="C26" s="57">
        <f>SUMIFS('INPUT - Infra Projects'!I3:I38,'INPUT - Infra Projects'!R3:R38,"1",'INPUT - Infra Projects'!M3:M38,"p2")</f>
        <v>488.2</v>
      </c>
      <c r="D26" s="6">
        <f t="shared" ref="D26:D29" si="1">SUM(B26-C26)</f>
        <v>19134401.542555224</v>
      </c>
    </row>
    <row r="27" spans="1:4" x14ac:dyDescent="0.25">
      <c r="A27" t="s">
        <v>322</v>
      </c>
      <c r="B27" s="73">
        <f>'INPUT - Housing per plan '!T4+'INPUT - Housing per plan '!T5+'INPUT - Housing per plan '!T6+'INPUT - Housing per plan '!T7+'INPUT - Housing per plan '!T8</f>
        <v>7380315.8002510583</v>
      </c>
      <c r="C27" s="57">
        <f>SUMIFS('INPUT - Infra Projects'!I3:I38,'INPUT - Infra Projects'!R3:R38,"1",'INPUT - Infra Projects'!M3:M38,"p3")</f>
        <v>266.8</v>
      </c>
      <c r="D27" s="6">
        <f t="shared" si="1"/>
        <v>7380049.0002510585</v>
      </c>
    </row>
    <row r="28" spans="1:4" x14ac:dyDescent="0.25">
      <c r="A28" t="s">
        <v>323</v>
      </c>
      <c r="B28" s="73">
        <f>'INPUT - Housing per plan '!T3+SUM('INPUT - Housing per plan '!T19:T21)</f>
        <v>10208915.358117528</v>
      </c>
      <c r="C28" s="59">
        <f>SUMIFS('INPUT - Infra Projects'!I3:I38,'INPUT - Infra Projects'!R3:R38,"1",'INPUT - Infra Projects'!M3:M38,"p4")</f>
        <v>274</v>
      </c>
      <c r="D28" s="6">
        <f t="shared" si="1"/>
        <v>10208641.358117528</v>
      </c>
    </row>
    <row r="29" spans="1:4" x14ac:dyDescent="0.25">
      <c r="A29" t="s">
        <v>324</v>
      </c>
      <c r="B29" s="73">
        <f>'INPUT - Housing per plan '!T9+'INPUT - Housing per plan '!T10</f>
        <v>2895644.6780366879</v>
      </c>
      <c r="C29" s="57">
        <f>SUMIFS('INPUT - Infra Projects'!I3:I38,'INPUT - Infra Projects'!R3:R38,"1",'INPUT - Infra Projects'!M3:M38,"p5")</f>
        <v>116</v>
      </c>
      <c r="D29" s="6">
        <f t="shared" si="1"/>
        <v>2895528.6780366879</v>
      </c>
    </row>
    <row r="30" spans="1:4" x14ac:dyDescent="0.25">
      <c r="A30" t="s">
        <v>325</v>
      </c>
      <c r="B30">
        <v>0</v>
      </c>
      <c r="C30">
        <f>SUMIFS('INPUT - Infra Projects'!I3:I38,'INPUT - Infra Projects'!R3:R38,"1",'INPUT - Infra Projects'!M3:M38,"p6")</f>
        <v>0</v>
      </c>
      <c r="D30">
        <f t="shared" ref="D30:D31" si="2">B30-C30</f>
        <v>0</v>
      </c>
    </row>
    <row r="31" spans="1:4" x14ac:dyDescent="0.25">
      <c r="A31" t="s">
        <v>326</v>
      </c>
      <c r="B31">
        <v>0</v>
      </c>
      <c r="C31">
        <f>SUMIFS('INPUT - Infra Projects'!I3:I38,'INPUT - Infra Projects'!R3:R38,"1",'INPUT - Infra Projects'!M3:M38,"p7")</f>
        <v>0</v>
      </c>
      <c r="D31">
        <f t="shared" si="2"/>
        <v>0</v>
      </c>
    </row>
    <row r="33" spans="1:4" x14ac:dyDescent="0.25">
      <c r="A33" s="57" t="s">
        <v>13</v>
      </c>
      <c r="B33" s="59">
        <f>SUM('INPUT - Housing per plan '!T3:T21)</f>
        <v>48176082.59226308</v>
      </c>
      <c r="C33" s="57">
        <f>SUM(C25:C29)</f>
        <v>1124001145</v>
      </c>
      <c r="D33" s="59">
        <f>SUM(D25:D29)</f>
        <v>-1075825062.4077368</v>
      </c>
    </row>
    <row r="34" spans="1:4" x14ac:dyDescent="0.25">
      <c r="A34" t="s">
        <v>88</v>
      </c>
      <c r="B34" s="6"/>
    </row>
    <row r="35" spans="1:4" x14ac:dyDescent="0.25">
      <c r="A35" t="s">
        <v>328</v>
      </c>
    </row>
    <row r="36" spans="1:4" x14ac:dyDescent="0.25">
      <c r="A36" t="s">
        <v>154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20"/>
  <sheetViews>
    <sheetView workbookViewId="0">
      <selection activeCell="B19" sqref="B19"/>
    </sheetView>
  </sheetViews>
  <sheetFormatPr defaultColWidth="8.85546875"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307</v>
      </c>
      <c r="E1" s="1" t="s">
        <v>312</v>
      </c>
      <c r="H1" s="1" t="s">
        <v>311</v>
      </c>
    </row>
    <row r="2" spans="1:10" x14ac:dyDescent="0.25">
      <c r="A2" s="1" t="s">
        <v>5</v>
      </c>
      <c r="B2" t="s">
        <v>308</v>
      </c>
      <c r="C2" t="s">
        <v>309</v>
      </c>
      <c r="D2" t="s">
        <v>310</v>
      </c>
      <c r="E2" t="s">
        <v>308</v>
      </c>
      <c r="F2" t="s">
        <v>309</v>
      </c>
      <c r="G2" t="s">
        <v>310</v>
      </c>
      <c r="H2" t="s">
        <v>308</v>
      </c>
      <c r="I2" t="s">
        <v>309</v>
      </c>
      <c r="J2" t="s">
        <v>310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78"/>
      <c r="B10" s="78" t="s">
        <v>339</v>
      </c>
      <c r="C10" s="78"/>
      <c r="D10" s="78" t="s">
        <v>340</v>
      </c>
      <c r="E10" s="78"/>
      <c r="F10" s="78" t="s">
        <v>342</v>
      </c>
      <c r="G10" s="78"/>
      <c r="H10" s="72"/>
    </row>
    <row r="11" spans="1:10" x14ac:dyDescent="0.25">
      <c r="A11" s="72" t="s">
        <v>320</v>
      </c>
      <c r="B11" s="79">
        <f>(SUMIFS('INPUT - Housing per plan '!$L$3:$L$21,'INPUT - Housing per plan '!$E$3:$E$21,"p1",'BASIS - Accessiblity of plans'!$F$3:$F$21,"1"))/(SUMIFS('INPUT - Housing per plan '!$L$3:$L$21,'INPUT - Housing per plan '!$E$3:$E$21,"p1"))*100</f>
        <v>100</v>
      </c>
      <c r="C11" s="72"/>
      <c r="D11" s="72">
        <f>(SUMIFS('INPUT - Housing per plan '!$L$3:$L$21,'INPUT - Housing per plan '!$E$3:$E$21,"p1",'INPUT - Housing per plan '!$F$3:$F$21,"1"))/(SUMIFS('INPUT - Housing per plan '!$L$3:$L$21,'INPUT - Housing per plan '!$E$3:$E$21,"p1"))*100</f>
        <v>100</v>
      </c>
      <c r="E11" s="72"/>
      <c r="F11" s="72">
        <f>(SUMIFS('INPUT - Housing per plan '!$O$3:$O$21,'INPUT - Housing per plan '!$E$3:$E$21,"p1"))/(SUMIFS('INPUT - Housing per plan '!$L$3:$L$21,'INPUT - Housing per plan '!$E$3:$E$21,"p1"))*100</f>
        <v>0</v>
      </c>
      <c r="G11" s="72"/>
      <c r="H11" s="72"/>
    </row>
    <row r="12" spans="1:10" x14ac:dyDescent="0.25">
      <c r="A12" s="72" t="s">
        <v>321</v>
      </c>
      <c r="B12" s="79">
        <f>(SUMIFS('INPUT - Housing per plan '!$L$3:$L$21,'INPUT - Housing per plan '!$E$3:$E$21,"p2",'BASIS - Accessiblity of plans'!$F$3:$F$21,"1"))/(SUMIFS('INPUT - Housing per plan '!$L$3:$L$21,'INPUT - Housing per plan '!$E$3:$E$21,"p2"))*100</f>
        <v>63.157894736842103</v>
      </c>
      <c r="C12" s="72"/>
      <c r="D12" s="72">
        <f>(SUMIFS('INPUT - Housing per plan '!$L$3:$L$21,'INPUT - Housing per plan '!$E$3:$E$21,"p2",'INPUT - Housing per plan '!$F$3:$F$21,"1"))/(SUMIFS('INPUT - Housing per plan '!$L$3:$L$21,'INPUT - Housing per plan '!$E$3:$E$21,"p2"))*100</f>
        <v>100</v>
      </c>
      <c r="E12" s="72"/>
      <c r="F12" s="72">
        <f>(SUMIFS('INPUT - Housing per plan '!$O$3:$O$21,'INPUT - Housing per plan '!$E$3:$E$21,"p2"))/(SUMIFS('INPUT - Housing per plan '!$L$3:$L$21,'INPUT - Housing per plan '!$E$3:$E$21,"p2"))*100</f>
        <v>0</v>
      </c>
      <c r="G12" s="72"/>
      <c r="H12" s="72"/>
    </row>
    <row r="13" spans="1:10" x14ac:dyDescent="0.25">
      <c r="A13" s="72" t="s">
        <v>322</v>
      </c>
      <c r="B13" s="79">
        <f>(SUMIFS('INPUT - Housing per plan '!$L$3:$L$21,'INPUT - Housing per plan '!$E$3:$E$21,"p3",'BASIS - Accessiblity of plans'!$F$3:$F$21,"1"))/(SUMIFS('INPUT - Housing per plan '!$L$3:$L$21,'INPUT - Housing per plan '!$E$3:$E$21,"p3"))*100</f>
        <v>77.715877437325915</v>
      </c>
      <c r="C13" s="72"/>
      <c r="D13" s="72">
        <f>(SUMIFS('INPUT - Housing per plan '!$L$3:$L$21,'INPUT - Housing per plan '!$E$3:$E$21,"p3",'INPUT - Housing per plan '!$F$3:$F$21,"1"))/(SUMIFS('INPUT - Housing per plan '!$L$3:$L$21,'INPUT - Housing per plan '!$E$3:$E$21,"p3"))*100</f>
        <v>8.3565459610027855</v>
      </c>
      <c r="E13" s="72"/>
      <c r="F13" s="72">
        <f>(SUMIFS('INPUT - Housing per plan '!$O$3:$O$21,'INPUT - Housing per plan '!$E$3:$E$21,"p3"))/(SUMIFS('INPUT - Housing per plan '!$L$3:$L$21,'INPUT - Housing per plan '!$E$3:$E$21,"p3"))*100</f>
        <v>0</v>
      </c>
      <c r="G13" s="72"/>
      <c r="H13" s="72"/>
    </row>
    <row r="14" spans="1:10" x14ac:dyDescent="0.25">
      <c r="A14" s="72" t="s">
        <v>323</v>
      </c>
      <c r="B14" s="79">
        <f>(SUMIFS('INPUT - Housing per plan '!$L$3:$L$21,'INPUT - Housing per plan '!$E$3:$E$21,"p4",'BASIS - Accessiblity of plans'!$F$3:$F$21,"1"))/(SUMIFS('INPUT - Housing per plan '!$L$3:$L$21,'INPUT - Housing per plan '!$E$3:$E$21,"p4"))*100</f>
        <v>100</v>
      </c>
      <c r="C14" s="72"/>
      <c r="D14" s="72">
        <f>(SUMIFS('INPUT - Housing per plan '!$L$3:$L$21,'INPUT - Housing per plan '!$E$3:$E$21,"p4",'INPUT - Housing per plan '!$F$3:$F$21,"1"))/(SUMIFS('INPUT - Housing per plan '!$L$3:$L$21,'INPUT - Housing per plan '!$E$3:$E$21,"p4"))*100</f>
        <v>100</v>
      </c>
      <c r="E14" s="72"/>
      <c r="F14" s="72">
        <f>(SUMIFS('INPUT - Housing per plan '!$O$3:$O$21,'INPUT - Housing per plan '!$E$3:$E$21,"p4"))/(SUMIFS('INPUT - Housing per plan '!$L$3:$L$21,'INPUT - Housing per plan '!$E$3:$E$21,"p4"))*100</f>
        <v>0</v>
      </c>
      <c r="G14" s="72"/>
      <c r="H14" s="72"/>
    </row>
    <row r="15" spans="1:10" x14ac:dyDescent="0.25">
      <c r="A15" s="72" t="s">
        <v>324</v>
      </c>
      <c r="B15" s="79">
        <f>(SUMIFS('INPUT - Housing per plan '!$L$3:$L$21,'INPUT - Housing per plan '!$E$3:$E$21,"p5",'BASIS - Accessiblity of plans'!$F$3:$F$21,"1"))/(SUMIFS('INPUT - Housing per plan '!$L$3:$L$21,'INPUT - Housing per plan '!$E$3:$E$21,"p5"))*100</f>
        <v>0</v>
      </c>
      <c r="C15" s="72"/>
      <c r="D15" s="72">
        <f>(SUMIFS('INPUT - Housing per plan '!$L$3:$L$21,'INPUT - Housing per plan '!$E$3:$E$21,"p5",'INPUT - Housing per plan '!$F$3:$F$21,"1"))/(SUMIFS('INPUT - Housing per plan '!$L$3:$L$21,'INPUT - Housing per plan '!$E$3:$E$21,"p5"))*100</f>
        <v>0</v>
      </c>
      <c r="E15" s="72"/>
      <c r="F15" s="72">
        <f>(SUMIFS('INPUT - Housing per plan '!$O$3:$O$21,'INPUT - Housing per plan '!$E$3:$E$21,"p5"))/(SUMIFS('INPUT - Housing per plan '!$L$3:$L$21,'INPUT - Housing per plan '!$E$3:$E$21,"p5"))*100</f>
        <v>0</v>
      </c>
      <c r="G15" s="72"/>
      <c r="H15" s="72"/>
    </row>
    <row r="16" spans="1:10" x14ac:dyDescent="0.25">
      <c r="A16" s="72" t="s">
        <v>325</v>
      </c>
      <c r="B16" s="8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C16" s="72"/>
      <c r="D16" s="72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E16" s="72"/>
      <c r="F16" s="72" t="e">
        <f>(SUMIFS('INPUT - Housing per plan '!$O$3:$O$21,'INPUT - Housing per plan '!$E$3:$E$21,"p6"))/(SUMIFS('INPUT - Housing per plan '!$L$3:$L$21,'INPUT - Housing per plan '!$E$3:$E$21,"p6"))*100</f>
        <v>#DIV/0!</v>
      </c>
      <c r="G16" s="72"/>
      <c r="H16" s="72"/>
    </row>
    <row r="17" spans="1:8" x14ac:dyDescent="0.25">
      <c r="A17" s="72" t="s">
        <v>326</v>
      </c>
      <c r="B17" s="8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C17" s="72"/>
      <c r="D17" s="72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E17" s="72"/>
      <c r="F17" s="72" t="e">
        <f>(SUMIFS('INPUT - Housing per plan '!$O$3:$O$21,'INPUT - Housing per plan '!$E$3:$E$21,"p7"))/(SUMIFS('INPUT - Housing per plan '!$L$3:$L$21,'INPUT - Housing per plan '!$E$3:$E$21,"p7"))*100</f>
        <v>#DIV/0!</v>
      </c>
      <c r="G17" s="72"/>
      <c r="H17" s="72"/>
    </row>
    <row r="18" spans="1:8" x14ac:dyDescent="0.25">
      <c r="A18" s="72" t="s">
        <v>13</v>
      </c>
      <c r="B18" s="71">
        <f>(SUMIFS('INPUT - Housing per plan '!$L$3:$L$21,'BASIS - Accessiblity of plans'!$F$3:$F$21,"1"))/(SUM('INPUT - Housing per plan '!$L$3:$L$21))*100</f>
        <v>74.791209637070395</v>
      </c>
      <c r="C18" s="72"/>
      <c r="D18" s="72">
        <f>(SUMIFS('INPUT - Housing per plan '!$L$3:$L$21,'INPUT - Housing per plan '!$F$3:$F$21,"1"))/(SUM('INPUT - Housing per plan '!$L$3:$L$21))*100</f>
        <v>73.886772120232465</v>
      </c>
      <c r="E18" s="72"/>
      <c r="F18" s="72">
        <f>(SUM('INPUT - Housing per plan '!$O$3:$O$21))/(SUM('INPUT - Housing per plan '!$L$3:$L$21))*100</f>
        <v>0</v>
      </c>
      <c r="G18" s="72"/>
      <c r="H18" s="72"/>
    </row>
    <row r="19" spans="1:8" x14ac:dyDescent="0.25">
      <c r="A19" s="72"/>
      <c r="B19" s="72"/>
      <c r="C19" s="72"/>
      <c r="D19" s="72"/>
      <c r="E19" s="72"/>
      <c r="F19" s="72"/>
      <c r="G19" s="72"/>
      <c r="H19" s="72"/>
    </row>
    <row r="20" spans="1:8" x14ac:dyDescent="0.25">
      <c r="A20" s="72"/>
      <c r="B20" s="72"/>
      <c r="C20" s="72"/>
      <c r="D20" s="72"/>
      <c r="E20" s="72"/>
      <c r="F20" s="72"/>
      <c r="G20" s="72"/>
      <c r="H20" s="7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ColWidth="8.85546875"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42578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ColWidth="8.85546875"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ColWidth="8.85546875" defaultRowHeight="15" x14ac:dyDescent="0.25"/>
  <cols>
    <col min="1" max="1" width="8.85546875" style="57"/>
    <col min="2" max="2" width="42.42578125" bestFit="1" customWidth="1"/>
    <col min="3" max="4" width="15.140625" customWidth="1"/>
  </cols>
  <sheetData>
    <row r="1" spans="1:11" x14ac:dyDescent="0.25">
      <c r="A1" s="57" t="s">
        <v>406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6" t="s">
        <v>394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7" t="s">
        <v>195</v>
      </c>
      <c r="B3" t="s">
        <v>18</v>
      </c>
      <c r="C3" t="s">
        <v>3</v>
      </c>
      <c r="D3" s="58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7" t="s">
        <v>199</v>
      </c>
      <c r="B4" t="s">
        <v>21</v>
      </c>
      <c r="C4" t="s">
        <v>4</v>
      </c>
      <c r="D4" s="58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7" t="s">
        <v>200</v>
      </c>
      <c r="B5" s="3" t="s">
        <v>22</v>
      </c>
      <c r="C5" s="3" t="s">
        <v>4</v>
      </c>
      <c r="D5" s="63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7" t="s">
        <v>201</v>
      </c>
      <c r="B6" t="s">
        <v>23</v>
      </c>
      <c r="C6" t="s">
        <v>4</v>
      </c>
      <c r="D6" s="58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7" t="s">
        <v>202</v>
      </c>
      <c r="B7" t="s">
        <v>24</v>
      </c>
      <c r="C7" t="s">
        <v>4</v>
      </c>
      <c r="D7" s="58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7" t="s">
        <v>203</v>
      </c>
      <c r="B8" t="s">
        <v>25</v>
      </c>
      <c r="C8" t="s">
        <v>4</v>
      </c>
      <c r="D8" s="58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7" t="s">
        <v>204</v>
      </c>
      <c r="B9" t="s">
        <v>11</v>
      </c>
      <c r="C9" t="s">
        <v>39</v>
      </c>
      <c r="D9" s="58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7" t="s">
        <v>206</v>
      </c>
      <c r="B10" t="s">
        <v>17</v>
      </c>
      <c r="C10" t="s">
        <v>39</v>
      </c>
      <c r="D10" s="58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7" t="s">
        <v>207</v>
      </c>
      <c r="B11" t="s">
        <v>27</v>
      </c>
      <c r="C11" t="s">
        <v>1</v>
      </c>
      <c r="D11" s="58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7" t="s">
        <v>208</v>
      </c>
      <c r="B12" t="s">
        <v>28</v>
      </c>
      <c r="C12" t="s">
        <v>1</v>
      </c>
      <c r="D12" s="58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7" t="s">
        <v>209</v>
      </c>
      <c r="B13" t="s">
        <v>29</v>
      </c>
      <c r="C13" t="s">
        <v>1</v>
      </c>
      <c r="D13" s="58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7" t="s">
        <v>211</v>
      </c>
      <c r="B14" t="s">
        <v>31</v>
      </c>
      <c r="C14" t="s">
        <v>1</v>
      </c>
      <c r="D14" s="58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7" t="s">
        <v>407</v>
      </c>
      <c r="B15" s="57" t="s">
        <v>396</v>
      </c>
      <c r="C15" s="57" t="s">
        <v>1</v>
      </c>
      <c r="D15" s="58" t="s">
        <v>397</v>
      </c>
      <c r="E15" s="51" t="s">
        <v>196</v>
      </c>
      <c r="F15" s="57">
        <v>740</v>
      </c>
      <c r="G15" s="59">
        <f t="shared" si="0"/>
        <v>925</v>
      </c>
      <c r="H15" s="57"/>
      <c r="I15" s="57"/>
      <c r="J15" s="57"/>
      <c r="K15" s="57"/>
    </row>
    <row r="16" spans="1:11" x14ac:dyDescent="0.25">
      <c r="A16" s="57" t="s">
        <v>408</v>
      </c>
      <c r="B16" s="57" t="s">
        <v>399</v>
      </c>
      <c r="C16" s="57" t="s">
        <v>1</v>
      </c>
      <c r="D16" s="58" t="s">
        <v>398</v>
      </c>
      <c r="E16" s="51" t="s">
        <v>196</v>
      </c>
      <c r="F16" s="57">
        <v>741</v>
      </c>
      <c r="G16" s="59">
        <f t="shared" si="0"/>
        <v>926.25</v>
      </c>
      <c r="H16" s="57"/>
      <c r="I16" s="57"/>
      <c r="J16" s="57"/>
      <c r="K16" s="57"/>
    </row>
    <row r="17" spans="1:11" x14ac:dyDescent="0.25">
      <c r="A17" s="57" t="s">
        <v>409</v>
      </c>
      <c r="B17" s="57" t="s">
        <v>400</v>
      </c>
      <c r="C17" s="57" t="s">
        <v>1</v>
      </c>
      <c r="D17" s="58" t="s">
        <v>395</v>
      </c>
      <c r="E17" s="51" t="s">
        <v>196</v>
      </c>
      <c r="F17" s="57">
        <v>694</v>
      </c>
      <c r="G17" s="59">
        <f t="shared" si="0"/>
        <v>867.5</v>
      </c>
      <c r="H17" s="57"/>
      <c r="I17" s="57"/>
      <c r="J17" s="57"/>
      <c r="K17" s="57"/>
    </row>
    <row r="18" spans="1:11" x14ac:dyDescent="0.25">
      <c r="A18" s="57" t="s">
        <v>410</v>
      </c>
      <c r="B18" s="57" t="s">
        <v>393</v>
      </c>
      <c r="C18" s="57" t="s">
        <v>1</v>
      </c>
      <c r="D18" s="58">
        <v>1312</v>
      </c>
      <c r="E18" s="51" t="s">
        <v>196</v>
      </c>
      <c r="F18" s="57">
        <v>250</v>
      </c>
      <c r="G18" s="59">
        <f t="shared" si="0"/>
        <v>312.5</v>
      </c>
      <c r="H18" s="57"/>
      <c r="I18" s="57"/>
      <c r="J18" s="57"/>
      <c r="K18" s="57"/>
    </row>
    <row r="19" spans="1:11" x14ac:dyDescent="0.25">
      <c r="A19" s="57" t="s">
        <v>411</v>
      </c>
      <c r="B19" s="57" t="s">
        <v>402</v>
      </c>
      <c r="C19" s="57" t="s">
        <v>3</v>
      </c>
      <c r="D19" s="58">
        <v>3</v>
      </c>
      <c r="E19" s="57" t="s">
        <v>225</v>
      </c>
      <c r="F19" s="57">
        <v>800</v>
      </c>
      <c r="G19" s="59">
        <f t="shared" si="0"/>
        <v>1000</v>
      </c>
    </row>
    <row r="20" spans="1:11" x14ac:dyDescent="0.25">
      <c r="A20" s="57" t="s">
        <v>412</v>
      </c>
      <c r="B20" s="57" t="s">
        <v>403</v>
      </c>
      <c r="C20" s="57" t="s">
        <v>3</v>
      </c>
      <c r="D20" s="58">
        <v>5</v>
      </c>
      <c r="E20" s="57" t="s">
        <v>225</v>
      </c>
      <c r="F20" s="57">
        <v>200</v>
      </c>
      <c r="G20" s="59">
        <f t="shared" si="0"/>
        <v>250</v>
      </c>
    </row>
    <row r="21" spans="1:11" x14ac:dyDescent="0.25">
      <c r="A21" s="57" t="s">
        <v>413</v>
      </c>
      <c r="B21" s="57" t="s">
        <v>404</v>
      </c>
      <c r="C21" s="57" t="s">
        <v>3</v>
      </c>
      <c r="D21" s="58">
        <v>6</v>
      </c>
      <c r="E21" s="57" t="s">
        <v>225</v>
      </c>
      <c r="F21" s="57">
        <v>200</v>
      </c>
      <c r="G21" s="59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7" t="s">
        <v>423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F3" sqref="F3:F21"/>
    </sheetView>
  </sheetViews>
  <sheetFormatPr defaultColWidth="8.85546875" defaultRowHeight="15" x14ac:dyDescent="0.25"/>
  <cols>
    <col min="1" max="1" width="42.42578125" bestFit="1" customWidth="1"/>
    <col min="2" max="2" width="15.85546875" bestFit="1" customWidth="1"/>
    <col min="5" max="6" width="18.42578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292</v>
      </c>
      <c r="F1" s="1"/>
      <c r="H1" s="3"/>
      <c r="I1" s="3"/>
      <c r="J1" s="26" t="s">
        <v>286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291</v>
      </c>
      <c r="F2" t="s">
        <v>383</v>
      </c>
      <c r="G2" t="s">
        <v>282</v>
      </c>
      <c r="H2" t="s">
        <v>283</v>
      </c>
      <c r="I2" t="s">
        <v>258</v>
      </c>
      <c r="J2" s="3" t="s">
        <v>287</v>
      </c>
      <c r="K2" s="3" t="s">
        <v>282</v>
      </c>
      <c r="L2" s="3" t="s">
        <v>284</v>
      </c>
      <c r="M2" s="3" t="s">
        <v>258</v>
      </c>
      <c r="N2" s="3" t="s">
        <v>285</v>
      </c>
      <c r="O2" s="3" t="s">
        <v>258</v>
      </c>
      <c r="P2" s="3" t="s">
        <v>313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297</v>
      </c>
      <c r="F3">
        <v>1</v>
      </c>
      <c r="G3">
        <v>1000</v>
      </c>
      <c r="H3">
        <v>1</v>
      </c>
      <c r="I3">
        <f>1/H3</f>
        <v>1</v>
      </c>
      <c r="J3" s="3" t="s">
        <v>288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296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294</v>
      </c>
      <c r="F5">
        <v>1</v>
      </c>
      <c r="G5">
        <v>500</v>
      </c>
      <c r="H5">
        <v>1</v>
      </c>
      <c r="I5">
        <f t="shared" si="0"/>
        <v>1</v>
      </c>
      <c r="J5" s="3" t="s">
        <v>289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295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290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293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290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298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299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300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300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302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301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303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304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7" customFormat="1" x14ac:dyDescent="0.25">
      <c r="A15" s="72" t="s">
        <v>396</v>
      </c>
      <c r="B15" s="72" t="s">
        <v>1</v>
      </c>
      <c r="C15" s="55" t="s">
        <v>196</v>
      </c>
      <c r="D15" s="55">
        <v>1</v>
      </c>
      <c r="E15" s="55" t="s">
        <v>300</v>
      </c>
      <c r="F15" s="55">
        <v>1</v>
      </c>
      <c r="G15" s="72">
        <v>5500</v>
      </c>
      <c r="H15" s="72">
        <v>8</v>
      </c>
      <c r="I15" s="72">
        <f>1/H15</f>
        <v>0.125</v>
      </c>
      <c r="J15" s="72" t="s">
        <v>194</v>
      </c>
      <c r="K15" s="72">
        <v>600</v>
      </c>
      <c r="L15" s="72">
        <v>7</v>
      </c>
      <c r="M15" s="55">
        <f>1/L15</f>
        <v>0.14285714285714285</v>
      </c>
      <c r="N15" s="72">
        <v>3</v>
      </c>
      <c r="O15" s="55">
        <f>1/N15</f>
        <v>0.33333333333333331</v>
      </c>
      <c r="P15" s="72">
        <f>O15/2+M15/2</f>
        <v>0.23809523809523808</v>
      </c>
      <c r="Q15" s="72">
        <f>I15/2+M15/2+O15/2</f>
        <v>0.30059523809523808</v>
      </c>
    </row>
    <row r="16" spans="1:17" s="57" customFormat="1" x14ac:dyDescent="0.25">
      <c r="A16" s="72" t="s">
        <v>399</v>
      </c>
      <c r="B16" s="72" t="s">
        <v>1</v>
      </c>
      <c r="C16" s="55" t="s">
        <v>196</v>
      </c>
      <c r="D16" s="55">
        <v>1</v>
      </c>
      <c r="E16" s="55" t="s">
        <v>300</v>
      </c>
      <c r="F16" s="55">
        <v>1</v>
      </c>
      <c r="G16" s="72">
        <v>4300</v>
      </c>
      <c r="H16" s="72">
        <v>7</v>
      </c>
      <c r="I16" s="72">
        <f t="shared" si="0"/>
        <v>0.14285714285714285</v>
      </c>
      <c r="J16" s="72" t="s">
        <v>194</v>
      </c>
      <c r="K16" s="72">
        <v>400</v>
      </c>
      <c r="L16" s="72">
        <v>5</v>
      </c>
      <c r="M16" s="55">
        <f t="shared" si="1"/>
        <v>0.2</v>
      </c>
      <c r="N16" s="72">
        <v>2</v>
      </c>
      <c r="O16" s="55">
        <f t="shared" si="2"/>
        <v>0.5</v>
      </c>
      <c r="P16" s="72">
        <f t="shared" si="3"/>
        <v>0.35</v>
      </c>
      <c r="Q16" s="72">
        <f t="shared" si="4"/>
        <v>0.42142857142857143</v>
      </c>
    </row>
    <row r="17" spans="1:17" s="57" customFormat="1" x14ac:dyDescent="0.25">
      <c r="A17" s="72" t="s">
        <v>400</v>
      </c>
      <c r="B17" s="72" t="s">
        <v>1</v>
      </c>
      <c r="C17" s="55" t="s">
        <v>196</v>
      </c>
      <c r="D17" s="55">
        <v>1</v>
      </c>
      <c r="E17" s="55" t="s">
        <v>300</v>
      </c>
      <c r="F17" s="55">
        <v>1</v>
      </c>
      <c r="G17" s="72">
        <v>6000</v>
      </c>
      <c r="H17" s="72">
        <v>9</v>
      </c>
      <c r="I17" s="72">
        <f t="shared" si="0"/>
        <v>0.1111111111111111</v>
      </c>
      <c r="J17" s="72" t="s">
        <v>194</v>
      </c>
      <c r="K17" s="72">
        <v>900</v>
      </c>
      <c r="L17" s="72">
        <v>7</v>
      </c>
      <c r="M17" s="55">
        <f t="shared" si="1"/>
        <v>0.14285714285714285</v>
      </c>
      <c r="N17" s="72">
        <v>4</v>
      </c>
      <c r="O17" s="55">
        <f t="shared" si="2"/>
        <v>0.25</v>
      </c>
      <c r="P17" s="72">
        <f t="shared" si="3"/>
        <v>0.19642857142857142</v>
      </c>
      <c r="Q17" s="72">
        <f t="shared" si="4"/>
        <v>0.25198412698412698</v>
      </c>
    </row>
    <row r="18" spans="1:17" s="57" customFormat="1" x14ac:dyDescent="0.25">
      <c r="A18" s="72" t="s">
        <v>393</v>
      </c>
      <c r="B18" s="72" t="s">
        <v>1</v>
      </c>
      <c r="C18" s="55" t="s">
        <v>196</v>
      </c>
      <c r="D18" s="55">
        <v>1</v>
      </c>
      <c r="E18" s="55" t="s">
        <v>300</v>
      </c>
      <c r="F18" s="55">
        <v>1</v>
      </c>
      <c r="G18" s="72">
        <v>5200</v>
      </c>
      <c r="H18" s="72">
        <v>8</v>
      </c>
      <c r="I18" s="72">
        <f t="shared" si="0"/>
        <v>0.125</v>
      </c>
      <c r="J18" s="72" t="s">
        <v>194</v>
      </c>
      <c r="K18" s="72">
        <v>850</v>
      </c>
      <c r="L18" s="72">
        <v>11</v>
      </c>
      <c r="M18" s="55">
        <f t="shared" si="1"/>
        <v>9.0909090909090912E-2</v>
      </c>
      <c r="N18" s="72">
        <v>4</v>
      </c>
      <c r="O18" s="55">
        <f t="shared" si="2"/>
        <v>0.25</v>
      </c>
      <c r="P18" s="72">
        <f t="shared" si="3"/>
        <v>0.17045454545454547</v>
      </c>
      <c r="Q18" s="72">
        <f t="shared" si="4"/>
        <v>0.23295454545454547</v>
      </c>
    </row>
    <row r="19" spans="1:17" s="57" customFormat="1" x14ac:dyDescent="0.25">
      <c r="A19" s="72" t="s">
        <v>402</v>
      </c>
      <c r="B19" s="72" t="s">
        <v>3</v>
      </c>
      <c r="C19" s="72" t="s">
        <v>225</v>
      </c>
      <c r="D19" s="72">
        <v>1</v>
      </c>
      <c r="E19" s="72" t="s">
        <v>405</v>
      </c>
      <c r="F19" s="72">
        <v>1</v>
      </c>
      <c r="G19" s="72">
        <v>1700</v>
      </c>
      <c r="H19" s="72">
        <v>6</v>
      </c>
      <c r="I19" s="72">
        <f t="shared" si="0"/>
        <v>0.16666666666666666</v>
      </c>
      <c r="J19" s="72" t="s">
        <v>3</v>
      </c>
      <c r="K19" s="72">
        <v>450</v>
      </c>
      <c r="L19" s="72">
        <v>6</v>
      </c>
      <c r="M19" s="72">
        <f t="shared" si="1"/>
        <v>0.16666666666666666</v>
      </c>
      <c r="N19" s="72">
        <v>6</v>
      </c>
      <c r="O19" s="72">
        <f t="shared" si="2"/>
        <v>0.16666666666666666</v>
      </c>
      <c r="P19" s="72">
        <f t="shared" si="3"/>
        <v>0.16666666666666666</v>
      </c>
      <c r="Q19" s="72">
        <f t="shared" si="4"/>
        <v>0.25</v>
      </c>
    </row>
    <row r="20" spans="1:17" s="57" customFormat="1" x14ac:dyDescent="0.25">
      <c r="A20" s="72" t="s">
        <v>403</v>
      </c>
      <c r="B20" s="72" t="s">
        <v>3</v>
      </c>
      <c r="C20" s="72" t="s">
        <v>225</v>
      </c>
      <c r="D20" s="72">
        <v>1</v>
      </c>
      <c r="E20" s="72" t="s">
        <v>405</v>
      </c>
      <c r="F20" s="73">
        <v>1</v>
      </c>
      <c r="G20" s="72">
        <v>1600</v>
      </c>
      <c r="H20" s="72">
        <v>4</v>
      </c>
      <c r="I20" s="72">
        <f t="shared" si="0"/>
        <v>0.25</v>
      </c>
      <c r="J20" s="72" t="s">
        <v>3</v>
      </c>
      <c r="K20" s="72">
        <v>50</v>
      </c>
      <c r="L20" s="72">
        <v>1</v>
      </c>
      <c r="M20" s="72">
        <f t="shared" si="1"/>
        <v>1</v>
      </c>
      <c r="N20" s="72">
        <v>1</v>
      </c>
      <c r="O20" s="72">
        <f t="shared" si="2"/>
        <v>1</v>
      </c>
      <c r="P20" s="72">
        <f t="shared" si="3"/>
        <v>1</v>
      </c>
      <c r="Q20" s="72">
        <f t="shared" si="4"/>
        <v>1.125</v>
      </c>
    </row>
    <row r="21" spans="1:17" s="57" customFormat="1" x14ac:dyDescent="0.25">
      <c r="A21" s="72" t="s">
        <v>404</v>
      </c>
      <c r="B21" s="72" t="s">
        <v>3</v>
      </c>
      <c r="C21" s="72" t="s">
        <v>225</v>
      </c>
      <c r="D21" s="72">
        <v>1</v>
      </c>
      <c r="E21" s="72" t="s">
        <v>405</v>
      </c>
      <c r="F21" s="73">
        <v>1</v>
      </c>
      <c r="G21" s="72">
        <v>1600</v>
      </c>
      <c r="H21" s="72">
        <v>3</v>
      </c>
      <c r="I21" s="72">
        <f t="shared" si="0"/>
        <v>0.33333333333333331</v>
      </c>
      <c r="J21" s="72" t="s">
        <v>3</v>
      </c>
      <c r="K21" s="72">
        <v>100</v>
      </c>
      <c r="L21" s="72">
        <v>1</v>
      </c>
      <c r="M21" s="72">
        <f t="shared" si="1"/>
        <v>1</v>
      </c>
      <c r="N21" s="72">
        <v>1</v>
      </c>
      <c r="O21" s="72">
        <f t="shared" si="2"/>
        <v>1</v>
      </c>
      <c r="P21" s="72">
        <f t="shared" si="3"/>
        <v>1</v>
      </c>
      <c r="Q21" s="72">
        <f t="shared" si="4"/>
        <v>1.1666666666666665</v>
      </c>
    </row>
    <row r="22" spans="1:17" s="57" customFormat="1" x14ac:dyDescent="0.25"/>
    <row r="23" spans="1:17" s="57" customFormat="1" x14ac:dyDescent="0.25"/>
    <row r="24" spans="1:17" s="57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ColWidth="8.85546875"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82" t="s">
        <v>33</v>
      </c>
      <c r="Q1" s="83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82"/>
      <c r="Q2" s="83"/>
    </row>
    <row r="3" spans="1:18" s="3" customFormat="1" x14ac:dyDescent="0.25">
      <c r="A3" s="84" t="s">
        <v>26</v>
      </c>
      <c r="B3" s="84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81" t="s">
        <v>3</v>
      </c>
      <c r="B4" s="81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7">
        <f>'INPUT - Housing per plan '!I3+SUM('INPUT - Housing per plan '!I19:I21)</f>
        <v>2600</v>
      </c>
      <c r="Q4" s="57">
        <f>C4-P4</f>
        <v>1565</v>
      </c>
      <c r="R4" s="62">
        <f t="shared" ref="R4:R7" si="0">P4/(P4+Q4)</f>
        <v>0.62424969987995194</v>
      </c>
    </row>
    <row r="5" spans="1:18" x14ac:dyDescent="0.25">
      <c r="A5" s="81" t="s">
        <v>38</v>
      </c>
      <c r="B5" s="81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81" t="s">
        <v>39</v>
      </c>
      <c r="B6" s="81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81" t="s">
        <v>1</v>
      </c>
      <c r="B7" s="81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7">
        <f>SUM('INPUT - Housing per plan '!I11:I18)</f>
        <v>15925</v>
      </c>
      <c r="Q7" s="57">
        <f>C7-P7</f>
        <v>7803</v>
      </c>
      <c r="R7" s="62">
        <f t="shared" si="0"/>
        <v>0.67114801078894137</v>
      </c>
    </row>
    <row r="8" spans="1:18" x14ac:dyDescent="0.25">
      <c r="O8" t="s">
        <v>13</v>
      </c>
      <c r="P8" s="57">
        <f>SUM(P3:P7)</f>
        <v>23438</v>
      </c>
      <c r="Q8" s="57">
        <f>SUM(Q3:Q7)</f>
        <v>16451</v>
      </c>
      <c r="R8" s="62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I7" sqref="I7"/>
    </sheetView>
  </sheetViews>
  <sheetFormatPr defaultColWidth="8.85546875"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C41"/>
  <sheetViews>
    <sheetView workbookViewId="0">
      <pane xSplit="1" topLeftCell="B1" activePane="topRight" state="frozen"/>
      <selection pane="topRight" activeCell="G13" sqref="G13"/>
    </sheetView>
  </sheetViews>
  <sheetFormatPr defaultColWidth="8.85546875"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42578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5" max="25" width="16.28515625" customWidth="1"/>
    <col min="26" max="26" width="16.28515625" style="3" customWidth="1"/>
    <col min="27" max="27" width="16.28515625" customWidth="1"/>
    <col min="28" max="28" width="16.140625" bestFit="1" customWidth="1"/>
    <col min="29" max="29" width="15.85546875" style="3" bestFit="1" customWidth="1"/>
    <col min="31" max="36" width="16.28515625" customWidth="1"/>
  </cols>
  <sheetData>
    <row r="1" spans="1:29" x14ac:dyDescent="0.25">
      <c r="B1" s="1"/>
      <c r="C1" s="1"/>
      <c r="G1" s="52" t="s">
        <v>315</v>
      </c>
      <c r="H1" s="52"/>
      <c r="J1"/>
      <c r="K1" s="49" t="s">
        <v>335</v>
      </c>
      <c r="M1" s="49" t="s">
        <v>336</v>
      </c>
      <c r="N1" t="s">
        <v>232</v>
      </c>
      <c r="O1"/>
      <c r="Q1" s="55" t="s">
        <v>316</v>
      </c>
      <c r="R1" t="s">
        <v>243</v>
      </c>
      <c r="S1" s="3"/>
      <c r="V1" s="85" t="s">
        <v>257</v>
      </c>
      <c r="W1" s="85"/>
      <c r="X1" s="85"/>
      <c r="Z1"/>
      <c r="AC1"/>
    </row>
    <row r="2" spans="1:29" x14ac:dyDescent="0.25">
      <c r="A2" t="s">
        <v>166</v>
      </c>
      <c r="B2" t="s">
        <v>0</v>
      </c>
      <c r="C2" t="s">
        <v>380</v>
      </c>
      <c r="D2" t="s">
        <v>5</v>
      </c>
      <c r="E2" t="s">
        <v>175</v>
      </c>
      <c r="F2" t="s">
        <v>244</v>
      </c>
      <c r="G2" s="52" t="s">
        <v>314</v>
      </c>
      <c r="H2" s="53" t="s">
        <v>88</v>
      </c>
      <c r="I2" t="s">
        <v>237</v>
      </c>
      <c r="J2" t="s">
        <v>238</v>
      </c>
      <c r="K2" s="49" t="s">
        <v>391</v>
      </c>
      <c r="L2" s="49" t="s">
        <v>338</v>
      </c>
      <c r="M2" s="49" t="s">
        <v>337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U2" t="s">
        <v>456</v>
      </c>
      <c r="V2" t="s">
        <v>88</v>
      </c>
      <c r="W2" t="s">
        <v>328</v>
      </c>
      <c r="X2" t="s">
        <v>455</v>
      </c>
      <c r="Z2"/>
      <c r="AC2"/>
    </row>
    <row r="3" spans="1:29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30</v>
      </c>
      <c r="L3" s="50">
        <f>K3/100*J3</f>
        <v>525</v>
      </c>
      <c r="M3" s="50">
        <v>0</v>
      </c>
      <c r="N3">
        <f>L3*(100-M3)/100</f>
        <v>525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4287744.4504093621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4287744.4504093621</v>
      </c>
      <c r="U3">
        <v>1</v>
      </c>
      <c r="V3">
        <f>L3*(1.5-'BASIS - Accessiblity of plans'!I3)</f>
        <v>262.5</v>
      </c>
      <c r="W3">
        <f>L3*'BASIS - Accessiblity of plans'!P3:P21</f>
        <v>40.579710144927532</v>
      </c>
      <c r="Z3"/>
      <c r="AC3"/>
    </row>
    <row r="4" spans="1:29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20</v>
      </c>
      <c r="L4" s="50">
        <f t="shared" ref="L4:L21" si="2">K4/100*J4</f>
        <v>300</v>
      </c>
      <c r="M4" s="50">
        <v>0</v>
      </c>
      <c r="N4">
        <f t="shared" ref="N4:N21" si="3">L4*(100-M4)/100</f>
        <v>300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1574083.8873540023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1574083.8873540023</v>
      </c>
      <c r="U4">
        <v>0</v>
      </c>
      <c r="V4">
        <f>L4*(1.5-'BASIS - Accessiblity of plans'!I4)</f>
        <v>150</v>
      </c>
      <c r="W4">
        <f>L4*'BASIS - Accessiblity of plans'!P4:P22</f>
        <v>21.13636363636364</v>
      </c>
      <c r="Z4"/>
      <c r="AC4"/>
    </row>
    <row r="5" spans="1:29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30</v>
      </c>
      <c r="L5" s="50">
        <f t="shared" si="2"/>
        <v>450</v>
      </c>
      <c r="M5" s="50">
        <v>0</v>
      </c>
      <c r="N5">
        <f t="shared" si="3"/>
        <v>450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2361125.8310310035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2361125.8310310035</v>
      </c>
      <c r="U5">
        <v>1</v>
      </c>
      <c r="V5">
        <f>L5*(1.5-'BASIS - Accessiblity of plans'!I5)</f>
        <v>225</v>
      </c>
      <c r="W5">
        <f>L5*'BASIS - Accessiblity of plans'!P5:P23</f>
        <v>43.392857142857139</v>
      </c>
    </row>
    <row r="6" spans="1:29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30</v>
      </c>
      <c r="L6" s="50">
        <f t="shared" si="2"/>
        <v>258.75</v>
      </c>
      <c r="M6" s="50">
        <v>0</v>
      </c>
      <c r="N6">
        <f t="shared" si="3"/>
        <v>258.75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1357647.3528428269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1357647.3528428269</v>
      </c>
      <c r="U6">
        <v>1</v>
      </c>
      <c r="V6">
        <f>L6*(1.5-'BASIS - Accessiblity of plans'!I6)</f>
        <v>336.375</v>
      </c>
      <c r="W6">
        <f>L6*'BASIS - Accessiblity of plans'!P6:P24</f>
        <v>26.092436974789916</v>
      </c>
      <c r="Z6"/>
      <c r="AC6"/>
    </row>
    <row r="7" spans="1:29" x14ac:dyDescent="0.25">
      <c r="A7" t="s">
        <v>202</v>
      </c>
      <c r="B7" t="s">
        <v>24</v>
      </c>
      <c r="C7" t="s">
        <v>381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30</v>
      </c>
      <c r="L7" s="50">
        <f t="shared" si="2"/>
        <v>112.5</v>
      </c>
      <c r="M7" s="50">
        <v>0</v>
      </c>
      <c r="N7">
        <f t="shared" si="3"/>
        <v>112.5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906895.81350772374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906895.81350772374</v>
      </c>
      <c r="U7">
        <v>1</v>
      </c>
      <c r="V7">
        <f>L7*(1.5-'BASIS - Accessiblity of plans'!I7)</f>
        <v>131.25</v>
      </c>
      <c r="W7">
        <f>L7*'BASIS - Accessiblity of plans'!P7:P25</f>
        <v>12.053571428571427</v>
      </c>
      <c r="Z7"/>
      <c r="AC7"/>
    </row>
    <row r="8" spans="1:29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60</v>
      </c>
      <c r="L8" s="50">
        <f t="shared" si="2"/>
        <v>225</v>
      </c>
      <c r="M8" s="50">
        <v>0</v>
      </c>
      <c r="N8">
        <f t="shared" si="3"/>
        <v>225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1180562.9155155018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1180562.9155155018</v>
      </c>
      <c r="U8">
        <v>1</v>
      </c>
      <c r="V8">
        <f>L8*(1.5-'BASIS - Accessiblity of plans'!I8)</f>
        <v>262.5</v>
      </c>
      <c r="W8">
        <f>L8*'BASIS - Accessiblity of plans'!P8:P26</f>
        <v>24.107142857142854</v>
      </c>
      <c r="Z8"/>
      <c r="AC8"/>
    </row>
    <row r="9" spans="1:29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50</v>
      </c>
      <c r="L9" s="50">
        <f t="shared" si="2"/>
        <v>462.5</v>
      </c>
      <c r="M9" s="50">
        <v>0</v>
      </c>
      <c r="N9">
        <f t="shared" si="3"/>
        <v>462.5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2895644.6780366879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2895644.6780366879</v>
      </c>
      <c r="U9">
        <v>0</v>
      </c>
      <c r="V9">
        <f>L9*(1.5-'BASIS - Accessiblity of plans'!I9)</f>
        <v>539.58333333333337</v>
      </c>
      <c r="W9">
        <f>L9*'BASIS - Accessiblity of plans'!P9:P27</f>
        <v>14.650341130604287</v>
      </c>
      <c r="Z9"/>
      <c r="AC9"/>
    </row>
    <row r="10" spans="1:29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0</v>
      </c>
      <c r="L10" s="50">
        <f t="shared" si="2"/>
        <v>0</v>
      </c>
      <c r="M10" s="50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U10" s="3">
        <v>0</v>
      </c>
      <c r="V10">
        <f>L10*(1.5-'BASIS - Accessiblity of plans'!I10)</f>
        <v>0</v>
      </c>
      <c r="W10">
        <f>L10*'BASIS - Accessiblity of plans'!P10:P28</f>
        <v>0</v>
      </c>
      <c r="X10" s="3"/>
      <c r="Z10"/>
      <c r="AA10" s="3"/>
      <c r="AC10"/>
    </row>
    <row r="11" spans="1:29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0</v>
      </c>
      <c r="L11" s="50">
        <f t="shared" si="2"/>
        <v>0</v>
      </c>
      <c r="M11" s="50">
        <v>0</v>
      </c>
      <c r="N11">
        <f t="shared" si="3"/>
        <v>0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0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0</v>
      </c>
      <c r="U11" s="3">
        <v>0</v>
      </c>
      <c r="V11">
        <f>L11*(1.5-'BASIS - Accessiblity of plans'!I11)</f>
        <v>0</v>
      </c>
      <c r="W11">
        <f>L11*'BASIS - Accessiblity of plans'!P11:P29</f>
        <v>0</v>
      </c>
      <c r="X11" s="3"/>
      <c r="Y11" s="3"/>
      <c r="Z11"/>
      <c r="AA11" s="3"/>
      <c r="AC11"/>
    </row>
    <row r="12" spans="1:29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0</v>
      </c>
      <c r="L12" s="50">
        <f t="shared" si="2"/>
        <v>0</v>
      </c>
      <c r="M12" s="50">
        <v>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U12" s="3">
        <v>1</v>
      </c>
      <c r="V12">
        <f>L12*(1.5-'BASIS - Accessiblity of plans'!I12)</f>
        <v>0</v>
      </c>
      <c r="W12">
        <f>L12*'BASIS - Accessiblity of plans'!P12:P30</f>
        <v>0</v>
      </c>
      <c r="X12" s="3"/>
      <c r="Y12" s="3"/>
      <c r="AA12" s="3"/>
      <c r="AC12"/>
    </row>
    <row r="13" spans="1:29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40</v>
      </c>
      <c r="L13" s="50">
        <f t="shared" si="2"/>
        <v>1500</v>
      </c>
      <c r="M13" s="50">
        <v>0</v>
      </c>
      <c r="N13">
        <f t="shared" si="3"/>
        <v>1500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12085193.521613827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12085193.521613827</v>
      </c>
      <c r="U13" s="3">
        <v>1</v>
      </c>
      <c r="V13">
        <f>L13*(1.5-'BASIS - Accessiblity of plans'!I13)</f>
        <v>1875</v>
      </c>
      <c r="W13">
        <f>L13*'BASIS - Accessiblity of plans'!P13:P31</f>
        <v>937.5</v>
      </c>
      <c r="X13" s="3"/>
      <c r="Y13" s="3"/>
      <c r="AA13" s="3"/>
      <c r="AC13"/>
    </row>
    <row r="14" spans="1:29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70</v>
      </c>
      <c r="L14" s="50">
        <f t="shared" si="2"/>
        <v>875</v>
      </c>
      <c r="M14" s="50">
        <v>0</v>
      </c>
      <c r="N14">
        <f t="shared" si="3"/>
        <v>875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7049696.2209413983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7049696.2209413983</v>
      </c>
      <c r="U14" s="3">
        <v>0</v>
      </c>
      <c r="V14">
        <f>L14*(1.5-'BASIS - Accessiblity of plans'!I14)</f>
        <v>1187.5</v>
      </c>
      <c r="W14">
        <f>L14*'BASIS - Accessiblity of plans'!P14:P32</f>
        <v>52.083333333333329</v>
      </c>
      <c r="X14" s="3"/>
      <c r="Y14" s="3"/>
      <c r="AA14" s="3"/>
      <c r="AC14"/>
    </row>
    <row r="15" spans="1:29" x14ac:dyDescent="0.25">
      <c r="A15" s="72" t="s">
        <v>407</v>
      </c>
      <c r="B15" s="72" t="s">
        <v>396</v>
      </c>
      <c r="C15" s="72" t="s">
        <v>414</v>
      </c>
      <c r="D15" s="72" t="s">
        <v>1</v>
      </c>
      <c r="E15" s="55" t="s">
        <v>196</v>
      </c>
      <c r="F15" s="55">
        <v>1</v>
      </c>
      <c r="G15" s="54">
        <f>'BASIS - Accessiblity of plans'!P15</f>
        <v>0.23809523809523808</v>
      </c>
      <c r="H15" s="54">
        <f>'BASIS - Accessiblity of plans'!I15</f>
        <v>0.125</v>
      </c>
      <c r="I15" s="72">
        <v>740</v>
      </c>
      <c r="J15" s="73">
        <f>I15*1.25</f>
        <v>925</v>
      </c>
      <c r="K15" s="50">
        <v>0</v>
      </c>
      <c r="L15" s="50">
        <f>K15/100*J15</f>
        <v>0</v>
      </c>
      <c r="M15" s="50">
        <v>0</v>
      </c>
      <c r="N15" s="72">
        <f>L15*(100-M15)/100</f>
        <v>0</v>
      </c>
      <c r="O15" s="72">
        <f>L15*M15/100</f>
        <v>0</v>
      </c>
      <c r="P15" s="72" t="str">
        <f t="shared" si="0"/>
        <v>TRUE</v>
      </c>
      <c r="Q15" s="55">
        <f>SUM('INPUT - Infra Projects'!AR3:AR38)</f>
        <v>0</v>
      </c>
      <c r="R15" s="55">
        <f>IF(F15=1,N15*('BASIS - Financial data'!E11-'BASIS - Financial data'!D11)*(1+Q15),N15*('BASIS - Financial data'!G11-'BASIS - Financial data'!F11))*(1+Q15)</f>
        <v>0</v>
      </c>
      <c r="S15" s="55">
        <f>IF($F15=1,$O15*('BASIS - Financial data'!$H11-'BASIS - Financial data'!$D11)*(1+Q15),$O15*('BASIS - Financial data'!$I11-'BASIS - Financial data'!$F11))*(1+Q15)</f>
        <v>0</v>
      </c>
      <c r="T15" s="72">
        <f t="shared" si="5"/>
        <v>0</v>
      </c>
      <c r="U15" s="55">
        <v>1</v>
      </c>
      <c r="V15">
        <f>L15*(1.5-'BASIS - Accessiblity of plans'!I15)</f>
        <v>0</v>
      </c>
      <c r="W15">
        <f>L15*'BASIS - Accessiblity of plans'!P15:P33</f>
        <v>0</v>
      </c>
      <c r="Y15" s="3"/>
      <c r="Z15"/>
      <c r="AB15" s="3"/>
      <c r="AC15"/>
    </row>
    <row r="16" spans="1:29" x14ac:dyDescent="0.25">
      <c r="A16" s="72" t="s">
        <v>408</v>
      </c>
      <c r="B16" s="72" t="s">
        <v>399</v>
      </c>
      <c r="C16" s="72" t="s">
        <v>392</v>
      </c>
      <c r="D16" s="72" t="s">
        <v>1</v>
      </c>
      <c r="E16" s="55" t="s">
        <v>196</v>
      </c>
      <c r="F16" s="55">
        <v>1</v>
      </c>
      <c r="G16" s="54">
        <f>'BASIS - Accessiblity of plans'!P16</f>
        <v>0.35</v>
      </c>
      <c r="H16" s="54">
        <f>'BASIS - Accessiblity of plans'!I16</f>
        <v>0.14285714285714285</v>
      </c>
      <c r="I16" s="72">
        <v>741</v>
      </c>
      <c r="J16" s="73">
        <f t="shared" si="1"/>
        <v>926.25</v>
      </c>
      <c r="K16" s="50">
        <v>0</v>
      </c>
      <c r="L16" s="50">
        <f t="shared" si="2"/>
        <v>0</v>
      </c>
      <c r="M16" s="50">
        <v>0</v>
      </c>
      <c r="N16" s="72">
        <f t="shared" si="3"/>
        <v>0</v>
      </c>
      <c r="O16" s="72">
        <f t="shared" si="4"/>
        <v>0</v>
      </c>
      <c r="P16" s="72" t="str">
        <f t="shared" si="0"/>
        <v>TRUE</v>
      </c>
      <c r="Q16" s="55">
        <f>SUM('INPUT - Infra Projects'!AR3:AR38)</f>
        <v>0</v>
      </c>
      <c r="R16" s="55">
        <f>IF(F16=1,N16*('BASIS - Financial data'!E11-'BASIS - Financial data'!D11)*(1+Q16),N16*('BASIS - Financial data'!G11-'BASIS - Financial data'!F11))*(1+Q16)</f>
        <v>0</v>
      </c>
      <c r="S16" s="55">
        <f>IF($F16=1,$O16*('BASIS - Financial data'!$H11-'BASIS - Financial data'!$D11)*(1+Q16),$O16*('BASIS - Financial data'!$I11-'BASIS - Financial data'!$F11))*(1+Q16)</f>
        <v>0</v>
      </c>
      <c r="T16" s="72">
        <f t="shared" si="5"/>
        <v>0</v>
      </c>
      <c r="U16" s="55">
        <v>1</v>
      </c>
      <c r="V16">
        <f>L16*(1.5-'BASIS - Accessiblity of plans'!I16)</f>
        <v>0</v>
      </c>
      <c r="W16">
        <f>L16*'BASIS - Accessiblity of plans'!P16:P34</f>
        <v>0</v>
      </c>
    </row>
    <row r="17" spans="1:29" x14ac:dyDescent="0.25">
      <c r="A17" s="55" t="s">
        <v>409</v>
      </c>
      <c r="B17" s="72" t="s">
        <v>400</v>
      </c>
      <c r="C17" s="72" t="s">
        <v>415</v>
      </c>
      <c r="D17" s="72" t="s">
        <v>1</v>
      </c>
      <c r="E17" s="55" t="s">
        <v>196</v>
      </c>
      <c r="F17" s="55">
        <v>1</v>
      </c>
      <c r="G17" s="54">
        <f>'BASIS - Accessiblity of plans'!P17</f>
        <v>0.19642857142857142</v>
      </c>
      <c r="H17" s="54">
        <f>'BASIS - Accessiblity of plans'!I17</f>
        <v>0.1111111111111111</v>
      </c>
      <c r="I17" s="72">
        <v>694</v>
      </c>
      <c r="J17" s="76">
        <f>I17*1.25</f>
        <v>867.5</v>
      </c>
      <c r="K17" s="50">
        <v>90</v>
      </c>
      <c r="L17" s="50">
        <f t="shared" si="2"/>
        <v>780.75</v>
      </c>
      <c r="M17" s="50">
        <v>0</v>
      </c>
      <c r="N17" s="72">
        <f t="shared" si="3"/>
        <v>780.75</v>
      </c>
      <c r="O17" s="72">
        <f t="shared" si="4"/>
        <v>0</v>
      </c>
      <c r="P17" s="72" t="str">
        <f t="shared" si="0"/>
        <v>TRUE</v>
      </c>
      <c r="Q17" s="55">
        <f>SUM('INPUT - Infra Projects'!AR3:AR38)</f>
        <v>0</v>
      </c>
      <c r="R17" s="72">
        <f>IF(F17=1,N17*('BASIS - Financial data'!E11-'BASIS - Financial data'!D11)*(1+Q17),N17*('BASIS - Financial data'!G11-'BASIS - Financial data'!F11))*(1+Q17)</f>
        <v>6290343.2279999964</v>
      </c>
      <c r="S17" s="55">
        <f>IF($F17=1,$O17*('BASIS - Financial data'!$H11-'BASIS - Financial data'!$D11)*(1+Q17),$O17*('BASIS - Financial data'!$I11-'BASIS - Financial data'!$F11))*(1+Q17)</f>
        <v>0</v>
      </c>
      <c r="T17" s="72">
        <f t="shared" si="5"/>
        <v>6290343.2279999964</v>
      </c>
      <c r="U17" s="55">
        <v>1</v>
      </c>
      <c r="V17">
        <f>L17*(1.5-'BASIS - Accessiblity of plans'!I17)</f>
        <v>1084.375</v>
      </c>
      <c r="W17">
        <f>L17*'BASIS - Accessiblity of plans'!P17:P35</f>
        <v>153.36160714285714</v>
      </c>
      <c r="Y17" s="3"/>
      <c r="Z17"/>
      <c r="AB17" s="3"/>
      <c r="AC17"/>
    </row>
    <row r="18" spans="1:29" x14ac:dyDescent="0.25">
      <c r="A18" s="72" t="s">
        <v>410</v>
      </c>
      <c r="B18" s="72" t="s">
        <v>393</v>
      </c>
      <c r="C18" s="72" t="s">
        <v>393</v>
      </c>
      <c r="D18" s="72" t="s">
        <v>1</v>
      </c>
      <c r="E18" s="55" t="s">
        <v>196</v>
      </c>
      <c r="F18" s="55">
        <v>1</v>
      </c>
      <c r="G18" s="54">
        <f>'BASIS - Accessiblity of plans'!P18</f>
        <v>0.17045454545454547</v>
      </c>
      <c r="H18" s="54">
        <f>'BASIS - Accessiblity of plans'!I18</f>
        <v>0.125</v>
      </c>
      <c r="I18" s="72">
        <v>250</v>
      </c>
      <c r="J18" s="73">
        <f t="shared" si="1"/>
        <v>312.5</v>
      </c>
      <c r="K18" s="50">
        <v>90</v>
      </c>
      <c r="L18" s="50">
        <f t="shared" si="2"/>
        <v>281.25</v>
      </c>
      <c r="M18" s="50">
        <v>0</v>
      </c>
      <c r="N18" s="72">
        <f t="shared" si="3"/>
        <v>281.25</v>
      </c>
      <c r="O18" s="72">
        <f t="shared" si="4"/>
        <v>0</v>
      </c>
      <c r="P18" s="72" t="str">
        <f t="shared" si="0"/>
        <v>TRUE</v>
      </c>
      <c r="Q18" s="55">
        <f>SUM('INPUT - Infra Projects'!AR3:AR38)</f>
        <v>0</v>
      </c>
      <c r="R18" s="55">
        <f>IF(F18=1,N18*('BASIS - Financial data'!E11-'BASIS - Financial data'!D11)*(1+Q18),N18*('BASIS - Financial data'!G11-'BASIS - Financial data'!F11))*(1+Q18)</f>
        <v>2265973.7853025924</v>
      </c>
      <c r="S18" s="55">
        <f>IF($F18=1,$O18*('BASIS - Financial data'!$H11-'BASIS - Financial data'!$D11)*(1+Q18),$O18*('BASIS - Financial data'!$I11-'BASIS - Financial data'!$F11))*(1+Q18)</f>
        <v>0</v>
      </c>
      <c r="T18" s="72">
        <f t="shared" si="5"/>
        <v>2265973.7853025924</v>
      </c>
      <c r="U18" s="55">
        <v>1</v>
      </c>
      <c r="V18">
        <f>L18*(1.5-'BASIS - Accessiblity of plans'!I18)</f>
        <v>386.71875</v>
      </c>
      <c r="W18">
        <f>L18*'BASIS - Accessiblity of plans'!P18:P36</f>
        <v>47.940340909090914</v>
      </c>
      <c r="Y18" s="3"/>
      <c r="Z18"/>
      <c r="AB18" s="3"/>
      <c r="AC18"/>
    </row>
    <row r="19" spans="1:29" x14ac:dyDescent="0.25">
      <c r="A19" s="72" t="s">
        <v>411</v>
      </c>
      <c r="B19" s="72" t="s">
        <v>402</v>
      </c>
      <c r="C19" s="72" t="s">
        <v>402</v>
      </c>
      <c r="D19" s="72" t="s">
        <v>3</v>
      </c>
      <c r="E19" s="72" t="s">
        <v>225</v>
      </c>
      <c r="F19" s="55">
        <v>1</v>
      </c>
      <c r="G19" s="54">
        <f>'BASIS - Accessiblity of plans'!P19</f>
        <v>0.16666666666666666</v>
      </c>
      <c r="H19" s="54">
        <f>'BASIS - Accessiblity of plans'!I19</f>
        <v>0.16666666666666666</v>
      </c>
      <c r="I19" s="72">
        <v>800</v>
      </c>
      <c r="J19" s="73">
        <f t="shared" si="1"/>
        <v>1000</v>
      </c>
      <c r="K19" s="50">
        <v>50</v>
      </c>
      <c r="L19" s="50">
        <f t="shared" si="2"/>
        <v>500</v>
      </c>
      <c r="M19" s="50">
        <v>0</v>
      </c>
      <c r="N19" s="72">
        <f t="shared" si="3"/>
        <v>500</v>
      </c>
      <c r="O19" s="72">
        <f t="shared" si="4"/>
        <v>0</v>
      </c>
      <c r="P19" s="72" t="str">
        <f t="shared" si="0"/>
        <v>TRUE</v>
      </c>
      <c r="Q19" s="55">
        <f>SUM('INPUT - Infra Projects'!AP3:AP38)</f>
        <v>0</v>
      </c>
      <c r="R19" s="55">
        <f>IF(F19=1,N19*('BASIS - Financial data'!E9-'BASIS - Financial data'!D9)*(1+Q19),N19*('BASIS - Financial data'!G9-'BASIS - Financial data'!F9))*(1+Q19)</f>
        <v>4083566.1432470116</v>
      </c>
      <c r="S19" s="55">
        <f>IF($F19=1,$O19*('BASIS - Financial data'!$H9-'BASIS - Financial data'!$D9)*(1+Q19),$O19*('BASIS - Financial data'!$I9-'BASIS - Financial data'!$F9))*(1+Q19)</f>
        <v>0</v>
      </c>
      <c r="T19" s="55">
        <f t="shared" si="5"/>
        <v>4083566.1432470116</v>
      </c>
      <c r="U19" s="72">
        <v>1</v>
      </c>
      <c r="V19">
        <f>L19*(1.5-'BASIS - Accessiblity of plans'!I19)</f>
        <v>666.66666666666663</v>
      </c>
      <c r="W19">
        <f>L19*'BASIS - Accessiblity of plans'!P19:P37</f>
        <v>83.333333333333329</v>
      </c>
      <c r="Y19" s="3"/>
      <c r="Z19"/>
      <c r="AB19" s="3"/>
      <c r="AC19"/>
    </row>
    <row r="20" spans="1:29" x14ac:dyDescent="0.25">
      <c r="A20" s="72" t="s">
        <v>412</v>
      </c>
      <c r="B20" s="72" t="s">
        <v>403</v>
      </c>
      <c r="C20" s="72" t="s">
        <v>403</v>
      </c>
      <c r="D20" s="72" t="s">
        <v>3</v>
      </c>
      <c r="E20" s="72" t="s">
        <v>225</v>
      </c>
      <c r="F20" s="55">
        <v>1</v>
      </c>
      <c r="G20" s="54">
        <f>'BASIS - Accessiblity of plans'!P20</f>
        <v>1</v>
      </c>
      <c r="H20" s="54">
        <f>'BASIS - Accessiblity of plans'!I20</f>
        <v>0.25</v>
      </c>
      <c r="I20" s="72">
        <v>200</v>
      </c>
      <c r="J20" s="73">
        <f t="shared" si="1"/>
        <v>250</v>
      </c>
      <c r="K20" s="50">
        <v>40</v>
      </c>
      <c r="L20" s="50">
        <f t="shared" si="2"/>
        <v>100</v>
      </c>
      <c r="M20" s="50">
        <v>0</v>
      </c>
      <c r="N20" s="72">
        <f t="shared" si="3"/>
        <v>100</v>
      </c>
      <c r="O20" s="72">
        <f t="shared" si="4"/>
        <v>0</v>
      </c>
      <c r="P20" s="72" t="str">
        <f t="shared" si="0"/>
        <v>TRUE</v>
      </c>
      <c r="Q20" s="55">
        <f>SUM('INPUT - Infra Projects'!AP3:AP38)</f>
        <v>0</v>
      </c>
      <c r="R20" s="55">
        <f>IF(F20=1,N20*('BASIS - Financial data'!E9-'BASIS - Financial data'!D9)*(1+Q20),N20*('BASIS - Financial data'!G9-'BASIS - Financial data'!F9))*(1+Q20)</f>
        <v>816713.22864940227</v>
      </c>
      <c r="S20" s="55">
        <f>IF($F20=1,$O20*('BASIS - Financial data'!$H9-'BASIS - Financial data'!$D9)*(1+Q20),$O20*('BASIS - Financial data'!$I9-'BASIS - Financial data'!$F9))*(1+Q20)</f>
        <v>0</v>
      </c>
      <c r="T20" s="55">
        <f t="shared" si="5"/>
        <v>816713.22864940227</v>
      </c>
      <c r="U20" s="73">
        <v>1</v>
      </c>
      <c r="V20">
        <f>L20*(1.5-'BASIS - Accessiblity of plans'!I20)</f>
        <v>125</v>
      </c>
      <c r="W20">
        <f>L20*'BASIS - Accessiblity of plans'!P20:P38</f>
        <v>100</v>
      </c>
      <c r="AC20"/>
    </row>
    <row r="21" spans="1:29" x14ac:dyDescent="0.25">
      <c r="A21" s="72" t="s">
        <v>413</v>
      </c>
      <c r="B21" s="72" t="s">
        <v>404</v>
      </c>
      <c r="C21" s="72" t="s">
        <v>404</v>
      </c>
      <c r="D21" s="72" t="s">
        <v>3</v>
      </c>
      <c r="E21" s="72" t="s">
        <v>225</v>
      </c>
      <c r="F21" s="55">
        <v>1</v>
      </c>
      <c r="G21" s="54">
        <f>'BASIS - Accessiblity of plans'!P21</f>
        <v>1</v>
      </c>
      <c r="H21" s="54">
        <f>'BASIS - Accessiblity of plans'!I21</f>
        <v>0.33333333333333331</v>
      </c>
      <c r="I21" s="72">
        <v>200</v>
      </c>
      <c r="J21" s="73">
        <f t="shared" si="1"/>
        <v>250</v>
      </c>
      <c r="K21" s="50">
        <v>50</v>
      </c>
      <c r="L21" s="50">
        <f t="shared" si="2"/>
        <v>125</v>
      </c>
      <c r="M21" s="50">
        <v>0</v>
      </c>
      <c r="N21" s="72">
        <f t="shared" si="3"/>
        <v>125</v>
      </c>
      <c r="O21" s="72">
        <f t="shared" si="4"/>
        <v>0</v>
      </c>
      <c r="P21" s="72" t="str">
        <f t="shared" si="0"/>
        <v>TRUE</v>
      </c>
      <c r="Q21" s="55">
        <f>SUM('INPUT - Infra Projects'!AP3:AP38)</f>
        <v>0</v>
      </c>
      <c r="R21" s="55">
        <f>IF(F21=1,N21*('BASIS - Financial data'!E9-'BASIS - Financial data'!D9)*(1+Q21),N21*('BASIS - Financial data'!G9-'BASIS - Financial data'!F9))*(1+Q21)</f>
        <v>1020891.5358117529</v>
      </c>
      <c r="S21" s="55">
        <f>IF($F21=1,$O21*('BASIS - Financial data'!$H9-'BASIS - Financial data'!$D9)*(1+Q21),$O21*('BASIS - Financial data'!$I9-'BASIS - Financial data'!$F9))*(1+Q21)</f>
        <v>0</v>
      </c>
      <c r="T21" s="55">
        <f t="shared" si="5"/>
        <v>1020891.5358117529</v>
      </c>
      <c r="U21" s="73">
        <v>1</v>
      </c>
      <c r="V21">
        <f>L21*(1.5-'BASIS - Accessiblity of plans'!I21)</f>
        <v>145.83333333333334</v>
      </c>
      <c r="W21">
        <f>L21*'BASIS - Accessiblity of plans'!P21:P39</f>
        <v>125</v>
      </c>
      <c r="AC21"/>
    </row>
    <row r="22" spans="1:29" x14ac:dyDescent="0.25">
      <c r="A22" s="72"/>
      <c r="B22" s="72"/>
      <c r="C22" s="72"/>
      <c r="D22" s="72"/>
      <c r="E22" s="72"/>
      <c r="F22" s="72"/>
      <c r="G22" s="72"/>
      <c r="H22" s="72"/>
      <c r="I22" s="55"/>
      <c r="J22" s="55"/>
      <c r="K22" s="55"/>
      <c r="L22" s="55"/>
      <c r="M22" s="55"/>
      <c r="N22" s="55"/>
      <c r="O22" s="72"/>
      <c r="P22" s="72"/>
      <c r="Q22" s="55"/>
      <c r="R22" s="72"/>
      <c r="S22" s="72"/>
      <c r="T22" s="72"/>
      <c r="U22" s="72"/>
      <c r="X22" s="3"/>
      <c r="Z22"/>
      <c r="AA22" s="3"/>
      <c r="AC22"/>
    </row>
    <row r="23" spans="1:29" x14ac:dyDescent="0.25">
      <c r="A23" s="72"/>
      <c r="B23" s="72"/>
      <c r="C23" s="72"/>
      <c r="D23" s="72"/>
      <c r="E23" s="72"/>
      <c r="F23" s="72"/>
      <c r="G23" s="72"/>
      <c r="H23" s="72"/>
      <c r="I23" s="55"/>
      <c r="J23" s="55"/>
      <c r="K23" s="55"/>
      <c r="L23" s="55"/>
      <c r="M23" s="55"/>
      <c r="N23" s="55"/>
      <c r="O23" s="72"/>
      <c r="P23" s="72"/>
      <c r="Q23" s="55"/>
      <c r="R23" s="72"/>
      <c r="S23" s="72"/>
      <c r="T23" s="72"/>
      <c r="U23" s="72"/>
      <c r="X23" s="3"/>
      <c r="Z23"/>
      <c r="AA23" s="3"/>
      <c r="AC23"/>
    </row>
    <row r="24" spans="1:29" x14ac:dyDescent="0.25">
      <c r="O24"/>
      <c r="X24" s="3"/>
      <c r="Z24"/>
      <c r="AA24" s="3"/>
      <c r="AC24"/>
    </row>
    <row r="25" spans="1:29" x14ac:dyDescent="0.25">
      <c r="B25" t="s">
        <v>453</v>
      </c>
      <c r="O25"/>
      <c r="X25" s="3"/>
      <c r="Z25"/>
      <c r="AA25" s="3"/>
      <c r="AC25"/>
    </row>
    <row r="26" spans="1:29" x14ac:dyDescent="0.25">
      <c r="B26" t="s">
        <v>416</v>
      </c>
      <c r="O26"/>
      <c r="X26" s="3"/>
      <c r="Z26"/>
      <c r="AA26" s="3"/>
      <c r="AC26"/>
    </row>
    <row r="27" spans="1:29" x14ac:dyDescent="0.25">
      <c r="O27"/>
      <c r="X27" s="3"/>
      <c r="Z27"/>
      <c r="AA27" s="3"/>
      <c r="AC27"/>
    </row>
    <row r="31" spans="1:29" x14ac:dyDescent="0.25">
      <c r="A31">
        <v>0</v>
      </c>
    </row>
    <row r="32" spans="1:29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mergeCells count="1">
    <mergeCell ref="V1:X1"/>
  </mergeCells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zoomScale="85" zoomScaleNormal="85" zoomScalePageLayoutView="85" workbookViewId="0">
      <pane xSplit="2" topLeftCell="AH1" activePane="topRight" state="frozen"/>
      <selection activeCell="K8" sqref="K8"/>
      <selection pane="topRight" activeCell="AJ42" sqref="AJ42"/>
    </sheetView>
  </sheetViews>
  <sheetFormatPr defaultColWidth="8.85546875" defaultRowHeight="15" x14ac:dyDescent="0.25"/>
  <cols>
    <col min="2" max="2" width="68" customWidth="1"/>
    <col min="3" max="3" width="38.140625" customWidth="1"/>
    <col min="4" max="4" width="38.140625" style="57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42578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7" t="s">
        <v>0</v>
      </c>
      <c r="C1" s="87" t="s">
        <v>343</v>
      </c>
      <c r="D1" s="60" t="s">
        <v>401</v>
      </c>
      <c r="E1" s="30" t="s">
        <v>189</v>
      </c>
      <c r="F1" s="88" t="s">
        <v>177</v>
      </c>
      <c r="G1" s="81"/>
      <c r="H1" s="81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6" t="s">
        <v>174</v>
      </c>
      <c r="AC1" s="86"/>
      <c r="AD1" s="86"/>
      <c r="AE1" s="86"/>
      <c r="AF1" s="86"/>
      <c r="AG1" s="86" t="s">
        <v>173</v>
      </c>
      <c r="AH1" s="86"/>
      <c r="AI1" s="86"/>
      <c r="AJ1" s="86"/>
      <c r="AK1" s="86"/>
      <c r="AL1" s="1" t="s">
        <v>306</v>
      </c>
      <c r="AN1" s="26" t="s">
        <v>317</v>
      </c>
      <c r="AS1" t="s">
        <v>318</v>
      </c>
      <c r="AX1" t="s">
        <v>319</v>
      </c>
    </row>
    <row r="2" spans="1:54" x14ac:dyDescent="0.25">
      <c r="B2" s="87"/>
      <c r="C2" s="87"/>
      <c r="D2" s="60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6" t="s">
        <v>228</v>
      </c>
      <c r="N2" s="86"/>
      <c r="O2" s="86"/>
      <c r="P2" s="86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305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344</v>
      </c>
      <c r="D3" s="51" t="s">
        <v>417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1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345</v>
      </c>
      <c r="D4" s="51" t="s">
        <v>418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1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1E-4</v>
      </c>
      <c r="AW4">
        <f t="shared" ref="AW4:AW38" si="11">$R4*AK4*$AM4</f>
        <v>1E-4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346</v>
      </c>
      <c r="D5" s="51" t="s">
        <v>419</v>
      </c>
      <c r="E5" s="3" t="s">
        <v>150</v>
      </c>
      <c r="F5" s="3" t="s">
        <v>149</v>
      </c>
      <c r="G5" s="3" t="s">
        <v>57</v>
      </c>
      <c r="H5" s="3" t="s">
        <v>80</v>
      </c>
      <c r="I5" s="64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1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1E-3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1E-3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1E-3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347</v>
      </c>
      <c r="D6" s="51" t="s">
        <v>420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1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2.0000000000000001E-4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348</v>
      </c>
      <c r="D7" s="51" t="s">
        <v>421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1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5.0000000000000001E-4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5.0000000000000001E-4</v>
      </c>
      <c r="AT7">
        <f t="shared" si="8"/>
        <v>0</v>
      </c>
      <c r="AU7">
        <f t="shared" si="9"/>
        <v>0</v>
      </c>
      <c r="AV7">
        <f t="shared" si="10"/>
        <v>5.0000000000000001E-4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349</v>
      </c>
      <c r="D8" s="51" t="s">
        <v>422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1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329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5.0000000000000001E-4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5.0000000000000001E-4</v>
      </c>
      <c r="AY8">
        <f t="shared" si="13"/>
        <v>5.0000000000000001E-4</v>
      </c>
      <c r="AZ8">
        <f t="shared" si="14"/>
        <v>5.0000000000000001E-4</v>
      </c>
      <c r="BA8">
        <f t="shared" si="15"/>
        <v>5.0000000000000001E-4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350</v>
      </c>
      <c r="D9" s="51" t="s">
        <v>424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1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329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5.0000000000000001E-4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351</v>
      </c>
      <c r="D10" s="51" t="s">
        <v>425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1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329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5.0000000000000001E-4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352</v>
      </c>
      <c r="D11" s="51" t="s">
        <v>426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1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329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2.0000000000000001E-4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2.0000000000000001E-4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2.0000000000000001E-4</v>
      </c>
    </row>
    <row r="12" spans="1:54" x14ac:dyDescent="0.25">
      <c r="A12">
        <v>10</v>
      </c>
      <c r="B12" s="3" t="s">
        <v>134</v>
      </c>
      <c r="C12" s="3" t="s">
        <v>353</v>
      </c>
      <c r="D12" s="51" t="s">
        <v>427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1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329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5.0000000000000001E-4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354</v>
      </c>
      <c r="D13" s="51" t="s">
        <v>428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1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329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2.0000000000000001E-4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355</v>
      </c>
      <c r="D14" s="51" t="s">
        <v>429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1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329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5.0000000000000001E-4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356</v>
      </c>
      <c r="D15" s="51" t="s">
        <v>430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1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329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1E-3</v>
      </c>
      <c r="AZ15">
        <f t="shared" si="14"/>
        <v>0</v>
      </c>
      <c r="BA15">
        <f t="shared" si="15"/>
        <v>1E-3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357</v>
      </c>
      <c r="D16" s="51" t="s">
        <v>431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1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329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1E-4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358</v>
      </c>
      <c r="D17" s="51" t="s">
        <v>432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1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329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1E-4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359</v>
      </c>
      <c r="D18" s="51" t="s">
        <v>433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1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329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1E-3</v>
      </c>
      <c r="BA18">
        <f t="shared" si="15"/>
        <v>1E-3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360</v>
      </c>
      <c r="D19" s="51" t="s">
        <v>434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1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329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5.0000000000000001E-4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299</v>
      </c>
      <c r="D20" s="51" t="s">
        <v>435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1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329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1E-3</v>
      </c>
      <c r="AZ20">
        <f t="shared" si="14"/>
        <v>1E-3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361</v>
      </c>
      <c r="D21" s="51" t="s">
        <v>436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1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329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1E-3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1E-3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1E-3</v>
      </c>
    </row>
    <row r="22" spans="1:54" x14ac:dyDescent="0.25">
      <c r="A22">
        <v>20</v>
      </c>
      <c r="B22" s="19" t="s">
        <v>107</v>
      </c>
      <c r="C22" s="19" t="s">
        <v>362</v>
      </c>
      <c r="D22" s="51" t="s">
        <v>437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1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329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1E-3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1E-3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1E-3</v>
      </c>
    </row>
    <row r="23" spans="1:54" x14ac:dyDescent="0.25">
      <c r="A23">
        <v>21</v>
      </c>
      <c r="B23" s="3" t="s">
        <v>105</v>
      </c>
      <c r="C23" s="19" t="s">
        <v>363</v>
      </c>
      <c r="D23" s="51" t="s">
        <v>438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1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329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-5.0000000000000001E-4</v>
      </c>
    </row>
    <row r="24" spans="1:54" x14ac:dyDescent="0.25">
      <c r="A24">
        <v>22</v>
      </c>
      <c r="B24" s="3" t="s">
        <v>103</v>
      </c>
      <c r="C24" s="19" t="s">
        <v>364</v>
      </c>
      <c r="D24" s="51" t="s">
        <v>439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1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329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1E-3</v>
      </c>
    </row>
    <row r="25" spans="1:54" x14ac:dyDescent="0.25">
      <c r="A25">
        <v>23</v>
      </c>
      <c r="B25" s="3" t="s">
        <v>101</v>
      </c>
      <c r="C25" s="19" t="s">
        <v>365</v>
      </c>
      <c r="D25" s="51" t="s">
        <v>440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1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329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-5.0000000000000001E-4</v>
      </c>
    </row>
    <row r="26" spans="1:54" x14ac:dyDescent="0.25">
      <c r="A26">
        <v>24</v>
      </c>
      <c r="B26" s="3" t="s">
        <v>99</v>
      </c>
      <c r="C26" s="19" t="s">
        <v>366</v>
      </c>
      <c r="D26" s="51" t="s">
        <v>441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1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329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1E-3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1E-3</v>
      </c>
      <c r="AY26">
        <f t="shared" si="13"/>
        <v>0</v>
      </c>
      <c r="AZ26">
        <f t="shared" si="14"/>
        <v>1E-3</v>
      </c>
      <c r="BA26">
        <f t="shared" si="15"/>
        <v>1E-3</v>
      </c>
      <c r="BB26">
        <f t="shared" si="16"/>
        <v>1E-3</v>
      </c>
    </row>
    <row r="27" spans="1:54" x14ac:dyDescent="0.25">
      <c r="A27">
        <v>25</v>
      </c>
      <c r="B27" s="3" t="s">
        <v>97</v>
      </c>
      <c r="C27" s="19" t="s">
        <v>367</v>
      </c>
      <c r="D27" s="51" t="s">
        <v>442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1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329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5.0000000000000001E-4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443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1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329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1E-4</v>
      </c>
    </row>
    <row r="29" spans="1:54" x14ac:dyDescent="0.25">
      <c r="A29">
        <v>27</v>
      </c>
      <c r="B29" s="3" t="s">
        <v>91</v>
      </c>
      <c r="C29" s="19" t="s">
        <v>368</v>
      </c>
      <c r="D29" s="51" t="s">
        <v>444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1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329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5.0000000000000001E-4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5.0000000000000001E-4</v>
      </c>
      <c r="AY29">
        <f t="shared" si="13"/>
        <v>0</v>
      </c>
      <c r="AZ29">
        <f t="shared" si="14"/>
        <v>5.0000000000000001E-4</v>
      </c>
      <c r="BA29">
        <f t="shared" si="15"/>
        <v>5.0000000000000001E-4</v>
      </c>
      <c r="BB29">
        <f t="shared" si="16"/>
        <v>5.0000000000000001E-4</v>
      </c>
    </row>
    <row r="30" spans="1:54" x14ac:dyDescent="0.25">
      <c r="A30">
        <v>28</v>
      </c>
      <c r="B30" s="3" t="s">
        <v>87</v>
      </c>
      <c r="C30" s="19" t="s">
        <v>369</v>
      </c>
      <c r="D30" s="51" t="s">
        <v>445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1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5.0000000000000001E-4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370</v>
      </c>
      <c r="D31" s="51" t="s">
        <v>446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1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2.0000000000000001E-4</v>
      </c>
      <c r="AV31">
        <f t="shared" si="10"/>
        <v>2.0000000000000001E-4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372</v>
      </c>
      <c r="D32" s="51" t="s">
        <v>448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1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2.0000000000000001E-4</v>
      </c>
      <c r="AV32">
        <f t="shared" si="10"/>
        <v>2.0000000000000001E-4</v>
      </c>
      <c r="AW32">
        <f t="shared" si="11"/>
        <v>2.0000000000000001E-4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371</v>
      </c>
      <c r="D33" s="51" t="s">
        <v>447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1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2.0000000000000001E-4</v>
      </c>
      <c r="AV33">
        <f t="shared" si="10"/>
        <v>2.0000000000000001E-4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65" customFormat="1" x14ac:dyDescent="0.25">
      <c r="A34" s="65">
        <v>34</v>
      </c>
      <c r="B34" s="65" t="s">
        <v>75</v>
      </c>
      <c r="C34" s="65" t="s">
        <v>375</v>
      </c>
      <c r="D34" s="66" t="s">
        <v>454</v>
      </c>
      <c r="E34" s="65" t="s">
        <v>74</v>
      </c>
      <c r="F34" s="65" t="s">
        <v>65</v>
      </c>
      <c r="G34" s="65" t="s">
        <v>64</v>
      </c>
      <c r="H34" s="65" t="s">
        <v>1</v>
      </c>
      <c r="I34" s="70">
        <v>0.5</v>
      </c>
      <c r="J34" s="67" t="s">
        <v>72</v>
      </c>
      <c r="K34" s="65" t="s">
        <v>62</v>
      </c>
      <c r="L34" s="65">
        <v>0.5</v>
      </c>
      <c r="M34" s="68" t="s">
        <v>196</v>
      </c>
      <c r="Q34" s="68" t="s">
        <v>227</v>
      </c>
      <c r="R34" s="65">
        <v>1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5" t="str">
        <f t="shared" si="0"/>
        <v>FALSE</v>
      </c>
      <c r="AA34" s="65" t="s">
        <v>61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65">
        <v>1</v>
      </c>
      <c r="AL34" s="65">
        <v>0.05</v>
      </c>
      <c r="AM34" s="65">
        <f t="shared" si="1"/>
        <v>5.0000000000000001E-4</v>
      </c>
      <c r="AN34" s="65">
        <f t="shared" si="2"/>
        <v>0</v>
      </c>
      <c r="AO34" s="65">
        <f t="shared" si="3"/>
        <v>0</v>
      </c>
      <c r="AP34" s="65">
        <f t="shared" si="4"/>
        <v>0</v>
      </c>
      <c r="AQ34" s="65">
        <f t="shared" si="5"/>
        <v>0</v>
      </c>
      <c r="AR34" s="65">
        <f t="shared" si="6"/>
        <v>0</v>
      </c>
      <c r="AS34" s="65">
        <f t="shared" si="7"/>
        <v>0</v>
      </c>
      <c r="AT34" s="65">
        <f t="shared" si="8"/>
        <v>0</v>
      </c>
      <c r="AU34" s="65">
        <f t="shared" si="9"/>
        <v>0</v>
      </c>
      <c r="AV34" s="65">
        <f t="shared" si="10"/>
        <v>0</v>
      </c>
      <c r="AW34" s="65">
        <f t="shared" si="11"/>
        <v>5.0000000000000001E-4</v>
      </c>
      <c r="AX34" s="65">
        <f t="shared" si="12"/>
        <v>0</v>
      </c>
      <c r="AY34" s="65">
        <f t="shared" si="13"/>
        <v>0</v>
      </c>
      <c r="AZ34" s="65">
        <f t="shared" si="14"/>
        <v>0</v>
      </c>
      <c r="BA34" s="65">
        <f t="shared" si="15"/>
        <v>0</v>
      </c>
      <c r="BB34" s="65">
        <f t="shared" si="16"/>
        <v>0</v>
      </c>
    </row>
    <row r="35" spans="1:54" x14ac:dyDescent="0.25">
      <c r="A35">
        <v>35</v>
      </c>
      <c r="B35" s="3" t="s">
        <v>71</v>
      </c>
      <c r="C35" t="s">
        <v>376</v>
      </c>
      <c r="D35" s="57" t="s">
        <v>449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1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5.0000000000000001E-4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377</v>
      </c>
      <c r="D36" s="61" t="s">
        <v>450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1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2.0000000000000001E-4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378</v>
      </c>
      <c r="D37" s="57" t="s">
        <v>451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5.0000000000000001E-4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379</v>
      </c>
      <c r="D38" s="51" t="s">
        <v>452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1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329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1E-3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1E-3</v>
      </c>
      <c r="AT38">
        <f t="shared" si="8"/>
        <v>1E-3</v>
      </c>
      <c r="AU38">
        <f t="shared" si="9"/>
        <v>1E-3</v>
      </c>
      <c r="AV38">
        <f t="shared" si="10"/>
        <v>1E-3</v>
      </c>
      <c r="AW38">
        <f t="shared" si="11"/>
        <v>1E-3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defaultColWidth="8.85546875"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42578125" bestFit="1" customWidth="1"/>
    <col min="26" max="26" width="10.42578125" bestFit="1" customWidth="1"/>
  </cols>
  <sheetData>
    <row r="1" spans="1:27" x14ac:dyDescent="0.25">
      <c r="A1" t="s">
        <v>166</v>
      </c>
      <c r="B1" s="1" t="s">
        <v>180</v>
      </c>
      <c r="C1" s="88" t="s">
        <v>214</v>
      </c>
      <c r="D1" s="88"/>
      <c r="E1" s="88"/>
      <c r="F1" s="88"/>
      <c r="G1" s="88"/>
      <c r="H1" s="88" t="s">
        <v>222</v>
      </c>
      <c r="I1" s="88"/>
      <c r="J1" s="88"/>
      <c r="K1" s="88"/>
      <c r="L1" s="88"/>
      <c r="M1" s="88"/>
      <c r="N1" s="88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7380315.8002510583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4287744.4504093621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89" t="s">
        <v>217</v>
      </c>
      <c r="C10" s="89" t="s">
        <v>110</v>
      </c>
      <c r="D10" s="90" t="s">
        <v>76</v>
      </c>
      <c r="E10" s="89"/>
      <c r="F10" s="89"/>
      <c r="G10" s="89"/>
      <c r="W10" s="3"/>
      <c r="X10" s="3"/>
      <c r="Y10" s="3"/>
    </row>
    <row r="11" spans="1:27" x14ac:dyDescent="0.25">
      <c r="B11" s="89"/>
      <c r="C11" s="89"/>
      <c r="D11" s="90"/>
      <c r="E11" s="89"/>
      <c r="F11" s="89"/>
      <c r="G11" s="89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93" t="s">
        <v>384</v>
      </c>
      <c r="B14" t="s">
        <v>390</v>
      </c>
      <c r="C14" s="91" t="s">
        <v>385</v>
      </c>
      <c r="D14" s="92" t="s">
        <v>386</v>
      </c>
      <c r="E14" s="92"/>
      <c r="F14" s="92"/>
    </row>
    <row r="15" spans="1:27" x14ac:dyDescent="0.25">
      <c r="A15" s="93"/>
      <c r="C15" s="91"/>
      <c r="D15" s="1" t="s">
        <v>387</v>
      </c>
      <c r="E15" s="1" t="s">
        <v>389</v>
      </c>
      <c r="F15" s="1" t="s">
        <v>388</v>
      </c>
    </row>
    <row r="16" spans="1:27" x14ac:dyDescent="0.25">
      <c r="A16" s="90" t="s">
        <v>196</v>
      </c>
      <c r="B16" s="90" t="s">
        <v>215</v>
      </c>
      <c r="C16" t="s">
        <v>27</v>
      </c>
      <c r="D16" s="3" t="s">
        <v>352</v>
      </c>
      <c r="E16" t="s">
        <v>375</v>
      </c>
    </row>
    <row r="17" spans="1:6" x14ac:dyDescent="0.25">
      <c r="A17" s="90"/>
      <c r="B17" s="90"/>
      <c r="C17" t="s">
        <v>28</v>
      </c>
      <c r="D17" s="3" t="s">
        <v>361</v>
      </c>
      <c r="E17" s="3" t="s">
        <v>346</v>
      </c>
    </row>
    <row r="18" spans="1:6" x14ac:dyDescent="0.25">
      <c r="A18" s="90"/>
      <c r="B18" s="90"/>
      <c r="D18" s="57" t="s">
        <v>364</v>
      </c>
    </row>
    <row r="19" spans="1:6" x14ac:dyDescent="0.25">
      <c r="A19" s="90"/>
      <c r="B19" s="90"/>
      <c r="D19" t="s">
        <v>379</v>
      </c>
    </row>
    <row r="20" spans="1:6" x14ac:dyDescent="0.25">
      <c r="A20" s="90" t="s">
        <v>224</v>
      </c>
      <c r="B20" s="90" t="s">
        <v>220</v>
      </c>
      <c r="C20" t="s">
        <v>29</v>
      </c>
      <c r="D20" s="3" t="s">
        <v>361</v>
      </c>
      <c r="E20" t="s">
        <v>376</v>
      </c>
    </row>
    <row r="21" spans="1:6" x14ac:dyDescent="0.25">
      <c r="A21" s="90"/>
      <c r="B21" s="90"/>
      <c r="C21" t="s">
        <v>31</v>
      </c>
      <c r="D21" s="19" t="s">
        <v>362</v>
      </c>
      <c r="E21" s="51" t="s">
        <v>372</v>
      </c>
    </row>
    <row r="22" spans="1:6" x14ac:dyDescent="0.25">
      <c r="A22" s="90"/>
      <c r="B22" s="90"/>
      <c r="D22" s="19" t="s">
        <v>363</v>
      </c>
    </row>
    <row r="23" spans="1:6" x14ac:dyDescent="0.25">
      <c r="A23" s="90"/>
      <c r="B23" s="90"/>
      <c r="D23" s="19" t="s">
        <v>365</v>
      </c>
    </row>
    <row r="24" spans="1:6" x14ac:dyDescent="0.25">
      <c r="A24" s="90"/>
      <c r="B24" s="90"/>
      <c r="D24" s="19" t="s">
        <v>366</v>
      </c>
    </row>
    <row r="25" spans="1:6" x14ac:dyDescent="0.25">
      <c r="A25" s="90"/>
      <c r="B25" s="90"/>
      <c r="D25" s="19" t="s">
        <v>367</v>
      </c>
    </row>
    <row r="26" spans="1:6" x14ac:dyDescent="0.25">
      <c r="A26" s="90"/>
      <c r="B26" s="90"/>
      <c r="D26" s="19" t="s">
        <v>95</v>
      </c>
    </row>
    <row r="27" spans="1:6" x14ac:dyDescent="0.25">
      <c r="A27" s="89" t="s">
        <v>198</v>
      </c>
      <c r="B27" s="90" t="s">
        <v>216</v>
      </c>
      <c r="C27" t="s">
        <v>21</v>
      </c>
      <c r="D27" s="3" t="s">
        <v>347</v>
      </c>
      <c r="E27" s="19" t="s">
        <v>371</v>
      </c>
      <c r="F27" s="3" t="s">
        <v>345</v>
      </c>
    </row>
    <row r="28" spans="1:6" x14ac:dyDescent="0.25">
      <c r="A28" s="89"/>
      <c r="B28" s="90"/>
      <c r="C28" s="3" t="s">
        <v>22</v>
      </c>
      <c r="D28" s="3" t="s">
        <v>357</v>
      </c>
    </row>
    <row r="29" spans="1:6" x14ac:dyDescent="0.25">
      <c r="A29" s="89"/>
      <c r="B29" s="90"/>
      <c r="C29" t="s">
        <v>23</v>
      </c>
      <c r="D29" s="3" t="s">
        <v>359</v>
      </c>
    </row>
    <row r="30" spans="1:6" x14ac:dyDescent="0.25">
      <c r="A30" s="89"/>
      <c r="B30" s="90"/>
      <c r="C30" t="s">
        <v>24</v>
      </c>
      <c r="D30" s="3" t="s">
        <v>360</v>
      </c>
    </row>
    <row r="31" spans="1:6" x14ac:dyDescent="0.25">
      <c r="A31" s="89"/>
      <c r="B31" s="90"/>
      <c r="C31" t="s">
        <v>25</v>
      </c>
      <c r="D31" s="19" t="s">
        <v>368</v>
      </c>
    </row>
    <row r="32" spans="1:6" x14ac:dyDescent="0.25">
      <c r="A32" s="90" t="s">
        <v>225</v>
      </c>
      <c r="B32" s="90" t="s">
        <v>3</v>
      </c>
      <c r="C32" t="s">
        <v>18</v>
      </c>
      <c r="D32" s="3" t="s">
        <v>350</v>
      </c>
      <c r="E32" s="19" t="s">
        <v>369</v>
      </c>
      <c r="F32" s="3" t="s">
        <v>344</v>
      </c>
    </row>
    <row r="33" spans="1:5" x14ac:dyDescent="0.25">
      <c r="A33" s="90"/>
      <c r="B33" s="90"/>
      <c r="D33" s="3" t="s">
        <v>351</v>
      </c>
      <c r="E33" s="19" t="s">
        <v>370</v>
      </c>
    </row>
    <row r="34" spans="1:5" x14ac:dyDescent="0.25">
      <c r="A34" s="90"/>
      <c r="B34" s="90"/>
      <c r="D34" s="3" t="s">
        <v>354</v>
      </c>
      <c r="E34" s="21" t="s">
        <v>377</v>
      </c>
    </row>
    <row r="35" spans="1:5" x14ac:dyDescent="0.25">
      <c r="A35" s="90"/>
      <c r="B35" s="90"/>
      <c r="D35" s="3" t="s">
        <v>355</v>
      </c>
      <c r="E35" t="s">
        <v>378</v>
      </c>
    </row>
    <row r="36" spans="1:5" x14ac:dyDescent="0.25">
      <c r="A36" s="90"/>
      <c r="B36" s="90"/>
      <c r="D36" s="3" t="s">
        <v>358</v>
      </c>
    </row>
    <row r="37" spans="1:5" x14ac:dyDescent="0.25">
      <c r="A37" s="90" t="s">
        <v>226</v>
      </c>
      <c r="B37" s="90" t="s">
        <v>213</v>
      </c>
      <c r="C37" t="s">
        <v>11</v>
      </c>
      <c r="D37" s="3" t="s">
        <v>348</v>
      </c>
    </row>
    <row r="38" spans="1:5" x14ac:dyDescent="0.25">
      <c r="A38" s="90"/>
      <c r="B38" s="90"/>
      <c r="C38" s="3" t="s">
        <v>14</v>
      </c>
      <c r="D38" s="3" t="s">
        <v>349</v>
      </c>
    </row>
    <row r="39" spans="1:5" x14ac:dyDescent="0.25">
      <c r="A39" s="90"/>
      <c r="B39" s="90"/>
      <c r="C39" t="s">
        <v>17</v>
      </c>
      <c r="D39" s="3" t="s">
        <v>353</v>
      </c>
    </row>
    <row r="40" spans="1:5" x14ac:dyDescent="0.25">
      <c r="A40" s="90"/>
      <c r="B40" s="90"/>
      <c r="D40" s="3" t="s">
        <v>356</v>
      </c>
    </row>
    <row r="41" spans="1:5" x14ac:dyDescent="0.25">
      <c r="A41" s="90"/>
      <c r="B41" s="90"/>
      <c r="D41" s="51" t="s">
        <v>299</v>
      </c>
    </row>
    <row r="42" spans="1:5" x14ac:dyDescent="0.25">
      <c r="A42" s="90" t="s">
        <v>227</v>
      </c>
      <c r="B42" s="90" t="s">
        <v>221</v>
      </c>
      <c r="E42" t="s">
        <v>373</v>
      </c>
    </row>
    <row r="43" spans="1:5" x14ac:dyDescent="0.25">
      <c r="A43" s="90"/>
      <c r="B43" s="90"/>
      <c r="E43" t="s">
        <v>374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E18"/>
  <sheetViews>
    <sheetView tabSelected="1" workbookViewId="0">
      <selection activeCell="D10" sqref="D10"/>
    </sheetView>
  </sheetViews>
  <sheetFormatPr defaultColWidth="8.85546875"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5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5" s="2" customFormat="1" x14ac:dyDescent="0.25">
      <c r="A2" s="2" t="s">
        <v>26</v>
      </c>
      <c r="C2" s="2">
        <f>SUM('INPUT - Infra Projects'!AS3:AS38)</f>
        <v>2.5999999999999999E-3</v>
      </c>
      <c r="D2" s="2">
        <f>SUM('INPUT - Infra Projects'!AX3:AX38)</f>
        <v>4.2000000000000006E-3</v>
      </c>
      <c r="E2" s="2">
        <f>SUM(C2:D2)</f>
        <v>6.8000000000000005E-3</v>
      </c>
    </row>
    <row r="3" spans="1:5" x14ac:dyDescent="0.25">
      <c r="A3" t="s">
        <v>39</v>
      </c>
      <c r="B3" s="2"/>
      <c r="C3">
        <f>SUM('INPUT - Infra Projects'!AT3:AT38)</f>
        <v>1E-3</v>
      </c>
      <c r="D3">
        <f>SUM('INPUT - Infra Projects'!AY3:AY38)</f>
        <v>3.0000000000000001E-3</v>
      </c>
      <c r="E3">
        <f t="shared" ref="E3:E6" si="0">SUM(C3:D3)</f>
        <v>4.0000000000000001E-3</v>
      </c>
    </row>
    <row r="4" spans="1:5" x14ac:dyDescent="0.25">
      <c r="A4" t="s">
        <v>3</v>
      </c>
      <c r="B4" s="2"/>
      <c r="C4">
        <f>SUM('INPUT - Infra Projects'!AU3:AU38)</f>
        <v>2.9000000000000002E-3</v>
      </c>
      <c r="D4">
        <f>SUM('INPUT - Infra Projects'!AZ3:AZ38)</f>
        <v>5.7999999999999996E-3</v>
      </c>
      <c r="E4">
        <f t="shared" si="0"/>
        <v>8.6999999999999994E-3</v>
      </c>
    </row>
    <row r="5" spans="1:5" x14ac:dyDescent="0.25">
      <c r="A5" t="s">
        <v>4</v>
      </c>
      <c r="B5" s="2"/>
      <c r="C5">
        <f>SUM('INPUT - Infra Projects'!AV3:AV38)</f>
        <v>2.5000000000000005E-3</v>
      </c>
      <c r="D5">
        <f>SUM('INPUT - Infra Projects'!BA3:BA38)</f>
        <v>4.5999999999999999E-3</v>
      </c>
      <c r="E5">
        <f t="shared" si="0"/>
        <v>7.1000000000000004E-3</v>
      </c>
    </row>
    <row r="6" spans="1:5" x14ac:dyDescent="0.25">
      <c r="A6" t="s">
        <v>1</v>
      </c>
      <c r="B6" s="2"/>
      <c r="C6">
        <f>SUM('INPUT - Infra Projects'!AW3:AW38)</f>
        <v>3.3E-3</v>
      </c>
      <c r="D6">
        <f>SUM('INPUT - Infra Projects'!BB3:BB38)</f>
        <v>4.3E-3</v>
      </c>
      <c r="E6">
        <f t="shared" si="0"/>
        <v>7.6E-3</v>
      </c>
    </row>
    <row r="7" spans="1:5" x14ac:dyDescent="0.25">
      <c r="A7" t="s">
        <v>181</v>
      </c>
      <c r="B7" s="2"/>
      <c r="C7">
        <f>SUM(C2:C6)/5</f>
        <v>2.4600000000000004E-3</v>
      </c>
      <c r="D7">
        <f t="shared" ref="D7:E7" si="1">SUM(D2:D6)/5</f>
        <v>4.3800000000000002E-3</v>
      </c>
      <c r="E7">
        <f t="shared" si="1"/>
        <v>6.8400000000000006E-3</v>
      </c>
    </row>
    <row r="9" spans="1:5" x14ac:dyDescent="0.25">
      <c r="B9" t="s">
        <v>341</v>
      </c>
      <c r="C9" s="1" t="s">
        <v>327</v>
      </c>
      <c r="D9" s="1" t="s">
        <v>328</v>
      </c>
      <c r="E9" s="1" t="s">
        <v>154</v>
      </c>
    </row>
    <row r="10" spans="1:5" x14ac:dyDescent="0.25">
      <c r="A10" t="s">
        <v>320</v>
      </c>
      <c r="B10" s="20">
        <v>0</v>
      </c>
      <c r="C10" s="20">
        <f>(SUMIFS('INPUT - Infra Projects'!AM3:AM38,'INPUT - Infra Projects'!R3:R38,"1",'INPUT - Infra Projects'!AA3:AA38,"CAR",'INPUT - Infra Projects'!M3:M38,"p1"))/(SUMIFS('INPUT - Infra Projects'!AM3:AM38,'INPUT - Infra Projects'!AA3:AA38,"CAR",'INPUT - Infra Projects'!M3:M38,"p1"))*100</f>
        <v>100</v>
      </c>
      <c r="D10" s="20">
        <f>SUMIFS('INPUT - Infra Projects'!AM3:AM38,'INPUT - Infra Projects'!R3:R38,"1",'INPUT - Infra Projects'!AA3:AA38,"PT",'INPUT - Infra Projects'!M3:M38,"p1")/SUMIFS('INPUT - Infra Projects'!AM3:AM38,'INPUT - Infra Projects'!AA3:AA38,"PT",'INPUT - Infra Projects'!M3:M38,"p1")*100</f>
        <v>100</v>
      </c>
      <c r="E10" s="20">
        <v>0</v>
      </c>
    </row>
    <row r="11" spans="1:5" x14ac:dyDescent="0.25">
      <c r="A11" t="s">
        <v>321</v>
      </c>
      <c r="B11" s="20">
        <v>0</v>
      </c>
      <c r="C11" s="20">
        <f>SUMIFS('INPUT - Infra Projects'!AM3:AM38,'INPUT - Infra Projects'!R3:R38,"1",'INPUT - Infra Projects'!AA3:AA38,"CAR",'INPUT - Infra Projects'!M3:M38,"p2")/SUMIFS('INPUT - Infra Projects'!AM3:AM38,'INPUT - Infra Projects'!AA3:AA38,"CAR",'INPUT - Infra Projects'!M3:M38,"p2")*100</f>
        <v>100</v>
      </c>
      <c r="D11" s="20">
        <f>SUMIFS('INPUT - Infra Projects'!AM3:AM38,'INPUT - Infra Projects'!R3:R38,"1",'INPUT - Infra Projects'!AA3:AA38,"PT",'INPUT - Infra Projects'!M3:M38,"p2")/SUMIFS('INPUT - Infra Projects'!AM3:AM38,'INPUT - Infra Projects'!AA3:AA38,"PT",'INPUT - Infra Projects'!M3:M38,"p2")*100</f>
        <v>100</v>
      </c>
      <c r="E11" s="20">
        <v>0</v>
      </c>
    </row>
    <row r="12" spans="1:5" x14ac:dyDescent="0.25">
      <c r="A12" t="s">
        <v>322</v>
      </c>
      <c r="B12" s="20">
        <v>0</v>
      </c>
      <c r="C12" s="20">
        <f>SUMIFS('INPUT - Infra Projects'!AM3:AM38,'INPUT - Infra Projects'!R3:R38,"1",'INPUT - Infra Projects'!AA3:AA38,"CAR",'INPUT - Infra Projects'!M3:M38,"p3")/SUMIFS('INPUT - Infra Projects'!AM3:AM38,'INPUT - Infra Projects'!AA3:AA38,"CAR",'INPUT - Infra Projects'!M3:M38,"p3")*100</f>
        <v>100</v>
      </c>
      <c r="D12" s="20">
        <f>SUMIFS('INPUT - Infra Projects'!AM3:AM38,'INPUT - Infra Projects'!R3:R38,"1",'INPUT - Infra Projects'!AA3:AA38,"PT",'INPUT - Infra Projects'!M3:M38,"p3")/SUMIFS('INPUT - Infra Projects'!AM3:AM38,'INPUT - Infra Projects'!AA3:AA38,"PT",'INPUT - Infra Projects'!M3:M38,"p3")*100</f>
        <v>100</v>
      </c>
      <c r="E12" s="20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5" x14ac:dyDescent="0.25">
      <c r="A13" t="s">
        <v>323</v>
      </c>
      <c r="B13" s="20">
        <v>0</v>
      </c>
      <c r="C13" s="20">
        <f>(SUMIFS('INPUT - Infra Projects'!AM3:AM38,'INPUT - Infra Projects'!R3:R38,"1",'INPUT - Infra Projects'!AA3:AA38,"CAR",'INPUT - Infra Projects'!M3:M38,"p4"))/(SUMIFS('INPUT - Infra Projects'!AM3:AM38,'INPUT - Infra Projects'!AA3:AA38,"CAR",'INPUT - Infra Projects'!M3:M38,"p4"))*100</f>
        <v>100</v>
      </c>
      <c r="D13" s="20">
        <f>(SUMIFS('INPUT - Infra Projects'!$AM$3:$AM$38,'INPUT - Infra Projects'!$R$3:$R$38,"1",'INPUT - Infra Projects'!$AA$3:$AA$38,"PT",'INPUT - Infra Projects'!$M$3:$M$38,"p4"))/(SUMIFS('INPUT - Infra Projects'!$AM$3:$AM$38,'INPUT - Infra Projects'!$AA$3:$AA$38,"PT",'INPUT - Infra Projects'!$M$3:$M$38,"p4"))*100</f>
        <v>100</v>
      </c>
      <c r="E13" s="20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5" x14ac:dyDescent="0.25">
      <c r="A14" t="s">
        <v>324</v>
      </c>
      <c r="B14" s="20">
        <v>0</v>
      </c>
      <c r="C14" s="20">
        <f>(SUMIFS('INPUT - Infra Projects'!AM3:AM38,'INPUT - Infra Projects'!R3:R38,"1",'INPUT - Infra Projects'!AA3:AA38,"CAR",'INPUT - Infra Projects'!M3:M38,"p5"))/(SUMIFS('INPUT - Infra Projects'!AM3:AM38,'INPUT - Infra Projects'!AA3:AA38,"CAR",'INPUT - Infra Projects'!M3:M38,"p5"))*100</f>
        <v>100</v>
      </c>
      <c r="D14" s="20">
        <v>0</v>
      </c>
      <c r="E14" s="20">
        <v>0</v>
      </c>
    </row>
    <row r="15" spans="1:5" x14ac:dyDescent="0.25">
      <c r="A15" t="s">
        <v>325</v>
      </c>
      <c r="B15" s="20">
        <v>0</v>
      </c>
      <c r="C15" s="20" t="e">
        <f>(SUMIFS('INPUT - Infra Projects'!AM3:AM38,'INPUT - Infra Projects'!S3:S38,"1",'INPUT - Infra Projects'!AA3:AA38,"CAR",'INPUT - Infra Projects'!M3:M38,"p6"))/(SUMIFS('INPUT - Infra Projects'!AM3:AM38,'INPUT - Infra Projects'!AA3:AA38,"CAR",'INPUT - Infra Projects'!M3:M38,"p6"))*100</f>
        <v>#DIV/0!</v>
      </c>
      <c r="D15" s="20" t="e">
        <f>(SUMIFS('INPUT - Infra Projects'!$AM$3:$AM$38,'INPUT - Infra Projects'!$S$3:$S$38,"1",'INPUT - Infra Projects'!$AA$3:$AA$38,"PT",'INPUT - Infra Projects'!$M$3:$M$38,"p6"))/(SUMIFS('INPUT - Infra Projects'!$AM$3:$AM$38,'INPUT - Infra Projects'!$AA$3:$AA$38,"PT",'INPUT - Infra Projects'!$M$3:$M$38,"p6"))*100</f>
        <v>#DIV/0!</v>
      </c>
      <c r="E15" s="20" t="e">
        <f>(SUMIFS('INPUT - Infra Projects'!$AM$3:$AM$38,'INPUT - Infra Projects'!$S$3:$S$38,"1",'INPUT - Infra Projects'!$AA$3:$AA$38,"BIC",'INPUT - Infra Projects'!$M$3:$M$38,"p6"))/(SUMIFS('INPUT - Infra Projects'!$AM$3:$AM$38,'INPUT - Infra Projects'!$AA$3:$AA$38,"BIC",'INPUT - Infra Projects'!$M$3:$M$38,"p6"))*100</f>
        <v>#DIV/0!</v>
      </c>
    </row>
    <row r="16" spans="1:5" x14ac:dyDescent="0.25">
      <c r="A16" t="s">
        <v>326</v>
      </c>
      <c r="B16" s="20">
        <v>0</v>
      </c>
      <c r="C16" s="20" t="e">
        <f>(SUMIFS('INPUT - Infra Projects'!AM3:AM38,'INPUT - Infra Projects'!S3:S38,"1",'INPUT - Infra Projects'!AA3:AA38,"CAR",'INPUT - Infra Projects'!M3:M38,"p7"))/(SUMIFS('INPUT - Infra Projects'!AM3:AM38,'INPUT - Infra Projects'!AA3:AA38,"CAR",'INPUT - Infra Projects'!M3:M38,"p7"))*100</f>
        <v>#DIV/0!</v>
      </c>
      <c r="D16" s="20" t="e">
        <f>(SUMIFS('INPUT - Infra Projects'!$AM$3:$AM$38,'INPUT - Infra Projects'!$S$3:$S$38,"1",'INPUT - Infra Projects'!$AA$3:$AA$38,"PT",'INPUT - Infra Projects'!$M$3:$M$38,"p7"))/(SUMIFS('INPUT - Infra Projects'!$AM$3:$AM$38,'INPUT - Infra Projects'!$AA$3:$AA$38,"PT",'INPUT - Infra Projects'!$M$3:$M$38,"p7"))*100</f>
        <v>#DIV/0!</v>
      </c>
      <c r="E16" s="20" t="e">
        <f>(SUMIFS('INPUT - Infra Projects'!$AM$3:$AM$38,'INPUT - Infra Projects'!$S$3:$S$38,"1",'INPUT - Infra Projects'!$AA$3:$AA$38,"BIC",'INPUT - Infra Projects'!$M$3:$M$38,"p7"))/(SUMIFS('INPUT - Infra Projects'!$AM$3:$AM$38,'INPUT - Infra Projects'!$AA$3:$AA$38,"BIC",'INPUT - Infra Projects'!$M$3:$M$38,"p7"))*100</f>
        <v>#DIV/0!</v>
      </c>
    </row>
    <row r="17" spans="1:5" x14ac:dyDescent="0.25">
      <c r="B17" s="20"/>
      <c r="C17" s="20"/>
      <c r="D17" s="20"/>
      <c r="E17" s="20"/>
    </row>
    <row r="18" spans="1:5" x14ac:dyDescent="0.25">
      <c r="A18" s="57" t="s">
        <v>13</v>
      </c>
      <c r="B18" s="74">
        <v>0</v>
      </c>
      <c r="C18" s="71">
        <f>(SUMIFS('INPUT - Infra Projects'!AM3:AM38,'INPUT - Infra Projects'!R3:R38,"1",'INPUT - Infra Projects'!AA3:AA38,"CAR"))/(SUMIF('INPUT - Infra Projects'!AA3:AA38,"CAR",'INPUT - Infra Projects'!AM3:AM38))*100</f>
        <v>100</v>
      </c>
      <c r="D18" s="71">
        <f>(SUMIFS('INPUT - Infra Projects'!AM3:AM38,'INPUT - Infra Projects'!R3:R38,"1",'INPUT - Infra Projects'!AA3:AA38,"PT"))/(SUMIF('INPUT - Infra Projects'!AA3:AA38,"PT",'INPUT - Infra Projects'!AM3:AM38))*100</f>
        <v>100</v>
      </c>
      <c r="E18" s="71">
        <f>(SUMIFS('INPUT - Infra Projects'!AM3:AM38,'INPUT - Infra Projects'!R3:R38,"1",'INPUT - Infra Projects'!AA3:AA38,"BIC"))/(SUMIF('INPUT - Infra Projects'!AA3:AA38,"BIC",'INPUT - Infra Projects'!AM3:AM38))*100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</cp:lastModifiedBy>
  <dcterms:created xsi:type="dcterms:W3CDTF">2018-06-21T09:33:50Z</dcterms:created>
  <dcterms:modified xsi:type="dcterms:W3CDTF">2018-10-17T23:21:14Z</dcterms:modified>
</cp:coreProperties>
</file>