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phael\GitProjects\PlanningTool\data\excel\"/>
    </mc:Choice>
  </mc:AlternateContent>
  <xr:revisionPtr revIDLastSave="0" documentId="13_ncr:1_{C8990088-C704-4B0E-A928-DE726575A389}" xr6:coauthVersionLast="37" xr6:coauthVersionMax="37" xr10:uidLastSave="{00000000-0000-0000-0000-000000000000}"/>
  <bookViews>
    <workbookView xWindow="0" yWindow="0" windowWidth="17490" windowHeight="7980" tabRatio="762" firstSheet="4" activeTab="8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2" l="1"/>
  <c r="F16" i="22"/>
  <c r="D17" i="22"/>
  <c r="D16" i="22"/>
  <c r="B17" i="22"/>
  <c r="B16" i="22"/>
  <c r="P4" i="2"/>
  <c r="P7" i="2"/>
  <c r="B6" i="5"/>
  <c r="J15" i="11"/>
  <c r="L15" i="11" s="1"/>
  <c r="J16" i="11"/>
  <c r="L16" i="11" s="1"/>
  <c r="J17" i="11"/>
  <c r="L17" i="11" s="1"/>
  <c r="J18" i="11"/>
  <c r="L18" i="11" s="1"/>
  <c r="N18" i="11" s="1"/>
  <c r="J19" i="11"/>
  <c r="L19" i="11" s="1"/>
  <c r="J20" i="11"/>
  <c r="L20" i="11" s="1"/>
  <c r="J21" i="11"/>
  <c r="L21" i="11" s="1"/>
  <c r="O21" i="19"/>
  <c r="P21" i="19" s="1"/>
  <c r="G21" i="11" s="1"/>
  <c r="O20" i="19"/>
  <c r="M21" i="19"/>
  <c r="M20" i="19"/>
  <c r="O19" i="19"/>
  <c r="M19" i="19"/>
  <c r="P19" i="19" s="1"/>
  <c r="G19" i="11" s="1"/>
  <c r="I21" i="19"/>
  <c r="H21" i="11" s="1"/>
  <c r="I20" i="19"/>
  <c r="H20" i="11" s="1"/>
  <c r="I19" i="19"/>
  <c r="H19" i="11" s="1"/>
  <c r="G21" i="20"/>
  <c r="G20" i="20"/>
  <c r="G19" i="20"/>
  <c r="I15" i="19"/>
  <c r="H15" i="11" s="1"/>
  <c r="I16" i="19"/>
  <c r="H16" i="11" s="1"/>
  <c r="I17" i="19"/>
  <c r="H17" i="11" s="1"/>
  <c r="I18" i="19"/>
  <c r="H18" i="11" s="1"/>
  <c r="M15" i="19"/>
  <c r="M16" i="19"/>
  <c r="M17" i="19"/>
  <c r="M18" i="19"/>
  <c r="O15" i="19"/>
  <c r="P15" i="19" s="1"/>
  <c r="G15" i="11" s="1"/>
  <c r="O16" i="19"/>
  <c r="P16" i="19" s="1"/>
  <c r="G16" i="11" s="1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 l="1"/>
  <c r="G20" i="11" s="1"/>
  <c r="Q18" i="19"/>
  <c r="Q21" i="19"/>
  <c r="Q19" i="19"/>
  <c r="Q20" i="19"/>
  <c r="O21" i="11"/>
  <c r="N21" i="11"/>
  <c r="O17" i="11"/>
  <c r="N17" i="11"/>
  <c r="N20" i="11"/>
  <c r="O20" i="11"/>
  <c r="N16" i="11"/>
  <c r="O16" i="11"/>
  <c r="N19" i="11"/>
  <c r="O19" i="11"/>
  <c r="N15" i="11"/>
  <c r="O15" i="11"/>
  <c r="O18" i="11"/>
  <c r="P18" i="11" s="1"/>
  <c r="Q17" i="19"/>
  <c r="P21" i="11" l="1"/>
  <c r="P17" i="11"/>
  <c r="P19" i="11"/>
  <c r="P20" i="11"/>
  <c r="P15" i="11"/>
  <c r="P16" i="11"/>
  <c r="E16" i="9"/>
  <c r="E15" i="9"/>
  <c r="E14" i="9"/>
  <c r="E11" i="9"/>
  <c r="E10" i="9"/>
  <c r="D16" i="9"/>
  <c r="D15" i="9"/>
  <c r="D14" i="9"/>
  <c r="C16" i="9"/>
  <c r="C15" i="9"/>
  <c r="C31" i="8" l="1"/>
  <c r="D31" i="8" s="1"/>
  <c r="C30" i="8"/>
  <c r="D30" i="8" s="1"/>
  <c r="C29" i="8"/>
  <c r="C28" i="8"/>
  <c r="C27" i="8"/>
  <c r="C26" i="8"/>
  <c r="C25" i="8"/>
  <c r="D10" i="9"/>
  <c r="M4" i="19" l="1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 s="1"/>
  <c r="G7" i="11" s="1"/>
  <c r="O8" i="19"/>
  <c r="P8" i="19" s="1"/>
  <c r="G8" i="11" s="1"/>
  <c r="O9" i="19"/>
  <c r="O10" i="19"/>
  <c r="P10" i="19" s="1"/>
  <c r="G10" i="11" s="1"/>
  <c r="O11" i="19"/>
  <c r="P11" i="19" s="1"/>
  <c r="G11" i="11" s="1"/>
  <c r="O12" i="19"/>
  <c r="O13" i="19"/>
  <c r="P13" i="19" s="1"/>
  <c r="G13" i="11" s="1"/>
  <c r="O14" i="19"/>
  <c r="P14" i="19" s="1"/>
  <c r="G14" i="11" s="1"/>
  <c r="O3" i="19"/>
  <c r="P3" i="19" s="1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" i="6"/>
  <c r="C17" i="21"/>
  <c r="C16" i="21"/>
  <c r="C11" i="21"/>
  <c r="C10" i="21"/>
  <c r="C9" i="21"/>
  <c r="C8" i="21"/>
  <c r="E5" i="21"/>
  <c r="G4" i="21" s="1"/>
  <c r="E4" i="21"/>
  <c r="F10" i="21" s="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G22" i="18" s="1"/>
  <c r="E22" i="18"/>
  <c r="F26" i="18" s="1"/>
  <c r="F21" i="18"/>
  <c r="E29" i="18" s="1"/>
  <c r="E21" i="18"/>
  <c r="D28" i="18" s="1"/>
  <c r="I17" i="18"/>
  <c r="P17" i="18" s="1"/>
  <c r="I16" i="18"/>
  <c r="P16" i="18" s="1"/>
  <c r="I15" i="18"/>
  <c r="P15" i="18" s="1"/>
  <c r="I14" i="18"/>
  <c r="P14" i="18" s="1"/>
  <c r="I13" i="18"/>
  <c r="P13" i="18" s="1"/>
  <c r="I12" i="18"/>
  <c r="P12" i="18" s="1"/>
  <c r="I11" i="18"/>
  <c r="P11" i="18" s="1"/>
  <c r="I10" i="18"/>
  <c r="P10" i="18" s="1"/>
  <c r="I9" i="18"/>
  <c r="P9" i="18" s="1"/>
  <c r="I8" i="18"/>
  <c r="P8" i="18" s="1"/>
  <c r="I7" i="18"/>
  <c r="P7" i="18" s="1"/>
  <c r="I6" i="18"/>
  <c r="P6" i="18" s="1"/>
  <c r="I5" i="18"/>
  <c r="P5" i="18" s="1"/>
  <c r="I4" i="18"/>
  <c r="P4" i="18" s="1"/>
  <c r="I3" i="18"/>
  <c r="P3" i="18" s="1"/>
  <c r="F27" i="18" l="1"/>
  <c r="F29" i="18"/>
  <c r="F30" i="18"/>
  <c r="E18" i="9"/>
  <c r="E13" i="9"/>
  <c r="BB3" i="6"/>
  <c r="AZ3" i="6"/>
  <c r="BA3" i="6"/>
  <c r="AY3" i="6"/>
  <c r="AV3" i="6"/>
  <c r="AX3" i="6"/>
  <c r="AW3" i="6"/>
  <c r="AU3" i="6"/>
  <c r="AT3" i="6"/>
  <c r="AS3" i="6"/>
  <c r="AR3" i="6"/>
  <c r="AN3" i="6"/>
  <c r="AQ3" i="6"/>
  <c r="AP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Y35" i="6"/>
  <c r="BA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C10" i="9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C13" i="9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D18" i="9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F22" i="18"/>
  <c r="G30" i="18" s="1"/>
  <c r="D27" i="18"/>
  <c r="D29" i="18"/>
  <c r="D30" i="18"/>
  <c r="D11" i="21"/>
  <c r="D9" i="21"/>
  <c r="D12" i="21"/>
  <c r="D10" i="21"/>
  <c r="D8" i="21"/>
  <c r="AY38" i="6"/>
  <c r="BA38" i="6"/>
  <c r="AZ38" i="6"/>
  <c r="BB38" i="6"/>
  <c r="AX38" i="6"/>
  <c r="AW38" i="6"/>
  <c r="AV38" i="6"/>
  <c r="AU38" i="6"/>
  <c r="AR38" i="6"/>
  <c r="AP38" i="6"/>
  <c r="AO38" i="6"/>
  <c r="AN38" i="6"/>
  <c r="AT38" i="6"/>
  <c r="AS38" i="6"/>
  <c r="AQ38" i="6"/>
  <c r="AY36" i="6"/>
  <c r="BA36" i="6"/>
  <c r="AZ36" i="6"/>
  <c r="BB36" i="6"/>
  <c r="AX36" i="6"/>
  <c r="AW36" i="6"/>
  <c r="AV36" i="6"/>
  <c r="AU36" i="6"/>
  <c r="AR36" i="6"/>
  <c r="AP36" i="6"/>
  <c r="AO36" i="6"/>
  <c r="AN36" i="6"/>
  <c r="AT36" i="6"/>
  <c r="AS36" i="6"/>
  <c r="AQ36" i="6"/>
  <c r="AY34" i="6"/>
  <c r="BA34" i="6"/>
  <c r="AZ34" i="6"/>
  <c r="BB34" i="6"/>
  <c r="AX34" i="6"/>
  <c r="AW34" i="6"/>
  <c r="AV34" i="6"/>
  <c r="AU34" i="6"/>
  <c r="AR34" i="6"/>
  <c r="AP34" i="6"/>
  <c r="AO34" i="6"/>
  <c r="AT34" i="6"/>
  <c r="AS34" i="6"/>
  <c r="AQ34" i="6"/>
  <c r="AN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D11" i="9"/>
  <c r="AY32" i="6"/>
  <c r="BA32" i="6"/>
  <c r="AZ32" i="6"/>
  <c r="BB32" i="6"/>
  <c r="AX32" i="6"/>
  <c r="AW32" i="6"/>
  <c r="AV32" i="6"/>
  <c r="AU32" i="6"/>
  <c r="AR32" i="6"/>
  <c r="AP32" i="6"/>
  <c r="AO32" i="6"/>
  <c r="AT32" i="6"/>
  <c r="AS32" i="6"/>
  <c r="AQ32" i="6"/>
  <c r="AN32" i="6"/>
  <c r="D13" i="9"/>
  <c r="AY30" i="6"/>
  <c r="BA30" i="6"/>
  <c r="AZ30" i="6"/>
  <c r="BB30" i="6"/>
  <c r="AX30" i="6"/>
  <c r="AW30" i="6"/>
  <c r="AV30" i="6"/>
  <c r="AU30" i="6"/>
  <c r="AR30" i="6"/>
  <c r="AP30" i="6"/>
  <c r="AO30" i="6"/>
  <c r="AN30" i="6"/>
  <c r="AT30" i="6"/>
  <c r="AS30" i="6"/>
  <c r="AQ30" i="6"/>
  <c r="AY28" i="6"/>
  <c r="BA28" i="6"/>
  <c r="AZ28" i="6"/>
  <c r="BB28" i="6"/>
  <c r="AX28" i="6"/>
  <c r="AW28" i="6"/>
  <c r="AV28" i="6"/>
  <c r="AU28" i="6"/>
  <c r="AR28" i="6"/>
  <c r="AP28" i="6"/>
  <c r="AO28" i="6"/>
  <c r="AN28" i="6"/>
  <c r="AT28" i="6"/>
  <c r="AS28" i="6"/>
  <c r="AQ28" i="6"/>
  <c r="AY26" i="6"/>
  <c r="BA26" i="6"/>
  <c r="AZ26" i="6"/>
  <c r="BB26" i="6"/>
  <c r="AX26" i="6"/>
  <c r="AW26" i="6"/>
  <c r="AV26" i="6"/>
  <c r="AT26" i="6"/>
  <c r="AU26" i="6"/>
  <c r="AR26" i="6"/>
  <c r="AP26" i="6"/>
  <c r="AO26" i="6"/>
  <c r="AS26" i="6"/>
  <c r="AQ26" i="6"/>
  <c r="AN26" i="6"/>
  <c r="AY24" i="6"/>
  <c r="BA24" i="6"/>
  <c r="AZ24" i="6"/>
  <c r="BB24" i="6"/>
  <c r="AX24" i="6"/>
  <c r="AW24" i="6"/>
  <c r="AV24" i="6"/>
  <c r="AT24" i="6"/>
  <c r="AU24" i="6"/>
  <c r="AR24" i="6"/>
  <c r="AP24" i="6"/>
  <c r="AO24" i="6"/>
  <c r="AN24" i="6"/>
  <c r="AS24" i="6"/>
  <c r="AQ24" i="6"/>
  <c r="C11" i="9"/>
  <c r="AY22" i="6"/>
  <c r="BA22" i="6"/>
  <c r="AZ22" i="6"/>
  <c r="BB22" i="6"/>
  <c r="AX22" i="6"/>
  <c r="AW22" i="6"/>
  <c r="AV22" i="6"/>
  <c r="AT22" i="6"/>
  <c r="AU22" i="6"/>
  <c r="AR22" i="6"/>
  <c r="AP22" i="6"/>
  <c r="AO22" i="6"/>
  <c r="AS22" i="6"/>
  <c r="AQ22" i="6"/>
  <c r="AN22" i="6"/>
  <c r="AY20" i="6"/>
  <c r="BA20" i="6"/>
  <c r="AZ20" i="6"/>
  <c r="BB20" i="6"/>
  <c r="AX20" i="6"/>
  <c r="AW20" i="6"/>
  <c r="AV20" i="6"/>
  <c r="AT20" i="6"/>
  <c r="AU20" i="6"/>
  <c r="AR20" i="6"/>
  <c r="AP20" i="6"/>
  <c r="AO20" i="6"/>
  <c r="AN20" i="6"/>
  <c r="AS20" i="6"/>
  <c r="AQ20" i="6"/>
  <c r="AY18" i="6"/>
  <c r="BA18" i="6"/>
  <c r="AZ18" i="6"/>
  <c r="BB18" i="6"/>
  <c r="AX18" i="6"/>
  <c r="AW18" i="6"/>
  <c r="AV18" i="6"/>
  <c r="AT18" i="6"/>
  <c r="AU18" i="6"/>
  <c r="AR18" i="6"/>
  <c r="AP18" i="6"/>
  <c r="AO18" i="6"/>
  <c r="AS18" i="6"/>
  <c r="AQ18" i="6"/>
  <c r="AN18" i="6"/>
  <c r="C12" i="9"/>
  <c r="AY16" i="6"/>
  <c r="BA16" i="6"/>
  <c r="AZ16" i="6"/>
  <c r="BB16" i="6"/>
  <c r="AX16" i="6"/>
  <c r="AW16" i="6"/>
  <c r="AV16" i="6"/>
  <c r="AT16" i="6"/>
  <c r="AU16" i="6"/>
  <c r="AR16" i="6"/>
  <c r="AP16" i="6"/>
  <c r="AO16" i="6"/>
  <c r="AS16" i="6"/>
  <c r="AQ16" i="6"/>
  <c r="AN16" i="6"/>
  <c r="AY14" i="6"/>
  <c r="BA14" i="6"/>
  <c r="AZ14" i="6"/>
  <c r="BB14" i="6"/>
  <c r="AX14" i="6"/>
  <c r="AW14" i="6"/>
  <c r="AV14" i="6"/>
  <c r="AT14" i="6"/>
  <c r="AU14" i="6"/>
  <c r="AR14" i="6"/>
  <c r="AP14" i="6"/>
  <c r="AO14" i="6"/>
  <c r="AS14" i="6"/>
  <c r="AQ14" i="6"/>
  <c r="AN14" i="6"/>
  <c r="AY12" i="6"/>
  <c r="BA12" i="6"/>
  <c r="AZ12" i="6"/>
  <c r="BB12" i="6"/>
  <c r="AX12" i="6"/>
  <c r="AW12" i="6"/>
  <c r="AV12" i="6"/>
  <c r="AT12" i="6"/>
  <c r="AU12" i="6"/>
  <c r="AR12" i="6"/>
  <c r="AP12" i="6"/>
  <c r="AO12" i="6"/>
  <c r="AS12" i="6"/>
  <c r="AQ12" i="6"/>
  <c r="AN12" i="6"/>
  <c r="AY10" i="6"/>
  <c r="BA10" i="6"/>
  <c r="AX10" i="6"/>
  <c r="AZ10" i="6"/>
  <c r="BB10" i="6"/>
  <c r="AW10" i="6"/>
  <c r="AV10" i="6"/>
  <c r="AT10" i="6"/>
  <c r="AU10" i="6"/>
  <c r="AR10" i="6"/>
  <c r="AP10" i="6"/>
  <c r="AO10" i="6"/>
  <c r="AS10" i="6"/>
  <c r="AQ10" i="6"/>
  <c r="AN10" i="6"/>
  <c r="C18" i="9"/>
  <c r="C14" i="9"/>
  <c r="AY8" i="6"/>
  <c r="BA8" i="6"/>
  <c r="AX8" i="6"/>
  <c r="AZ8" i="6"/>
  <c r="BB8" i="6"/>
  <c r="AW8" i="6"/>
  <c r="AV8" i="6"/>
  <c r="AT8" i="6"/>
  <c r="AU8" i="6"/>
  <c r="AR8" i="6"/>
  <c r="AP8" i="6"/>
  <c r="AO8" i="6"/>
  <c r="AS8" i="6"/>
  <c r="AQ8" i="6"/>
  <c r="AN8" i="6"/>
  <c r="D12" i="9"/>
  <c r="AY6" i="6"/>
  <c r="BA6" i="6"/>
  <c r="AX6" i="6"/>
  <c r="AZ6" i="6"/>
  <c r="BB6" i="6"/>
  <c r="AW6" i="6"/>
  <c r="AV6" i="6"/>
  <c r="AT6" i="6"/>
  <c r="AU6" i="6"/>
  <c r="AR6" i="6"/>
  <c r="AP6" i="6"/>
  <c r="AO6" i="6"/>
  <c r="AS6" i="6"/>
  <c r="AQ6" i="6"/>
  <c r="AN6" i="6"/>
  <c r="E12" i="9"/>
  <c r="AY4" i="6"/>
  <c r="BA4" i="6"/>
  <c r="AX4" i="6"/>
  <c r="AZ4" i="6"/>
  <c r="BB4" i="6"/>
  <c r="AW4" i="6"/>
  <c r="AV4" i="6"/>
  <c r="AT4" i="6"/>
  <c r="AU4" i="6"/>
  <c r="AR4" i="6"/>
  <c r="AP4" i="6"/>
  <c r="AO4" i="6"/>
  <c r="AS4" i="6"/>
  <c r="AQ4" i="6"/>
  <c r="AN4" i="6"/>
  <c r="P12" i="19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 s="1"/>
  <c r="G21" i="18"/>
  <c r="D26" i="18"/>
  <c r="E27" i="18"/>
  <c r="Q3" i="18" s="1"/>
  <c r="F28" i="18"/>
  <c r="G29" i="18"/>
  <c r="Q17" i="18" s="1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 s="1"/>
  <c r="Q10" i="11" l="1"/>
  <c r="Q9" i="11"/>
  <c r="Q8" i="11"/>
  <c r="Q6" i="11"/>
  <c r="Q4" i="11"/>
  <c r="Q7" i="11"/>
  <c r="Q5" i="11"/>
  <c r="Q18" i="11"/>
  <c r="Q16" i="11"/>
  <c r="Q17" i="11"/>
  <c r="Q15" i="11"/>
  <c r="Q14" i="11"/>
  <c r="Q12" i="11"/>
  <c r="Q13" i="11"/>
  <c r="Q11" i="11"/>
  <c r="C3" i="9"/>
  <c r="C6" i="9"/>
  <c r="C5" i="9"/>
  <c r="D5" i="9"/>
  <c r="D6" i="9"/>
  <c r="Q20" i="11"/>
  <c r="Q21" i="11"/>
  <c r="Q19" i="11"/>
  <c r="Q3" i="11"/>
  <c r="C2" i="9"/>
  <c r="C4" i="9"/>
  <c r="D2" i="9"/>
  <c r="D3" i="9"/>
  <c r="D4" i="9"/>
  <c r="O5" i="11"/>
  <c r="N5" i="11"/>
  <c r="P5" i="11" s="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 s="1"/>
  <c r="S7" i="18" s="1"/>
  <c r="H29" i="18"/>
  <c r="H26" i="18"/>
  <c r="R11" i="18" s="1"/>
  <c r="H30" i="18"/>
  <c r="H27" i="18"/>
  <c r="R3" i="18" s="1"/>
  <c r="S3" i="18"/>
  <c r="Q9" i="18"/>
  <c r="Q10" i="18"/>
  <c r="Q8" i="18"/>
  <c r="Q4" i="18"/>
  <c r="Q6" i="18"/>
  <c r="Q5" i="18"/>
  <c r="Q11" i="18"/>
  <c r="S11" i="18" s="1"/>
  <c r="S17" i="18"/>
  <c r="I29" i="18"/>
  <c r="R17" i="18" s="1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B3" i="15"/>
  <c r="B8" i="15" s="1"/>
  <c r="F2" i="15"/>
  <c r="E2" i="15"/>
  <c r="D2" i="15"/>
  <c r="C2" i="15"/>
  <c r="G2" i="15" s="1"/>
  <c r="B2" i="15"/>
  <c r="G3" i="15" l="1"/>
  <c r="R21" i="11"/>
  <c r="R17" i="11"/>
  <c r="R18" i="11"/>
  <c r="R19" i="11"/>
  <c r="R20" i="11"/>
  <c r="R15" i="11"/>
  <c r="R16" i="11"/>
  <c r="L14" i="11"/>
  <c r="L8" i="11"/>
  <c r="L4" i="11"/>
  <c r="L10" i="11"/>
  <c r="L7" i="11"/>
  <c r="L13" i="11"/>
  <c r="L12" i="11"/>
  <c r="L9" i="11"/>
  <c r="B15" i="22" s="1"/>
  <c r="L11" i="11"/>
  <c r="L3" i="11"/>
  <c r="L6" i="11"/>
  <c r="R5" i="11"/>
  <c r="I12" i="21"/>
  <c r="I9" i="21"/>
  <c r="I10" i="21"/>
  <c r="I11" i="21"/>
  <c r="I8" i="21"/>
  <c r="H8" i="21"/>
  <c r="H12" i="21"/>
  <c r="H9" i="21"/>
  <c r="S21" i="11" s="1"/>
  <c r="H10" i="21"/>
  <c r="H11" i="21"/>
  <c r="S17" i="11" s="1"/>
  <c r="R15" i="18"/>
  <c r="S15" i="18" s="1"/>
  <c r="R14" i="18"/>
  <c r="S14" i="18" s="1"/>
  <c r="R12" i="18"/>
  <c r="S12" i="18" s="1"/>
  <c r="R13" i="18"/>
  <c r="S13" i="18" s="1"/>
  <c r="R16" i="18"/>
  <c r="S16" i="18" s="1"/>
  <c r="R10" i="18"/>
  <c r="S10" i="18" s="1"/>
  <c r="R9" i="18"/>
  <c r="S9" i="18" s="1"/>
  <c r="R8" i="18"/>
  <c r="S8" i="18" s="1"/>
  <c r="R4" i="18"/>
  <c r="S4" i="18" s="1"/>
  <c r="R6" i="18"/>
  <c r="S6" i="18" s="1"/>
  <c r="R5" i="18"/>
  <c r="S5" i="18" s="1"/>
  <c r="B8" i="5"/>
  <c r="I2" i="15"/>
  <c r="G8" i="15"/>
  <c r="M2" i="15"/>
  <c r="D7" i="15"/>
  <c r="C8" i="15"/>
  <c r="B7" i="15"/>
  <c r="F7" i="15"/>
  <c r="P5" i="2"/>
  <c r="D13" i="22" l="1"/>
  <c r="S15" i="11"/>
  <c r="T15" i="11" s="1"/>
  <c r="S20" i="11"/>
  <c r="S19" i="11"/>
  <c r="T19" i="11" s="1"/>
  <c r="T17" i="11"/>
  <c r="S16" i="11"/>
  <c r="T16" i="11" s="1"/>
  <c r="T20" i="11"/>
  <c r="S18" i="11"/>
  <c r="T18" i="11" s="1"/>
  <c r="T21" i="11"/>
  <c r="D15" i="22"/>
  <c r="D11" i="22"/>
  <c r="B11" i="22"/>
  <c r="B13" i="22"/>
  <c r="D18" i="22"/>
  <c r="D14" i="22"/>
  <c r="B18" i="22"/>
  <c r="B14" i="22"/>
  <c r="D12" i="22"/>
  <c r="B12" i="22"/>
  <c r="O10" i="11"/>
  <c r="N10" i="11"/>
  <c r="S10" i="11"/>
  <c r="O6" i="11"/>
  <c r="N6" i="11"/>
  <c r="O3" i="11"/>
  <c r="N3" i="11"/>
  <c r="N11" i="11"/>
  <c r="O11" i="11"/>
  <c r="O9" i="11"/>
  <c r="N9" i="11"/>
  <c r="N8" i="11"/>
  <c r="O8" i="11"/>
  <c r="S8" i="11" s="1"/>
  <c r="O7" i="11"/>
  <c r="S7" i="11" s="1"/>
  <c r="N7" i="11"/>
  <c r="O12" i="11"/>
  <c r="S12" i="11" s="1"/>
  <c r="N12" i="11"/>
  <c r="O13" i="11"/>
  <c r="N13" i="11"/>
  <c r="N4" i="11"/>
  <c r="O4" i="11"/>
  <c r="N14" i="11"/>
  <c r="O14" i="11"/>
  <c r="S14" i="11" s="1"/>
  <c r="S6" i="11"/>
  <c r="S4" i="11"/>
  <c r="S5" i="11"/>
  <c r="S11" i="11"/>
  <c r="C7" i="15"/>
  <c r="G7" i="15" s="1"/>
  <c r="E7" i="15"/>
  <c r="P6" i="2"/>
  <c r="Q4" i="2"/>
  <c r="F12" i="22" l="1"/>
  <c r="S9" i="11"/>
  <c r="F15" i="22"/>
  <c r="S3" i="11"/>
  <c r="F18" i="22"/>
  <c r="F14" i="22"/>
  <c r="F13" i="22"/>
  <c r="F11" i="22"/>
  <c r="P7" i="11"/>
  <c r="R7" i="11"/>
  <c r="T7" i="11" s="1"/>
  <c r="R3" i="11"/>
  <c r="P3" i="11"/>
  <c r="S13" i="11"/>
  <c r="P13" i="11"/>
  <c r="R13" i="11"/>
  <c r="P12" i="11"/>
  <c r="R12" i="11"/>
  <c r="T12" i="11" s="1"/>
  <c r="P10" i="11"/>
  <c r="R10" i="11"/>
  <c r="R14" i="11"/>
  <c r="P14" i="11"/>
  <c r="P8" i="11"/>
  <c r="R8" i="11"/>
  <c r="T8" i="11" s="1"/>
  <c r="R6" i="11"/>
  <c r="T6" i="11" s="1"/>
  <c r="P6" i="11"/>
  <c r="R9" i="11"/>
  <c r="T9" i="11" s="1"/>
  <c r="P9" i="11"/>
  <c r="R11" i="11"/>
  <c r="T11" i="11" s="1"/>
  <c r="P11" i="11"/>
  <c r="R4" i="11"/>
  <c r="T4" i="11" s="1"/>
  <c r="P4" i="11"/>
  <c r="T14" i="11"/>
  <c r="T10" i="11"/>
  <c r="T5" i="11"/>
  <c r="E6" i="9"/>
  <c r="E3" i="9"/>
  <c r="C7" i="9"/>
  <c r="E4" i="9"/>
  <c r="D7" i="9"/>
  <c r="E5" i="9"/>
  <c r="E2" i="9"/>
  <c r="B29" i="8" l="1"/>
  <c r="B25" i="8"/>
  <c r="T3" i="11"/>
  <c r="T13" i="11"/>
  <c r="B27" i="8"/>
  <c r="D27" i="8" s="1"/>
  <c r="D25" i="8"/>
  <c r="D29" i="8"/>
  <c r="Y3" i="12"/>
  <c r="AA3" i="12" s="1"/>
  <c r="C5" i="8"/>
  <c r="Y5" i="12"/>
  <c r="AA5" i="12" s="1"/>
  <c r="C3" i="8"/>
  <c r="Y7" i="12"/>
  <c r="AA7" i="12" s="1"/>
  <c r="E7" i="9"/>
  <c r="B26" i="8" l="1"/>
  <c r="D26" i="8" s="1"/>
  <c r="B28" i="8"/>
  <c r="D28" i="8" s="1"/>
  <c r="C4" i="8"/>
  <c r="Y4" i="12"/>
  <c r="AA4" i="12" s="1"/>
  <c r="C6" i="8"/>
  <c r="Y6" i="12"/>
  <c r="AA6" i="12" s="1"/>
  <c r="E4" i="8"/>
  <c r="E3" i="8" l="1"/>
  <c r="E5" i="8"/>
  <c r="E2" i="8"/>
  <c r="E6" i="8" l="1"/>
  <c r="P8" i="2"/>
  <c r="R4" i="2"/>
  <c r="Q6" i="2"/>
  <c r="R6" i="2" s="1"/>
  <c r="Q5" i="2"/>
  <c r="R5" i="2" s="1"/>
  <c r="Q7" i="2"/>
  <c r="R7" i="2" s="1"/>
  <c r="Q8" i="2" l="1"/>
  <c r="R8" i="2" s="1"/>
  <c r="I5" i="3" l="1"/>
  <c r="I6" i="3"/>
  <c r="E6" i="5" s="1"/>
  <c r="I3" i="3"/>
  <c r="E4" i="5" s="1"/>
  <c r="I2" i="3"/>
  <c r="E2" i="5" s="1"/>
  <c r="I4" i="3"/>
  <c r="C3" i="5" s="1"/>
  <c r="I8" i="3" l="1"/>
  <c r="E8" i="5" s="1"/>
  <c r="C4" i="5"/>
  <c r="D4" i="5" s="1"/>
  <c r="C6" i="5"/>
  <c r="D6" i="5" s="1"/>
  <c r="E3" i="5"/>
  <c r="C5" i="5"/>
  <c r="D5" i="5" s="1"/>
  <c r="E5" i="5"/>
  <c r="I7" i="3"/>
  <c r="E7" i="5" s="1"/>
  <c r="C8" i="5" l="1"/>
  <c r="D8" i="5" s="1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<sst xmlns="http://schemas.openxmlformats.org/spreadsheetml/2006/main" count="1270" uniqueCount="456">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</sst>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1" fillId="4" borderId="4" applyNumberFormat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10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11" fillId="4" borderId="4" xfId="3"/>
    <xf numFmtId="1" fontId="11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1" fontId="5" fillId="2" borderId="0" xfId="0" applyNumberFormat="1" applyFont="1" applyFill="1"/>
    <xf numFmtId="0" fontId="12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2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5" fillId="0" borderId="0" xfId="1" applyNumberFormat="1" applyFont="1"/>
    <xf numFmtId="0" fontId="0" fillId="0" borderId="0" xfId="1" applyNumberFormat="1" applyFont="1"/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261</v>
      </c>
      <c r="E1" t="s">
        <v>253</v>
      </c>
    </row>
    <row r="2" spans="1:9" x14ac:dyDescent="0.25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5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6" t="s">
        <v>252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268</v>
      </c>
      <c r="C15" t="s">
        <v>267</v>
      </c>
      <c r="G15" s="3"/>
      <c r="H15" s="3"/>
      <c r="I15" s="3"/>
    </row>
    <row r="16" spans="1:9" x14ac:dyDescent="0.25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383</v>
      </c>
    </row>
    <row r="22" spans="1:9" x14ac:dyDescent="0.25">
      <c r="A22" t="s">
        <v>248</v>
      </c>
      <c r="B22">
        <v>20000</v>
      </c>
    </row>
    <row r="23" spans="1:9" x14ac:dyDescent="0.25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E8" sqref="E8"/>
    </sheetView>
  </sheetViews>
  <sheetFormatPr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5703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5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-653.90301837599327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64">
        <f>SUM('INPUT - Housing per plan '!N3:O3)+SUM('INPUT - Housing per plan '!N19:O21)-'BASIS - Housing demand'!I3</f>
        <v>-806.5318759557772</v>
      </c>
    </row>
    <row r="5" spans="1:5" x14ac:dyDescent="0.25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-2002.9590551279803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64">
        <f>SUM('INPUT - Housing per plan '!N11:O18)-'BASIS - Housing demand'!I6</f>
        <v>-2275.1677718167921</v>
      </c>
    </row>
    <row r="7" spans="1:5" x14ac:dyDescent="0.25">
      <c r="A7" s="2" t="s">
        <v>282</v>
      </c>
      <c r="C7" s="6"/>
      <c r="D7" s="6"/>
      <c r="E7" s="60">
        <f>SUM('INPUT - Housing per plan '!N3:O21)-'BASIS - Housing demand'!I7</f>
        <v>-60912.374050490107</v>
      </c>
    </row>
    <row r="8" spans="1:5" x14ac:dyDescent="0.25">
      <c r="A8" t="s">
        <v>281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64">
        <f>SUM('INPUT - Housing per plan '!N3:O21)-'BASIS - Housing demand'!I8</f>
        <v>-5738.5617212765428</v>
      </c>
    </row>
    <row r="9" spans="1:5" x14ac:dyDescent="0.25">
      <c r="E9" s="15"/>
    </row>
    <row r="11" spans="1:5" x14ac:dyDescent="0.25">
      <c r="A11" t="s">
        <v>332</v>
      </c>
    </row>
    <row r="12" spans="1:5" x14ac:dyDescent="0.25">
      <c r="A12" t="s">
        <v>333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1"/>
  <sheetViews>
    <sheetView workbookViewId="0">
      <selection activeCell="B29" sqref="B29"/>
    </sheetView>
  </sheetViews>
  <sheetFormatPr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5703125" bestFit="1" customWidth="1"/>
  </cols>
  <sheetData>
    <row r="1" spans="1:5" x14ac:dyDescent="0.25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2895644.6780366879</v>
      </c>
      <c r="D3" s="6">
        <f>'Indicator 3 Finances'!B17</f>
        <v>0</v>
      </c>
      <c r="E3">
        <f t="shared" ref="E3:E6" si="0">C3-D3</f>
        <v>2895644.6780366879</v>
      </c>
    </row>
    <row r="4" spans="1:5" x14ac:dyDescent="0.25">
      <c r="A4" t="s">
        <v>3</v>
      </c>
      <c r="B4" t="s">
        <v>43</v>
      </c>
      <c r="C4" s="57">
        <f>'INPUT - Housing per plan '!T3+SUM('INPUT - Housing per plan '!T19:T21)</f>
        <v>10208915.358117528</v>
      </c>
      <c r="D4" s="6">
        <f>'Indicator 3 Finances'!B18</f>
        <v>0</v>
      </c>
      <c r="E4">
        <f t="shared" si="0"/>
        <v>10208915.358117528</v>
      </c>
    </row>
    <row r="5" spans="1:5" x14ac:dyDescent="0.25">
      <c r="A5" t="s">
        <v>4</v>
      </c>
      <c r="B5" t="s">
        <v>43</v>
      </c>
      <c r="C5">
        <f>SUM('INPUT - Housing per plan '!T4:T8)</f>
        <v>7380315.8002510583</v>
      </c>
      <c r="D5" s="6">
        <f>'Indicator 3 Finances'!B19</f>
        <v>0</v>
      </c>
      <c r="E5">
        <f t="shared" si="0"/>
        <v>7380315.8002510583</v>
      </c>
    </row>
    <row r="6" spans="1:5" x14ac:dyDescent="0.25">
      <c r="A6" t="s">
        <v>1</v>
      </c>
      <c r="B6" t="s">
        <v>43</v>
      </c>
      <c r="C6" s="57">
        <f>SUM('INPUT - Housing per plan '!T11:T18)</f>
        <v>50312674.829398632</v>
      </c>
      <c r="D6" s="6">
        <f>'Indicator 3 Finances'!B20</f>
        <v>0</v>
      </c>
      <c r="E6">
        <f t="shared" si="0"/>
        <v>50312674.829398632</v>
      </c>
    </row>
    <row r="7" spans="1:5" x14ac:dyDescent="0.25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236</v>
      </c>
    </row>
    <row r="16" spans="1:5" x14ac:dyDescent="0.25">
      <c r="A16" s="5" t="s">
        <v>26</v>
      </c>
      <c r="B16" s="7">
        <f>SUM('INPUT - Infra Projects'!S3:S38)</f>
        <v>0</v>
      </c>
    </row>
    <row r="17" spans="1:4" x14ac:dyDescent="0.25">
      <c r="A17" t="s">
        <v>3</v>
      </c>
      <c r="B17" s="7">
        <f>SUM('INPUT - Infra Projects'!T3:T38)</f>
        <v>0</v>
      </c>
    </row>
    <row r="18" spans="1:4" x14ac:dyDescent="0.25">
      <c r="A18" t="s">
        <v>39</v>
      </c>
      <c r="B18" s="7">
        <f>SUM('INPUT - Infra Projects'!U3:U38)</f>
        <v>0</v>
      </c>
    </row>
    <row r="19" spans="1:4" x14ac:dyDescent="0.25">
      <c r="A19" t="s">
        <v>193</v>
      </c>
      <c r="B19" s="7">
        <f>SUM('INPUT - Infra Projects'!V3:V38)</f>
        <v>0</v>
      </c>
    </row>
    <row r="20" spans="1:4" x14ac:dyDescent="0.25">
      <c r="A20" t="s">
        <v>1</v>
      </c>
      <c r="B20" s="7">
        <f>SUM('INPUT - Infra Projects'!W3:W38)</f>
        <v>0</v>
      </c>
    </row>
    <row r="21" spans="1:4" x14ac:dyDescent="0.25">
      <c r="A21" t="s">
        <v>110</v>
      </c>
      <c r="B21" s="7">
        <f>SUM('INPUT - Infra Projects'!X3:X38)</f>
        <v>0</v>
      </c>
    </row>
    <row r="22" spans="1:4" x14ac:dyDescent="0.25">
      <c r="A22" t="s">
        <v>76</v>
      </c>
      <c r="B22" s="7">
        <f>SUM('INPUT - Infra Projects'!Y3:Y38)</f>
        <v>0</v>
      </c>
    </row>
    <row r="24" spans="1:4" x14ac:dyDescent="0.25">
      <c r="B24" s="1" t="s">
        <v>334</v>
      </c>
      <c r="C24" s="1" t="s">
        <v>335</v>
      </c>
      <c r="D24" s="1" t="s">
        <v>186</v>
      </c>
    </row>
    <row r="25" spans="1:4" x14ac:dyDescent="0.25">
      <c r="A25" t="s">
        <v>321</v>
      </c>
      <c r="B25" s="57">
        <f>'INPUT - Housing per plan '!T11+'INPUT - Housing per plan '!T12+SUM('INPUT - Housing per plan '!T15:T18)</f>
        <v>31177785.086843405</v>
      </c>
      <c r="C25">
        <f>SUMIFS('INPUT - Infra Projects'!I3:I38,'INPUT - Infra Projects'!S3:S38,"1",'INPUT - Infra Projects'!M3:M38,"p1")</f>
        <v>0</v>
      </c>
      <c r="D25">
        <f>B25-C25</f>
        <v>31177785.086843405</v>
      </c>
    </row>
    <row r="26" spans="1:4" x14ac:dyDescent="0.25">
      <c r="A26" t="s">
        <v>322</v>
      </c>
      <c r="B26" s="57">
        <f>'INPUT - Housing per plan '!T13+'INPUT - Housing per plan '!T14</f>
        <v>19134889.742555223</v>
      </c>
      <c r="C26">
        <f>SUMIFS('INPUT - Infra Projects'!I3:I38,'INPUT - Infra Projects'!S3:S38,"1",'INPUT - Infra Projects'!M3:M38,"p2")</f>
        <v>0</v>
      </c>
      <c r="D26">
        <f t="shared" ref="D26:D31" si="1">B26-C26</f>
        <v>19134889.742555223</v>
      </c>
    </row>
    <row r="27" spans="1:4" x14ac:dyDescent="0.25">
      <c r="A27" t="s">
        <v>323</v>
      </c>
      <c r="B27">
        <f>'INPUT - Housing per plan '!T4+'INPUT - Housing per plan '!T5+'INPUT - Housing per plan '!T6+'INPUT - Housing per plan '!T7+'INPUT - Housing per plan '!T8</f>
        <v>7380315.8002510583</v>
      </c>
      <c r="C27">
        <f>SUMIFS('INPUT - Infra Projects'!I3:I38,'INPUT - Infra Projects'!S3:S38,"1",'INPUT - Infra Projects'!M3:M38,"p3")</f>
        <v>0</v>
      </c>
      <c r="D27">
        <f t="shared" si="1"/>
        <v>7380315.8002510583</v>
      </c>
    </row>
    <row r="28" spans="1:4" x14ac:dyDescent="0.25">
      <c r="A28" t="s">
        <v>324</v>
      </c>
      <c r="B28" s="57">
        <f>'INPUT - Housing per plan '!T3+SUM('INPUT - Housing per plan '!T19:T21)</f>
        <v>10208915.358117528</v>
      </c>
      <c r="C28">
        <f>SUMIFS('INPUT - Infra Projects'!I3:I38,'INPUT - Infra Projects'!S3:S38,"1",'INPUT - Infra Projects'!M3:M38,"p4")</f>
        <v>0</v>
      </c>
      <c r="D28">
        <f t="shared" si="1"/>
        <v>10208915.358117528</v>
      </c>
    </row>
    <row r="29" spans="1:4" x14ac:dyDescent="0.25">
      <c r="A29" t="s">
        <v>325</v>
      </c>
      <c r="B29" s="57">
        <f>'INPUT - Housing per plan '!T9+'INPUT - Housing per plan '!T10</f>
        <v>2895644.6780366879</v>
      </c>
      <c r="C29">
        <f>SUMIFS('INPUT - Infra Projects'!I3:I38,'INPUT - Infra Projects'!S3:S38,"1",'INPUT - Infra Projects'!M3:M38,"p5")</f>
        <v>0</v>
      </c>
      <c r="D29">
        <f t="shared" si="1"/>
        <v>2895644.6780366879</v>
      </c>
    </row>
    <row r="30" spans="1:4" x14ac:dyDescent="0.25">
      <c r="A30" t="s">
        <v>326</v>
      </c>
      <c r="B30">
        <v>0</v>
      </c>
      <c r="C30">
        <f>SUMIFS('INPUT - Infra Projects'!I3:I38,'INPUT - Infra Projects'!S3:S38,"1",'INPUT - Infra Projects'!M3:M38,"p6")</f>
        <v>0</v>
      </c>
      <c r="D30">
        <f t="shared" si="1"/>
        <v>0</v>
      </c>
    </row>
    <row r="31" spans="1:4" x14ac:dyDescent="0.25">
      <c r="A31" t="s">
        <v>327</v>
      </c>
      <c r="B31">
        <v>0</v>
      </c>
      <c r="C31">
        <f>SUMIFS('INPUT - Infra Projects'!I3:I38,'INPUT - Infra Projects'!S3:S38,"1",'INPUT - Infra Projects'!M3:M38,"p7")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18"/>
  <sheetViews>
    <sheetView workbookViewId="0">
      <selection activeCell="D25" sqref="D25"/>
    </sheetView>
  </sheetViews>
  <sheetFormatPr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308</v>
      </c>
      <c r="E1" s="1" t="s">
        <v>313</v>
      </c>
      <c r="H1" s="1" t="s">
        <v>312</v>
      </c>
    </row>
    <row r="2" spans="1:10" x14ac:dyDescent="0.25">
      <c r="A2" s="1" t="s">
        <v>5</v>
      </c>
      <c r="B2" t="s">
        <v>309</v>
      </c>
      <c r="C2" t="s">
        <v>310</v>
      </c>
      <c r="D2" t="s">
        <v>311</v>
      </c>
      <c r="E2" t="s">
        <v>309</v>
      </c>
      <c r="F2" t="s">
        <v>310</v>
      </c>
      <c r="G2" t="s">
        <v>311</v>
      </c>
      <c r="H2" t="s">
        <v>309</v>
      </c>
      <c r="I2" t="s">
        <v>310</v>
      </c>
      <c r="J2" t="s">
        <v>311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181</v>
      </c>
    </row>
    <row r="10" spans="1:10" x14ac:dyDescent="0.25">
      <c r="A10" s="1"/>
      <c r="B10" s="1" t="s">
        <v>340</v>
      </c>
      <c r="C10" s="1"/>
      <c r="D10" s="1" t="s">
        <v>341</v>
      </c>
      <c r="E10" s="1"/>
      <c r="F10" s="1" t="s">
        <v>343</v>
      </c>
      <c r="G10" s="1"/>
    </row>
    <row r="11" spans="1:10" x14ac:dyDescent="0.25">
      <c r="A11" t="s">
        <v>321</v>
      </c>
      <c r="B11" s="87">
        <f>(SUMIFS('INPUT - Housing per plan '!$L$3:$L$21,'INPUT - Housing per plan '!$E$3:$E$21,"p1",'BASIS - Accessiblity of plans'!$F$3:$F$21,"1"))/(SUMIFS('INPUT - Housing per plan '!$L$3:$L$21,'INPUT - Housing per plan '!$E$3:$E$21,"p1"))*100</f>
        <v>72.543445959041293</v>
      </c>
      <c r="D11" s="57">
        <f>(SUMIFS('INPUT - Housing per plan '!$L$3:$L$21,'INPUT - Housing per plan '!$E$3:$E$21,"p1",'INPUT - Housing per plan '!$F$3:$F$21,"1"))/(SUMIFS('INPUT - Housing per plan '!$L$3:$L$21,'INPUT - Housing per plan '!$E$3:$E$21,"p1"))*100</f>
        <v>100</v>
      </c>
      <c r="F11" s="57">
        <f>(SUMIFS('INPUT - Housing per plan '!$O$3:$O$21,'INPUT - Housing per plan '!$E$3:$E$21,"p1"))/(SUMIFS('INPUT - Housing per plan '!$L$3:$L$21,'INPUT - Housing per plan '!$E$3:$E$21,"p1"))*100</f>
        <v>0</v>
      </c>
    </row>
    <row r="12" spans="1:10" x14ac:dyDescent="0.25">
      <c r="A12" t="s">
        <v>322</v>
      </c>
      <c r="B12" s="87">
        <f>(SUMIFS('INPUT - Housing per plan '!$L$3:$L$21,'INPUT - Housing per plan '!$E$3:$E$21,"p2",'BASIS - Accessiblity of plans'!$F$3:$F$21,"1"))/(SUMIFS('INPUT - Housing per plan '!$L$3:$L$21,'INPUT - Housing per plan '!$E$3:$E$21,"p2"))*100</f>
        <v>63.157894736842103</v>
      </c>
      <c r="D12" s="57">
        <f>(SUMIFS('INPUT - Housing per plan '!$L$3:$L$21,'INPUT - Housing per plan '!$E$3:$E$21,"p2",'INPUT - Housing per plan '!$F$3:$F$21,"1"))/(SUMIFS('INPUT - Housing per plan '!$L$3:$L$21,'INPUT - Housing per plan '!$E$3:$E$21,"p2"))*100</f>
        <v>100</v>
      </c>
      <c r="F12" s="57">
        <f>(SUMIFS('INPUT - Housing per plan '!$O$3:$O$21,'INPUT - Housing per plan '!$E$3:$E$21,"p2"))/(SUMIFS('INPUT - Housing per plan '!$L$3:$L$21,'INPUT - Housing per plan '!$E$3:$E$21,"p2"))*100</f>
        <v>0</v>
      </c>
    </row>
    <row r="13" spans="1:10" x14ac:dyDescent="0.25">
      <c r="A13" t="s">
        <v>323</v>
      </c>
      <c r="B13" s="87">
        <f>(SUMIFS('INPUT - Housing per plan '!$L$3:$L$21,'INPUT - Housing per plan '!$E$3:$E$21,"p3",'BASIS - Accessiblity of plans'!$F$3:$F$21,"1"))/(SUMIFS('INPUT - Housing per plan '!$L$3:$L$21,'INPUT - Housing per plan '!$E$3:$E$21,"p3"))*100</f>
        <v>77.715877437325915</v>
      </c>
      <c r="D13" s="57">
        <f>(SUMIFS('INPUT - Housing per plan '!$L$3:$L$21,'INPUT - Housing per plan '!$E$3:$E$21,"p3",'INPUT - Housing per plan '!$F$3:$F$21,"1"))/(SUMIFS('INPUT - Housing per plan '!$L$3:$L$21,'INPUT - Housing per plan '!$E$3:$E$21,"p3"))*100</f>
        <v>8.3565459610027855</v>
      </c>
      <c r="F13" s="57">
        <f>(SUMIFS('INPUT - Housing per plan '!$O$3:$O$21,'INPUT - Housing per plan '!$E$3:$E$21,"p3"))/(SUMIFS('INPUT - Housing per plan '!$L$3:$L$21,'INPUT - Housing per plan '!$E$3:$E$21,"p3"))*100</f>
        <v>0</v>
      </c>
    </row>
    <row r="14" spans="1:10" x14ac:dyDescent="0.25">
      <c r="A14" t="s">
        <v>324</v>
      </c>
      <c r="B14" s="87">
        <f>(SUMIFS('INPUT - Housing per plan '!$L$3:$L$21,'INPUT - Housing per plan '!$E$3:$E$21,"p4",'BASIS - Accessiblity of plans'!$F$3:$F$21,"1"))/(SUMIFS('INPUT - Housing per plan '!$L$3:$L$21,'INPUT - Housing per plan '!$E$3:$E$21,"p4"))*100</f>
        <v>100</v>
      </c>
      <c r="D14" s="57">
        <f>(SUMIFS('INPUT - Housing per plan '!$L$3:$L$21,'INPUT - Housing per plan '!$E$3:$E$21,"p4",'INPUT - Housing per plan '!$F$3:$F$21,"1"))/(SUMIFS('INPUT - Housing per plan '!$L$3:$L$21,'INPUT - Housing per plan '!$E$3:$E$21,"p4"))*100</f>
        <v>100</v>
      </c>
      <c r="F14" s="57">
        <f>(SUMIFS('INPUT - Housing per plan '!$O$3:$O$21,'INPUT - Housing per plan '!$E$3:$E$21,"p4"))/(SUMIFS('INPUT - Housing per plan '!$L$3:$L$21,'INPUT - Housing per plan '!$E$3:$E$21,"p4"))*100</f>
        <v>0</v>
      </c>
    </row>
    <row r="15" spans="1:10" x14ac:dyDescent="0.25">
      <c r="A15" t="s">
        <v>325</v>
      </c>
      <c r="B15" s="87">
        <f>(SUMIFS('INPUT - Housing per plan '!$L$3:$L$21,'INPUT - Housing per plan '!$E$3:$E$21,"p5",'BASIS - Accessiblity of plans'!$F$3:$F$21,"1"))/(SUMIFS('INPUT - Housing per plan '!$L$3:$L$21,'INPUT - Housing per plan '!$E$3:$E$21,"p5"))*100</f>
        <v>0</v>
      </c>
      <c r="D15" s="57">
        <f>(SUMIFS('INPUT - Housing per plan '!$L$3:$L$21,'INPUT - Housing per plan '!$E$3:$E$21,"p5",'INPUT - Housing per plan '!$F$3:$F$21,"1"))/(SUMIFS('INPUT - Housing per plan '!$L$3:$L$21,'INPUT - Housing per plan '!$E$3:$E$21,"p5"))*100</f>
        <v>0</v>
      </c>
      <c r="F15" s="57">
        <f>(SUMIFS('INPUT - Housing per plan '!$O$3:$O$21,'INPUT - Housing per plan '!$E$3:$E$21,"p5"))/(SUMIFS('INPUT - Housing per plan '!$L$3:$L$21,'INPUT - Housing per plan '!$E$3:$E$21,"p5"))*100</f>
        <v>0</v>
      </c>
    </row>
    <row r="16" spans="1:10" x14ac:dyDescent="0.25">
      <c r="A16" t="s">
        <v>326</v>
      </c>
      <c r="B16" s="66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57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57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5">
      <c r="A17" t="s">
        <v>327</v>
      </c>
      <c r="B17" s="66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57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57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5">
      <c r="A18" t="s">
        <v>13</v>
      </c>
      <c r="B18" s="66">
        <f>(SUMIFS('INPUT - Housing per plan '!$L$3:$L$21,'BASIS - Accessiblity of plans'!$F$3:$F$21,"1"))/(SUM('INPUT - Housing per plan '!$L$3:$L$21))*100</f>
        <v>70.978663943677105</v>
      </c>
      <c r="D18" s="57">
        <f>(SUMIFS('INPUT - Housing per plan '!$L$3:$L$21,'INPUT - Housing per plan '!$F$3:$F$21,"1"))/(SUM('INPUT - Housing per plan '!$L$3:$L$21))*100</f>
        <v>81.767614338689739</v>
      </c>
      <c r="F18" s="57">
        <f>(SUM('INPUT - Housing per plan '!$O$3:$O$21))/(SUM('INPUT - Housing per plan '!$L$3:$L$21))*100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5703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5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5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5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6" t="s">
        <v>252</v>
      </c>
    </row>
    <row r="33" spans="1:3" x14ac:dyDescent="0.25">
      <c r="B33" t="s">
        <v>268</v>
      </c>
      <c r="C33" t="s">
        <v>267</v>
      </c>
    </row>
    <row r="34" spans="1:3" x14ac:dyDescent="0.25">
      <c r="A34" t="s">
        <v>245</v>
      </c>
      <c r="B34">
        <v>86000</v>
      </c>
      <c r="C34" s="6">
        <f>B34*(C36/B36)</f>
        <v>90530.901722391092</v>
      </c>
    </row>
    <row r="35" spans="1:3" x14ac:dyDescent="0.25">
      <c r="A35" t="s">
        <v>246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RowHeight="15" x14ac:dyDescent="0.25"/>
  <cols>
    <col min="1" max="1" width="9.140625" style="57"/>
    <col min="2" max="2" width="42.42578125" bestFit="1" customWidth="1"/>
    <col min="3" max="4" width="15.140625" customWidth="1"/>
  </cols>
  <sheetData>
    <row r="1" spans="1:11" x14ac:dyDescent="0.25">
      <c r="A1" s="57" t="s">
        <v>407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6" t="s">
        <v>395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57" t="s">
        <v>195</v>
      </c>
      <c r="B3" t="s">
        <v>18</v>
      </c>
      <c r="C3" t="s">
        <v>3</v>
      </c>
      <c r="D3" s="58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57" t="s">
        <v>199</v>
      </c>
      <c r="B4" t="s">
        <v>21</v>
      </c>
      <c r="C4" t="s">
        <v>4</v>
      </c>
      <c r="D4" s="58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57" t="s">
        <v>200</v>
      </c>
      <c r="B5" s="3" t="s">
        <v>22</v>
      </c>
      <c r="C5" s="3" t="s">
        <v>4</v>
      </c>
      <c r="D5" s="67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57" t="s">
        <v>201</v>
      </c>
      <c r="B6" t="s">
        <v>23</v>
      </c>
      <c r="C6" t="s">
        <v>4</v>
      </c>
      <c r="D6" s="58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57" t="s">
        <v>202</v>
      </c>
      <c r="B7" t="s">
        <v>24</v>
      </c>
      <c r="C7" t="s">
        <v>4</v>
      </c>
      <c r="D7" s="58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57" t="s">
        <v>203</v>
      </c>
      <c r="B8" t="s">
        <v>25</v>
      </c>
      <c r="C8" t="s">
        <v>4</v>
      </c>
      <c r="D8" s="58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57" t="s">
        <v>204</v>
      </c>
      <c r="B9" t="s">
        <v>11</v>
      </c>
      <c r="C9" t="s">
        <v>39</v>
      </c>
      <c r="D9" s="58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57" t="s">
        <v>206</v>
      </c>
      <c r="B10" t="s">
        <v>17</v>
      </c>
      <c r="C10" t="s">
        <v>39</v>
      </c>
      <c r="D10" s="58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57" t="s">
        <v>207</v>
      </c>
      <c r="B11" t="s">
        <v>27</v>
      </c>
      <c r="C11" t="s">
        <v>1</v>
      </c>
      <c r="D11" s="58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57" t="s">
        <v>208</v>
      </c>
      <c r="B12" t="s">
        <v>28</v>
      </c>
      <c r="C12" t="s">
        <v>1</v>
      </c>
      <c r="D12" s="58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57" t="s">
        <v>209</v>
      </c>
      <c r="B13" t="s">
        <v>29</v>
      </c>
      <c r="C13" t="s">
        <v>1</v>
      </c>
      <c r="D13" s="58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57" t="s">
        <v>211</v>
      </c>
      <c r="B14" t="s">
        <v>31</v>
      </c>
      <c r="C14" t="s">
        <v>1</v>
      </c>
      <c r="D14" s="58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57" t="s">
        <v>408</v>
      </c>
      <c r="B15" s="57" t="s">
        <v>397</v>
      </c>
      <c r="C15" s="57" t="s">
        <v>1</v>
      </c>
      <c r="D15" s="58" t="s">
        <v>398</v>
      </c>
      <c r="E15" s="51" t="s">
        <v>196</v>
      </c>
      <c r="F15" s="57">
        <v>740</v>
      </c>
      <c r="G15" s="59">
        <f t="shared" si="0"/>
        <v>925</v>
      </c>
      <c r="H15" s="57"/>
      <c r="I15" s="57"/>
      <c r="J15" s="57"/>
      <c r="K15" s="57"/>
    </row>
    <row r="16" spans="1:11" x14ac:dyDescent="0.25">
      <c r="A16" s="57" t="s">
        <v>409</v>
      </c>
      <c r="B16" s="57" t="s">
        <v>400</v>
      </c>
      <c r="C16" s="57" t="s">
        <v>1</v>
      </c>
      <c r="D16" s="58" t="s">
        <v>399</v>
      </c>
      <c r="E16" s="51" t="s">
        <v>196</v>
      </c>
      <c r="F16" s="57">
        <v>741</v>
      </c>
      <c r="G16" s="59">
        <f t="shared" si="0"/>
        <v>926.25</v>
      </c>
      <c r="H16" s="57"/>
      <c r="I16" s="57"/>
      <c r="J16" s="57"/>
      <c r="K16" s="57"/>
    </row>
    <row r="17" spans="1:11" x14ac:dyDescent="0.25">
      <c r="A17" s="57" t="s">
        <v>410</v>
      </c>
      <c r="B17" s="57" t="s">
        <v>401</v>
      </c>
      <c r="C17" s="57" t="s">
        <v>1</v>
      </c>
      <c r="D17" s="58" t="s">
        <v>396</v>
      </c>
      <c r="E17" s="51" t="s">
        <v>196</v>
      </c>
      <c r="F17" s="57">
        <v>694</v>
      </c>
      <c r="G17" s="59">
        <f t="shared" si="0"/>
        <v>867.5</v>
      </c>
      <c r="H17" s="57"/>
      <c r="I17" s="57"/>
      <c r="J17" s="57"/>
      <c r="K17" s="57"/>
    </row>
    <row r="18" spans="1:11" x14ac:dyDescent="0.25">
      <c r="A18" s="57" t="s">
        <v>411</v>
      </c>
      <c r="B18" s="57" t="s">
        <v>394</v>
      </c>
      <c r="C18" s="57" t="s">
        <v>1</v>
      </c>
      <c r="D18" s="58">
        <v>1312</v>
      </c>
      <c r="E18" s="51" t="s">
        <v>196</v>
      </c>
      <c r="F18" s="57">
        <v>250</v>
      </c>
      <c r="G18" s="59">
        <f t="shared" si="0"/>
        <v>312.5</v>
      </c>
      <c r="H18" s="57"/>
      <c r="I18" s="57"/>
      <c r="J18" s="57"/>
      <c r="K18" s="57"/>
    </row>
    <row r="19" spans="1:11" x14ac:dyDescent="0.25">
      <c r="A19" s="57" t="s">
        <v>412</v>
      </c>
      <c r="B19" s="57" t="s">
        <v>403</v>
      </c>
      <c r="C19" s="57" t="s">
        <v>3</v>
      </c>
      <c r="D19" s="58">
        <v>3</v>
      </c>
      <c r="E19" s="57" t="s">
        <v>225</v>
      </c>
      <c r="F19" s="57">
        <v>800</v>
      </c>
      <c r="G19" s="59">
        <f t="shared" si="0"/>
        <v>1000</v>
      </c>
    </row>
    <row r="20" spans="1:11" x14ac:dyDescent="0.25">
      <c r="A20" s="57" t="s">
        <v>413</v>
      </c>
      <c r="B20" s="57" t="s">
        <v>404</v>
      </c>
      <c r="C20" s="57" t="s">
        <v>3</v>
      </c>
      <c r="D20" s="58">
        <v>5</v>
      </c>
      <c r="E20" s="57" t="s">
        <v>225</v>
      </c>
      <c r="F20" s="57">
        <v>200</v>
      </c>
      <c r="G20" s="59">
        <f t="shared" si="0"/>
        <v>250</v>
      </c>
    </row>
    <row r="21" spans="1:11" x14ac:dyDescent="0.25">
      <c r="A21" s="57" t="s">
        <v>414</v>
      </c>
      <c r="B21" s="57" t="s">
        <v>405</v>
      </c>
      <c r="C21" s="57" t="s">
        <v>3</v>
      </c>
      <c r="D21" s="58">
        <v>6</v>
      </c>
      <c r="E21" s="57" t="s">
        <v>225</v>
      </c>
      <c r="F21" s="57">
        <v>200</v>
      </c>
      <c r="G21" s="59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57" t="s">
        <v>424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A32" sqref="A32"/>
    </sheetView>
  </sheetViews>
  <sheetFormatPr defaultRowHeight="15" x14ac:dyDescent="0.25"/>
  <cols>
    <col min="1" max="1" width="42.42578125" bestFit="1" customWidth="1"/>
    <col min="2" max="2" width="15.85546875" bestFit="1" customWidth="1"/>
    <col min="5" max="6" width="18.5703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293</v>
      </c>
      <c r="F1" s="1"/>
      <c r="H1" s="3"/>
      <c r="I1" s="3"/>
      <c r="J1" s="26" t="s">
        <v>287</v>
      </c>
      <c r="K1" s="3"/>
      <c r="L1" s="3"/>
      <c r="M1" s="3"/>
      <c r="N1" s="3"/>
      <c r="O1" s="3"/>
      <c r="P1" t="s">
        <v>258</v>
      </c>
    </row>
    <row r="2" spans="1:17" x14ac:dyDescent="0.25">
      <c r="A2" t="s">
        <v>0</v>
      </c>
      <c r="B2" t="s">
        <v>5</v>
      </c>
      <c r="C2" t="s">
        <v>175</v>
      </c>
      <c r="D2" t="s">
        <v>244</v>
      </c>
      <c r="E2" t="s">
        <v>292</v>
      </c>
      <c r="F2" t="s">
        <v>384</v>
      </c>
      <c r="G2" t="s">
        <v>283</v>
      </c>
      <c r="H2" t="s">
        <v>284</v>
      </c>
      <c r="I2" t="s">
        <v>258</v>
      </c>
      <c r="J2" s="3" t="s">
        <v>288</v>
      </c>
      <c r="K2" s="3" t="s">
        <v>283</v>
      </c>
      <c r="L2" s="3" t="s">
        <v>285</v>
      </c>
      <c r="M2" s="3" t="s">
        <v>258</v>
      </c>
      <c r="N2" s="3" t="s">
        <v>286</v>
      </c>
      <c r="O2" s="3" t="s">
        <v>258</v>
      </c>
      <c r="P2" s="3" t="s">
        <v>314</v>
      </c>
      <c r="Q2" s="3" t="s">
        <v>184</v>
      </c>
    </row>
    <row r="3" spans="1:17" x14ac:dyDescent="0.25">
      <c r="A3" t="s">
        <v>18</v>
      </c>
      <c r="B3" t="s">
        <v>3</v>
      </c>
      <c r="C3" t="s">
        <v>225</v>
      </c>
      <c r="D3">
        <v>1</v>
      </c>
      <c r="E3" t="s">
        <v>298</v>
      </c>
      <c r="F3">
        <v>1</v>
      </c>
      <c r="G3">
        <v>1000</v>
      </c>
      <c r="H3">
        <v>1</v>
      </c>
      <c r="I3">
        <f>1/H3</f>
        <v>1</v>
      </c>
      <c r="J3" s="3" t="s">
        <v>289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198</v>
      </c>
      <c r="D4">
        <v>0</v>
      </c>
      <c r="E4" t="s">
        <v>297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198</v>
      </c>
      <c r="D5" s="3">
        <v>0</v>
      </c>
      <c r="E5" t="s">
        <v>295</v>
      </c>
      <c r="F5">
        <v>1</v>
      </c>
      <c r="G5">
        <v>500</v>
      </c>
      <c r="H5">
        <v>1</v>
      </c>
      <c r="I5">
        <f t="shared" si="0"/>
        <v>1</v>
      </c>
      <c r="J5" s="3" t="s">
        <v>290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198</v>
      </c>
      <c r="D6">
        <v>0</v>
      </c>
      <c r="E6" t="s">
        <v>296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291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198</v>
      </c>
      <c r="D7">
        <v>1</v>
      </c>
      <c r="E7" t="s">
        <v>294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291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226</v>
      </c>
      <c r="D9">
        <v>0</v>
      </c>
      <c r="E9" t="s">
        <v>299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226</v>
      </c>
      <c r="D10" s="3">
        <v>1</v>
      </c>
      <c r="E10" s="3" t="s">
        <v>300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196</v>
      </c>
      <c r="D11" s="3">
        <v>1</v>
      </c>
      <c r="E11" s="3" t="s">
        <v>301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196</v>
      </c>
      <c r="D12" s="3">
        <v>1</v>
      </c>
      <c r="E12" s="3" t="s">
        <v>301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224</v>
      </c>
      <c r="D13" s="3">
        <v>1</v>
      </c>
      <c r="E13" s="3" t="s">
        <v>303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302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224</v>
      </c>
      <c r="D14" s="3">
        <v>1</v>
      </c>
      <c r="E14" s="3" t="s">
        <v>304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305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7" customFormat="1" x14ac:dyDescent="0.25">
      <c r="A15" s="57" t="s">
        <v>397</v>
      </c>
      <c r="B15" s="57" t="s">
        <v>1</v>
      </c>
      <c r="C15" s="51" t="s">
        <v>196</v>
      </c>
      <c r="D15" s="51">
        <v>1</v>
      </c>
      <c r="E15" s="51" t="s">
        <v>301</v>
      </c>
      <c r="F15" s="51">
        <v>1</v>
      </c>
      <c r="G15" s="57">
        <v>5500</v>
      </c>
      <c r="H15" s="57">
        <v>8</v>
      </c>
      <c r="I15" s="57">
        <f>1/H15</f>
        <v>0.125</v>
      </c>
      <c r="J15" s="57" t="s">
        <v>194</v>
      </c>
      <c r="K15" s="57">
        <v>600</v>
      </c>
      <c r="L15" s="57">
        <v>7</v>
      </c>
      <c r="M15" s="51">
        <f>1/L15</f>
        <v>0.14285714285714285</v>
      </c>
      <c r="N15" s="57">
        <v>3</v>
      </c>
      <c r="O15" s="51">
        <f>1/N15</f>
        <v>0.33333333333333331</v>
      </c>
      <c r="P15" s="57">
        <f>O15/2+M15/2</f>
        <v>0.23809523809523808</v>
      </c>
      <c r="Q15" s="57">
        <f>I15/2+M15/2+O15/2</f>
        <v>0.30059523809523808</v>
      </c>
    </row>
    <row r="16" spans="1:17" s="57" customFormat="1" x14ac:dyDescent="0.25">
      <c r="A16" s="57" t="s">
        <v>400</v>
      </c>
      <c r="B16" s="57" t="s">
        <v>1</v>
      </c>
      <c r="C16" s="51" t="s">
        <v>196</v>
      </c>
      <c r="D16" s="51">
        <v>1</v>
      </c>
      <c r="E16" s="51" t="s">
        <v>301</v>
      </c>
      <c r="F16" s="51">
        <v>1</v>
      </c>
      <c r="G16" s="57">
        <v>4300</v>
      </c>
      <c r="H16" s="57">
        <v>7</v>
      </c>
      <c r="I16" s="57">
        <f t="shared" si="0"/>
        <v>0.14285714285714285</v>
      </c>
      <c r="J16" s="57" t="s">
        <v>194</v>
      </c>
      <c r="K16" s="57">
        <v>400</v>
      </c>
      <c r="L16" s="57">
        <v>5</v>
      </c>
      <c r="M16" s="51">
        <f t="shared" si="1"/>
        <v>0.2</v>
      </c>
      <c r="N16" s="57">
        <v>2</v>
      </c>
      <c r="O16" s="51">
        <f t="shared" si="2"/>
        <v>0.5</v>
      </c>
      <c r="P16" s="57">
        <f t="shared" si="3"/>
        <v>0.35</v>
      </c>
      <c r="Q16" s="57">
        <f t="shared" si="4"/>
        <v>0.42142857142857143</v>
      </c>
    </row>
    <row r="17" spans="1:17" s="57" customFormat="1" x14ac:dyDescent="0.25">
      <c r="A17" s="57" t="s">
        <v>401</v>
      </c>
      <c r="B17" s="57" t="s">
        <v>1</v>
      </c>
      <c r="C17" s="51" t="s">
        <v>196</v>
      </c>
      <c r="D17" s="51">
        <v>1</v>
      </c>
      <c r="E17" s="51" t="s">
        <v>301</v>
      </c>
      <c r="F17" s="51">
        <v>1</v>
      </c>
      <c r="G17" s="57">
        <v>6000</v>
      </c>
      <c r="H17" s="57">
        <v>9</v>
      </c>
      <c r="I17" s="57">
        <f t="shared" si="0"/>
        <v>0.1111111111111111</v>
      </c>
      <c r="J17" s="57" t="s">
        <v>194</v>
      </c>
      <c r="K17" s="57">
        <v>900</v>
      </c>
      <c r="L17" s="57">
        <v>7</v>
      </c>
      <c r="M17" s="51">
        <f t="shared" si="1"/>
        <v>0.14285714285714285</v>
      </c>
      <c r="N17" s="57">
        <v>4</v>
      </c>
      <c r="O17" s="51">
        <f t="shared" si="2"/>
        <v>0.25</v>
      </c>
      <c r="P17" s="57">
        <f t="shared" si="3"/>
        <v>0.19642857142857142</v>
      </c>
      <c r="Q17" s="57">
        <f t="shared" si="4"/>
        <v>0.25198412698412698</v>
      </c>
    </row>
    <row r="18" spans="1:17" s="57" customFormat="1" x14ac:dyDescent="0.25">
      <c r="A18" s="57" t="s">
        <v>394</v>
      </c>
      <c r="B18" s="57" t="s">
        <v>1</v>
      </c>
      <c r="C18" s="51" t="s">
        <v>196</v>
      </c>
      <c r="D18" s="51">
        <v>1</v>
      </c>
      <c r="E18" s="51" t="s">
        <v>301</v>
      </c>
      <c r="F18" s="51">
        <v>1</v>
      </c>
      <c r="G18" s="57">
        <v>5200</v>
      </c>
      <c r="H18" s="57">
        <v>8</v>
      </c>
      <c r="I18" s="57">
        <f t="shared" si="0"/>
        <v>0.125</v>
      </c>
      <c r="J18" s="57" t="s">
        <v>194</v>
      </c>
      <c r="K18" s="57">
        <v>850</v>
      </c>
      <c r="L18" s="57">
        <v>11</v>
      </c>
      <c r="M18" s="51">
        <f t="shared" si="1"/>
        <v>9.0909090909090912E-2</v>
      </c>
      <c r="N18" s="57">
        <v>4</v>
      </c>
      <c r="O18" s="51">
        <f t="shared" si="2"/>
        <v>0.25</v>
      </c>
      <c r="P18" s="57">
        <f t="shared" si="3"/>
        <v>0.17045454545454547</v>
      </c>
      <c r="Q18" s="57">
        <f t="shared" si="4"/>
        <v>0.23295454545454547</v>
      </c>
    </row>
    <row r="19" spans="1:17" s="57" customFormat="1" x14ac:dyDescent="0.25">
      <c r="A19" s="57" t="s">
        <v>403</v>
      </c>
      <c r="B19" s="57" t="s">
        <v>3</v>
      </c>
      <c r="C19" s="57" t="s">
        <v>225</v>
      </c>
      <c r="D19" s="57">
        <v>1</v>
      </c>
      <c r="E19" s="57" t="s">
        <v>406</v>
      </c>
      <c r="F19" s="57">
        <v>1</v>
      </c>
      <c r="G19" s="57">
        <v>1700</v>
      </c>
      <c r="H19" s="57">
        <v>6</v>
      </c>
      <c r="I19" s="57">
        <f t="shared" si="0"/>
        <v>0.16666666666666666</v>
      </c>
      <c r="J19" s="57" t="s">
        <v>3</v>
      </c>
      <c r="K19" s="57">
        <v>450</v>
      </c>
      <c r="L19" s="57">
        <v>6</v>
      </c>
      <c r="M19" s="57">
        <f t="shared" si="1"/>
        <v>0.16666666666666666</v>
      </c>
      <c r="N19" s="57">
        <v>6</v>
      </c>
      <c r="O19" s="57">
        <f t="shared" si="2"/>
        <v>0.16666666666666666</v>
      </c>
      <c r="P19" s="57">
        <f t="shared" si="3"/>
        <v>0.16666666666666666</v>
      </c>
      <c r="Q19" s="57">
        <f t="shared" si="4"/>
        <v>0.25</v>
      </c>
    </row>
    <row r="20" spans="1:17" s="57" customFormat="1" x14ac:dyDescent="0.25">
      <c r="A20" s="57" t="s">
        <v>404</v>
      </c>
      <c r="B20" s="57" t="s">
        <v>3</v>
      </c>
      <c r="C20" s="57" t="s">
        <v>225</v>
      </c>
      <c r="D20" s="57">
        <v>1</v>
      </c>
      <c r="E20" s="57" t="s">
        <v>406</v>
      </c>
      <c r="F20" s="59">
        <v>1</v>
      </c>
      <c r="G20" s="57">
        <v>1600</v>
      </c>
      <c r="H20" s="57">
        <v>4</v>
      </c>
      <c r="I20" s="57">
        <f t="shared" si="0"/>
        <v>0.25</v>
      </c>
      <c r="J20" s="57" t="s">
        <v>3</v>
      </c>
      <c r="K20" s="57">
        <v>50</v>
      </c>
      <c r="L20" s="57">
        <v>1</v>
      </c>
      <c r="M20" s="57">
        <f t="shared" si="1"/>
        <v>1</v>
      </c>
      <c r="N20" s="57">
        <v>1</v>
      </c>
      <c r="O20" s="57">
        <f t="shared" si="2"/>
        <v>1</v>
      </c>
      <c r="P20" s="57">
        <f t="shared" si="3"/>
        <v>1</v>
      </c>
      <c r="Q20" s="57">
        <f t="shared" si="4"/>
        <v>1.125</v>
      </c>
    </row>
    <row r="21" spans="1:17" s="57" customFormat="1" x14ac:dyDescent="0.25">
      <c r="A21" s="57" t="s">
        <v>405</v>
      </c>
      <c r="B21" s="57" t="s">
        <v>3</v>
      </c>
      <c r="C21" s="57" t="s">
        <v>225</v>
      </c>
      <c r="D21" s="57">
        <v>1</v>
      </c>
      <c r="E21" s="57" t="s">
        <v>406</v>
      </c>
      <c r="F21" s="59">
        <v>1</v>
      </c>
      <c r="G21" s="57">
        <v>1600</v>
      </c>
      <c r="H21" s="57">
        <v>3</v>
      </c>
      <c r="I21" s="57">
        <f t="shared" si="0"/>
        <v>0.33333333333333331</v>
      </c>
      <c r="J21" s="57" t="s">
        <v>3</v>
      </c>
      <c r="K21" s="57">
        <v>100</v>
      </c>
      <c r="L21" s="57">
        <v>1</v>
      </c>
      <c r="M21" s="57">
        <f t="shared" si="1"/>
        <v>1</v>
      </c>
      <c r="N21" s="57">
        <v>1</v>
      </c>
      <c r="O21" s="57">
        <f t="shared" si="2"/>
        <v>1</v>
      </c>
      <c r="P21" s="57">
        <f t="shared" si="3"/>
        <v>1</v>
      </c>
      <c r="Q21" s="57">
        <f t="shared" si="4"/>
        <v>1.1666666666666665</v>
      </c>
    </row>
    <row r="22" spans="1:17" s="57" customFormat="1" x14ac:dyDescent="0.25"/>
    <row r="23" spans="1:17" s="57" customFormat="1" x14ac:dyDescent="0.25"/>
    <row r="24" spans="1:17" s="57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76" t="s">
        <v>33</v>
      </c>
      <c r="Q1" s="77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76"/>
      <c r="Q2" s="77"/>
    </row>
    <row r="3" spans="1:18" s="3" customFormat="1" x14ac:dyDescent="0.25">
      <c r="A3" s="78" t="s">
        <v>26</v>
      </c>
      <c r="B3" s="78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75" t="s">
        <v>3</v>
      </c>
      <c r="B4" s="75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7">
        <f>'INPUT - Housing per plan '!I3+SUM('INPUT - Housing per plan '!I19:I21)</f>
        <v>2600</v>
      </c>
      <c r="Q4" s="57">
        <f>C4-P4</f>
        <v>1565</v>
      </c>
      <c r="R4" s="66">
        <f t="shared" ref="R4:R7" si="0">P4/(P4+Q4)</f>
        <v>0.62424969987995194</v>
      </c>
    </row>
    <row r="5" spans="1:18" x14ac:dyDescent="0.25">
      <c r="A5" s="75" t="s">
        <v>38</v>
      </c>
      <c r="B5" s="75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75" t="s">
        <v>39</v>
      </c>
      <c r="B6" s="75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75" t="s">
        <v>1</v>
      </c>
      <c r="B7" s="75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7">
        <f>SUM('INPUT - Housing per plan '!I11:I18)</f>
        <v>15925</v>
      </c>
      <c r="Q7" s="57">
        <f>C7-P7</f>
        <v>7803</v>
      </c>
      <c r="R7" s="66">
        <f t="shared" si="0"/>
        <v>0.67114801078894137</v>
      </c>
    </row>
    <row r="8" spans="1:18" x14ac:dyDescent="0.25">
      <c r="O8" t="s">
        <v>13</v>
      </c>
      <c r="P8" s="57">
        <f>SUM(P3:P7)</f>
        <v>23438</v>
      </c>
      <c r="Q8" s="57">
        <f>SUM(Q3:Q7)</f>
        <v>16451</v>
      </c>
      <c r="R8" s="66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I7" sqref="I7"/>
    </sheetView>
  </sheetViews>
  <sheetFormatPr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279</v>
      </c>
      <c r="I7" s="6">
        <f>SUM(I2:I6)</f>
        <v>70215.874050490107</v>
      </c>
    </row>
    <row r="8" spans="1:9" x14ac:dyDescent="0.25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B41"/>
  <sheetViews>
    <sheetView workbookViewId="0">
      <pane xSplit="1" topLeftCell="E1" activePane="topRight" state="frozen"/>
      <selection pane="topRight" activeCell="K13" sqref="K13"/>
    </sheetView>
  </sheetViews>
  <sheetFormatPr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5703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1" customWidth="1"/>
    <col min="18" max="18" width="18.42578125" customWidth="1"/>
    <col min="19" max="19" width="16.28515625" customWidth="1"/>
    <col min="24" max="24" width="16.28515625" customWidth="1"/>
    <col min="25" max="25" width="16.28515625" style="3" customWidth="1"/>
    <col min="26" max="26" width="16.28515625" customWidth="1"/>
    <col min="27" max="27" width="16.140625" bestFit="1" customWidth="1"/>
    <col min="28" max="28" width="15.85546875" style="3" bestFit="1" customWidth="1"/>
    <col min="30" max="35" width="16.28515625" customWidth="1"/>
  </cols>
  <sheetData>
    <row r="1" spans="1:28" x14ac:dyDescent="0.25">
      <c r="B1" s="1"/>
      <c r="C1" s="1"/>
      <c r="G1" s="52" t="s">
        <v>316</v>
      </c>
      <c r="H1" s="52"/>
      <c r="J1"/>
      <c r="K1" s="49" t="s">
        <v>336</v>
      </c>
      <c r="M1" s="49" t="s">
        <v>337</v>
      </c>
      <c r="N1" t="s">
        <v>232</v>
      </c>
      <c r="O1"/>
      <c r="Q1" s="55" t="s">
        <v>317</v>
      </c>
      <c r="R1" t="s">
        <v>243</v>
      </c>
      <c r="S1" s="3"/>
      <c r="Y1"/>
      <c r="AB1"/>
    </row>
    <row r="2" spans="1:28" x14ac:dyDescent="0.25">
      <c r="A2" t="s">
        <v>166</v>
      </c>
      <c r="B2" t="s">
        <v>0</v>
      </c>
      <c r="C2" t="s">
        <v>381</v>
      </c>
      <c r="D2" t="s">
        <v>5</v>
      </c>
      <c r="E2" t="s">
        <v>175</v>
      </c>
      <c r="F2" t="s">
        <v>244</v>
      </c>
      <c r="G2" s="52" t="s">
        <v>315</v>
      </c>
      <c r="H2" s="53" t="s">
        <v>88</v>
      </c>
      <c r="I2" t="s">
        <v>237</v>
      </c>
      <c r="J2" t="s">
        <v>238</v>
      </c>
      <c r="K2" s="49" t="s">
        <v>392</v>
      </c>
      <c r="L2" s="49" t="s">
        <v>339</v>
      </c>
      <c r="M2" s="49" t="s">
        <v>338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Y2"/>
      <c r="AB2"/>
    </row>
    <row r="3" spans="1:28" x14ac:dyDescent="0.25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>
        <v>30</v>
      </c>
      <c r="L3" s="50">
        <f>K3/100*J3</f>
        <v>525</v>
      </c>
      <c r="M3" s="50">
        <v>0</v>
      </c>
      <c r="N3">
        <f>L3*(100-M3)/100</f>
        <v>525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4287744.4504093621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4287744.4504093621</v>
      </c>
      <c r="Y3"/>
      <c r="AB3"/>
    </row>
    <row r="4" spans="1:28" x14ac:dyDescent="0.25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>
        <v>20</v>
      </c>
      <c r="L4" s="50">
        <f t="shared" ref="L4:L21" si="2">K4/100*J4</f>
        <v>300</v>
      </c>
      <c r="M4" s="50">
        <v>0</v>
      </c>
      <c r="N4">
        <f t="shared" ref="N4:N21" si="3">L4*(100-M4)/100</f>
        <v>300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1574083.8873540023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1574083.8873540023</v>
      </c>
      <c r="Y4"/>
      <c r="AB4"/>
    </row>
    <row r="5" spans="1:28" s="3" customFormat="1" x14ac:dyDescent="0.25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>
        <v>30</v>
      </c>
      <c r="L5" s="50">
        <f t="shared" si="2"/>
        <v>450</v>
      </c>
      <c r="M5" s="50">
        <v>0</v>
      </c>
      <c r="N5">
        <f t="shared" si="3"/>
        <v>450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2361125.8310310035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2361125.8310310035</v>
      </c>
    </row>
    <row r="6" spans="1:28" x14ac:dyDescent="0.25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>
        <v>30</v>
      </c>
      <c r="L6" s="50">
        <f t="shared" si="2"/>
        <v>258.75</v>
      </c>
      <c r="M6" s="50">
        <v>0</v>
      </c>
      <c r="N6">
        <f t="shared" si="3"/>
        <v>258.75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1357647.3528428269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1357647.3528428269</v>
      </c>
      <c r="Y6"/>
      <c r="AB6"/>
    </row>
    <row r="7" spans="1:28" x14ac:dyDescent="0.25">
      <c r="A7" t="s">
        <v>202</v>
      </c>
      <c r="B7" t="s">
        <v>24</v>
      </c>
      <c r="C7" t="s">
        <v>382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>
        <v>30</v>
      </c>
      <c r="L7" s="50">
        <f t="shared" si="2"/>
        <v>112.5</v>
      </c>
      <c r="M7" s="50">
        <v>0</v>
      </c>
      <c r="N7">
        <f t="shared" si="3"/>
        <v>112.5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906895.81350772374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906895.81350772374</v>
      </c>
      <c r="Y7"/>
      <c r="AB7"/>
    </row>
    <row r="8" spans="1:28" x14ac:dyDescent="0.25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>
        <v>60</v>
      </c>
      <c r="L8" s="50">
        <f t="shared" si="2"/>
        <v>225</v>
      </c>
      <c r="M8" s="50">
        <v>0</v>
      </c>
      <c r="N8">
        <f t="shared" si="3"/>
        <v>225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1180562.9155155018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1180562.9155155018</v>
      </c>
      <c r="Y8"/>
      <c r="AB8"/>
    </row>
    <row r="9" spans="1:28" x14ac:dyDescent="0.25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>
        <v>50</v>
      </c>
      <c r="L9" s="50">
        <f t="shared" si="2"/>
        <v>462.5</v>
      </c>
      <c r="M9" s="50">
        <v>0</v>
      </c>
      <c r="N9">
        <f t="shared" si="3"/>
        <v>462.5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2895644.6780366879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2895644.6780366879</v>
      </c>
      <c r="Y9"/>
      <c r="AB9"/>
    </row>
    <row r="10" spans="1:28" x14ac:dyDescent="0.25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>
        <v>0</v>
      </c>
      <c r="L10" s="50">
        <f t="shared" si="2"/>
        <v>0</v>
      </c>
      <c r="M10" s="50">
        <v>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5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>
        <v>10</v>
      </c>
      <c r="L11" s="50">
        <f t="shared" si="2"/>
        <v>1062.5</v>
      </c>
      <c r="M11" s="50">
        <v>0</v>
      </c>
      <c r="N11">
        <f t="shared" si="3"/>
        <v>1062.5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8560345.4111431278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8560345.4111431278</v>
      </c>
      <c r="W11" s="3"/>
      <c r="X11" s="3"/>
      <c r="Y11"/>
      <c r="Z11" s="3"/>
      <c r="AB11"/>
    </row>
    <row r="12" spans="1:28" x14ac:dyDescent="0.25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>
        <v>60</v>
      </c>
      <c r="L12" s="50">
        <f t="shared" si="2"/>
        <v>750</v>
      </c>
      <c r="M12" s="50">
        <v>0</v>
      </c>
      <c r="N12">
        <f t="shared" si="3"/>
        <v>750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6042596.7608069135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6042596.7608069135</v>
      </c>
      <c r="W12" s="3"/>
      <c r="X12" s="3"/>
      <c r="Z12" s="3"/>
      <c r="AB12"/>
    </row>
    <row r="13" spans="1:28" x14ac:dyDescent="0.25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>
        <v>40</v>
      </c>
      <c r="L13" s="50">
        <f t="shared" si="2"/>
        <v>1500</v>
      </c>
      <c r="M13" s="50">
        <v>0</v>
      </c>
      <c r="N13">
        <f t="shared" si="3"/>
        <v>1500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12085193.521613827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12085193.521613827</v>
      </c>
      <c r="W13" s="3"/>
      <c r="X13" s="3"/>
      <c r="Z13" s="3"/>
      <c r="AB13"/>
    </row>
    <row r="14" spans="1:28" x14ac:dyDescent="0.25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>
        <v>70</v>
      </c>
      <c r="L14" s="50">
        <f t="shared" si="2"/>
        <v>875</v>
      </c>
      <c r="M14" s="50">
        <v>0</v>
      </c>
      <c r="N14">
        <f t="shared" si="3"/>
        <v>875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7049696.2209413983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7049696.2209413983</v>
      </c>
      <c r="W14" s="3"/>
      <c r="X14" s="3"/>
      <c r="Z14" s="3"/>
      <c r="AB14"/>
    </row>
    <row r="15" spans="1:28" x14ac:dyDescent="0.25">
      <c r="A15" s="57" t="s">
        <v>408</v>
      </c>
      <c r="B15" s="57" t="s">
        <v>397</v>
      </c>
      <c r="C15" s="57" t="s">
        <v>415</v>
      </c>
      <c r="D15" s="57" t="s">
        <v>1</v>
      </c>
      <c r="E15" s="51" t="s">
        <v>196</v>
      </c>
      <c r="F15" s="51">
        <v>1</v>
      </c>
      <c r="G15" s="63">
        <f>'BASIS - Accessiblity of plans'!P15</f>
        <v>0.23809523809523808</v>
      </c>
      <c r="H15" s="63">
        <f>'BASIS - Accessiblity of plans'!I15</f>
        <v>0.125</v>
      </c>
      <c r="I15" s="57">
        <v>740</v>
      </c>
      <c r="J15" s="59">
        <f>I15*1.25</f>
        <v>925</v>
      </c>
      <c r="K15" s="65">
        <v>90</v>
      </c>
      <c r="L15" s="65">
        <f>K15/100*J15</f>
        <v>832.5</v>
      </c>
      <c r="M15" s="65">
        <v>0</v>
      </c>
      <c r="N15" s="57">
        <f>L15*(100-M15)/100</f>
        <v>832.5</v>
      </c>
      <c r="O15" s="57">
        <f>L15*M15/100</f>
        <v>0</v>
      </c>
      <c r="P15" s="57" t="str">
        <f t="shared" si="0"/>
        <v>TRUE</v>
      </c>
      <c r="Q15" s="51">
        <f>SUM('INPUT - Infra Projects'!AR3:AR38)</f>
        <v>0</v>
      </c>
      <c r="R15" s="51">
        <f>IF(F15=1,N15*('BASIS - Financial data'!E11-'BASIS - Financial data'!D11)*(1+Q15),N15*('BASIS - Financial data'!G11-'BASIS - Financial data'!F11))*(1+Q15)</f>
        <v>6707282.4044956733</v>
      </c>
      <c r="S15" s="51">
        <f>IF($F15=1,$O15*('BASIS - Financial data'!$H11-'BASIS - Financial data'!$D11)*(1+Q15),$O15*('BASIS - Financial data'!$I11-'BASIS - Financial data'!$F11))*(1+Q15)</f>
        <v>0</v>
      </c>
      <c r="T15" s="57">
        <f t="shared" si="5"/>
        <v>6707282.4044956733</v>
      </c>
      <c r="X15" s="3"/>
      <c r="Y15"/>
      <c r="AA15" s="3"/>
      <c r="AB15"/>
    </row>
    <row r="16" spans="1:28" x14ac:dyDescent="0.25">
      <c r="A16" s="57" t="s">
        <v>409</v>
      </c>
      <c r="B16" s="57" t="s">
        <v>400</v>
      </c>
      <c r="C16" s="57" t="s">
        <v>393</v>
      </c>
      <c r="D16" s="57" t="s">
        <v>1</v>
      </c>
      <c r="E16" s="51" t="s">
        <v>196</v>
      </c>
      <c r="F16" s="51">
        <v>1</v>
      </c>
      <c r="G16" s="63">
        <f>'BASIS - Accessiblity of plans'!P16</f>
        <v>0.35</v>
      </c>
      <c r="H16" s="63">
        <f>'BASIS - Accessiblity of plans'!I16</f>
        <v>0.14285714285714285</v>
      </c>
      <c r="I16" s="57">
        <v>741</v>
      </c>
      <c r="J16" s="59">
        <f t="shared" si="1"/>
        <v>926.25</v>
      </c>
      <c r="K16" s="65">
        <v>100</v>
      </c>
      <c r="L16" s="65">
        <f t="shared" si="2"/>
        <v>926.25</v>
      </c>
      <c r="M16" s="65">
        <v>0</v>
      </c>
      <c r="N16" s="57">
        <f t="shared" si="3"/>
        <v>926.25</v>
      </c>
      <c r="O16" s="57">
        <f t="shared" si="4"/>
        <v>0</v>
      </c>
      <c r="P16" s="57" t="str">
        <f t="shared" si="0"/>
        <v>TRUE</v>
      </c>
      <c r="Q16" s="51">
        <f>SUM('INPUT - Infra Projects'!AR3:AR38)</f>
        <v>0</v>
      </c>
      <c r="R16" s="51">
        <f>IF(F16=1,N16*('BASIS - Financial data'!E11-'BASIS - Financial data'!D11)*(1+Q16),N16*('BASIS - Financial data'!G11-'BASIS - Financial data'!F11))*(1+Q16)</f>
        <v>7462606.999596538</v>
      </c>
      <c r="S16" s="51">
        <f>IF($F16=1,$O16*('BASIS - Financial data'!$H11-'BASIS - Financial data'!$D11)*(1+Q16),$O16*('BASIS - Financial data'!$I11-'BASIS - Financial data'!$F11))*(1+Q16)</f>
        <v>0</v>
      </c>
      <c r="T16" s="57">
        <f t="shared" si="5"/>
        <v>7462606.999596538</v>
      </c>
    </row>
    <row r="17" spans="1:28" x14ac:dyDescent="0.25">
      <c r="A17" s="51" t="s">
        <v>410</v>
      </c>
      <c r="B17" s="57" t="s">
        <v>401</v>
      </c>
      <c r="C17" s="57" t="s">
        <v>416</v>
      </c>
      <c r="D17" s="57" t="s">
        <v>1</v>
      </c>
      <c r="E17" s="51" t="s">
        <v>196</v>
      </c>
      <c r="F17" s="51">
        <v>1</v>
      </c>
      <c r="G17" s="63">
        <f>'BASIS - Accessiblity of plans'!P17</f>
        <v>0.19642857142857142</v>
      </c>
      <c r="H17" s="63">
        <f>'BASIS - Accessiblity of plans'!I17</f>
        <v>0.1111111111111111</v>
      </c>
      <c r="I17" s="57">
        <v>694</v>
      </c>
      <c r="J17" s="64">
        <f>I17*1.25</f>
        <v>867.5</v>
      </c>
      <c r="K17" s="65">
        <v>20</v>
      </c>
      <c r="L17" s="65">
        <f t="shared" si="2"/>
        <v>173.5</v>
      </c>
      <c r="M17" s="65">
        <v>0</v>
      </c>
      <c r="N17" s="57">
        <f t="shared" si="3"/>
        <v>173.5</v>
      </c>
      <c r="O17" s="57">
        <f t="shared" si="4"/>
        <v>0</v>
      </c>
      <c r="P17" s="57" t="str">
        <f t="shared" si="0"/>
        <v>TRUE</v>
      </c>
      <c r="Q17" s="51">
        <f>SUM('INPUT - Infra Projects'!AR3:AR38)</f>
        <v>0</v>
      </c>
      <c r="R17" s="57">
        <f>IF(F17=1,N17*('BASIS - Financial data'!E11-'BASIS - Financial data'!D11)*(1+Q17),N17*('BASIS - Financial data'!G11-'BASIS - Financial data'!F11))*(1+Q17)</f>
        <v>1397854.0506666659</v>
      </c>
      <c r="S17" s="51">
        <f>IF($F17=1,$O17*('BASIS - Financial data'!$H11-'BASIS - Financial data'!$D11)*(1+Q17),$O17*('BASIS - Financial data'!$I11-'BASIS - Financial data'!$F11))*(1+Q17)</f>
        <v>0</v>
      </c>
      <c r="T17" s="57">
        <f t="shared" si="5"/>
        <v>1397854.0506666659</v>
      </c>
      <c r="X17" s="3"/>
      <c r="Y17"/>
      <c r="AA17" s="3"/>
      <c r="AB17"/>
    </row>
    <row r="18" spans="1:28" x14ac:dyDescent="0.25">
      <c r="A18" s="57" t="s">
        <v>411</v>
      </c>
      <c r="B18" s="57" t="s">
        <v>394</v>
      </c>
      <c r="C18" s="57" t="s">
        <v>394</v>
      </c>
      <c r="D18" s="57" t="s">
        <v>1</v>
      </c>
      <c r="E18" s="51" t="s">
        <v>196</v>
      </c>
      <c r="F18" s="51">
        <v>1</v>
      </c>
      <c r="G18" s="63">
        <f>'BASIS - Accessiblity of plans'!P18</f>
        <v>0.17045454545454547</v>
      </c>
      <c r="H18" s="63">
        <f>'BASIS - Accessiblity of plans'!I18</f>
        <v>0.125</v>
      </c>
      <c r="I18" s="57">
        <v>250</v>
      </c>
      <c r="J18" s="59">
        <f t="shared" si="1"/>
        <v>312.5</v>
      </c>
      <c r="K18" s="65">
        <v>40</v>
      </c>
      <c r="L18" s="65">
        <f t="shared" si="2"/>
        <v>125</v>
      </c>
      <c r="M18" s="65">
        <v>0</v>
      </c>
      <c r="N18" s="57">
        <f t="shared" si="3"/>
        <v>125</v>
      </c>
      <c r="O18" s="57">
        <f t="shared" si="4"/>
        <v>0</v>
      </c>
      <c r="P18" s="57" t="str">
        <f t="shared" si="0"/>
        <v>TRUE</v>
      </c>
      <c r="Q18" s="51">
        <f>SUM('INPUT - Infra Projects'!AR3:AR38)</f>
        <v>0</v>
      </c>
      <c r="R18" s="51">
        <f>IF(F18=1,N18*('BASIS - Financial data'!E11-'BASIS - Financial data'!D11)*(1+Q18),N18*('BASIS - Financial data'!G11-'BASIS - Financial data'!F11))*(1+Q18)</f>
        <v>1007099.4601344855</v>
      </c>
      <c r="S18" s="51">
        <f>IF($F18=1,$O18*('BASIS - Financial data'!$H11-'BASIS - Financial data'!$D11)*(1+Q18),$O18*('BASIS - Financial data'!$I11-'BASIS - Financial data'!$F11))*(1+Q18)</f>
        <v>0</v>
      </c>
      <c r="T18" s="57">
        <f t="shared" si="5"/>
        <v>1007099.4601344855</v>
      </c>
      <c r="X18" s="3"/>
      <c r="Y18"/>
      <c r="AA18" s="3"/>
      <c r="AB18"/>
    </row>
    <row r="19" spans="1:28" x14ac:dyDescent="0.25">
      <c r="A19" s="57" t="s">
        <v>412</v>
      </c>
      <c r="B19" s="57" t="s">
        <v>403</v>
      </c>
      <c r="C19" s="57" t="s">
        <v>403</v>
      </c>
      <c r="D19" s="57" t="s">
        <v>3</v>
      </c>
      <c r="E19" s="57" t="s">
        <v>225</v>
      </c>
      <c r="F19" s="51">
        <v>1</v>
      </c>
      <c r="G19" s="63">
        <f>'BASIS - Accessiblity of plans'!P19</f>
        <v>0.16666666666666666</v>
      </c>
      <c r="H19" s="63">
        <f>'BASIS - Accessiblity of plans'!I19</f>
        <v>0.16666666666666666</v>
      </c>
      <c r="I19" s="57">
        <v>800</v>
      </c>
      <c r="J19" s="59">
        <f t="shared" si="1"/>
        <v>1000</v>
      </c>
      <c r="K19" s="65">
        <v>50</v>
      </c>
      <c r="L19" s="65">
        <f t="shared" si="2"/>
        <v>500</v>
      </c>
      <c r="M19" s="65">
        <v>0</v>
      </c>
      <c r="N19" s="57">
        <f t="shared" si="3"/>
        <v>500</v>
      </c>
      <c r="O19" s="57">
        <f t="shared" si="4"/>
        <v>0</v>
      </c>
      <c r="P19" s="57" t="str">
        <f t="shared" si="0"/>
        <v>TRUE</v>
      </c>
      <c r="Q19" s="51">
        <f>SUM('INPUT - Infra Projects'!AP3:AP38)</f>
        <v>0</v>
      </c>
      <c r="R19" s="51">
        <f>IF(F19=1,N19*('BASIS - Financial data'!E9-'BASIS - Financial data'!D9)*(1+Q19),N19*('BASIS - Financial data'!G9-'BASIS - Financial data'!F9))*(1+Q19)</f>
        <v>4083566.1432470116</v>
      </c>
      <c r="S19" s="51">
        <f>IF($F19=1,$O19*('BASIS - Financial data'!$H9-'BASIS - Financial data'!$D9)*(1+Q19),$O19*('BASIS - Financial data'!$I9-'BASIS - Financial data'!$F9))*(1+Q19)</f>
        <v>0</v>
      </c>
      <c r="T19" s="51">
        <f t="shared" si="5"/>
        <v>4083566.1432470116</v>
      </c>
      <c r="X19" s="3"/>
      <c r="Y19"/>
      <c r="AA19" s="3"/>
      <c r="AB19"/>
    </row>
    <row r="20" spans="1:28" x14ac:dyDescent="0.25">
      <c r="A20" s="57" t="s">
        <v>413</v>
      </c>
      <c r="B20" s="57" t="s">
        <v>404</v>
      </c>
      <c r="C20" s="57" t="s">
        <v>404</v>
      </c>
      <c r="D20" s="57" t="s">
        <v>3</v>
      </c>
      <c r="E20" s="57" t="s">
        <v>225</v>
      </c>
      <c r="F20" s="51">
        <v>1</v>
      </c>
      <c r="G20" s="63">
        <f>'BASIS - Accessiblity of plans'!P20</f>
        <v>1</v>
      </c>
      <c r="H20" s="63">
        <f>'BASIS - Accessiblity of plans'!I20</f>
        <v>0.25</v>
      </c>
      <c r="I20" s="57">
        <v>200</v>
      </c>
      <c r="J20" s="59">
        <f t="shared" si="1"/>
        <v>250</v>
      </c>
      <c r="K20" s="65">
        <v>40</v>
      </c>
      <c r="L20" s="65">
        <f t="shared" si="2"/>
        <v>100</v>
      </c>
      <c r="M20" s="65">
        <v>0</v>
      </c>
      <c r="N20" s="57">
        <f t="shared" si="3"/>
        <v>100</v>
      </c>
      <c r="O20" s="57">
        <f t="shared" si="4"/>
        <v>0</v>
      </c>
      <c r="P20" s="57" t="str">
        <f t="shared" si="0"/>
        <v>TRUE</v>
      </c>
      <c r="Q20" s="51">
        <f>SUM('INPUT - Infra Projects'!AP3:AP38)</f>
        <v>0</v>
      </c>
      <c r="R20" s="51">
        <f>IF(F20=1,N20*('BASIS - Financial data'!E9-'BASIS - Financial data'!D9)*(1+Q20),N20*('BASIS - Financial data'!G9-'BASIS - Financial data'!F9))*(1+Q20)</f>
        <v>816713.22864940227</v>
      </c>
      <c r="S20" s="51">
        <f>IF($F20=1,$O20*('BASIS - Financial data'!$H9-'BASIS - Financial data'!$D9)*(1+Q20),$O20*('BASIS - Financial data'!$I9-'BASIS - Financial data'!$F9))*(1+Q20)</f>
        <v>0</v>
      </c>
      <c r="T20" s="51">
        <f t="shared" si="5"/>
        <v>816713.22864940227</v>
      </c>
      <c r="AB20"/>
    </row>
    <row r="21" spans="1:28" x14ac:dyDescent="0.25">
      <c r="A21" s="57" t="s">
        <v>414</v>
      </c>
      <c r="B21" s="57" t="s">
        <v>405</v>
      </c>
      <c r="C21" s="57" t="s">
        <v>405</v>
      </c>
      <c r="D21" s="57" t="s">
        <v>3</v>
      </c>
      <c r="E21" s="57" t="s">
        <v>225</v>
      </c>
      <c r="F21" s="51">
        <v>1</v>
      </c>
      <c r="G21" s="63">
        <f>'BASIS - Accessiblity of plans'!P21</f>
        <v>1</v>
      </c>
      <c r="H21" s="63">
        <f>'BASIS - Accessiblity of plans'!I21</f>
        <v>0.33333333333333331</v>
      </c>
      <c r="I21" s="57">
        <v>200</v>
      </c>
      <c r="J21" s="59">
        <f t="shared" si="1"/>
        <v>250</v>
      </c>
      <c r="K21" s="65">
        <v>50</v>
      </c>
      <c r="L21" s="65">
        <f t="shared" si="2"/>
        <v>125</v>
      </c>
      <c r="M21" s="65">
        <v>0</v>
      </c>
      <c r="N21" s="57">
        <f t="shared" si="3"/>
        <v>125</v>
      </c>
      <c r="O21" s="57">
        <f t="shared" si="4"/>
        <v>0</v>
      </c>
      <c r="P21" s="57" t="str">
        <f t="shared" si="0"/>
        <v>TRUE</v>
      </c>
      <c r="Q21" s="51">
        <f>SUM('INPUT - Infra Projects'!AP3:AP38)</f>
        <v>0</v>
      </c>
      <c r="R21" s="51">
        <f>IF(F21=1,N21*('BASIS - Financial data'!E9-'BASIS - Financial data'!D9)*(1+Q21),N21*('BASIS - Financial data'!G9-'BASIS - Financial data'!F9))*(1+Q21)</f>
        <v>1020891.5358117529</v>
      </c>
      <c r="S21" s="51">
        <f>IF($F21=1,$O21*('BASIS - Financial data'!$H9-'BASIS - Financial data'!$D9)*(1+Q21),$O21*('BASIS - Financial data'!$I9-'BASIS - Financial data'!$F9))*(1+Q21)</f>
        <v>0</v>
      </c>
      <c r="T21" s="51">
        <f t="shared" si="5"/>
        <v>1020891.5358117529</v>
      </c>
      <c r="AB21"/>
    </row>
    <row r="22" spans="1:28" x14ac:dyDescent="0.25">
      <c r="O22"/>
      <c r="W22" s="3"/>
      <c r="Y22"/>
      <c r="Z22" s="3"/>
      <c r="AB22"/>
    </row>
    <row r="23" spans="1:28" x14ac:dyDescent="0.25">
      <c r="O23"/>
      <c r="W23" s="3"/>
      <c r="Y23"/>
      <c r="Z23" s="3"/>
      <c r="AB23"/>
    </row>
    <row r="24" spans="1:28" x14ac:dyDescent="0.25">
      <c r="O24"/>
      <c r="W24" s="3"/>
      <c r="Y24"/>
      <c r="Z24" s="3"/>
      <c r="AB24"/>
    </row>
    <row r="25" spans="1:28" x14ac:dyDescent="0.25">
      <c r="B25" t="s">
        <v>454</v>
      </c>
      <c r="O25"/>
      <c r="W25" s="3"/>
      <c r="Y25"/>
      <c r="Z25" s="3"/>
      <c r="AB25"/>
    </row>
    <row r="26" spans="1:28" x14ac:dyDescent="0.25">
      <c r="B26" t="s">
        <v>417</v>
      </c>
      <c r="O26"/>
      <c r="W26" s="3"/>
      <c r="Y26"/>
      <c r="Z26" s="3"/>
      <c r="AB26"/>
    </row>
    <row r="27" spans="1:28" x14ac:dyDescent="0.25">
      <c r="O27"/>
      <c r="W27" s="3"/>
      <c r="Y27"/>
      <c r="Z27" s="3"/>
      <c r="AB27"/>
    </row>
    <row r="31" spans="1:28" x14ac:dyDescent="0.25">
      <c r="A31">
        <v>0</v>
      </c>
    </row>
    <row r="32" spans="1:28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3"/>
  <sheetViews>
    <sheetView zoomScale="85" zoomScaleNormal="85" workbookViewId="0">
      <pane xSplit="2" topLeftCell="L1" activePane="topRight" state="frozen"/>
      <selection activeCell="K8" sqref="K8"/>
      <selection pane="topRight" activeCell="X18" sqref="X18"/>
    </sheetView>
  </sheetViews>
  <sheetFormatPr defaultRowHeight="15" x14ac:dyDescent="0.25"/>
  <cols>
    <col min="2" max="2" width="68" customWidth="1"/>
    <col min="3" max="3" width="38.140625" customWidth="1"/>
    <col min="4" max="4" width="38.140625" style="57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5703125" style="40" bestFit="1" customWidth="1"/>
    <col min="19" max="25" width="10.28515625" style="44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166</v>
      </c>
      <c r="B1" s="80" t="s">
        <v>0</v>
      </c>
      <c r="C1" s="80" t="s">
        <v>344</v>
      </c>
      <c r="D1" s="61" t="s">
        <v>402</v>
      </c>
      <c r="E1" s="30" t="s">
        <v>189</v>
      </c>
      <c r="F1" s="81" t="s">
        <v>177</v>
      </c>
      <c r="G1" s="75"/>
      <c r="H1" s="75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79" t="s">
        <v>174</v>
      </c>
      <c r="AC1" s="79"/>
      <c r="AD1" s="79"/>
      <c r="AE1" s="79"/>
      <c r="AF1" s="79"/>
      <c r="AG1" s="79" t="s">
        <v>173</v>
      </c>
      <c r="AH1" s="79"/>
      <c r="AI1" s="79"/>
      <c r="AJ1" s="79"/>
      <c r="AK1" s="79"/>
      <c r="AL1" s="1" t="s">
        <v>307</v>
      </c>
      <c r="AN1" s="26" t="s">
        <v>318</v>
      </c>
      <c r="AS1" t="s">
        <v>319</v>
      </c>
      <c r="AX1" t="s">
        <v>320</v>
      </c>
    </row>
    <row r="2" spans="1:54" x14ac:dyDescent="0.25">
      <c r="B2" s="80"/>
      <c r="C2" s="80"/>
      <c r="D2" s="61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79" t="s">
        <v>228</v>
      </c>
      <c r="N2" s="79"/>
      <c r="O2" s="79"/>
      <c r="P2" s="79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306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160</v>
      </c>
      <c r="C3" s="3" t="s">
        <v>345</v>
      </c>
      <c r="D3" s="51" t="s">
        <v>418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1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1E-4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1E-4</v>
      </c>
      <c r="AT3">
        <f>$R3*AH3*$AM3</f>
        <v>0</v>
      </c>
      <c r="AU3">
        <f>$R3*AI3*$AM3</f>
        <v>1E-4</v>
      </c>
      <c r="AV3">
        <f>$R3*AJ3*$AM3</f>
        <v>1E-4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156</v>
      </c>
      <c r="C4" s="3" t="s">
        <v>346</v>
      </c>
      <c r="D4" s="51" t="s">
        <v>419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0</v>
      </c>
      <c r="AW4">
        <f t="shared" ref="AW4:AW38" si="11">$R4*AK4*$AM4</f>
        <v>0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5">
      <c r="A5">
        <v>3</v>
      </c>
      <c r="B5" s="3" t="s">
        <v>151</v>
      </c>
      <c r="C5" s="3" t="s">
        <v>347</v>
      </c>
      <c r="D5" s="51" t="s">
        <v>420</v>
      </c>
      <c r="E5" s="3" t="s">
        <v>150</v>
      </c>
      <c r="F5" s="3" t="s">
        <v>149</v>
      </c>
      <c r="G5" s="3" t="s">
        <v>57</v>
      </c>
      <c r="H5" s="3" t="s">
        <v>80</v>
      </c>
      <c r="I5" s="68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147</v>
      </c>
      <c r="C6" s="3" t="s">
        <v>348</v>
      </c>
      <c r="D6" s="51" t="s">
        <v>421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143</v>
      </c>
      <c r="C7" s="3" t="s">
        <v>349</v>
      </c>
      <c r="D7" s="51" t="s">
        <v>422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140</v>
      </c>
      <c r="C8" s="3" t="s">
        <v>350</v>
      </c>
      <c r="D8" s="51" t="s">
        <v>423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330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190</v>
      </c>
      <c r="C9" s="3" t="s">
        <v>351</v>
      </c>
      <c r="D9" s="51" t="s">
        <v>425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330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192</v>
      </c>
      <c r="C10" s="3" t="s">
        <v>352</v>
      </c>
      <c r="D10" s="51" t="s">
        <v>426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1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330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5.0000000000000001E-4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137</v>
      </c>
      <c r="C11" s="3" t="s">
        <v>353</v>
      </c>
      <c r="D11" s="51" t="s">
        <v>427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330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134</v>
      </c>
      <c r="C12" s="3" t="s">
        <v>354</v>
      </c>
      <c r="D12" s="51" t="s">
        <v>428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330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130</v>
      </c>
      <c r="C13" s="3" t="s">
        <v>355</v>
      </c>
      <c r="D13" s="51" t="s">
        <v>429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330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128</v>
      </c>
      <c r="C14" s="3" t="s">
        <v>356</v>
      </c>
      <c r="D14" s="51" t="s">
        <v>430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330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126</v>
      </c>
      <c r="C15" s="3" t="s">
        <v>357</v>
      </c>
      <c r="D15" s="51" t="s">
        <v>431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330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121</v>
      </c>
      <c r="C16" s="3" t="s">
        <v>358</v>
      </c>
      <c r="D16" s="51" t="s">
        <v>432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330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121</v>
      </c>
      <c r="C17" s="3" t="s">
        <v>359</v>
      </c>
      <c r="D17" s="51" t="s">
        <v>433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330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118</v>
      </c>
      <c r="C18" s="3" t="s">
        <v>360</v>
      </c>
      <c r="D18" s="51" t="s">
        <v>434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330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116</v>
      </c>
      <c r="C19" s="3" t="s">
        <v>361</v>
      </c>
      <c r="D19" s="51" t="s">
        <v>435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330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113</v>
      </c>
      <c r="C20" s="3" t="s">
        <v>300</v>
      </c>
      <c r="D20" s="51" t="s">
        <v>436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330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109</v>
      </c>
      <c r="C21" s="3" t="s">
        <v>362</v>
      </c>
      <c r="D21" s="51" t="s">
        <v>437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330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107</v>
      </c>
      <c r="C22" s="19" t="s">
        <v>363</v>
      </c>
      <c r="D22" s="51" t="s">
        <v>438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330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105</v>
      </c>
      <c r="C23" s="19" t="s">
        <v>364</v>
      </c>
      <c r="D23" s="51" t="s">
        <v>439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330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103</v>
      </c>
      <c r="C24" s="19" t="s">
        <v>365</v>
      </c>
      <c r="D24" s="51" t="s">
        <v>440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330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101</v>
      </c>
      <c r="C25" s="19" t="s">
        <v>366</v>
      </c>
      <c r="D25" s="51" t="s">
        <v>441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330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99</v>
      </c>
      <c r="C26" s="19" t="s">
        <v>367</v>
      </c>
      <c r="D26" s="51" t="s">
        <v>442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330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97</v>
      </c>
      <c r="C27" s="19" t="s">
        <v>368</v>
      </c>
      <c r="D27" s="51" t="s">
        <v>443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330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5">
      <c r="A28">
        <v>26</v>
      </c>
      <c r="B28" s="3" t="s">
        <v>95</v>
      </c>
      <c r="C28" s="19" t="s">
        <v>95</v>
      </c>
      <c r="D28" s="51" t="s">
        <v>444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330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91</v>
      </c>
      <c r="C29" s="19" t="s">
        <v>369</v>
      </c>
      <c r="D29" s="51" t="s">
        <v>445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330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87</v>
      </c>
      <c r="C30" s="19" t="s">
        <v>370</v>
      </c>
      <c r="D30" s="51" t="s">
        <v>446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84</v>
      </c>
      <c r="C31" s="19" t="s">
        <v>371</v>
      </c>
      <c r="D31" s="51" t="s">
        <v>447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82</v>
      </c>
      <c r="C32" s="19" t="s">
        <v>373</v>
      </c>
      <c r="D32" s="51" t="s">
        <v>449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5">
      <c r="A33">
        <v>32</v>
      </c>
      <c r="B33" s="3" t="s">
        <v>79</v>
      </c>
      <c r="C33" s="19" t="s">
        <v>372</v>
      </c>
      <c r="D33" s="51" t="s">
        <v>448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69" customFormat="1" x14ac:dyDescent="0.25">
      <c r="A34" s="69">
        <v>34</v>
      </c>
      <c r="B34" s="69" t="s">
        <v>75</v>
      </c>
      <c r="C34" s="69" t="s">
        <v>376</v>
      </c>
      <c r="D34" s="70" t="s">
        <v>455</v>
      </c>
      <c r="E34" s="69" t="s">
        <v>74</v>
      </c>
      <c r="F34" s="69" t="s">
        <v>65</v>
      </c>
      <c r="G34" s="69" t="s">
        <v>64</v>
      </c>
      <c r="H34" s="69" t="s">
        <v>1</v>
      </c>
      <c r="I34" s="74">
        <v>0.5</v>
      </c>
      <c r="J34" s="71" t="s">
        <v>72</v>
      </c>
      <c r="K34" s="69" t="s">
        <v>62</v>
      </c>
      <c r="L34" s="69">
        <v>0.5</v>
      </c>
      <c r="M34" s="72" t="s">
        <v>196</v>
      </c>
      <c r="Q34" s="72" t="s">
        <v>227</v>
      </c>
      <c r="R34" s="69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  <c r="Z34" s="69" t="str">
        <f t="shared" si="0"/>
        <v>FALSE</v>
      </c>
      <c r="AA34" s="69" t="s">
        <v>61</v>
      </c>
      <c r="AB34" s="69">
        <v>0</v>
      </c>
      <c r="AC34" s="69">
        <v>0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1</v>
      </c>
      <c r="AL34" s="69">
        <v>0.05</v>
      </c>
      <c r="AM34" s="69">
        <f t="shared" si="1"/>
        <v>5.0000000000000001E-4</v>
      </c>
      <c r="AN34" s="69">
        <f t="shared" si="2"/>
        <v>0</v>
      </c>
      <c r="AO34" s="69">
        <f t="shared" si="3"/>
        <v>0</v>
      </c>
      <c r="AP34" s="69">
        <f t="shared" si="4"/>
        <v>0</v>
      </c>
      <c r="AQ34" s="69">
        <f t="shared" si="5"/>
        <v>0</v>
      </c>
      <c r="AR34" s="69">
        <f t="shared" si="6"/>
        <v>0</v>
      </c>
      <c r="AS34" s="69">
        <f t="shared" si="7"/>
        <v>0</v>
      </c>
      <c r="AT34" s="69">
        <f t="shared" si="8"/>
        <v>0</v>
      </c>
      <c r="AU34" s="69">
        <f t="shared" si="9"/>
        <v>0</v>
      </c>
      <c r="AV34" s="69">
        <f t="shared" si="10"/>
        <v>0</v>
      </c>
      <c r="AW34" s="69">
        <f t="shared" si="11"/>
        <v>0</v>
      </c>
      <c r="AX34" s="69">
        <f t="shared" si="12"/>
        <v>0</v>
      </c>
      <c r="AY34" s="69">
        <f t="shared" si="13"/>
        <v>0</v>
      </c>
      <c r="AZ34" s="69">
        <f t="shared" si="14"/>
        <v>0</v>
      </c>
      <c r="BA34" s="69">
        <f t="shared" si="15"/>
        <v>0</v>
      </c>
      <c r="BB34" s="69">
        <f t="shared" si="16"/>
        <v>0</v>
      </c>
    </row>
    <row r="35" spans="1:54" x14ac:dyDescent="0.25">
      <c r="A35">
        <v>35</v>
      </c>
      <c r="B35" s="3" t="s">
        <v>71</v>
      </c>
      <c r="C35" t="s">
        <v>377</v>
      </c>
      <c r="D35" s="57" t="s">
        <v>450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5">
      <c r="A36">
        <v>36</v>
      </c>
      <c r="B36" s="21" t="s">
        <v>69</v>
      </c>
      <c r="C36" s="21" t="s">
        <v>378</v>
      </c>
      <c r="D36" s="62" t="s">
        <v>451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37</v>
      </c>
      <c r="B37" s="3" t="s">
        <v>67</v>
      </c>
      <c r="C37" t="s">
        <v>379</v>
      </c>
      <c r="D37" s="57" t="s">
        <v>452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5.0000000000000001E-4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38</v>
      </c>
      <c r="B38" s="3" t="s">
        <v>60</v>
      </c>
      <c r="C38" s="3" t="s">
        <v>380</v>
      </c>
      <c r="D38" s="51" t="s">
        <v>453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330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I39" s="7">
        <f>SUM(I3:I38)</f>
        <v>2269</v>
      </c>
    </row>
    <row r="41" spans="1:54" x14ac:dyDescent="0.25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5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5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5703125" bestFit="1" customWidth="1"/>
    <col min="26" max="26" width="10.5703125" bestFit="1" customWidth="1"/>
  </cols>
  <sheetData>
    <row r="1" spans="1:27" x14ac:dyDescent="0.25">
      <c r="A1" t="s">
        <v>166</v>
      </c>
      <c r="B1" s="1" t="s">
        <v>180</v>
      </c>
      <c r="C1" s="81" t="s">
        <v>214</v>
      </c>
      <c r="D1" s="81"/>
      <c r="E1" s="81"/>
      <c r="F1" s="81"/>
      <c r="G1" s="81"/>
      <c r="H1" s="81" t="s">
        <v>222</v>
      </c>
      <c r="I1" s="81"/>
      <c r="J1" s="81"/>
      <c r="K1" s="81"/>
      <c r="L1" s="81"/>
      <c r="M1" s="81"/>
      <c r="N1" s="81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5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5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5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#VALUE!</v>
      </c>
      <c r="AA4" s="7" t="e">
        <f t="shared" ref="AA4:AA7" si="0">Y4-Z4</f>
        <v>#REF!</v>
      </c>
    </row>
    <row r="5" spans="1:27" x14ac:dyDescent="0.25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7380315.8002510583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5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4287744.4504093621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#VALUE!</v>
      </c>
      <c r="AA6" s="7" t="e">
        <f t="shared" si="0"/>
        <v>#VALUE!</v>
      </c>
    </row>
    <row r="7" spans="1:27" x14ac:dyDescent="0.25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219</v>
      </c>
      <c r="W9" s="3"/>
      <c r="X9" s="3"/>
      <c r="Y9" s="3"/>
    </row>
    <row r="10" spans="1:27" x14ac:dyDescent="0.25">
      <c r="A10" t="s">
        <v>197</v>
      </c>
      <c r="B10" s="82" t="s">
        <v>217</v>
      </c>
      <c r="C10" s="82" t="s">
        <v>110</v>
      </c>
      <c r="D10" s="83" t="s">
        <v>76</v>
      </c>
      <c r="E10" s="82"/>
      <c r="F10" s="82"/>
      <c r="G10" s="82"/>
      <c r="W10" s="3"/>
      <c r="X10" s="3"/>
      <c r="Y10" s="3"/>
    </row>
    <row r="11" spans="1:27" x14ac:dyDescent="0.25">
      <c r="B11" s="82"/>
      <c r="C11" s="82"/>
      <c r="D11" s="83"/>
      <c r="E11" s="82"/>
      <c r="F11" s="82"/>
      <c r="G11" s="82"/>
      <c r="W11" s="3"/>
      <c r="X11" s="3"/>
      <c r="Y11" s="3"/>
    </row>
    <row r="12" spans="1:27" x14ac:dyDescent="0.25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5">
      <c r="A14" s="86" t="s">
        <v>385</v>
      </c>
      <c r="B14" t="s">
        <v>391</v>
      </c>
      <c r="C14" s="84" t="s">
        <v>386</v>
      </c>
      <c r="D14" s="85" t="s">
        <v>387</v>
      </c>
      <c r="E14" s="85"/>
      <c r="F14" s="85"/>
    </row>
    <row r="15" spans="1:27" x14ac:dyDescent="0.25">
      <c r="A15" s="86"/>
      <c r="C15" s="84"/>
      <c r="D15" s="1" t="s">
        <v>388</v>
      </c>
      <c r="E15" s="1" t="s">
        <v>390</v>
      </c>
      <c r="F15" s="1" t="s">
        <v>389</v>
      </c>
    </row>
    <row r="16" spans="1:27" x14ac:dyDescent="0.25">
      <c r="A16" s="83" t="s">
        <v>196</v>
      </c>
      <c r="B16" s="83" t="s">
        <v>215</v>
      </c>
      <c r="C16" t="s">
        <v>27</v>
      </c>
      <c r="D16" s="3" t="s">
        <v>353</v>
      </c>
      <c r="E16" t="s">
        <v>376</v>
      </c>
    </row>
    <row r="17" spans="1:6" x14ac:dyDescent="0.25">
      <c r="A17" s="83"/>
      <c r="B17" s="83"/>
      <c r="C17" t="s">
        <v>28</v>
      </c>
      <c r="D17" s="3" t="s">
        <v>362</v>
      </c>
      <c r="E17" s="3" t="s">
        <v>347</v>
      </c>
    </row>
    <row r="18" spans="1:6" x14ac:dyDescent="0.25">
      <c r="A18" s="83"/>
      <c r="B18" s="83"/>
      <c r="D18" s="57" t="s">
        <v>365</v>
      </c>
    </row>
    <row r="19" spans="1:6" x14ac:dyDescent="0.25">
      <c r="A19" s="83"/>
      <c r="B19" s="83"/>
      <c r="D19" t="s">
        <v>380</v>
      </c>
    </row>
    <row r="20" spans="1:6" x14ac:dyDescent="0.25">
      <c r="A20" s="83" t="s">
        <v>224</v>
      </c>
      <c r="B20" s="83" t="s">
        <v>220</v>
      </c>
      <c r="C20" t="s">
        <v>29</v>
      </c>
      <c r="D20" s="3" t="s">
        <v>362</v>
      </c>
      <c r="E20" t="s">
        <v>377</v>
      </c>
    </row>
    <row r="21" spans="1:6" x14ac:dyDescent="0.25">
      <c r="A21" s="83"/>
      <c r="B21" s="83"/>
      <c r="C21" t="s">
        <v>31</v>
      </c>
      <c r="D21" s="19" t="s">
        <v>363</v>
      </c>
      <c r="E21" s="51" t="s">
        <v>373</v>
      </c>
    </row>
    <row r="22" spans="1:6" x14ac:dyDescent="0.25">
      <c r="A22" s="83"/>
      <c r="B22" s="83"/>
      <c r="D22" s="19" t="s">
        <v>364</v>
      </c>
    </row>
    <row r="23" spans="1:6" x14ac:dyDescent="0.25">
      <c r="A23" s="83"/>
      <c r="B23" s="83"/>
      <c r="D23" s="19" t="s">
        <v>366</v>
      </c>
    </row>
    <row r="24" spans="1:6" x14ac:dyDescent="0.25">
      <c r="A24" s="83"/>
      <c r="B24" s="83"/>
      <c r="D24" s="19" t="s">
        <v>367</v>
      </c>
    </row>
    <row r="25" spans="1:6" x14ac:dyDescent="0.25">
      <c r="A25" s="83"/>
      <c r="B25" s="83"/>
      <c r="D25" s="19" t="s">
        <v>368</v>
      </c>
    </row>
    <row r="26" spans="1:6" x14ac:dyDescent="0.25">
      <c r="A26" s="83"/>
      <c r="B26" s="83"/>
      <c r="D26" s="19" t="s">
        <v>95</v>
      </c>
    </row>
    <row r="27" spans="1:6" x14ac:dyDescent="0.25">
      <c r="A27" s="82" t="s">
        <v>198</v>
      </c>
      <c r="B27" s="83" t="s">
        <v>216</v>
      </c>
      <c r="C27" t="s">
        <v>21</v>
      </c>
      <c r="D27" s="3" t="s">
        <v>348</v>
      </c>
      <c r="E27" s="19" t="s">
        <v>372</v>
      </c>
      <c r="F27" s="3" t="s">
        <v>346</v>
      </c>
    </row>
    <row r="28" spans="1:6" x14ac:dyDescent="0.25">
      <c r="A28" s="82"/>
      <c r="B28" s="83"/>
      <c r="C28" s="3" t="s">
        <v>22</v>
      </c>
      <c r="D28" s="3" t="s">
        <v>358</v>
      </c>
    </row>
    <row r="29" spans="1:6" x14ac:dyDescent="0.25">
      <c r="A29" s="82"/>
      <c r="B29" s="83"/>
      <c r="C29" t="s">
        <v>23</v>
      </c>
      <c r="D29" s="3" t="s">
        <v>360</v>
      </c>
    </row>
    <row r="30" spans="1:6" x14ac:dyDescent="0.25">
      <c r="A30" s="82"/>
      <c r="B30" s="83"/>
      <c r="C30" t="s">
        <v>24</v>
      </c>
      <c r="D30" s="3" t="s">
        <v>361</v>
      </c>
    </row>
    <row r="31" spans="1:6" x14ac:dyDescent="0.25">
      <c r="A31" s="82"/>
      <c r="B31" s="83"/>
      <c r="C31" t="s">
        <v>25</v>
      </c>
      <c r="D31" s="19" t="s">
        <v>369</v>
      </c>
    </row>
    <row r="32" spans="1:6" x14ac:dyDescent="0.25">
      <c r="A32" s="83" t="s">
        <v>225</v>
      </c>
      <c r="B32" s="83" t="s">
        <v>3</v>
      </c>
      <c r="C32" t="s">
        <v>18</v>
      </c>
      <c r="D32" s="3" t="s">
        <v>351</v>
      </c>
      <c r="E32" s="19" t="s">
        <v>370</v>
      </c>
      <c r="F32" s="3" t="s">
        <v>345</v>
      </c>
    </row>
    <row r="33" spans="1:5" x14ac:dyDescent="0.25">
      <c r="A33" s="83"/>
      <c r="B33" s="83"/>
      <c r="D33" s="3" t="s">
        <v>352</v>
      </c>
      <c r="E33" s="19" t="s">
        <v>371</v>
      </c>
    </row>
    <row r="34" spans="1:5" x14ac:dyDescent="0.25">
      <c r="A34" s="83"/>
      <c r="B34" s="83"/>
      <c r="D34" s="3" t="s">
        <v>355</v>
      </c>
      <c r="E34" s="21" t="s">
        <v>378</v>
      </c>
    </row>
    <row r="35" spans="1:5" x14ac:dyDescent="0.25">
      <c r="A35" s="83"/>
      <c r="B35" s="83"/>
      <c r="D35" s="3" t="s">
        <v>356</v>
      </c>
      <c r="E35" t="s">
        <v>379</v>
      </c>
    </row>
    <row r="36" spans="1:5" x14ac:dyDescent="0.25">
      <c r="A36" s="83"/>
      <c r="B36" s="83"/>
      <c r="D36" s="3" t="s">
        <v>359</v>
      </c>
    </row>
    <row r="37" spans="1:5" x14ac:dyDescent="0.25">
      <c r="A37" s="83" t="s">
        <v>226</v>
      </c>
      <c r="B37" s="83" t="s">
        <v>213</v>
      </c>
      <c r="C37" t="s">
        <v>11</v>
      </c>
      <c r="D37" s="3" t="s">
        <v>349</v>
      </c>
    </row>
    <row r="38" spans="1:5" x14ac:dyDescent="0.25">
      <c r="A38" s="83"/>
      <c r="B38" s="83"/>
      <c r="C38" s="3" t="s">
        <v>14</v>
      </c>
      <c r="D38" s="3" t="s">
        <v>350</v>
      </c>
    </row>
    <row r="39" spans="1:5" x14ac:dyDescent="0.25">
      <c r="A39" s="83"/>
      <c r="B39" s="83"/>
      <c r="C39" t="s">
        <v>17</v>
      </c>
      <c r="D39" s="3" t="s">
        <v>354</v>
      </c>
    </row>
    <row r="40" spans="1:5" x14ac:dyDescent="0.25">
      <c r="A40" s="83"/>
      <c r="B40" s="83"/>
      <c r="D40" s="3" t="s">
        <v>357</v>
      </c>
    </row>
    <row r="41" spans="1:5" x14ac:dyDescent="0.25">
      <c r="A41" s="83"/>
      <c r="B41" s="83"/>
      <c r="D41" s="51" t="s">
        <v>300</v>
      </c>
    </row>
    <row r="42" spans="1:5" x14ac:dyDescent="0.25">
      <c r="A42" s="83" t="s">
        <v>227</v>
      </c>
      <c r="B42" s="83" t="s">
        <v>221</v>
      </c>
      <c r="E42" t="s">
        <v>374</v>
      </c>
    </row>
    <row r="43" spans="1:5" x14ac:dyDescent="0.25">
      <c r="A43" s="83"/>
      <c r="B43" s="83"/>
      <c r="E43" t="s">
        <v>375</v>
      </c>
    </row>
  </sheetData>
  <mergeCells count="23">
    <mergeCell ref="B27:B31"/>
    <mergeCell ref="B32:B36"/>
    <mergeCell ref="B37:B41"/>
    <mergeCell ref="B42:B43"/>
    <mergeCell ref="A27:A31"/>
    <mergeCell ref="A32:A36"/>
    <mergeCell ref="A37:A41"/>
    <mergeCell ref="A42:A43"/>
    <mergeCell ref="C14:C15"/>
    <mergeCell ref="D14:F14"/>
    <mergeCell ref="A14:A15"/>
    <mergeCell ref="A16:A19"/>
    <mergeCell ref="A20:A26"/>
    <mergeCell ref="B16:B19"/>
    <mergeCell ref="B20:B26"/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E18"/>
  <sheetViews>
    <sheetView tabSelected="1" workbookViewId="0">
      <selection activeCell="E13" sqref="E13"/>
    </sheetView>
  </sheetViews>
  <sheetFormatPr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5" x14ac:dyDescent="0.25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5" s="2" customFormat="1" x14ac:dyDescent="0.25">
      <c r="A2" s="2" t="s">
        <v>26</v>
      </c>
      <c r="C2" s="2">
        <f>SUM('INPUT - Infra Projects'!AS3:AS38)</f>
        <v>1E-4</v>
      </c>
      <c r="D2" s="2">
        <f>SUM('INPUT - Infra Projects'!AX3:AX38)</f>
        <v>0</v>
      </c>
      <c r="E2" s="2">
        <f>SUM(C2:D2)</f>
        <v>1E-4</v>
      </c>
    </row>
    <row r="3" spans="1:5" x14ac:dyDescent="0.25">
      <c r="A3" t="s">
        <v>39</v>
      </c>
      <c r="B3" s="2"/>
      <c r="C3">
        <f>SUM('INPUT - Infra Projects'!AT3:AT38)</f>
        <v>0</v>
      </c>
      <c r="D3">
        <f>SUM('INPUT - Infra Projects'!AY3:AY38)</f>
        <v>0</v>
      </c>
      <c r="E3">
        <f t="shared" ref="E3:E6" si="0">SUM(C3:D3)</f>
        <v>0</v>
      </c>
    </row>
    <row r="4" spans="1:5" x14ac:dyDescent="0.25">
      <c r="A4" t="s">
        <v>3</v>
      </c>
      <c r="B4" s="2"/>
      <c r="C4">
        <f>SUM('INPUT - Infra Projects'!AU3:AU38)</f>
        <v>6.0000000000000006E-4</v>
      </c>
      <c r="D4">
        <f>SUM('INPUT - Infra Projects'!AZ3:AZ38)</f>
        <v>5.0000000000000001E-4</v>
      </c>
      <c r="E4">
        <f t="shared" si="0"/>
        <v>1.1000000000000001E-3</v>
      </c>
    </row>
    <row r="5" spans="1:5" x14ac:dyDescent="0.25">
      <c r="A5" t="s">
        <v>4</v>
      </c>
      <c r="B5" s="2"/>
      <c r="C5">
        <f>SUM('INPUT - Infra Projects'!AV3:AV38)</f>
        <v>1E-4</v>
      </c>
      <c r="D5">
        <f>SUM('INPUT - Infra Projects'!BA3:BA38)</f>
        <v>0</v>
      </c>
      <c r="E5">
        <f t="shared" si="0"/>
        <v>1E-4</v>
      </c>
    </row>
    <row r="6" spans="1:5" x14ac:dyDescent="0.25">
      <c r="A6" t="s">
        <v>1</v>
      </c>
      <c r="B6" s="2"/>
      <c r="C6">
        <f>SUM('INPUT - Infra Projects'!AW3:AW38)</f>
        <v>0</v>
      </c>
      <c r="D6">
        <f>SUM('INPUT - Infra Projects'!BB3:BB38)</f>
        <v>0</v>
      </c>
      <c r="E6">
        <f t="shared" si="0"/>
        <v>0</v>
      </c>
    </row>
    <row r="7" spans="1:5" x14ac:dyDescent="0.25">
      <c r="A7" t="s">
        <v>181</v>
      </c>
      <c r="B7" s="2"/>
      <c r="C7">
        <f>SUM(C2:C6)/5</f>
        <v>1.6000000000000004E-4</v>
      </c>
      <c r="D7">
        <f t="shared" ref="D7:E7" si="1">SUM(D2:D6)/5</f>
        <v>1E-4</v>
      </c>
      <c r="E7">
        <f t="shared" si="1"/>
        <v>2.6000000000000003E-4</v>
      </c>
    </row>
    <row r="9" spans="1:5" x14ac:dyDescent="0.25">
      <c r="B9" t="s">
        <v>342</v>
      </c>
      <c r="C9" s="1" t="s">
        <v>328</v>
      </c>
      <c r="D9" s="1" t="s">
        <v>329</v>
      </c>
      <c r="E9" s="1" t="s">
        <v>154</v>
      </c>
    </row>
    <row r="10" spans="1:5" x14ac:dyDescent="0.25">
      <c r="A10" t="s">
        <v>321</v>
      </c>
      <c r="B10" s="20">
        <v>0</v>
      </c>
      <c r="C10" s="20">
        <f>(SUMIFS('INPUT - Infra Projects'!AM3:AM38,'INPUT - Infra Projects'!S3:S38,"1",'INPUT - Infra Projects'!AA3:AA38,"CAR",'INPUT - Infra Projects'!M3:M38,"p1"))/(SUMIFS('INPUT - Infra Projects'!AM3:AM38,'INPUT - Infra Projects'!AA3:AA38,"CAR",'INPUT - Infra Projects'!M3:M38,"p1"))*100</f>
        <v>0</v>
      </c>
      <c r="D10" s="20">
        <f>SUMIFS('INPUT - Infra Projects'!AM3:AM38,'INPUT - Infra Projects'!S3:S38,"1",'INPUT - Infra Projects'!AA3:AA38,"PT",'INPUT - Infra Projects'!M3:M38,"p1")</f>
        <v>0</v>
      </c>
      <c r="E10" s="20" t="e">
        <f>(SUMIFS('INPUT - Infra Projects'!$AM$3:$AM$38,'INPUT - Infra Projects'!$S$3:$S$38,"1",'INPUT - Infra Projects'!$AA$3:$AA$38,"BIC",'INPUT - Infra Projects'!$M$3:$M$38,"p1"))/(SUMIFS('INPUT - Infra Projects'!$AM$3:$AM$38,'INPUT - Infra Projects'!$AA$3:$AA$38,"BIC",'INPUT - Infra Projects'!$M$3:$M$38,"p1"))*100</f>
        <v>#DIV/0!</v>
      </c>
    </row>
    <row r="11" spans="1:5" x14ac:dyDescent="0.25">
      <c r="A11" t="s">
        <v>322</v>
      </c>
      <c r="B11" s="20">
        <v>0</v>
      </c>
      <c r="C11" s="20">
        <f>SUMIFS('INPUT - Infra Projects'!AM3:AM38,'INPUT - Infra Projects'!S3:S38,"1",'INPUT - Infra Projects'!AA3:AA38,"CAR",'INPUT - Infra Projects'!M3:M38,"p2")/SUMIFS('INPUT - Infra Projects'!AM3:AM38,'INPUT - Infra Projects'!AA3:AA38,"CAR",'INPUT - Infra Projects'!M3:M38,"p2")*100</f>
        <v>0</v>
      </c>
      <c r="D11" s="20">
        <f>(SUMIFS('INPUT - Infra Projects'!$AM$3:$AM$38,'INPUT - Infra Projects'!$S$3:$S$38,"1",'INPUT - Infra Projects'!$AA$3:$AA$38,"PT",'INPUT - Infra Projects'!$M$3:$M$38,"p2"))/(SUMIFS('INPUT - Infra Projects'!$AM$3:$AM$38,'INPUT - Infra Projects'!$AA$3:$AA$38,"PT",'INPUT - Infra Projects'!$M$3:$M$38,"p2"))*100</f>
        <v>0</v>
      </c>
      <c r="E11" s="20" t="e">
        <f>(SUMIFS('INPUT - Infra Projects'!$AM$3:$AM$38,'INPUT - Infra Projects'!$S$3:$S$38,"1",'INPUT - Infra Projects'!$AA$3:$AA$38,"BIC",'INPUT - Infra Projects'!$M$3:$M$38,"p2"))/(SUMIFS('INPUT - Infra Projects'!$AM$3:$AM$38,'INPUT - Infra Projects'!$AA$3:$AA$38,"BIC",'INPUT - Infra Projects'!$M$3:$M$38,"p2"))*100</f>
        <v>#DIV/0!</v>
      </c>
    </row>
    <row r="12" spans="1:5" x14ac:dyDescent="0.25">
      <c r="A12" t="s">
        <v>323</v>
      </c>
      <c r="B12" s="20">
        <v>0</v>
      </c>
      <c r="C12" s="20">
        <f>SUMIFS('INPUT - Infra Projects'!AM3:AM38,'INPUT - Infra Projects'!S3:S38,"1",'INPUT - Infra Projects'!AA3:AA38,"CAR",'INPUT - Infra Projects'!M3:M38,"p3")/SUMIFS('INPUT - Infra Projects'!AM3:AM38,'INPUT - Infra Projects'!AA3:AA38,"CAR",'INPUT - Infra Projects'!M3:M38,"p3")*100</f>
        <v>0</v>
      </c>
      <c r="D12" s="20">
        <f>(SUMIFS('INPUT - Infra Projects'!$AM$3:$AM$38,'INPUT - Infra Projects'!$S$3:$S$38,"1",'INPUT - Infra Projects'!$AA$3:$AA$38,"PT",'INPUT - Infra Projects'!$M$3:$M$38,"p3"))/(SUMIFS('INPUT - Infra Projects'!$AM$3:$AM$38,'INPUT - Infra Projects'!$AA$3:$AA$38,"PT",'INPUT - Infra Projects'!$M$3:$M$38,"p3"))*100</f>
        <v>0</v>
      </c>
      <c r="E12" s="20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5" x14ac:dyDescent="0.25">
      <c r="A13" t="s">
        <v>324</v>
      </c>
      <c r="B13" s="20">
        <v>0</v>
      </c>
      <c r="C13" s="20">
        <f>(SUMIFS('INPUT - Infra Projects'!AM3:AM38,'INPUT - Infra Projects'!S3:S38,"1",'INPUT - Infra Projects'!AA3:AA38,"CAR",'INPUT - Infra Projects'!M3:M38,"p4"))/(SUMIFS('INPUT - Infra Projects'!AM3:AM38,'INPUT - Infra Projects'!AA3:AA38,"CAR",'INPUT - Infra Projects'!M3:M38,"p4"))*100</f>
        <v>0</v>
      </c>
      <c r="D13" s="20">
        <f>(SUMIFS('INPUT - Infra Projects'!$AM$3:$AM$38,'INPUT - Infra Projects'!$S$3:$S$38,"1",'INPUT - Infra Projects'!$AA$3:$AA$38,"PT",'INPUT - Infra Projects'!$M$3:$M$38,"p4"))/(SUMIFS('INPUT - Infra Projects'!$AM$3:$AM$38,'INPUT - Infra Projects'!$AA$3:$AA$38,"PT",'INPUT - Infra Projects'!$M$3:$M$38,"p4"))*100</f>
        <v>0</v>
      </c>
      <c r="E13" s="20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5" x14ac:dyDescent="0.25">
      <c r="A14" t="s">
        <v>325</v>
      </c>
      <c r="B14" s="20">
        <v>0</v>
      </c>
      <c r="C14" s="20">
        <f>(SUMIFS('INPUT - Infra Projects'!AM3:AM38,'INPUT - Infra Projects'!S3:S38,"1",'INPUT - Infra Projects'!AA3:AA38,"CAR",'INPUT - Infra Projects'!M3:M38,"p5"))/(SUMIFS('INPUT - Infra Projects'!AM3:AM38,'INPUT - Infra Projects'!AA3:AA38,"CAR",'INPUT - Infra Projects'!M3:M38,"p5"))*100</f>
        <v>0</v>
      </c>
      <c r="D14" s="20" t="e">
        <f>(SUMIFS('INPUT - Infra Projects'!$AM$3:$AM$38,'INPUT - Infra Projects'!$S$3:$S$38,"1",'INPUT - Infra Projects'!$AA$3:$AA$38,"PT",'INPUT - Infra Projects'!$M$3:$M$38,"p5"))/(SUMIFS('INPUT - Infra Projects'!$AM$3:$AM$38,'INPUT - Infra Projects'!$AA$3:$AA$38,"PT",'INPUT - Infra Projects'!$M$3:$M$38,"p5"))*100</f>
        <v>#DIV/0!</v>
      </c>
      <c r="E14" s="20" t="e">
        <f>(SUMIFS('INPUT - Infra Projects'!$AM$3:$AM$38,'INPUT - Infra Projects'!$S$3:$S$38,"1",'INPUT - Infra Projects'!$AA$3:$AA$38,"BIC",'INPUT - Infra Projects'!$M$3:$M$38,"p5"))/(SUMIFS('INPUT - Infra Projects'!$AM$3:$AM$38,'INPUT - Infra Projects'!$AA$3:$AA$38,"BIC",'INPUT - Infra Projects'!$M$3:$M$38,"p5"))*100</f>
        <v>#DIV/0!</v>
      </c>
    </row>
    <row r="15" spans="1:5" x14ac:dyDescent="0.25">
      <c r="A15" t="s">
        <v>326</v>
      </c>
      <c r="B15" s="20">
        <v>0</v>
      </c>
      <c r="C15" s="20" t="e">
        <f>(SUMIFS('INPUT - Infra Projects'!AM3:AM38,'INPUT - Infra Projects'!S3:S38,"1",'INPUT - Infra Projects'!AA3:AA38,"CAR",'INPUT - Infra Projects'!M3:M38,"p6"))/(SUMIFS('INPUT - Infra Projects'!AM3:AM38,'INPUT - Infra Projects'!AA3:AA38,"CAR",'INPUT - Infra Projects'!M3:M38,"p6"))*100</f>
        <v>#DIV/0!</v>
      </c>
      <c r="D15" s="20" t="e">
        <f>(SUMIFS('INPUT - Infra Projects'!$AM$3:$AM$38,'INPUT - Infra Projects'!$S$3:$S$38,"1",'INPUT - Infra Projects'!$AA$3:$AA$38,"PT",'INPUT - Infra Projects'!$M$3:$M$38,"p6"))/(SUMIFS('INPUT - Infra Projects'!$AM$3:$AM$38,'INPUT - Infra Projects'!$AA$3:$AA$38,"PT",'INPUT - Infra Projects'!$M$3:$M$38,"p6"))*100</f>
        <v>#DIV/0!</v>
      </c>
      <c r="E15" s="20" t="e">
        <f>(SUMIFS('INPUT - Infra Projects'!$AM$3:$AM$38,'INPUT - Infra Projects'!$S$3:$S$38,"1",'INPUT - Infra Projects'!$AA$3:$AA$38,"BIC",'INPUT - Infra Projects'!$M$3:$M$38,"p6"))/(SUMIFS('INPUT - Infra Projects'!$AM$3:$AM$38,'INPUT - Infra Projects'!$AA$3:$AA$38,"BIC",'INPUT - Infra Projects'!$M$3:$M$38,"p6"))*100</f>
        <v>#DIV/0!</v>
      </c>
    </row>
    <row r="16" spans="1:5" x14ac:dyDescent="0.25">
      <c r="A16" t="s">
        <v>327</v>
      </c>
      <c r="B16" s="20">
        <v>0</v>
      </c>
      <c r="C16" s="20" t="e">
        <f>(SUMIFS('INPUT - Infra Projects'!AM3:AM38,'INPUT - Infra Projects'!S3:S38,"1",'INPUT - Infra Projects'!AA3:AA38,"CAR",'INPUT - Infra Projects'!M3:M38,"p7"))/(SUMIFS('INPUT - Infra Projects'!AM3:AM38,'INPUT - Infra Projects'!AA3:AA38,"CAR",'INPUT - Infra Projects'!M3:M38,"p7"))*100</f>
        <v>#DIV/0!</v>
      </c>
      <c r="D16" s="20" t="e">
        <f>(SUMIFS('INPUT - Infra Projects'!$AM$3:$AM$38,'INPUT - Infra Projects'!$S$3:$S$38,"1",'INPUT - Infra Projects'!$AA$3:$AA$38,"PT",'INPUT - Infra Projects'!$M$3:$M$38,"p7"))/(SUMIFS('INPUT - Infra Projects'!$AM$3:$AM$38,'INPUT - Infra Projects'!$AA$3:$AA$38,"PT",'INPUT - Infra Projects'!$M$3:$M$38,"p7"))*100</f>
        <v>#DIV/0!</v>
      </c>
      <c r="E16" s="20" t="e">
        <f>(SUMIFS('INPUT - Infra Projects'!$AM$3:$AM$38,'INPUT - Infra Projects'!$S$3:$S$38,"1",'INPUT - Infra Projects'!$AA$3:$AA$38,"BIC",'INPUT - Infra Projects'!$M$3:$M$38,"p7"))/(SUMIFS('INPUT - Infra Projects'!$AM$3:$AM$38,'INPUT - Infra Projects'!$AA$3:$AA$38,"BIC",'INPUT - Infra Projects'!$M$3:$M$38,"p7"))*100</f>
        <v>#DIV/0!</v>
      </c>
    </row>
    <row r="17" spans="1:5" x14ac:dyDescent="0.25">
      <c r="B17" s="20"/>
      <c r="C17" s="20"/>
      <c r="D17" s="20"/>
      <c r="E17" s="20"/>
    </row>
    <row r="18" spans="1:5" x14ac:dyDescent="0.25">
      <c r="A18" t="s">
        <v>13</v>
      </c>
      <c r="B18" s="20">
        <v>0</v>
      </c>
      <c r="C18" s="88">
        <f>(SUMIFS('INPUT - Infra Projects'!AM3:AM38,'INPUT - Infra Projects'!S3:S38,"1",'INPUT - Infra Projects'!AA3:AA38,"CAR"))/(SUMIF('INPUT - Infra Projects'!AA3:AA38,"CAR",'INPUT - Infra Projects'!AM3:AM38))*100</f>
        <v>0</v>
      </c>
      <c r="D18" s="88">
        <f>(SUMIFS('INPUT - Infra Projects'!AM3:AM38,'INPUT - Infra Projects'!S3:S38,"1",'INPUT - Infra Projects'!AA3:AA38,"PT"))/(SUMIF('INPUT - Infra Projects'!AA3:AA38,"PT",'INPUT - Infra Projects'!AM3:AM38))*100</f>
        <v>0</v>
      </c>
      <c r="E18" s="88">
        <f>(SUMIFS('INPUT - Infra Projects'!AM3:AM38,'INPUT - Infra Projects'!S3:S38,"1",'INPUT - Infra Projects'!AA3:AA38,"BIC"))/(SUMIF('INPUT - Infra Projects'!AA3:AA38,"BIC",'INPUT - Infra Projects'!AM3:AM38))*100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</cp:lastModifiedBy>
  <dcterms:created xsi:type="dcterms:W3CDTF">2018-06-21T09:33:50Z</dcterms:created>
  <dcterms:modified xsi:type="dcterms:W3CDTF">2018-10-12T00:34:02Z</dcterms:modified>
</cp:coreProperties>
</file>