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phael\GitProjects\PlanningTool\data\excel\"/>
    </mc:Choice>
  </mc:AlternateContent>
  <xr:revisionPtr revIDLastSave="0" documentId="13_ncr:1_{C95A71E0-08A8-48E1-9855-06D44D0FA5C6}" xr6:coauthVersionLast="37" xr6:coauthVersionMax="37" xr10:uidLastSave="{00000000-0000-0000-0000-000000000000}"/>
  <bookViews>
    <workbookView xWindow="0" yWindow="0" windowWidth="17490" windowHeight="7980" tabRatio="762" firstSheet="4" activeTab="6" xr2:uid="{00000000-000D-0000-FFFF-FFFF00000000}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22" l="1"/>
  <c r="F16" i="22"/>
  <c r="D17" i="22"/>
  <c r="D16" i="22"/>
  <c r="B17" i="22"/>
  <c r="B16" i="22"/>
  <c r="P4" i="2"/>
  <c r="P7" i="2"/>
  <c r="B6" i="5"/>
  <c r="J15" i="11"/>
  <c r="L15" i="11" s="1"/>
  <c r="J16" i="11"/>
  <c r="L16" i="11" s="1"/>
  <c r="J17" i="11"/>
  <c r="L17" i="11" s="1"/>
  <c r="J18" i="11"/>
  <c r="L18" i="11" s="1"/>
  <c r="N18" i="11" s="1"/>
  <c r="J19" i="11"/>
  <c r="L19" i="11" s="1"/>
  <c r="J20" i="11"/>
  <c r="L20" i="11" s="1"/>
  <c r="J21" i="11"/>
  <c r="L21" i="11" s="1"/>
  <c r="O21" i="19"/>
  <c r="P21" i="19" s="1"/>
  <c r="G21" i="11" s="1"/>
  <c r="O20" i="19"/>
  <c r="M21" i="19"/>
  <c r="M20" i="19"/>
  <c r="O19" i="19"/>
  <c r="M19" i="19"/>
  <c r="P19" i="19" s="1"/>
  <c r="G19" i="11" s="1"/>
  <c r="I21" i="19"/>
  <c r="H21" i="11" s="1"/>
  <c r="I20" i="19"/>
  <c r="H20" i="11" s="1"/>
  <c r="I19" i="19"/>
  <c r="H19" i="11" s="1"/>
  <c r="G21" i="20"/>
  <c r="G20" i="20"/>
  <c r="G19" i="20"/>
  <c r="I15" i="19"/>
  <c r="H15" i="11" s="1"/>
  <c r="I16" i="19"/>
  <c r="H16" i="11" s="1"/>
  <c r="I17" i="19"/>
  <c r="H17" i="11" s="1"/>
  <c r="I18" i="19"/>
  <c r="H18" i="11" s="1"/>
  <c r="M15" i="19"/>
  <c r="M16" i="19"/>
  <c r="M17" i="19"/>
  <c r="M18" i="19"/>
  <c r="O15" i="19"/>
  <c r="P15" i="19" s="1"/>
  <c r="G15" i="11" s="1"/>
  <c r="O16" i="19"/>
  <c r="P16" i="19" s="1"/>
  <c r="G16" i="11" s="1"/>
  <c r="O17" i="19"/>
  <c r="P17" i="19" s="1"/>
  <c r="G17" i="11" s="1"/>
  <c r="O18" i="19"/>
  <c r="P18" i="19" s="1"/>
  <c r="G18" i="11" s="1"/>
  <c r="Q15" i="19"/>
  <c r="Q16" i="19"/>
  <c r="G18" i="20"/>
  <c r="G17" i="20"/>
  <c r="G16" i="20"/>
  <c r="G15" i="20"/>
  <c r="P20" i="19" l="1"/>
  <c r="G20" i="11" s="1"/>
  <c r="Q18" i="19"/>
  <c r="Q21" i="19"/>
  <c r="Q19" i="19"/>
  <c r="Q20" i="19"/>
  <c r="O21" i="11"/>
  <c r="N21" i="11"/>
  <c r="P21" i="11" s="1"/>
  <c r="O17" i="11"/>
  <c r="N17" i="11"/>
  <c r="P17" i="11" s="1"/>
  <c r="N20" i="11"/>
  <c r="O20" i="11"/>
  <c r="N16" i="11"/>
  <c r="O16" i="11"/>
  <c r="N19" i="11"/>
  <c r="O19" i="11"/>
  <c r="N15" i="11"/>
  <c r="O15" i="11"/>
  <c r="O18" i="11"/>
  <c r="P18" i="11" s="1"/>
  <c r="Q17" i="19"/>
  <c r="P19" i="11" l="1"/>
  <c r="P20" i="11"/>
  <c r="P15" i="11"/>
  <c r="P16" i="11"/>
  <c r="E16" i="9"/>
  <c r="E15" i="9"/>
  <c r="E14" i="9"/>
  <c r="E11" i="9"/>
  <c r="E10" i="9"/>
  <c r="D16" i="9"/>
  <c r="D15" i="9"/>
  <c r="D14" i="9"/>
  <c r="C16" i="9"/>
  <c r="C15" i="9"/>
  <c r="C31" i="8" l="1"/>
  <c r="D31" i="8" s="1"/>
  <c r="C30" i="8"/>
  <c r="D30" i="8" s="1"/>
  <c r="C29" i="8"/>
  <c r="C28" i="8"/>
  <c r="C27" i="8"/>
  <c r="C26" i="8"/>
  <c r="C25" i="8"/>
  <c r="D10" i="9"/>
  <c r="M4" i="19" l="1"/>
  <c r="M5" i="19"/>
  <c r="M6" i="19"/>
  <c r="M7" i="19"/>
  <c r="M8" i="19"/>
  <c r="M9" i="19"/>
  <c r="M10" i="19"/>
  <c r="M11" i="19"/>
  <c r="M12" i="19"/>
  <c r="M13" i="19"/>
  <c r="M14" i="19"/>
  <c r="M3" i="19"/>
  <c r="O4" i="19"/>
  <c r="P4" i="19" s="1"/>
  <c r="G4" i="11" s="1"/>
  <c r="O5" i="19"/>
  <c r="O6" i="19"/>
  <c r="P6" i="19" s="1"/>
  <c r="G6" i="11" s="1"/>
  <c r="O7" i="19"/>
  <c r="P7" i="19" s="1"/>
  <c r="G7" i="11" s="1"/>
  <c r="O8" i="19"/>
  <c r="P8" i="19" s="1"/>
  <c r="G8" i="11" s="1"/>
  <c r="O9" i="19"/>
  <c r="O10" i="19"/>
  <c r="P10" i="19" s="1"/>
  <c r="G10" i="11" s="1"/>
  <c r="O11" i="19"/>
  <c r="P11" i="19" s="1"/>
  <c r="G11" i="11" s="1"/>
  <c r="O12" i="19"/>
  <c r="O13" i="19"/>
  <c r="P13" i="19" s="1"/>
  <c r="G13" i="11" s="1"/>
  <c r="O14" i="19"/>
  <c r="P14" i="19" s="1"/>
  <c r="G14" i="11" s="1"/>
  <c r="O3" i="19"/>
  <c r="P3" i="19" s="1"/>
  <c r="G3" i="11" s="1"/>
  <c r="I4" i="19"/>
  <c r="H4" i="11" s="1"/>
  <c r="I5" i="19"/>
  <c r="H5" i="11" s="1"/>
  <c r="I6" i="19"/>
  <c r="H6" i="11" s="1"/>
  <c r="I7" i="19"/>
  <c r="H7" i="11" s="1"/>
  <c r="I8" i="19"/>
  <c r="H8" i="11" s="1"/>
  <c r="I9" i="19"/>
  <c r="H9" i="11" s="1"/>
  <c r="I10" i="19"/>
  <c r="H10" i="11" s="1"/>
  <c r="I11" i="19"/>
  <c r="H11" i="11" s="1"/>
  <c r="I12" i="19"/>
  <c r="H12" i="11" s="1"/>
  <c r="I13" i="19"/>
  <c r="H13" i="11" s="1"/>
  <c r="I14" i="19"/>
  <c r="H14" i="11" s="1"/>
  <c r="I3" i="19"/>
  <c r="H3" i="11" s="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" i="6"/>
  <c r="C17" i="21"/>
  <c r="C16" i="21"/>
  <c r="C11" i="21"/>
  <c r="C10" i="21"/>
  <c r="C9" i="21"/>
  <c r="C8" i="21"/>
  <c r="E5" i="21"/>
  <c r="G4" i="21" s="1"/>
  <c r="E4" i="21"/>
  <c r="F10" i="21" s="1"/>
  <c r="E3" i="21"/>
  <c r="G14" i="20"/>
  <c r="G13" i="20"/>
  <c r="G12" i="20"/>
  <c r="G11" i="20"/>
  <c r="G10" i="20"/>
  <c r="G9" i="20"/>
  <c r="G8" i="20"/>
  <c r="G7" i="20"/>
  <c r="G6" i="20"/>
  <c r="G5" i="20"/>
  <c r="G4" i="20"/>
  <c r="G3" i="20"/>
  <c r="I39" i="6"/>
  <c r="B16" i="8"/>
  <c r="B17" i="8"/>
  <c r="B18" i="8"/>
  <c r="B19" i="8"/>
  <c r="B20" i="8"/>
  <c r="B21" i="8"/>
  <c r="B22" i="8"/>
  <c r="C35" i="18"/>
  <c r="C34" i="18"/>
  <c r="C29" i="18"/>
  <c r="C28" i="18"/>
  <c r="C27" i="18"/>
  <c r="C26" i="18"/>
  <c r="E23" i="18"/>
  <c r="G22" i="18" s="1"/>
  <c r="E22" i="18"/>
  <c r="F26" i="18" s="1"/>
  <c r="F21" i="18"/>
  <c r="E29" i="18" s="1"/>
  <c r="E21" i="18"/>
  <c r="D28" i="18" s="1"/>
  <c r="I17" i="18"/>
  <c r="P17" i="18" s="1"/>
  <c r="I16" i="18"/>
  <c r="P16" i="18" s="1"/>
  <c r="I15" i="18"/>
  <c r="P15" i="18" s="1"/>
  <c r="I14" i="18"/>
  <c r="P14" i="18" s="1"/>
  <c r="I13" i="18"/>
  <c r="P13" i="18" s="1"/>
  <c r="I12" i="18"/>
  <c r="P12" i="18" s="1"/>
  <c r="I11" i="18"/>
  <c r="P11" i="18" s="1"/>
  <c r="I10" i="18"/>
  <c r="P10" i="18" s="1"/>
  <c r="I9" i="18"/>
  <c r="P9" i="18" s="1"/>
  <c r="I8" i="18"/>
  <c r="P8" i="18" s="1"/>
  <c r="I7" i="18"/>
  <c r="P7" i="18" s="1"/>
  <c r="I6" i="18"/>
  <c r="P6" i="18" s="1"/>
  <c r="I5" i="18"/>
  <c r="P5" i="18" s="1"/>
  <c r="I4" i="18"/>
  <c r="P4" i="18" s="1"/>
  <c r="I3" i="18"/>
  <c r="P3" i="18" s="1"/>
  <c r="F27" i="18" l="1"/>
  <c r="F29" i="18"/>
  <c r="F30" i="18"/>
  <c r="E18" i="9"/>
  <c r="E13" i="9"/>
  <c r="BB3" i="6"/>
  <c r="AZ3" i="6"/>
  <c r="BA3" i="6"/>
  <c r="AY3" i="6"/>
  <c r="AV3" i="6"/>
  <c r="AX3" i="6"/>
  <c r="AW3" i="6"/>
  <c r="AU3" i="6"/>
  <c r="AT3" i="6"/>
  <c r="AS3" i="6"/>
  <c r="AR3" i="6"/>
  <c r="AN3" i="6"/>
  <c r="AQ3" i="6"/>
  <c r="AP3" i="6"/>
  <c r="AO3" i="6"/>
  <c r="AZ37" i="6"/>
  <c r="BB37" i="6"/>
  <c r="AY37" i="6"/>
  <c r="BA37" i="6"/>
  <c r="AU37" i="6"/>
  <c r="AX37" i="6"/>
  <c r="AW37" i="6"/>
  <c r="AV37" i="6"/>
  <c r="AT37" i="6"/>
  <c r="AS37" i="6"/>
  <c r="AQ37" i="6"/>
  <c r="AN37" i="6"/>
  <c r="AR37" i="6"/>
  <c r="AP37" i="6"/>
  <c r="AO37" i="6"/>
  <c r="AZ35" i="6"/>
  <c r="BB35" i="6"/>
  <c r="AY35" i="6"/>
  <c r="BA35" i="6"/>
  <c r="AU35" i="6"/>
  <c r="AX35" i="6"/>
  <c r="AW35" i="6"/>
  <c r="AV35" i="6"/>
  <c r="AT35" i="6"/>
  <c r="AS35" i="6"/>
  <c r="AQ35" i="6"/>
  <c r="AN35" i="6"/>
  <c r="AR35" i="6"/>
  <c r="AP35" i="6"/>
  <c r="AO35" i="6"/>
  <c r="AZ31" i="6"/>
  <c r="BB31" i="6"/>
  <c r="AY31" i="6"/>
  <c r="BA31" i="6"/>
  <c r="AU31" i="6"/>
  <c r="AX31" i="6"/>
  <c r="AW31" i="6"/>
  <c r="AV31" i="6"/>
  <c r="AT31" i="6"/>
  <c r="AS31" i="6"/>
  <c r="AQ31" i="6"/>
  <c r="AN31" i="6"/>
  <c r="AR31" i="6"/>
  <c r="AP31" i="6"/>
  <c r="AO31" i="6"/>
  <c r="AZ29" i="6"/>
  <c r="BB29" i="6"/>
  <c r="AY29" i="6"/>
  <c r="BA29" i="6"/>
  <c r="AU29" i="6"/>
  <c r="AX29" i="6"/>
  <c r="AW29" i="6"/>
  <c r="AV29" i="6"/>
  <c r="AT29" i="6"/>
  <c r="AS29" i="6"/>
  <c r="AQ29" i="6"/>
  <c r="AN29" i="6"/>
  <c r="AR29" i="6"/>
  <c r="AP29" i="6"/>
  <c r="AO29" i="6"/>
  <c r="AZ27" i="6"/>
  <c r="BB27" i="6"/>
  <c r="AY27" i="6"/>
  <c r="BA27" i="6"/>
  <c r="AU27" i="6"/>
  <c r="AX27" i="6"/>
  <c r="AW27" i="6"/>
  <c r="AV27" i="6"/>
  <c r="AT27" i="6"/>
  <c r="AS27" i="6"/>
  <c r="AQ27" i="6"/>
  <c r="AN27" i="6"/>
  <c r="AR27" i="6"/>
  <c r="AP27" i="6"/>
  <c r="AO27" i="6"/>
  <c r="AZ25" i="6"/>
  <c r="BB25" i="6"/>
  <c r="AY25" i="6"/>
  <c r="BA25" i="6"/>
  <c r="AU25" i="6"/>
  <c r="AX25" i="6"/>
  <c r="AW25" i="6"/>
  <c r="AV25" i="6"/>
  <c r="AT25" i="6"/>
  <c r="AS25" i="6"/>
  <c r="AQ25" i="6"/>
  <c r="AN25" i="6"/>
  <c r="AR25" i="6"/>
  <c r="AP25" i="6"/>
  <c r="AO25" i="6"/>
  <c r="AZ23" i="6"/>
  <c r="BB23" i="6"/>
  <c r="AY23" i="6"/>
  <c r="BA23" i="6"/>
  <c r="AU23" i="6"/>
  <c r="AX23" i="6"/>
  <c r="AW23" i="6"/>
  <c r="AV23" i="6"/>
  <c r="AT23" i="6"/>
  <c r="AS23" i="6"/>
  <c r="AQ23" i="6"/>
  <c r="AN23" i="6"/>
  <c r="AR23" i="6"/>
  <c r="AP23" i="6"/>
  <c r="AO23" i="6"/>
  <c r="AZ21" i="6"/>
  <c r="BB21" i="6"/>
  <c r="AY21" i="6"/>
  <c r="BA21" i="6"/>
  <c r="AU21" i="6"/>
  <c r="AX21" i="6"/>
  <c r="AW21" i="6"/>
  <c r="AV21" i="6"/>
  <c r="AT21" i="6"/>
  <c r="AS21" i="6"/>
  <c r="AQ21" i="6"/>
  <c r="AN21" i="6"/>
  <c r="AR21" i="6"/>
  <c r="AP21" i="6"/>
  <c r="AO21" i="6"/>
  <c r="AZ19" i="6"/>
  <c r="BB19" i="6"/>
  <c r="AY19" i="6"/>
  <c r="BA19" i="6"/>
  <c r="AU19" i="6"/>
  <c r="AX19" i="6"/>
  <c r="AW19" i="6"/>
  <c r="AV19" i="6"/>
  <c r="AT19" i="6"/>
  <c r="AS19" i="6"/>
  <c r="AQ19" i="6"/>
  <c r="AN19" i="6"/>
  <c r="AR19" i="6"/>
  <c r="AP19" i="6"/>
  <c r="AO19" i="6"/>
  <c r="AZ17" i="6"/>
  <c r="BB17" i="6"/>
  <c r="AY17" i="6"/>
  <c r="BA17" i="6"/>
  <c r="AU17" i="6"/>
  <c r="AX17" i="6"/>
  <c r="AW17" i="6"/>
  <c r="AV17" i="6"/>
  <c r="AT17" i="6"/>
  <c r="AS17" i="6"/>
  <c r="AQ17" i="6"/>
  <c r="AN17" i="6"/>
  <c r="AR17" i="6"/>
  <c r="AP17" i="6"/>
  <c r="AO17" i="6"/>
  <c r="AZ15" i="6"/>
  <c r="BB15" i="6"/>
  <c r="AY15" i="6"/>
  <c r="BA15" i="6"/>
  <c r="AU15" i="6"/>
  <c r="AX15" i="6"/>
  <c r="AW15" i="6"/>
  <c r="AV15" i="6"/>
  <c r="AT15" i="6"/>
  <c r="AS15" i="6"/>
  <c r="AQ15" i="6"/>
  <c r="AN15" i="6"/>
  <c r="AR15" i="6"/>
  <c r="AP15" i="6"/>
  <c r="AO15" i="6"/>
  <c r="AZ13" i="6"/>
  <c r="BB13" i="6"/>
  <c r="AY13" i="6"/>
  <c r="BA13" i="6"/>
  <c r="AU13" i="6"/>
  <c r="AX13" i="6"/>
  <c r="AW13" i="6"/>
  <c r="AV13" i="6"/>
  <c r="AT13" i="6"/>
  <c r="AS13" i="6"/>
  <c r="AQ13" i="6"/>
  <c r="AN13" i="6"/>
  <c r="AR13" i="6"/>
  <c r="AP13" i="6"/>
  <c r="AO13" i="6"/>
  <c r="C10" i="9"/>
  <c r="AZ11" i="6"/>
  <c r="BB11" i="6"/>
  <c r="AY11" i="6"/>
  <c r="BA11" i="6"/>
  <c r="AU11" i="6"/>
  <c r="AX11" i="6"/>
  <c r="AW11" i="6"/>
  <c r="AV11" i="6"/>
  <c r="AT11" i="6"/>
  <c r="AS11" i="6"/>
  <c r="AQ11" i="6"/>
  <c r="AN11" i="6"/>
  <c r="AR11" i="6"/>
  <c r="AP11" i="6"/>
  <c r="AO11" i="6"/>
  <c r="C13" i="9"/>
  <c r="AZ9" i="6"/>
  <c r="BB9" i="6"/>
  <c r="AY9" i="6"/>
  <c r="BA9" i="6"/>
  <c r="AX9" i="6"/>
  <c r="AU9" i="6"/>
  <c r="AW9" i="6"/>
  <c r="AV9" i="6"/>
  <c r="AT9" i="6"/>
  <c r="AS9" i="6"/>
  <c r="AQ9" i="6"/>
  <c r="AN9" i="6"/>
  <c r="AR9" i="6"/>
  <c r="AP9" i="6"/>
  <c r="AO9" i="6"/>
  <c r="AZ7" i="6"/>
  <c r="BB7" i="6"/>
  <c r="AY7" i="6"/>
  <c r="BA7" i="6"/>
  <c r="AU7" i="6"/>
  <c r="AX7" i="6"/>
  <c r="AW7" i="6"/>
  <c r="AV7" i="6"/>
  <c r="AT7" i="6"/>
  <c r="AS7" i="6"/>
  <c r="AQ7" i="6"/>
  <c r="AN7" i="6"/>
  <c r="AR7" i="6"/>
  <c r="AP7" i="6"/>
  <c r="AO7" i="6"/>
  <c r="D18" i="9"/>
  <c r="AZ5" i="6"/>
  <c r="BB5" i="6"/>
  <c r="AY5" i="6"/>
  <c r="BA5" i="6"/>
  <c r="AX5" i="6"/>
  <c r="AU5" i="6"/>
  <c r="AW5" i="6"/>
  <c r="AV5" i="6"/>
  <c r="AT5" i="6"/>
  <c r="AS5" i="6"/>
  <c r="AQ5" i="6"/>
  <c r="AN5" i="6"/>
  <c r="AR5" i="6"/>
  <c r="AP5" i="6"/>
  <c r="AO5" i="6"/>
  <c r="F22" i="18"/>
  <c r="G30" i="18" s="1"/>
  <c r="D27" i="18"/>
  <c r="D29" i="18"/>
  <c r="D30" i="18"/>
  <c r="D11" i="21"/>
  <c r="D9" i="21"/>
  <c r="D12" i="21"/>
  <c r="D10" i="21"/>
  <c r="D8" i="21"/>
  <c r="AY38" i="6"/>
  <c r="BA38" i="6"/>
  <c r="AZ38" i="6"/>
  <c r="BB38" i="6"/>
  <c r="AX38" i="6"/>
  <c r="AW38" i="6"/>
  <c r="AV38" i="6"/>
  <c r="AU38" i="6"/>
  <c r="AR38" i="6"/>
  <c r="AP38" i="6"/>
  <c r="AO38" i="6"/>
  <c r="AN38" i="6"/>
  <c r="AT38" i="6"/>
  <c r="AS38" i="6"/>
  <c r="AQ38" i="6"/>
  <c r="AY36" i="6"/>
  <c r="BA36" i="6"/>
  <c r="AZ36" i="6"/>
  <c r="BB36" i="6"/>
  <c r="AX36" i="6"/>
  <c r="AW36" i="6"/>
  <c r="AV36" i="6"/>
  <c r="AU36" i="6"/>
  <c r="AR36" i="6"/>
  <c r="AP36" i="6"/>
  <c r="AO36" i="6"/>
  <c r="AN36" i="6"/>
  <c r="AT36" i="6"/>
  <c r="AS36" i="6"/>
  <c r="AQ36" i="6"/>
  <c r="AY34" i="6"/>
  <c r="BA34" i="6"/>
  <c r="AZ34" i="6"/>
  <c r="BB34" i="6"/>
  <c r="AX34" i="6"/>
  <c r="AW34" i="6"/>
  <c r="AV34" i="6"/>
  <c r="AU34" i="6"/>
  <c r="AR34" i="6"/>
  <c r="AP34" i="6"/>
  <c r="AO34" i="6"/>
  <c r="AT34" i="6"/>
  <c r="AS34" i="6"/>
  <c r="AQ34" i="6"/>
  <c r="AN34" i="6"/>
  <c r="AY33" i="6"/>
  <c r="BA33" i="6"/>
  <c r="AZ33" i="6"/>
  <c r="BB33" i="6"/>
  <c r="AX33" i="6"/>
  <c r="AW33" i="6"/>
  <c r="AV33" i="6"/>
  <c r="AU33" i="6"/>
  <c r="AR33" i="6"/>
  <c r="AP33" i="6"/>
  <c r="AO33" i="6"/>
  <c r="AN33" i="6"/>
  <c r="AT33" i="6"/>
  <c r="AS33" i="6"/>
  <c r="AQ33" i="6"/>
  <c r="D11" i="9"/>
  <c r="AY32" i="6"/>
  <c r="BA32" i="6"/>
  <c r="AZ32" i="6"/>
  <c r="BB32" i="6"/>
  <c r="AX32" i="6"/>
  <c r="AW32" i="6"/>
  <c r="AV32" i="6"/>
  <c r="AU32" i="6"/>
  <c r="AR32" i="6"/>
  <c r="AP32" i="6"/>
  <c r="AO32" i="6"/>
  <c r="AT32" i="6"/>
  <c r="AS32" i="6"/>
  <c r="AQ32" i="6"/>
  <c r="AN32" i="6"/>
  <c r="D13" i="9"/>
  <c r="AY30" i="6"/>
  <c r="BA30" i="6"/>
  <c r="AZ30" i="6"/>
  <c r="BB30" i="6"/>
  <c r="AX30" i="6"/>
  <c r="AW30" i="6"/>
  <c r="AV30" i="6"/>
  <c r="AU30" i="6"/>
  <c r="AR30" i="6"/>
  <c r="AP30" i="6"/>
  <c r="AO30" i="6"/>
  <c r="AN30" i="6"/>
  <c r="AT30" i="6"/>
  <c r="AS30" i="6"/>
  <c r="AQ30" i="6"/>
  <c r="AY28" i="6"/>
  <c r="BA28" i="6"/>
  <c r="AZ28" i="6"/>
  <c r="BB28" i="6"/>
  <c r="AX28" i="6"/>
  <c r="AW28" i="6"/>
  <c r="AV28" i="6"/>
  <c r="AU28" i="6"/>
  <c r="AR28" i="6"/>
  <c r="AP28" i="6"/>
  <c r="AO28" i="6"/>
  <c r="AN28" i="6"/>
  <c r="AT28" i="6"/>
  <c r="AS28" i="6"/>
  <c r="AQ28" i="6"/>
  <c r="AY26" i="6"/>
  <c r="BA26" i="6"/>
  <c r="AZ26" i="6"/>
  <c r="BB26" i="6"/>
  <c r="AX26" i="6"/>
  <c r="AW26" i="6"/>
  <c r="AV26" i="6"/>
  <c r="AT26" i="6"/>
  <c r="AU26" i="6"/>
  <c r="AR26" i="6"/>
  <c r="AP26" i="6"/>
  <c r="AO26" i="6"/>
  <c r="AS26" i="6"/>
  <c r="AQ26" i="6"/>
  <c r="AN26" i="6"/>
  <c r="AY24" i="6"/>
  <c r="BA24" i="6"/>
  <c r="AZ24" i="6"/>
  <c r="BB24" i="6"/>
  <c r="AX24" i="6"/>
  <c r="AW24" i="6"/>
  <c r="AV24" i="6"/>
  <c r="AT24" i="6"/>
  <c r="AU24" i="6"/>
  <c r="AR24" i="6"/>
  <c r="AP24" i="6"/>
  <c r="AO24" i="6"/>
  <c r="AN24" i="6"/>
  <c r="AS24" i="6"/>
  <c r="AQ24" i="6"/>
  <c r="C11" i="9"/>
  <c r="AY22" i="6"/>
  <c r="BA22" i="6"/>
  <c r="AZ22" i="6"/>
  <c r="BB22" i="6"/>
  <c r="AX22" i="6"/>
  <c r="AW22" i="6"/>
  <c r="AV22" i="6"/>
  <c r="AT22" i="6"/>
  <c r="AU22" i="6"/>
  <c r="AR22" i="6"/>
  <c r="AP22" i="6"/>
  <c r="AO22" i="6"/>
  <c r="AS22" i="6"/>
  <c r="AQ22" i="6"/>
  <c r="AN22" i="6"/>
  <c r="AY20" i="6"/>
  <c r="BA20" i="6"/>
  <c r="AZ20" i="6"/>
  <c r="BB20" i="6"/>
  <c r="AX20" i="6"/>
  <c r="AW20" i="6"/>
  <c r="AV20" i="6"/>
  <c r="AT20" i="6"/>
  <c r="AU20" i="6"/>
  <c r="AR20" i="6"/>
  <c r="AP20" i="6"/>
  <c r="AO20" i="6"/>
  <c r="AN20" i="6"/>
  <c r="AS20" i="6"/>
  <c r="AQ20" i="6"/>
  <c r="AY18" i="6"/>
  <c r="BA18" i="6"/>
  <c r="AZ18" i="6"/>
  <c r="BB18" i="6"/>
  <c r="AX18" i="6"/>
  <c r="AW18" i="6"/>
  <c r="AV18" i="6"/>
  <c r="AT18" i="6"/>
  <c r="AU18" i="6"/>
  <c r="AR18" i="6"/>
  <c r="AP18" i="6"/>
  <c r="AO18" i="6"/>
  <c r="AS18" i="6"/>
  <c r="AQ18" i="6"/>
  <c r="AN18" i="6"/>
  <c r="C12" i="9"/>
  <c r="AY16" i="6"/>
  <c r="BA16" i="6"/>
  <c r="AZ16" i="6"/>
  <c r="BB16" i="6"/>
  <c r="AX16" i="6"/>
  <c r="AW16" i="6"/>
  <c r="AV16" i="6"/>
  <c r="AT16" i="6"/>
  <c r="AU16" i="6"/>
  <c r="AR16" i="6"/>
  <c r="AP16" i="6"/>
  <c r="AO16" i="6"/>
  <c r="AS16" i="6"/>
  <c r="AQ16" i="6"/>
  <c r="AN16" i="6"/>
  <c r="AY14" i="6"/>
  <c r="BA14" i="6"/>
  <c r="AZ14" i="6"/>
  <c r="BB14" i="6"/>
  <c r="AX14" i="6"/>
  <c r="AW14" i="6"/>
  <c r="AV14" i="6"/>
  <c r="AT14" i="6"/>
  <c r="AU14" i="6"/>
  <c r="AR14" i="6"/>
  <c r="AP14" i="6"/>
  <c r="AO14" i="6"/>
  <c r="AS14" i="6"/>
  <c r="AQ14" i="6"/>
  <c r="AN14" i="6"/>
  <c r="AY12" i="6"/>
  <c r="BA12" i="6"/>
  <c r="AZ12" i="6"/>
  <c r="BB12" i="6"/>
  <c r="AX12" i="6"/>
  <c r="AW12" i="6"/>
  <c r="AV12" i="6"/>
  <c r="AT12" i="6"/>
  <c r="AU12" i="6"/>
  <c r="AR12" i="6"/>
  <c r="AP12" i="6"/>
  <c r="AO12" i="6"/>
  <c r="AS12" i="6"/>
  <c r="AQ12" i="6"/>
  <c r="AN12" i="6"/>
  <c r="AY10" i="6"/>
  <c r="BA10" i="6"/>
  <c r="AX10" i="6"/>
  <c r="AZ10" i="6"/>
  <c r="BB10" i="6"/>
  <c r="AW10" i="6"/>
  <c r="AV10" i="6"/>
  <c r="AT10" i="6"/>
  <c r="AU10" i="6"/>
  <c r="AR10" i="6"/>
  <c r="AP10" i="6"/>
  <c r="AO10" i="6"/>
  <c r="AS10" i="6"/>
  <c r="AQ10" i="6"/>
  <c r="AN10" i="6"/>
  <c r="C18" i="9"/>
  <c r="C14" i="9"/>
  <c r="AY8" i="6"/>
  <c r="BA8" i="6"/>
  <c r="AX8" i="6"/>
  <c r="AZ8" i="6"/>
  <c r="BB8" i="6"/>
  <c r="AW8" i="6"/>
  <c r="AV8" i="6"/>
  <c r="AT8" i="6"/>
  <c r="AU8" i="6"/>
  <c r="AR8" i="6"/>
  <c r="AP8" i="6"/>
  <c r="AO8" i="6"/>
  <c r="AS8" i="6"/>
  <c r="AQ8" i="6"/>
  <c r="AN8" i="6"/>
  <c r="D12" i="9"/>
  <c r="AY6" i="6"/>
  <c r="BA6" i="6"/>
  <c r="AX6" i="6"/>
  <c r="AZ6" i="6"/>
  <c r="BB6" i="6"/>
  <c r="AW6" i="6"/>
  <c r="AV6" i="6"/>
  <c r="AT6" i="6"/>
  <c r="AU6" i="6"/>
  <c r="AR6" i="6"/>
  <c r="AP6" i="6"/>
  <c r="AO6" i="6"/>
  <c r="AS6" i="6"/>
  <c r="AQ6" i="6"/>
  <c r="AN6" i="6"/>
  <c r="E12" i="9"/>
  <c r="AY4" i="6"/>
  <c r="BA4" i="6"/>
  <c r="AX4" i="6"/>
  <c r="AZ4" i="6"/>
  <c r="BB4" i="6"/>
  <c r="AW4" i="6"/>
  <c r="AV4" i="6"/>
  <c r="AT4" i="6"/>
  <c r="AU4" i="6"/>
  <c r="AR4" i="6"/>
  <c r="AP4" i="6"/>
  <c r="AO4" i="6"/>
  <c r="AS4" i="6"/>
  <c r="AQ4" i="6"/>
  <c r="AN4" i="6"/>
  <c r="P12" i="19"/>
  <c r="G12" i="11" s="1"/>
  <c r="P9" i="19"/>
  <c r="G9" i="11" s="1"/>
  <c r="P5" i="19"/>
  <c r="G5" i="11" s="1"/>
  <c r="Q14" i="19"/>
  <c r="Q10" i="19"/>
  <c r="Q7" i="19"/>
  <c r="Q13" i="19"/>
  <c r="Q6" i="19"/>
  <c r="Q3" i="19"/>
  <c r="Q12" i="19"/>
  <c r="Q9" i="19"/>
  <c r="Q5" i="19"/>
  <c r="Q11" i="19"/>
  <c r="Q8" i="19"/>
  <c r="Q4" i="19"/>
  <c r="F9" i="21"/>
  <c r="F12" i="21"/>
  <c r="F8" i="21"/>
  <c r="F3" i="21"/>
  <c r="F4" i="21"/>
  <c r="F11" i="21"/>
  <c r="G3" i="21"/>
  <c r="Q16" i="18"/>
  <c r="Q12" i="18"/>
  <c r="Q15" i="18"/>
  <c r="Q13" i="18"/>
  <c r="Q14" i="18"/>
  <c r="G26" i="18"/>
  <c r="E28" i="18"/>
  <c r="Q7" i="18" s="1"/>
  <c r="G21" i="18"/>
  <c r="D26" i="18"/>
  <c r="E27" i="18"/>
  <c r="Q3" i="18" s="1"/>
  <c r="F28" i="18"/>
  <c r="G29" i="18"/>
  <c r="Q17" i="18" s="1"/>
  <c r="E30" i="18"/>
  <c r="H21" i="18"/>
  <c r="H22" i="18"/>
  <c r="E26" i="18"/>
  <c r="G28" i="18"/>
  <c r="G27" i="18"/>
  <c r="Z7" i="12"/>
  <c r="Z6" i="12"/>
  <c r="Z5" i="12"/>
  <c r="Z4" i="12"/>
  <c r="Z3" i="12"/>
  <c r="B3" i="5"/>
  <c r="F6" i="15"/>
  <c r="J5" i="11"/>
  <c r="L5" i="11" s="1"/>
  <c r="Q10" i="11" l="1"/>
  <c r="Q9" i="11"/>
  <c r="Q8" i="11"/>
  <c r="Q6" i="11"/>
  <c r="Q4" i="11"/>
  <c r="Q7" i="11"/>
  <c r="Q5" i="11"/>
  <c r="Q18" i="11"/>
  <c r="Q16" i="11"/>
  <c r="Q17" i="11"/>
  <c r="Q15" i="11"/>
  <c r="Q14" i="11"/>
  <c r="Q12" i="11"/>
  <c r="Q13" i="11"/>
  <c r="Q11" i="11"/>
  <c r="C3" i="9"/>
  <c r="C6" i="9"/>
  <c r="C5" i="9"/>
  <c r="D5" i="9"/>
  <c r="D6" i="9"/>
  <c r="Q20" i="11"/>
  <c r="Q21" i="11"/>
  <c r="Q19" i="11"/>
  <c r="Q3" i="11"/>
  <c r="C2" i="9"/>
  <c r="C4" i="9"/>
  <c r="D2" i="9"/>
  <c r="D3" i="9"/>
  <c r="D4" i="9"/>
  <c r="O5" i="11"/>
  <c r="N5" i="11"/>
  <c r="P5" i="11" s="1"/>
  <c r="G11" i="21"/>
  <c r="G8" i="21"/>
  <c r="G12" i="21"/>
  <c r="G9" i="21"/>
  <c r="G10" i="21"/>
  <c r="H4" i="21"/>
  <c r="E12" i="21"/>
  <c r="E9" i="21"/>
  <c r="E10" i="21"/>
  <c r="E11" i="21"/>
  <c r="E8" i="21"/>
  <c r="H3" i="21"/>
  <c r="H28" i="18"/>
  <c r="R7" i="18" s="1"/>
  <c r="S7" i="18" s="1"/>
  <c r="H29" i="18"/>
  <c r="H26" i="18"/>
  <c r="R11" i="18" s="1"/>
  <c r="H30" i="18"/>
  <c r="H27" i="18"/>
  <c r="R3" i="18" s="1"/>
  <c r="S3" i="18"/>
  <c r="Q9" i="18"/>
  <c r="Q10" i="18"/>
  <c r="Q8" i="18"/>
  <c r="Q4" i="18"/>
  <c r="Q6" i="18"/>
  <c r="Q5" i="18"/>
  <c r="Q11" i="18"/>
  <c r="S11" i="18" s="1"/>
  <c r="S17" i="18"/>
  <c r="I29" i="18"/>
  <c r="R17" i="18" s="1"/>
  <c r="I26" i="18"/>
  <c r="I30" i="18"/>
  <c r="I27" i="18"/>
  <c r="I28" i="18"/>
  <c r="H3" i="3"/>
  <c r="H4" i="3"/>
  <c r="H5" i="3"/>
  <c r="H6" i="3"/>
  <c r="H2" i="3"/>
  <c r="B5" i="5"/>
  <c r="B4" i="5"/>
  <c r="J4" i="11"/>
  <c r="J6" i="11"/>
  <c r="J7" i="11"/>
  <c r="J8" i="11"/>
  <c r="J9" i="11"/>
  <c r="J10" i="11"/>
  <c r="J11" i="11"/>
  <c r="J12" i="11"/>
  <c r="J13" i="11"/>
  <c r="J14" i="11"/>
  <c r="J3" i="11"/>
  <c r="D7" i="8"/>
  <c r="E7" i="8" s="1"/>
  <c r="D8" i="8"/>
  <c r="E8" i="8" s="1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" i="6"/>
  <c r="E6" i="15"/>
  <c r="D6" i="15"/>
  <c r="C6" i="15"/>
  <c r="B6" i="15"/>
  <c r="G4" i="15"/>
  <c r="F3" i="15"/>
  <c r="F8" i="15" s="1"/>
  <c r="E3" i="15"/>
  <c r="E8" i="15" s="1"/>
  <c r="D3" i="15"/>
  <c r="D8" i="15" s="1"/>
  <c r="C3" i="15"/>
  <c r="B3" i="15"/>
  <c r="B8" i="15" s="1"/>
  <c r="F2" i="15"/>
  <c r="E2" i="15"/>
  <c r="D2" i="15"/>
  <c r="C2" i="15"/>
  <c r="G2" i="15" s="1"/>
  <c r="B2" i="15"/>
  <c r="G3" i="15" l="1"/>
  <c r="R21" i="11"/>
  <c r="R17" i="11"/>
  <c r="R18" i="11"/>
  <c r="R19" i="11"/>
  <c r="R20" i="11"/>
  <c r="R15" i="11"/>
  <c r="R16" i="11"/>
  <c r="L14" i="11"/>
  <c r="L8" i="11"/>
  <c r="L4" i="11"/>
  <c r="L10" i="11"/>
  <c r="L7" i="11"/>
  <c r="L13" i="11"/>
  <c r="L12" i="11"/>
  <c r="L9" i="11"/>
  <c r="B15" i="22" s="1"/>
  <c r="L11" i="11"/>
  <c r="L3" i="11"/>
  <c r="L6" i="11"/>
  <c r="R5" i="11"/>
  <c r="I12" i="21"/>
  <c r="I9" i="21"/>
  <c r="I10" i="21"/>
  <c r="I11" i="21"/>
  <c r="I8" i="21"/>
  <c r="H8" i="21"/>
  <c r="H12" i="21"/>
  <c r="H9" i="21"/>
  <c r="S21" i="11" s="1"/>
  <c r="H10" i="21"/>
  <c r="H11" i="21"/>
  <c r="S17" i="11" s="1"/>
  <c r="R15" i="18"/>
  <c r="S15" i="18" s="1"/>
  <c r="R14" i="18"/>
  <c r="S14" i="18" s="1"/>
  <c r="R12" i="18"/>
  <c r="S12" i="18" s="1"/>
  <c r="R13" i="18"/>
  <c r="S13" i="18" s="1"/>
  <c r="R16" i="18"/>
  <c r="S16" i="18" s="1"/>
  <c r="R10" i="18"/>
  <c r="S10" i="18" s="1"/>
  <c r="R9" i="18"/>
  <c r="S9" i="18" s="1"/>
  <c r="R8" i="18"/>
  <c r="S8" i="18" s="1"/>
  <c r="R4" i="18"/>
  <c r="S4" i="18" s="1"/>
  <c r="R6" i="18"/>
  <c r="S6" i="18" s="1"/>
  <c r="R5" i="18"/>
  <c r="S5" i="18" s="1"/>
  <c r="B8" i="5"/>
  <c r="I2" i="15"/>
  <c r="G8" i="15"/>
  <c r="M2" i="15"/>
  <c r="D7" i="15"/>
  <c r="C8" i="15"/>
  <c r="B7" i="15"/>
  <c r="F7" i="15"/>
  <c r="P5" i="2"/>
  <c r="D13" i="22" l="1"/>
  <c r="S15" i="11"/>
  <c r="T15" i="11" s="1"/>
  <c r="S20" i="11"/>
  <c r="S19" i="11"/>
  <c r="T19" i="11" s="1"/>
  <c r="T17" i="11"/>
  <c r="S16" i="11"/>
  <c r="T16" i="11" s="1"/>
  <c r="T20" i="11"/>
  <c r="S18" i="11"/>
  <c r="T18" i="11" s="1"/>
  <c r="T21" i="11"/>
  <c r="D15" i="22"/>
  <c r="D11" i="22"/>
  <c r="B11" i="22"/>
  <c r="B13" i="22"/>
  <c r="D18" i="22"/>
  <c r="D14" i="22"/>
  <c r="B18" i="22"/>
  <c r="B14" i="22"/>
  <c r="D12" i="22"/>
  <c r="B12" i="22"/>
  <c r="O10" i="11"/>
  <c r="N10" i="11"/>
  <c r="S10" i="11"/>
  <c r="O6" i="11"/>
  <c r="N6" i="11"/>
  <c r="O3" i="11"/>
  <c r="N3" i="11"/>
  <c r="N11" i="11"/>
  <c r="O11" i="11"/>
  <c r="O9" i="11"/>
  <c r="N9" i="11"/>
  <c r="N8" i="11"/>
  <c r="O8" i="11"/>
  <c r="S8" i="11" s="1"/>
  <c r="O7" i="11"/>
  <c r="S7" i="11" s="1"/>
  <c r="N7" i="11"/>
  <c r="O12" i="11"/>
  <c r="S12" i="11" s="1"/>
  <c r="N12" i="11"/>
  <c r="O13" i="11"/>
  <c r="N13" i="11"/>
  <c r="N4" i="11"/>
  <c r="O4" i="11"/>
  <c r="N14" i="11"/>
  <c r="O14" i="11"/>
  <c r="S6" i="11"/>
  <c r="S4" i="11"/>
  <c r="S5" i="11"/>
  <c r="S11" i="11"/>
  <c r="S14" i="11"/>
  <c r="C7" i="15"/>
  <c r="G7" i="15" s="1"/>
  <c r="E7" i="15"/>
  <c r="P6" i="2"/>
  <c r="Q4" i="2"/>
  <c r="F12" i="22" l="1"/>
  <c r="S9" i="11"/>
  <c r="F15" i="22"/>
  <c r="S3" i="11"/>
  <c r="F18" i="22"/>
  <c r="F14" i="22"/>
  <c r="F13" i="22"/>
  <c r="F11" i="22"/>
  <c r="P7" i="11"/>
  <c r="R7" i="11"/>
  <c r="T7" i="11" s="1"/>
  <c r="R3" i="11"/>
  <c r="P3" i="11"/>
  <c r="S13" i="11"/>
  <c r="P13" i="11"/>
  <c r="R13" i="11"/>
  <c r="P12" i="11"/>
  <c r="R12" i="11"/>
  <c r="T12" i="11" s="1"/>
  <c r="P10" i="11"/>
  <c r="R10" i="11"/>
  <c r="R14" i="11"/>
  <c r="P14" i="11"/>
  <c r="P8" i="11"/>
  <c r="R8" i="11"/>
  <c r="R6" i="11"/>
  <c r="T6" i="11" s="1"/>
  <c r="P6" i="11"/>
  <c r="R9" i="11"/>
  <c r="T9" i="11" s="1"/>
  <c r="P9" i="11"/>
  <c r="R11" i="11"/>
  <c r="T11" i="11" s="1"/>
  <c r="P11" i="11"/>
  <c r="R4" i="11"/>
  <c r="T4" i="11" s="1"/>
  <c r="P4" i="11"/>
  <c r="T14" i="11"/>
  <c r="T10" i="11"/>
  <c r="T5" i="11"/>
  <c r="T8" i="11"/>
  <c r="E6" i="9"/>
  <c r="E3" i="9"/>
  <c r="C7" i="9"/>
  <c r="E4" i="9"/>
  <c r="D7" i="9"/>
  <c r="E5" i="9"/>
  <c r="E2" i="9"/>
  <c r="B29" i="8" l="1"/>
  <c r="B25" i="8"/>
  <c r="T3" i="11"/>
  <c r="T13" i="11"/>
  <c r="B27" i="8"/>
  <c r="D27" i="8" s="1"/>
  <c r="D25" i="8"/>
  <c r="D29" i="8"/>
  <c r="Y3" i="12"/>
  <c r="AA3" i="12" s="1"/>
  <c r="C5" i="8"/>
  <c r="Y5" i="12"/>
  <c r="AA5" i="12" s="1"/>
  <c r="C3" i="8"/>
  <c r="Y7" i="12"/>
  <c r="AA7" i="12" s="1"/>
  <c r="E7" i="9"/>
  <c r="B26" i="8" l="1"/>
  <c r="D26" i="8" s="1"/>
  <c r="B28" i="8"/>
  <c r="D28" i="8" s="1"/>
  <c r="C4" i="8"/>
  <c r="Y4" i="12"/>
  <c r="AA4" i="12" s="1"/>
  <c r="C6" i="8"/>
  <c r="Y6" i="12"/>
  <c r="AA6" i="12" s="1"/>
  <c r="E4" i="8"/>
  <c r="E3" i="8" l="1"/>
  <c r="E5" i="8"/>
  <c r="E2" i="8"/>
  <c r="E6" i="8" l="1"/>
  <c r="P8" i="2"/>
  <c r="R4" i="2"/>
  <c r="Q6" i="2"/>
  <c r="R6" i="2" s="1"/>
  <c r="Q5" i="2"/>
  <c r="R5" i="2" s="1"/>
  <c r="Q7" i="2"/>
  <c r="R7" i="2" s="1"/>
  <c r="Q8" i="2" l="1"/>
  <c r="R8" i="2" s="1"/>
  <c r="I5" i="3" l="1"/>
  <c r="I6" i="3"/>
  <c r="E6" i="5" s="1"/>
  <c r="I3" i="3"/>
  <c r="E4" i="5" s="1"/>
  <c r="I2" i="3"/>
  <c r="E2" i="5" s="1"/>
  <c r="I4" i="3"/>
  <c r="C3" i="5" s="1"/>
  <c r="I8" i="3" l="1"/>
  <c r="E8" i="5" s="1"/>
  <c r="C4" i="5"/>
  <c r="D4" i="5" s="1"/>
  <c r="C6" i="5"/>
  <c r="D6" i="5" s="1"/>
  <c r="E3" i="5"/>
  <c r="C5" i="5"/>
  <c r="D5" i="5" s="1"/>
  <c r="E5" i="5"/>
  <c r="I7" i="3"/>
  <c r="E7" i="5" s="1"/>
  <c r="C8" i="5" l="1"/>
  <c r="D8" i="5" s="1"/>
  <c r="D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2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G2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F00-000006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 shapeId="0" xr:uid="{00000000-0006-0000-0F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  <author>Lenferink</author>
  </authors>
  <commentList>
    <comment ref="J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D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 shapeId="0" xr:uid="{00000000-0006-0000-0200-000004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walking due to no bus
</t>
        </r>
      </text>
    </comment>
    <comment ref="L6" authorId="1" shapeId="0" xr:uid="{00000000-0006-0000-0200-000005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To Purmerend
</t>
        </r>
      </text>
    </comment>
    <comment ref="J9" authorId="1" shapeId="0" xr:uid="{00000000-0006-0000-0200-000006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by bus
by bicycle: Purmerend Overwhere</t>
        </r>
      </text>
    </comment>
    <comment ref="K9" authorId="1" shapeId="0" xr:uid="{00000000-0006-0000-0200-000007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 8700</t>
        </r>
      </text>
    </comment>
    <comment ref="N9" authorId="1" shapeId="0" xr:uid="{00000000-0006-0000-0200-000008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</t>
        </r>
      </text>
    </comment>
    <comment ref="K10" authorId="1" shapeId="0" xr:uid="{00000000-0006-0000-0200-000009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10000 m to Purmerend Overwhere
</t>
        </r>
      </text>
    </comment>
    <comment ref="N10" authorId="1" shapeId="0" xr:uid="{00000000-0006-0000-0200-00000A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
</t>
        </r>
      </text>
    </comment>
    <comment ref="L16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G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Lenferink</author>
    <author>Sander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cah-kaart.nl
Purmerend 2040
Zaanstad</t>
        </r>
      </text>
    </comment>
    <comment ref="I6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14M from zaanstad
avg 245-337
</t>
        </r>
      </text>
    </comment>
    <comment ref="I24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 shapeId="0" xr:uid="{00000000-0006-0000-0600-000010000000}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incl aansluiting Achtersluispolder
avg 12-21</t>
        </r>
      </text>
    </comment>
    <comment ref="I29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3" authorId="1" shapeId="0" xr:uid="{00000000-0006-0000-0600-00001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5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<sst xmlns="http://schemas.openxmlformats.org/spreadsheetml/2006/main" count="1270" uniqueCount="456">
  <si>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</si>
  <si>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</si>
  <si>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</si>
  <si>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</si>
  <si>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</si>
  <si>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</si>
  <si>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</si>
  <si>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</si>
  <si>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</si>
  <si>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</si>
  <si>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</si>
  <si>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</si>
  <si>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</si>
  <si>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</si>
  <si>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</si>
  <si>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</si>
  <si>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</si>
  <si>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</si>
  <si>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</si>
  <si>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</si>
  <si>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</si>
  <si>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</si>
  <si>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</si>
  <si>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</si>
  <si>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</si>
  <si>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</si>
  <si>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</si>
  <si>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</si>
  <si>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</si>
  <si>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</si>
  <si>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</si>
  <si>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</si>
  <si>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</si>
  <si>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</si>
  <si>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</si>
  <si>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</si>
  <si>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</si>
  <si>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</si>
  <si>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</si>
  <si>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</si>
  <si>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</si>
  <si>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</si>
  <si>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</si>
  <si>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</si>
  <si>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</si>
  <si>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</si>
  <si>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</si>
  <si>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</si>
  <si>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</si>
  <si>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</si>
  <si>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</si>
  <si>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</si>
  <si>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</si>
  <si>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</si>
  <si>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</si>
  <si>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</si>
  <si>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</si>
  <si>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</si>
  <si>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</si>
  <si>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</si>
  <si>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</si>
  <si>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</si>
  <si>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</si>
  <si>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</si>
  <si>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</si>
  <si>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</si>
  <si>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</si>
  <si>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</si>
  <si>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</si>
  <si>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</si>
  <si>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</si>
  <si>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</si>
  <si>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</si>
  <si>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</si>
  <si>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</si>
  <si>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</si>
  <si>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Ministry</t>
  </si>
  <si>
    <t xml:space="preserve">Train </t>
  </si>
  <si>
    <t>TRA-M4</t>
  </si>
  <si>
    <t>Afteller bij station Purmerend</t>
  </si>
  <si>
    <t>Zaanstad-Amsterdam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</si>
  <si>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</si>
  <si>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</si>
  <si>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</si>
  <si>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</si>
  <si>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</si>
  <si>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</si>
  <si>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</si>
  <si>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</si>
  <si>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</si>
  <si>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</si>
  <si>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</si>
  <si>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</si>
  <si>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</si>
  <si>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</si>
  <si>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</si>
  <si>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</si>
  <si>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</si>
  <si>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</si>
  <si>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</si>
  <si>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</si>
  <si>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</si>
  <si>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</si>
  <si>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</si>
  <si>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</si>
  <si>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</si>
  <si>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</si>
  <si>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</si>
  <si>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</si>
  <si>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</si>
  <si>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</si>
  <si>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</si>
  <si>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</si>
  <si>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</si>
  <si>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</si>
  <si>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</si>
  <si>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</si>
  <si>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</si>
  <si>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</si>
  <si>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</si>
  <si>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</si>
  <si>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</si>
  <si>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</si>
  <si>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</si>
  <si>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</si>
  <si>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</si>
  <si>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</si>
  <si>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</si>
  <si>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</si>
  <si>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</si>
  <si>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</si>
  <si>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</si>
  <si>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</si>
  <si>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</si>
  <si>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</si>
  <si>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</si>
  <si>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</si>
  <si>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</si>
  <si>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</si>
  <si>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</si>
  <si>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</si>
  <si>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</si>
  <si>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</si>
  <si>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</si>
  <si>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</si>
  <si>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</si>
  <si>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</si>
  <si>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</si>
  <si>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</si>
  <si>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</si>
  <si>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</si>
  <si>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</si>
  <si>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</si>
  <si>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</si>
  <si>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</si>
  <si>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</si>
  <si>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</si>
  <si>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</si>
  <si>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</si>
  <si>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</si>
  <si>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</si>
  <si>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</si>
  <si>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</si>
  <si>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</si>
  <si>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</si>
  <si>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</si>
  <si>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</si>
  <si>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</si>
  <si>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</si>
  <si>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</si>
  <si>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</si>
  <si>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</si>
  <si>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</si>
  <si>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</si>
  <si>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</si>
  <si>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</si>
  <si>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</si>
  <si>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</si>
  <si>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</si>
  <si>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</si>
  <si>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</si>
  <si>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</si>
  <si>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</si>
  <si>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</si>
  <si>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</si>
  <si>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</si>
  <si>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</si>
  <si>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</si>
  <si>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</si>
  <si>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</si>
  <si>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</si>
  <si>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</si>
  <si>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</si>
  <si>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</si>
  <si>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</si>
  <si>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</si>
  <si>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</si>
  <si>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</si>
  <si>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</si>
  <si>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</si>
  <si>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</si>
  <si>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</si>
  <si>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</si>
  <si>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</si>
  <si>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</si>
  <si>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</si>
  <si>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</si>
  <si>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</si>
  <si>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</si>
  <si>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</si>
  <si>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</si>
  <si>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</si>
  <si>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</si>
  <si>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</si>
  <si>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</si>
  <si>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</si>
  <si>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</si>
  <si>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</si>
  <si>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</si>
  <si>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</si>
  <si>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</si>
  <si>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</si>
  <si>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</si>
  <si>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</si>
  <si>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</si>
  <si>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</si>
  <si>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</si>
  <si>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</si>
  <si>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</si>
  <si>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</si>
  <si>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</si>
  <si>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</si>
  <si>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</si>
  <si>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</si>
  <si>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</si>
  <si>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</si>
  <si>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</si>
  <si>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</si>
  <si>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</si>
  <si>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</si>
  <si>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</si>
  <si>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</si>
  <si>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</si>
  <si>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</si>
  <si>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</si>
  <si>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</si>
  <si>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</si>
  <si>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</si>
  <si>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</si>
  <si>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</si>
  <si>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</si>
  <si>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</si>
  <si>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</si>
  <si>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</si>
  <si>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</si>
  <si>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</si>
  <si>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</si>
  <si>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</si>
  <si>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</si>
  <si>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</si>
  <si>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</si>
  <si>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</si>
  <si>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</si>
  <si>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</si>
  <si>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</si>
  <si>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</si>
  <si>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</si>
  <si>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</si>
  <si>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</si>
  <si>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</si>
  <si>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</si>
  <si>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</si>
  <si>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</si>
  <si>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</si>
  <si>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</si>
  <si>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</si>
  <si>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</si>
  <si>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</si>
  <si>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</si>
  <si>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</si>
  <si>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</si>
  <si>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excl Ams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</si>
  <si>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</si>
  <si>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</si>
  <si>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</si>
  <si>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</si>
  <si>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</si>
  <si>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</si>
  <si>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</si>
  <si>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</si>
  <si>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</si>
  <si>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</si>
  <si>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</si>
  <si>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</si>
  <si>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</si>
  <si>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</si>
  <si>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</si>
  <si>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</si>
  <si>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</si>
  <si>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</si>
  <si>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</si>
  <si>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</si>
  <si>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</si>
  <si>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</si>
  <si>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</si>
  <si>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</si>
  <si>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</si>
  <si>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</si>
  <si>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</si>
  <si>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</si>
  <si>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</si>
  <si>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</si>
  <si>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</si>
  <si>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</si>
  <si>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</si>
  <si>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</si>
  <si>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</si>
  <si>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</si>
  <si>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</si>
  <si>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</si>
  <si>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</si>
  <si>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</si>
  <si>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</si>
  <si>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</si>
  <si>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</si>
  <si>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</si>
  <si>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</si>
  <si>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</si>
  <si>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</si>
  <si>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</si>
  <si>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</si>
  <si>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</si>
  <si>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</si>
  <si>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</si>
  <si>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</si>
  <si>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</si>
  <si>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</si>
  <si>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</si>
  <si>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</si>
  <si>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</si>
  <si>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</si>
  <si>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</si>
  <si>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</si>
  <si>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</si>
  <si>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</si>
  <si>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</si>
  <si>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</si>
  <si>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</si>
  <si>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</si>
  <si>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</si>
  <si>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</si>
  <si>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</si>
  <si>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</si>
  <si>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</si>
  <si>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</si>
  <si>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</si>
  <si>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</si>
  <si>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</si>
  <si>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</si>
  <si>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</si>
  <si>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</si>
  <si>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</si>
  <si>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</si>
  <si>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</si>
  <si>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</si>
  <si>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</si>
  <si>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</si>
  <si>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</si>
  <si>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</si>
  <si>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</si>
  <si>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</si>
  <si>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</si>
  <si>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</si>
  <si>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</si>
  <si>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</si>
  <si>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</si>
  <si>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</si>
  <si>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</si>
  <si>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</si>
  <si>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</si>
  <si>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</si>
  <si>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</si>
  <si>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</si>
  <si>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</si>
  <si>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</si>
  <si>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</si>
  <si>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</si>
  <si>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</si>
  <si>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</si>
  <si>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</si>
  <si>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</si>
  <si>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</si>
  <si>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</si>
  <si>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</si>
  <si>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</si>
  <si>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</si>
  <si>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</si>
  <si>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</si>
  <si>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</si>
  <si>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</si>
  <si>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</si>
  <si>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</si>
  <si>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</si>
  <si>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</si>
  <si>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</si>
  <si>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</si>
  <si>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</si>
  <si>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</si>
  <si>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</si>
  <si>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</si>
  <si>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</si>
  <si>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</si>
  <si>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</si>
  <si>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</si>
  <si>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</si>
  <si>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</si>
  <si>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</si>
  <si>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</si>
  <si>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</si>
  <si>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</si>
  <si>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</si>
  <si>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</si>
  <si>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</si>
  <si>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</si>
  <si>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</si>
  <si>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</si>
  <si>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</si>
  <si>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</si>
  <si>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</si>
  <si>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</si>
  <si>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</si>
  <si>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</si>
  <si>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</si>
  <si>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</si>
  <si>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</si>
  <si>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</si>
  <si>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</si>
  <si>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</si>
  <si>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</si>
  <si>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</si>
  <si>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</si>
  <si>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</si>
  <si>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</si>
  <si>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</si>
  <si>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</si>
  <si>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</si>
  <si>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</si>
  <si>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</si>
  <si>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</si>
  <si>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</si>
  <si>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</si>
  <si>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</si>
  <si>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</si>
  <si>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</si>
  <si>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</si>
  <si>
    <t>Het opnemen van station Zaandam als reguliere stop van de Intercity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</si>
</sst>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0.0000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1" fillId="4" borderId="4" applyNumberFormat="0" applyAlignment="0" applyProtection="0"/>
  </cellStyleXfs>
  <cellXfs count="8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10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11" fillId="4" borderId="4" xfId="3"/>
    <xf numFmtId="1" fontId="11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1" fontId="5" fillId="2" borderId="0" xfId="0" applyNumberFormat="1" applyFont="1" applyFill="1"/>
    <xf numFmtId="0" fontId="12" fillId="0" borderId="0" xfId="0" applyFont="1" applyFill="1" applyAlignment="1">
      <alignment horizontal="left" vertical="top"/>
    </xf>
    <xf numFmtId="0" fontId="5" fillId="0" borderId="0" xfId="2" applyFont="1"/>
    <xf numFmtId="166" fontId="5" fillId="2" borderId="0" xfId="0" applyNumberFormat="1" applyFont="1" applyFill="1"/>
    <xf numFmtId="1" fontId="5" fillId="0" borderId="0" xfId="0" applyNumberFormat="1" applyFont="1" applyFill="1"/>
    <xf numFmtId="1" fontId="12" fillId="4" borderId="4" xfId="3" applyNumberFormat="1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5" borderId="0" xfId="0" applyFill="1"/>
    <xf numFmtId="0" fontId="5" fillId="5" borderId="0" xfId="0" applyFont="1" applyFill="1"/>
    <xf numFmtId="49" fontId="0" fillId="5" borderId="0" xfId="0" applyNumberFormat="1" applyFill="1"/>
    <xf numFmtId="0" fontId="0" fillId="5" borderId="0" xfId="0" applyFont="1" applyFill="1"/>
    <xf numFmtId="2" fontId="0" fillId="5" borderId="0" xfId="0" applyNumberFormat="1" applyFill="1" applyAlignment="1">
      <alignment horizontal="right"/>
    </xf>
    <xf numFmtId="2" fontId="5" fillId="5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I23"/>
  <sheetViews>
    <sheetView workbookViewId="0">
      <selection activeCell="E8" sqref="E8"/>
    </sheetView>
  </sheetViews>
  <sheetFormatPr defaultRowHeight="15" x14ac:dyDescent="0.25"/>
  <cols>
    <col min="1" max="1" width="15.85546875" bestFit="1" customWidth="1"/>
    <col min="2" max="2" width="21" bestFit="1" customWidth="1"/>
  </cols>
  <sheetData>
    <row r="1" spans="1:9" x14ac:dyDescent="0.25">
      <c r="B1" t="s">
        <v>261</v>
      </c>
      <c r="E1" t="s">
        <v>253</v>
      </c>
    </row>
    <row r="2" spans="1:9" x14ac:dyDescent="0.25">
      <c r="B2" t="s">
        <v>188</v>
      </c>
      <c r="C2" t="s">
        <v>243</v>
      </c>
      <c r="D2" s="3" t="s">
        <v>270</v>
      </c>
      <c r="E2" t="s">
        <v>271</v>
      </c>
      <c r="F2" t="s">
        <v>272</v>
      </c>
      <c r="G2" s="3" t="s">
        <v>273</v>
      </c>
      <c r="H2" s="3" t="s">
        <v>274</v>
      </c>
      <c r="I2" s="3"/>
    </row>
    <row r="3" spans="1:9" x14ac:dyDescent="0.25">
      <c r="A3" t="s">
        <v>244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5">
      <c r="A4" t="s">
        <v>248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5">
      <c r="B5" s="46" t="s">
        <v>251</v>
      </c>
      <c r="D5" s="3"/>
      <c r="E5" s="47">
        <f>145.9/136</f>
        <v>1.0727941176470588</v>
      </c>
      <c r="F5" s="6"/>
      <c r="G5" s="3"/>
      <c r="H5" s="3"/>
    </row>
    <row r="6" spans="1:9" x14ac:dyDescent="0.25">
      <c r="F6" s="6"/>
      <c r="G6" s="3"/>
      <c r="H6" s="3"/>
    </row>
    <row r="7" spans="1:9" x14ac:dyDescent="0.25">
      <c r="B7" t="s">
        <v>249</v>
      </c>
      <c r="C7" t="s">
        <v>254</v>
      </c>
      <c r="D7" t="s">
        <v>255</v>
      </c>
      <c r="E7" s="6" t="s">
        <v>275</v>
      </c>
      <c r="F7" s="3" t="s">
        <v>256</v>
      </c>
      <c r="G7" t="s">
        <v>276</v>
      </c>
      <c r="H7" t="s">
        <v>277</v>
      </c>
      <c r="I7" t="s">
        <v>278</v>
      </c>
    </row>
    <row r="8" spans="1:9" x14ac:dyDescent="0.25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5">
      <c r="A9" t="s">
        <v>3</v>
      </c>
      <c r="B9">
        <v>234005</v>
      </c>
      <c r="C9" s="45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5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5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5">
      <c r="A12" t="s">
        <v>250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5">
      <c r="B13" s="46" t="s">
        <v>252</v>
      </c>
      <c r="G13" s="3"/>
      <c r="H13" s="3"/>
      <c r="I13" s="3"/>
    </row>
    <row r="14" spans="1:9" x14ac:dyDescent="0.25">
      <c r="G14" s="3"/>
      <c r="H14" s="3"/>
      <c r="I14" s="3"/>
    </row>
    <row r="15" spans="1:9" x14ac:dyDescent="0.25">
      <c r="B15" t="s">
        <v>268</v>
      </c>
      <c r="C15" t="s">
        <v>267</v>
      </c>
      <c r="G15" s="3"/>
      <c r="H15" s="3"/>
      <c r="I15" s="3"/>
    </row>
    <row r="16" spans="1:9" x14ac:dyDescent="0.25">
      <c r="A16" t="s">
        <v>245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5">
      <c r="A17" t="s">
        <v>246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5">
      <c r="B18">
        <v>98.7</v>
      </c>
      <c r="C18">
        <v>103.9</v>
      </c>
      <c r="G18" s="3"/>
      <c r="H18" s="3"/>
      <c r="I18" s="3"/>
    </row>
    <row r="21" spans="1:9" x14ac:dyDescent="0.25">
      <c r="B21" t="s">
        <v>383</v>
      </c>
    </row>
    <row r="22" spans="1:9" x14ac:dyDescent="0.25">
      <c r="A22" t="s">
        <v>248</v>
      </c>
      <c r="B22">
        <v>20000</v>
      </c>
    </row>
    <row r="23" spans="1:9" x14ac:dyDescent="0.25">
      <c r="A23" t="s">
        <v>244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E12"/>
  <sheetViews>
    <sheetView workbookViewId="0">
      <selection activeCell="E8" sqref="E8"/>
    </sheetView>
  </sheetViews>
  <sheetFormatPr defaultRowHeight="15" x14ac:dyDescent="0.25"/>
  <cols>
    <col min="1" max="1" width="23.28515625" bestFit="1" customWidth="1"/>
    <col min="2" max="2" width="13.140625" bestFit="1" customWidth="1"/>
    <col min="3" max="4" width="13.140625" customWidth="1"/>
    <col min="5" max="5" width="14.7109375" style="3" bestFit="1" customWidth="1"/>
    <col min="6" max="6" width="12.140625" bestFit="1" customWidth="1"/>
    <col min="7" max="8" width="10.5703125" bestFit="1" customWidth="1"/>
    <col min="9" max="9" width="11.85546875" bestFit="1" customWidth="1"/>
    <col min="10" max="10" width="12" customWidth="1"/>
    <col min="13" max="13" width="12.7109375" customWidth="1"/>
    <col min="16" max="16" width="18.42578125" customWidth="1"/>
  </cols>
  <sheetData>
    <row r="1" spans="1:5" x14ac:dyDescent="0.25">
      <c r="A1" s="1" t="s">
        <v>42</v>
      </c>
      <c r="B1" s="1" t="s">
        <v>239</v>
      </c>
      <c r="C1" s="1" t="s">
        <v>240</v>
      </c>
      <c r="D1" s="1" t="s">
        <v>241</v>
      </c>
      <c r="E1" s="26" t="s">
        <v>179</v>
      </c>
    </row>
    <row r="2" spans="1:5" x14ac:dyDescent="0.25">
      <c r="A2" s="2" t="s">
        <v>26</v>
      </c>
      <c r="B2" s="2"/>
      <c r="C2" s="2"/>
      <c r="D2" s="2"/>
      <c r="E2" s="9">
        <f>'Reserve Revenue (NOT USED)'!B4-'BASIS - Housing demand'!I2</f>
        <v>-54673.812329213564</v>
      </c>
    </row>
    <row r="3" spans="1:5" x14ac:dyDescent="0.25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34">
        <f>SUM('INPUT - Housing per plan '!N9:O10)-'BASIS - Housing demand'!I4</f>
        <v>-1116.4030183759933</v>
      </c>
    </row>
    <row r="4" spans="1:5" x14ac:dyDescent="0.25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65">
        <f>SUM('INPUT - Housing per plan '!N3:O3)+SUM('INPUT - Housing per plan '!N19:O21)-'BASIS - Housing demand'!I3</f>
        <v>-2056.5318759557772</v>
      </c>
    </row>
    <row r="5" spans="1:5" x14ac:dyDescent="0.25">
      <c r="A5" t="s">
        <v>193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34">
        <f>SUM('INPUT - Housing per plan '!N4:O8)-'BASIS - Housing demand'!I5</f>
        <v>-3349.2090551279803</v>
      </c>
    </row>
    <row r="6" spans="1:5" x14ac:dyDescent="0.25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65">
        <f>SUM('INPUT - Housing per plan '!N11:O18)-'BASIS - Housing demand'!I6</f>
        <v>-7687.4177718167921</v>
      </c>
    </row>
    <row r="7" spans="1:5" x14ac:dyDescent="0.25">
      <c r="A7" s="2" t="s">
        <v>282</v>
      </c>
      <c r="C7" s="6"/>
      <c r="D7" s="6"/>
      <c r="E7" s="61">
        <f>SUM('INPUT - Housing per plan '!N3:O21)-'BASIS - Housing demand'!I7</f>
        <v>-69383.374050490107</v>
      </c>
    </row>
    <row r="8" spans="1:5" x14ac:dyDescent="0.25">
      <c r="A8" t="s">
        <v>281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65">
        <f>SUM('INPUT - Housing per plan '!N3:O21)-'BASIS - Housing demand'!I8</f>
        <v>-14209.561721276543</v>
      </c>
    </row>
    <row r="9" spans="1:5" x14ac:dyDescent="0.25">
      <c r="E9" s="15"/>
    </row>
    <row r="11" spans="1:5" x14ac:dyDescent="0.25">
      <c r="A11" t="s">
        <v>332</v>
      </c>
    </row>
    <row r="12" spans="1:5" x14ac:dyDescent="0.25">
      <c r="A12" t="s">
        <v>333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/>
  </sheetPr>
  <dimension ref="A1:E31"/>
  <sheetViews>
    <sheetView workbookViewId="0">
      <selection activeCell="B29" sqref="B29"/>
    </sheetView>
  </sheetViews>
  <sheetFormatPr defaultRowHeight="15" x14ac:dyDescent="0.25"/>
  <cols>
    <col min="1" max="1" width="12" bestFit="1" customWidth="1"/>
    <col min="2" max="2" width="16.140625" bestFit="1" customWidth="1"/>
    <col min="3" max="3" width="15.42578125" bestFit="1" customWidth="1"/>
    <col min="4" max="4" width="21.140625" bestFit="1" customWidth="1"/>
    <col min="5" max="5" width="14.5703125" bestFit="1" customWidth="1"/>
  </cols>
  <sheetData>
    <row r="1" spans="1:5" x14ac:dyDescent="0.25">
      <c r="A1" s="1" t="s">
        <v>187</v>
      </c>
      <c r="B1" s="1" t="s">
        <v>230</v>
      </c>
      <c r="C1" s="1" t="s">
        <v>178</v>
      </c>
      <c r="D1" s="1" t="s">
        <v>185</v>
      </c>
      <c r="E1" s="1" t="s">
        <v>186</v>
      </c>
    </row>
    <row r="2" spans="1:5" s="2" customFormat="1" x14ac:dyDescent="0.25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5">
      <c r="A3" t="s">
        <v>39</v>
      </c>
      <c r="B3" t="s">
        <v>43</v>
      </c>
      <c r="C3">
        <f>SUM('INPUT - Housing per plan '!T9:T10)</f>
        <v>0</v>
      </c>
      <c r="D3" s="6">
        <f>'Indicator 3 Finances'!B17</f>
        <v>0</v>
      </c>
      <c r="E3">
        <f t="shared" ref="E3:E6" si="0">C3-D3</f>
        <v>0</v>
      </c>
    </row>
    <row r="4" spans="1:5" x14ac:dyDescent="0.25">
      <c r="A4" t="s">
        <v>3</v>
      </c>
      <c r="B4" t="s">
        <v>43</v>
      </c>
      <c r="C4" s="58">
        <f>'INPUT - Housing per plan '!T3+SUM('INPUT - Housing per plan '!T19:T21)</f>
        <v>0</v>
      </c>
      <c r="D4" s="6">
        <f>'Indicator 3 Finances'!B18</f>
        <v>0</v>
      </c>
      <c r="E4">
        <f t="shared" si="0"/>
        <v>0</v>
      </c>
    </row>
    <row r="5" spans="1:5" x14ac:dyDescent="0.25">
      <c r="A5" t="s">
        <v>4</v>
      </c>
      <c r="B5" t="s">
        <v>43</v>
      </c>
      <c r="C5">
        <f>SUM('INPUT - Housing per plan '!T4:T8)</f>
        <v>0</v>
      </c>
      <c r="D5" s="6">
        <f>'Indicator 3 Finances'!B19</f>
        <v>0</v>
      </c>
      <c r="E5">
        <f t="shared" si="0"/>
        <v>0</v>
      </c>
    </row>
    <row r="6" spans="1:5" x14ac:dyDescent="0.25">
      <c r="A6" t="s">
        <v>1</v>
      </c>
      <c r="B6" t="s">
        <v>43</v>
      </c>
      <c r="C6" s="58">
        <f>SUM('INPUT - Housing per plan '!T11:T18)</f>
        <v>6707282.4044956733</v>
      </c>
      <c r="D6" s="6">
        <f>'Indicator 3 Finances'!B20</f>
        <v>0</v>
      </c>
      <c r="E6">
        <f t="shared" si="0"/>
        <v>6707282.4044956733</v>
      </c>
    </row>
    <row r="7" spans="1:5" x14ac:dyDescent="0.25">
      <c r="A7" t="s">
        <v>110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5">
      <c r="A8" t="s">
        <v>76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5">
      <c r="A15" s="1"/>
      <c r="B15" t="s">
        <v>236</v>
      </c>
    </row>
    <row r="16" spans="1:5" x14ac:dyDescent="0.25">
      <c r="A16" s="5" t="s">
        <v>26</v>
      </c>
      <c r="B16" s="7">
        <f>SUM('INPUT - Infra Projects'!S3:S38)</f>
        <v>0</v>
      </c>
    </row>
    <row r="17" spans="1:4" x14ac:dyDescent="0.25">
      <c r="A17" t="s">
        <v>3</v>
      </c>
      <c r="B17" s="7">
        <f>SUM('INPUT - Infra Projects'!T3:T38)</f>
        <v>0</v>
      </c>
    </row>
    <row r="18" spans="1:4" x14ac:dyDescent="0.25">
      <c r="A18" t="s">
        <v>39</v>
      </c>
      <c r="B18" s="7">
        <f>SUM('INPUT - Infra Projects'!U3:U38)</f>
        <v>0</v>
      </c>
    </row>
    <row r="19" spans="1:4" x14ac:dyDescent="0.25">
      <c r="A19" t="s">
        <v>193</v>
      </c>
      <c r="B19" s="7">
        <f>SUM('INPUT - Infra Projects'!V3:V38)</f>
        <v>0</v>
      </c>
    </row>
    <row r="20" spans="1:4" x14ac:dyDescent="0.25">
      <c r="A20" t="s">
        <v>1</v>
      </c>
      <c r="B20" s="7">
        <f>SUM('INPUT - Infra Projects'!W3:W38)</f>
        <v>0</v>
      </c>
    </row>
    <row r="21" spans="1:4" x14ac:dyDescent="0.25">
      <c r="A21" t="s">
        <v>110</v>
      </c>
      <c r="B21" s="7">
        <f>SUM('INPUT - Infra Projects'!X3:X38)</f>
        <v>0</v>
      </c>
    </row>
    <row r="22" spans="1:4" x14ac:dyDescent="0.25">
      <c r="A22" t="s">
        <v>76</v>
      </c>
      <c r="B22" s="7">
        <f>SUM('INPUT - Infra Projects'!Y3:Y38)</f>
        <v>0</v>
      </c>
    </row>
    <row r="24" spans="1:4" x14ac:dyDescent="0.25">
      <c r="B24" s="1" t="s">
        <v>334</v>
      </c>
      <c r="C24" s="1" t="s">
        <v>335</v>
      </c>
      <c r="D24" s="1" t="s">
        <v>186</v>
      </c>
    </row>
    <row r="25" spans="1:4" x14ac:dyDescent="0.25">
      <c r="A25" t="s">
        <v>321</v>
      </c>
      <c r="B25" s="58">
        <f>'INPUT - Housing per plan '!T11+'INPUT - Housing per plan '!T12+SUM('INPUT - Housing per plan '!T15:T18)</f>
        <v>6707282.4044956733</v>
      </c>
      <c r="C25">
        <f>SUMIFS('INPUT - Infra Projects'!I3:I38,'INPUT - Infra Projects'!S3:S38,"1",'INPUT - Infra Projects'!M3:M38,"p1")</f>
        <v>0</v>
      </c>
      <c r="D25">
        <f>B25-C25</f>
        <v>6707282.4044956733</v>
      </c>
    </row>
    <row r="26" spans="1:4" x14ac:dyDescent="0.25">
      <c r="A26" t="s">
        <v>322</v>
      </c>
      <c r="B26" s="58">
        <f>'INPUT - Housing per plan '!T13+'INPUT - Housing per plan '!T14</f>
        <v>0</v>
      </c>
      <c r="C26">
        <f>SUMIFS('INPUT - Infra Projects'!I3:I38,'INPUT - Infra Projects'!S3:S38,"1",'INPUT - Infra Projects'!M3:M38,"p2")</f>
        <v>0</v>
      </c>
      <c r="D26">
        <f t="shared" ref="D26:D31" si="1">B26-C26</f>
        <v>0</v>
      </c>
    </row>
    <row r="27" spans="1:4" x14ac:dyDescent="0.25">
      <c r="A27" t="s">
        <v>323</v>
      </c>
      <c r="B27">
        <f>'INPUT - Housing per plan '!T4+'INPUT - Housing per plan '!T5+'INPUT - Housing per plan '!T6+'INPUT - Housing per plan '!T7+'INPUT - Housing per plan '!T8</f>
        <v>0</v>
      </c>
      <c r="C27">
        <f>SUMIFS('INPUT - Infra Projects'!I3:I38,'INPUT - Infra Projects'!S3:S38,"1",'INPUT - Infra Projects'!M3:M38,"p3")</f>
        <v>0</v>
      </c>
      <c r="D27">
        <f t="shared" si="1"/>
        <v>0</v>
      </c>
    </row>
    <row r="28" spans="1:4" x14ac:dyDescent="0.25">
      <c r="A28" t="s">
        <v>324</v>
      </c>
      <c r="B28" s="58">
        <f>'INPUT - Housing per plan '!T3+SUM('INPUT - Housing per plan '!T19:T21)</f>
        <v>0</v>
      </c>
      <c r="C28">
        <f>SUMIFS('INPUT - Infra Projects'!I3:I38,'INPUT - Infra Projects'!S3:S38,"1",'INPUT - Infra Projects'!M3:M38,"p4")</f>
        <v>0</v>
      </c>
      <c r="D28">
        <f t="shared" si="1"/>
        <v>0</v>
      </c>
    </row>
    <row r="29" spans="1:4" x14ac:dyDescent="0.25">
      <c r="A29" t="s">
        <v>325</v>
      </c>
      <c r="B29" s="58">
        <f>'INPUT - Housing per plan '!T9+'INPUT - Housing per plan '!T10</f>
        <v>0</v>
      </c>
      <c r="C29">
        <f>SUMIFS('INPUT - Infra Projects'!I3:I38,'INPUT - Infra Projects'!S3:S38,"1",'INPUT - Infra Projects'!M3:M38,"p5")</f>
        <v>0</v>
      </c>
      <c r="D29">
        <f t="shared" si="1"/>
        <v>0</v>
      </c>
    </row>
    <row r="30" spans="1:4" x14ac:dyDescent="0.25">
      <c r="A30" t="s">
        <v>326</v>
      </c>
      <c r="B30">
        <v>0</v>
      </c>
      <c r="C30">
        <f>SUMIFS('INPUT - Infra Projects'!I3:I38,'INPUT - Infra Projects'!S3:S38,"1",'INPUT - Infra Projects'!M3:M38,"p6")</f>
        <v>0</v>
      </c>
      <c r="D30">
        <f t="shared" si="1"/>
        <v>0</v>
      </c>
    </row>
    <row r="31" spans="1:4" x14ac:dyDescent="0.25">
      <c r="A31" t="s">
        <v>327</v>
      </c>
      <c r="B31">
        <v>0</v>
      </c>
      <c r="C31">
        <f>SUMIFS('INPUT - Infra Projects'!I3:I38,'INPUT - Infra Projects'!S3:S38,"1",'INPUT - Infra Projects'!M3:M38,"p7")</f>
        <v>0</v>
      </c>
      <c r="D3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J18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13.140625" bestFit="1" customWidth="1"/>
    <col min="3" max="3" width="11.7109375" bestFit="1" customWidth="1"/>
    <col min="4" max="4" width="12.85546875" bestFit="1" customWidth="1"/>
    <col min="5" max="5" width="16.7109375" bestFit="1" customWidth="1"/>
    <col min="6" max="6" width="11.7109375" bestFit="1" customWidth="1"/>
    <col min="7" max="7" width="12.85546875" bestFit="1" customWidth="1"/>
    <col min="8" max="8" width="18.140625" bestFit="1" customWidth="1"/>
    <col min="9" max="9" width="11.7109375" bestFit="1" customWidth="1"/>
    <col min="10" max="10" width="12.85546875" bestFit="1" customWidth="1"/>
  </cols>
  <sheetData>
    <row r="1" spans="1:10" x14ac:dyDescent="0.25">
      <c r="B1" s="1" t="s">
        <v>308</v>
      </c>
      <c r="E1" s="1" t="s">
        <v>313</v>
      </c>
      <c r="H1" s="1" t="s">
        <v>312</v>
      </c>
    </row>
    <row r="2" spans="1:10" x14ac:dyDescent="0.25">
      <c r="A2" s="1" t="s">
        <v>5</v>
      </c>
      <c r="B2" t="s">
        <v>309</v>
      </c>
      <c r="C2" t="s">
        <v>310</v>
      </c>
      <c r="D2" t="s">
        <v>311</v>
      </c>
      <c r="E2" t="s">
        <v>309</v>
      </c>
      <c r="F2" t="s">
        <v>310</v>
      </c>
      <c r="G2" t="s">
        <v>311</v>
      </c>
      <c r="H2" t="s">
        <v>309</v>
      </c>
      <c r="I2" t="s">
        <v>310</v>
      </c>
      <c r="J2" t="s">
        <v>311</v>
      </c>
    </row>
    <row r="3" spans="1:10" s="2" customFormat="1" x14ac:dyDescent="0.25">
      <c r="A3" s="2" t="s">
        <v>26</v>
      </c>
    </row>
    <row r="4" spans="1:10" x14ac:dyDescent="0.25">
      <c r="A4" t="s">
        <v>39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 t="s">
        <v>1</v>
      </c>
    </row>
    <row r="8" spans="1:10" x14ac:dyDescent="0.25">
      <c r="A8" t="s">
        <v>181</v>
      </c>
    </row>
    <row r="10" spans="1:10" x14ac:dyDescent="0.25">
      <c r="A10" s="1"/>
      <c r="B10" s="1" t="s">
        <v>340</v>
      </c>
      <c r="C10" s="1"/>
      <c r="D10" s="1" t="s">
        <v>341</v>
      </c>
      <c r="E10" s="1"/>
      <c r="F10" s="1" t="s">
        <v>343</v>
      </c>
      <c r="G10" s="1"/>
    </row>
    <row r="11" spans="1:10" x14ac:dyDescent="0.25">
      <c r="A11" t="s">
        <v>321</v>
      </c>
      <c r="B11" s="67">
        <f>(SUMIFS('INPUT - Housing per plan '!$L$3:$L$21,'INPUT - Housing per plan '!$E$3:$E$21,"p1",'BASIS - Accessiblity of plans'!$F$3:$F$21,"1"))/(SUMIFS('INPUT - Housing per plan '!$L$3:$L$21,'INPUT - Housing per plan '!$E$3:$E$21,"p1"))*100</f>
        <v>100</v>
      </c>
      <c r="D11" s="58">
        <f>(SUMIFS('INPUT - Housing per plan '!$L$3:$L$21,'INPUT - Housing per plan '!$E$3:$E$21,"p1",'INPUT - Housing per plan '!$F$3:$F$21,"1"))/(SUMIFS('INPUT - Housing per plan '!$L$3:$L$21,'INPUT - Housing per plan '!$E$3:$E$21,"p1"))*100</f>
        <v>100</v>
      </c>
      <c r="F11" s="58">
        <f>(SUMIFS('INPUT - Housing per plan '!$O$3:$O$21,'INPUT - Housing per plan '!$E$3:$E$21,"p1"))/(SUMIFS('INPUT - Housing per plan '!$L$3:$L$21,'INPUT - Housing per plan '!$E$3:$E$21,"p1"))*100</f>
        <v>0</v>
      </c>
    </row>
    <row r="12" spans="1:10" x14ac:dyDescent="0.25">
      <c r="A12" t="s">
        <v>322</v>
      </c>
      <c r="B12" s="67" t="e">
        <f>(SUMIFS('INPUT - Housing per plan '!$L$3:$L$21,'INPUT - Housing per plan '!$E$3:$E$21,"p2",'BASIS - Accessiblity of plans'!$F$3:$F$21,"1"))/(SUMIFS('INPUT - Housing per plan '!$L$3:$L$21,'INPUT - Housing per plan '!$E$3:$E$21,"p2"))*100</f>
        <v>#DIV/0!</v>
      </c>
      <c r="D12" s="58" t="e">
        <f>(SUMIFS('INPUT - Housing per plan '!$L$3:$L$21,'INPUT - Housing per plan '!$E$3:$E$21,"p2",'INPUT - Housing per plan '!$F$3:$F$21,"1"))/(SUMIFS('INPUT - Housing per plan '!$L$3:$L$21,'INPUT - Housing per plan '!$E$3:$E$21,"p2"))*100</f>
        <v>#DIV/0!</v>
      </c>
      <c r="F12" s="58" t="e">
        <f>(SUMIFS('INPUT - Housing per plan '!$O$3:$O$21,'INPUT - Housing per plan '!$E$3:$E$21,"p2"))/(SUMIFS('INPUT - Housing per plan '!$L$3:$L$21,'INPUT - Housing per plan '!$E$3:$E$21,"p2"))*100</f>
        <v>#DIV/0!</v>
      </c>
    </row>
    <row r="13" spans="1:10" x14ac:dyDescent="0.25">
      <c r="A13" t="s">
        <v>323</v>
      </c>
      <c r="B13" s="67" t="e">
        <f>(SUMIFS('INPUT - Housing per plan '!$L$3:$L$21,'INPUT - Housing per plan '!$E$3:$E$21,"p3",'BASIS - Accessiblity of plans'!$F$3:$F$21,"1"))/(SUMIFS('INPUT - Housing per plan '!$L$3:$L$21,'INPUT - Housing per plan '!$E$3:$E$21,"p3"))*100</f>
        <v>#DIV/0!</v>
      </c>
      <c r="D13" s="58" t="e">
        <f>(SUMIFS('INPUT - Housing per plan '!$L$3:$L$21,'INPUT - Housing per plan '!$E$3:$E$21,"p3",'INPUT - Housing per plan '!$F$3:$F$21,"1"))/(SUMIFS('INPUT - Housing per plan '!$L$3:$L$21,'INPUT - Housing per plan '!$E$3:$E$21,"p3"))*100</f>
        <v>#DIV/0!</v>
      </c>
      <c r="F13" s="58" t="e">
        <f>(SUMIFS('INPUT - Housing per plan '!$O$3:$O$21,'INPUT - Housing per plan '!$E$3:$E$21,"p3"))/(SUMIFS('INPUT - Housing per plan '!$L$3:$L$21,'INPUT - Housing per plan '!$E$3:$E$21,"p3"))*100</f>
        <v>#DIV/0!</v>
      </c>
    </row>
    <row r="14" spans="1:10" x14ac:dyDescent="0.25">
      <c r="A14" t="s">
        <v>324</v>
      </c>
      <c r="B14" s="67" t="e">
        <f>(SUMIFS('INPUT - Housing per plan '!$L$3:$L$21,'INPUT - Housing per plan '!$E$3:$E$21,"p4",'BASIS - Accessiblity of plans'!$F$3:$F$21,"1"))/(SUMIFS('INPUT - Housing per plan '!$L$3:$L$21,'INPUT - Housing per plan '!$E$3:$E$21,"p4"))*100</f>
        <v>#DIV/0!</v>
      </c>
      <c r="D14" s="58" t="e">
        <f>(SUMIFS('INPUT - Housing per plan '!$L$3:$L$21,'INPUT - Housing per plan '!$E$3:$E$21,"p4",'INPUT - Housing per plan '!$F$3:$F$21,"1"))/(SUMIFS('INPUT - Housing per plan '!$L$3:$L$21,'INPUT - Housing per plan '!$E$3:$E$21,"p4"))*100</f>
        <v>#DIV/0!</v>
      </c>
      <c r="F14" s="58" t="e">
        <f>(SUMIFS('INPUT - Housing per plan '!$O$3:$O$21,'INPUT - Housing per plan '!$E$3:$E$21,"p4"))/(SUMIFS('INPUT - Housing per plan '!$L$3:$L$21,'INPUT - Housing per plan '!$E$3:$E$21,"p4"))*100</f>
        <v>#DIV/0!</v>
      </c>
    </row>
    <row r="15" spans="1:10" x14ac:dyDescent="0.25">
      <c r="A15" t="s">
        <v>325</v>
      </c>
      <c r="B15" s="67" t="e">
        <f>(SUMIFS('INPUT - Housing per plan '!$L$3:$L$21,'INPUT - Housing per plan '!$E$3:$E$21,"p5",'BASIS - Accessiblity of plans'!$F$3:$F$21,"1"))/(SUMIFS('INPUT - Housing per plan '!$L$3:$L$21,'INPUT - Housing per plan '!$E$3:$E$21,"p5"))*100</f>
        <v>#DIV/0!</v>
      </c>
      <c r="D15" s="58" t="e">
        <f>(SUMIFS('INPUT - Housing per plan '!$L$3:$L$21,'INPUT - Housing per plan '!$E$3:$E$21,"p5",'INPUT - Housing per plan '!$F$3:$F$21,"1"))/(SUMIFS('INPUT - Housing per plan '!$L$3:$L$21,'INPUT - Housing per plan '!$E$3:$E$21,"p5"))*100</f>
        <v>#DIV/0!</v>
      </c>
      <c r="F15" s="58" t="e">
        <f>(SUMIFS('INPUT - Housing per plan '!$O$3:$O$21,'INPUT - Housing per plan '!$E$3:$E$21,"p5"))/(SUMIFS('INPUT - Housing per plan '!$L$3:$L$21,'INPUT - Housing per plan '!$E$3:$E$21,"p5"))*100</f>
        <v>#DIV/0!</v>
      </c>
    </row>
    <row r="16" spans="1:10" x14ac:dyDescent="0.25">
      <c r="A16" t="s">
        <v>326</v>
      </c>
      <c r="B16" s="67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D16" s="58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F16" s="58" t="e">
        <f>(SUMIFS('INPUT - Housing per plan '!$O$3:$O$21,'INPUT - Housing per plan '!$E$3:$E$21,"p6"))/(SUMIFS('INPUT - Housing per plan '!$L$3:$L$21,'INPUT - Housing per plan '!$E$3:$E$21,"p6"))*100</f>
        <v>#DIV/0!</v>
      </c>
    </row>
    <row r="17" spans="1:6" x14ac:dyDescent="0.25">
      <c r="A17" t="s">
        <v>327</v>
      </c>
      <c r="B17" s="67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D17" s="58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F17" s="58" t="e">
        <f>(SUMIFS('INPUT - Housing per plan '!$O$3:$O$21,'INPUT - Housing per plan '!$E$3:$E$21,"p7"))/(SUMIFS('INPUT - Housing per plan '!$L$3:$L$21,'INPUT - Housing per plan '!$E$3:$E$21,"p7"))*100</f>
        <v>#DIV/0!</v>
      </c>
    </row>
    <row r="18" spans="1:6" x14ac:dyDescent="0.25">
      <c r="A18" t="s">
        <v>13</v>
      </c>
      <c r="B18" s="67">
        <f>(SUMIFS('INPUT - Housing per plan '!$L$3:$L$21,'BASIS - Accessiblity of plans'!$F$3:$F$21,"1"))/(SUM('INPUT - Housing per plan '!$L$3:$L$21))*100</f>
        <v>100</v>
      </c>
      <c r="D18" s="58">
        <f>(SUMIFS('INPUT - Housing per plan '!$L$3:$L$21,'INPUT - Housing per plan '!$F$3:$F$21,"1"))/(SUM('INPUT - Housing per plan '!$L$3:$L$21))*100</f>
        <v>100</v>
      </c>
      <c r="F18" s="58">
        <f>(SUM('INPUT - Housing per plan '!$O$3:$O$21))/(SUM('INPUT - Housing per plan '!$L$3:$L$21))*100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N14"/>
  <sheetViews>
    <sheetView workbookViewId="0">
      <selection activeCell="D34" sqref="D34"/>
    </sheetView>
  </sheetViews>
  <sheetFormatPr defaultRowHeight="15" x14ac:dyDescent="0.25"/>
  <cols>
    <col min="1" max="1" width="13.7109375" bestFit="1" customWidth="1"/>
    <col min="2" max="2" width="12.140625" style="3" bestFit="1" customWidth="1"/>
    <col min="3" max="3" width="12.140625" bestFit="1" customWidth="1"/>
    <col min="4" max="5" width="10.5703125" bestFit="1" customWidth="1"/>
    <col min="6" max="6" width="11.85546875" bestFit="1" customWidth="1"/>
    <col min="7" max="7" width="12" customWidth="1"/>
    <col min="10" max="10" width="12.7109375" customWidth="1"/>
    <col min="13" max="13" width="18.42578125" customWidth="1"/>
  </cols>
  <sheetData>
    <row r="1" spans="1:14" x14ac:dyDescent="0.25">
      <c r="A1" t="s">
        <v>42</v>
      </c>
      <c r="B1" s="2" t="s">
        <v>26</v>
      </c>
      <c r="C1" t="s">
        <v>39</v>
      </c>
      <c r="D1" t="s">
        <v>3</v>
      </c>
      <c r="E1" t="s">
        <v>193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5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5.75" thickBot="1" x14ac:dyDescent="0.3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5.75" thickBot="1" x14ac:dyDescent="0.3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5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5.75" thickBot="1" x14ac:dyDescent="0.3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5.75" thickBot="1" x14ac:dyDescent="0.3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5">
      <c r="A8" s="33" t="s">
        <v>179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5">
      <c r="B10" s="15"/>
    </row>
    <row r="11" spans="1:14" x14ac:dyDescent="0.25">
      <c r="B11" s="15"/>
    </row>
    <row r="12" spans="1:14" x14ac:dyDescent="0.25">
      <c r="B12" s="15"/>
    </row>
    <row r="13" spans="1:14" x14ac:dyDescent="0.25">
      <c r="B13" s="15"/>
    </row>
    <row r="14" spans="1:14" x14ac:dyDescent="0.25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Y36"/>
  <sheetViews>
    <sheetView workbookViewId="0">
      <selection activeCell="N1" sqref="N1:P1048576"/>
    </sheetView>
  </sheetViews>
  <sheetFormatPr defaultRowHeight="15" x14ac:dyDescent="0.25"/>
  <cols>
    <col min="1" max="1" width="15.85546875" bestFit="1" customWidth="1"/>
    <col min="2" max="2" width="19.140625" customWidth="1"/>
    <col min="3" max="3" width="17.85546875" bestFit="1" customWidth="1"/>
    <col min="4" max="4" width="19.7109375" customWidth="1"/>
    <col min="5" max="5" width="12" bestFit="1" customWidth="1"/>
    <col min="6" max="6" width="16.28515625" style="3" bestFit="1" customWidth="1"/>
    <col min="7" max="7" width="18" style="3" bestFit="1" customWidth="1"/>
    <col min="8" max="8" width="18.42578125" customWidth="1"/>
    <col min="9" max="9" width="16.28515625" customWidth="1"/>
    <col min="14" max="14" width="16.28515625" customWidth="1"/>
    <col min="15" max="15" width="16.28515625" style="3" customWidth="1"/>
    <col min="16" max="16" width="16.28515625" customWidth="1"/>
    <col min="17" max="17" width="16.140625" bestFit="1" customWidth="1"/>
    <col min="18" max="18" width="15.85546875" style="3" bestFit="1" customWidth="1"/>
    <col min="20" max="25" width="16.28515625" customWidth="1"/>
  </cols>
  <sheetData>
    <row r="1" spans="1:25" x14ac:dyDescent="0.25">
      <c r="B1" s="1"/>
      <c r="F1" s="3" t="s">
        <v>262</v>
      </c>
      <c r="J1" t="s">
        <v>8</v>
      </c>
      <c r="K1" t="s">
        <v>9</v>
      </c>
      <c r="L1" t="s">
        <v>10</v>
      </c>
      <c r="M1" t="s">
        <v>15</v>
      </c>
      <c r="N1" s="49" t="s">
        <v>232</v>
      </c>
      <c r="O1" s="49"/>
      <c r="Q1" t="s">
        <v>243</v>
      </c>
      <c r="T1" t="s">
        <v>37</v>
      </c>
      <c r="W1" t="s">
        <v>35</v>
      </c>
    </row>
    <row r="2" spans="1:25" x14ac:dyDescent="0.25">
      <c r="A2" t="s">
        <v>166</v>
      </c>
      <c r="B2" t="s">
        <v>0</v>
      </c>
      <c r="C2" t="s">
        <v>5</v>
      </c>
      <c r="D2" t="s">
        <v>175</v>
      </c>
      <c r="E2" t="s">
        <v>244</v>
      </c>
      <c r="F2" s="2" t="s">
        <v>263</v>
      </c>
      <c r="G2" s="2" t="s">
        <v>257</v>
      </c>
      <c r="H2" t="s">
        <v>237</v>
      </c>
      <c r="I2" t="s">
        <v>238</v>
      </c>
      <c r="J2" t="s">
        <v>13</v>
      </c>
      <c r="K2" t="s">
        <v>13</v>
      </c>
      <c r="L2" t="s">
        <v>13</v>
      </c>
      <c r="M2" t="s">
        <v>16</v>
      </c>
      <c r="N2" s="49" t="s">
        <v>269</v>
      </c>
      <c r="O2" s="49" t="s">
        <v>245</v>
      </c>
      <c r="P2" t="s">
        <v>247</v>
      </c>
      <c r="Q2" t="s">
        <v>269</v>
      </c>
      <c r="R2" s="3" t="s">
        <v>245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5">
      <c r="A3" t="s">
        <v>195</v>
      </c>
      <c r="B3" t="s">
        <v>18</v>
      </c>
      <c r="C3" t="s">
        <v>3</v>
      </c>
      <c r="D3" t="s">
        <v>225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0">
        <v>0</v>
      </c>
      <c r="O3" s="50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5">
      <c r="A4" t="s">
        <v>199</v>
      </c>
      <c r="B4" t="s">
        <v>21</v>
      </c>
      <c r="C4" t="s">
        <v>4</v>
      </c>
      <c r="D4" t="s">
        <v>198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0">
        <v>0</v>
      </c>
      <c r="O4" s="50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5">
      <c r="A5" s="3" t="s">
        <v>200</v>
      </c>
      <c r="B5" s="3" t="s">
        <v>22</v>
      </c>
      <c r="C5" s="3" t="s">
        <v>4</v>
      </c>
      <c r="D5" s="3" t="s">
        <v>198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0">
        <v>0</v>
      </c>
      <c r="O5" s="50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5">
      <c r="A6" t="s">
        <v>201</v>
      </c>
      <c r="B6" t="s">
        <v>23</v>
      </c>
      <c r="C6" t="s">
        <v>4</v>
      </c>
      <c r="D6" t="s">
        <v>198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0">
        <v>0</v>
      </c>
      <c r="O6" s="50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5">
      <c r="A7" t="s">
        <v>202</v>
      </c>
      <c r="B7" t="s">
        <v>24</v>
      </c>
      <c r="C7" t="s">
        <v>4</v>
      </c>
      <c r="D7" t="s">
        <v>198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0">
        <v>0</v>
      </c>
      <c r="O7" s="50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5">
      <c r="A8" t="s">
        <v>203</v>
      </c>
      <c r="B8" t="s">
        <v>25</v>
      </c>
      <c r="C8" t="s">
        <v>4</v>
      </c>
      <c r="D8" t="s">
        <v>198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0">
        <v>0</v>
      </c>
      <c r="O8" s="50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5">
      <c r="A9" t="s">
        <v>204</v>
      </c>
      <c r="B9" t="s">
        <v>11</v>
      </c>
      <c r="C9" t="s">
        <v>39</v>
      </c>
      <c r="D9" t="s">
        <v>226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0">
        <v>0</v>
      </c>
      <c r="O9" s="50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5">
      <c r="A10" t="s">
        <v>205</v>
      </c>
      <c r="B10" s="3" t="s">
        <v>14</v>
      </c>
      <c r="C10" s="3" t="s">
        <v>39</v>
      </c>
      <c r="D10" s="3" t="s">
        <v>226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0">
        <v>0</v>
      </c>
      <c r="O10" s="50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5">
      <c r="A11" t="s">
        <v>206</v>
      </c>
      <c r="B11" t="s">
        <v>17</v>
      </c>
      <c r="C11" t="s">
        <v>39</v>
      </c>
      <c r="D11" s="3" t="s">
        <v>226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0">
        <v>0</v>
      </c>
      <c r="O11" s="50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5">
      <c r="A12" t="s">
        <v>207</v>
      </c>
      <c r="B12" t="s">
        <v>27</v>
      </c>
      <c r="C12" t="s">
        <v>1</v>
      </c>
      <c r="D12" s="3" t="s">
        <v>196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0">
        <v>0</v>
      </c>
      <c r="O12" s="50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5">
      <c r="A13" t="s">
        <v>208</v>
      </c>
      <c r="B13" t="s">
        <v>28</v>
      </c>
      <c r="C13" t="s">
        <v>1</v>
      </c>
      <c r="D13" s="3" t="s">
        <v>196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0">
        <v>0</v>
      </c>
      <c r="O13" s="50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5">
      <c r="A14" t="s">
        <v>209</v>
      </c>
      <c r="B14" t="s">
        <v>29</v>
      </c>
      <c r="C14" t="s">
        <v>1</v>
      </c>
      <c r="D14" s="3" t="s">
        <v>224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0">
        <v>0</v>
      </c>
      <c r="O14" s="50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5">
      <c r="A15" t="s">
        <v>210</v>
      </c>
      <c r="B15" t="s">
        <v>30</v>
      </c>
      <c r="C15" t="s">
        <v>1</v>
      </c>
      <c r="D15" s="3" t="s">
        <v>196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0">
        <v>0</v>
      </c>
      <c r="O15" s="50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5">
      <c r="A16" t="s">
        <v>211</v>
      </c>
      <c r="B16" t="s">
        <v>31</v>
      </c>
      <c r="C16" t="s">
        <v>1</v>
      </c>
      <c r="D16" s="3" t="s">
        <v>224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0">
        <v>0</v>
      </c>
      <c r="O16" s="50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5">
      <c r="A17" t="s">
        <v>212</v>
      </c>
      <c r="B17" t="s">
        <v>32</v>
      </c>
      <c r="C17" t="s">
        <v>1</v>
      </c>
      <c r="D17" s="3" t="s">
        <v>224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0">
        <v>0</v>
      </c>
      <c r="O17" s="50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5">
      <c r="B19" t="s">
        <v>261</v>
      </c>
      <c r="E19" t="s">
        <v>253</v>
      </c>
      <c r="F19"/>
      <c r="H19" s="3"/>
      <c r="O19"/>
      <c r="P19" s="3"/>
      <c r="R19"/>
      <c r="S19" s="3"/>
    </row>
    <row r="20" spans="1:25" x14ac:dyDescent="0.25">
      <c r="B20" t="s">
        <v>188</v>
      </c>
      <c r="C20" t="s">
        <v>243</v>
      </c>
      <c r="D20" s="3" t="s">
        <v>270</v>
      </c>
      <c r="E20" t="s">
        <v>271</v>
      </c>
      <c r="F20" t="s">
        <v>272</v>
      </c>
      <c r="G20" s="3" t="s">
        <v>273</v>
      </c>
      <c r="H20" s="3" t="s">
        <v>274</v>
      </c>
      <c r="O20"/>
      <c r="P20" s="3"/>
      <c r="R20"/>
      <c r="S20" s="3"/>
    </row>
    <row r="21" spans="1:25" x14ac:dyDescent="0.25">
      <c r="A21" t="s">
        <v>244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5">
      <c r="A22" t="s">
        <v>248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5">
      <c r="B23" s="46" t="s">
        <v>251</v>
      </c>
      <c r="D23" s="3"/>
      <c r="E23" s="47">
        <f>145.9/136</f>
        <v>1.0727941176470588</v>
      </c>
      <c r="F23" s="6"/>
      <c r="H23" s="3"/>
      <c r="O23"/>
      <c r="P23" s="3"/>
      <c r="R23"/>
    </row>
    <row r="24" spans="1:25" x14ac:dyDescent="0.25">
      <c r="F24" s="6"/>
      <c r="H24" s="3"/>
      <c r="O24"/>
      <c r="P24" s="3"/>
      <c r="R24"/>
    </row>
    <row r="25" spans="1:25" x14ac:dyDescent="0.25">
      <c r="B25" t="s">
        <v>249</v>
      </c>
      <c r="C25" t="s">
        <v>254</v>
      </c>
      <c r="D25" t="s">
        <v>255</v>
      </c>
      <c r="E25" s="6" t="s">
        <v>275</v>
      </c>
      <c r="F25" s="3" t="s">
        <v>256</v>
      </c>
      <c r="G25" t="s">
        <v>276</v>
      </c>
      <c r="H25" t="s">
        <v>277</v>
      </c>
      <c r="I25" t="s">
        <v>278</v>
      </c>
      <c r="N25" s="3"/>
      <c r="O25"/>
      <c r="Q25" s="3"/>
      <c r="R25"/>
    </row>
    <row r="26" spans="1:25" x14ac:dyDescent="0.25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5">
      <c r="A27" t="s">
        <v>3</v>
      </c>
      <c r="B27">
        <v>234005</v>
      </c>
      <c r="C27" s="45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5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5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5">
      <c r="A30" t="s">
        <v>250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5">
      <c r="B31" s="46" t="s">
        <v>252</v>
      </c>
    </row>
    <row r="33" spans="1:3" x14ac:dyDescent="0.25">
      <c r="B33" t="s">
        <v>268</v>
      </c>
      <c r="C33" t="s">
        <v>267</v>
      </c>
    </row>
    <row r="34" spans="1:3" x14ac:dyDescent="0.25">
      <c r="A34" t="s">
        <v>245</v>
      </c>
      <c r="B34">
        <v>86000</v>
      </c>
      <c r="C34" s="6">
        <f>B34*(C36/B36)</f>
        <v>90530.901722391092</v>
      </c>
    </row>
    <row r="35" spans="1:3" x14ac:dyDescent="0.25">
      <c r="A35" t="s">
        <v>246</v>
      </c>
      <c r="B35">
        <v>129000</v>
      </c>
      <c r="C35" s="6">
        <f>B35*(C36/B36)</f>
        <v>135796.35258358665</v>
      </c>
    </row>
    <row r="36" spans="1:3" x14ac:dyDescent="0.25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27"/>
  <sheetViews>
    <sheetView workbookViewId="0">
      <selection activeCell="A24" sqref="A24"/>
    </sheetView>
  </sheetViews>
  <sheetFormatPr defaultRowHeight="15" x14ac:dyDescent="0.25"/>
  <cols>
    <col min="1" max="1" width="9.140625" style="58"/>
    <col min="2" max="2" width="42.42578125" bestFit="1" customWidth="1"/>
    <col min="3" max="4" width="15.140625" customWidth="1"/>
  </cols>
  <sheetData>
    <row r="1" spans="1:11" x14ac:dyDescent="0.25">
      <c r="A1" s="58" t="s">
        <v>407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5">
      <c r="B2" t="s">
        <v>0</v>
      </c>
      <c r="C2" t="s">
        <v>5</v>
      </c>
      <c r="D2" s="57" t="s">
        <v>395</v>
      </c>
      <c r="E2" t="s">
        <v>175</v>
      </c>
      <c r="F2" t="s">
        <v>237</v>
      </c>
      <c r="G2" t="s">
        <v>238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5">
      <c r="A3" s="58" t="s">
        <v>195</v>
      </c>
      <c r="B3" t="s">
        <v>18</v>
      </c>
      <c r="C3" t="s">
        <v>3</v>
      </c>
      <c r="D3" s="59">
        <v>13</v>
      </c>
      <c r="E3" t="s">
        <v>225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5">
      <c r="A4" s="58" t="s">
        <v>199</v>
      </c>
      <c r="B4" t="s">
        <v>21</v>
      </c>
      <c r="C4" t="s">
        <v>4</v>
      </c>
      <c r="D4" s="59">
        <v>35</v>
      </c>
      <c r="E4" t="s">
        <v>198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5">
      <c r="A5" s="58" t="s">
        <v>200</v>
      </c>
      <c r="B5" s="3" t="s">
        <v>22</v>
      </c>
      <c r="C5" s="3" t="s">
        <v>4</v>
      </c>
      <c r="D5" s="68">
        <v>36</v>
      </c>
      <c r="E5" s="3" t="s">
        <v>198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5">
      <c r="A6" s="58" t="s">
        <v>201</v>
      </c>
      <c r="B6" t="s">
        <v>23</v>
      </c>
      <c r="C6" t="s">
        <v>4</v>
      </c>
      <c r="D6" s="59">
        <v>4</v>
      </c>
      <c r="E6" t="s">
        <v>198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5">
      <c r="A7" s="58" t="s">
        <v>202</v>
      </c>
      <c r="B7" t="s">
        <v>24</v>
      </c>
      <c r="C7" t="s">
        <v>4</v>
      </c>
      <c r="D7" s="59">
        <v>14</v>
      </c>
      <c r="E7" t="s">
        <v>198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5">
      <c r="A8" s="58" t="s">
        <v>203</v>
      </c>
      <c r="B8" t="s">
        <v>25</v>
      </c>
      <c r="C8" t="s">
        <v>4</v>
      </c>
      <c r="D8" s="59">
        <v>2</v>
      </c>
      <c r="E8" t="s">
        <v>198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5">
      <c r="A9" s="58" t="s">
        <v>204</v>
      </c>
      <c r="B9" t="s">
        <v>11</v>
      </c>
      <c r="C9" t="s">
        <v>39</v>
      </c>
      <c r="D9" s="59">
        <v>1001</v>
      </c>
      <c r="E9" t="s">
        <v>226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5">
      <c r="A10" s="58" t="s">
        <v>206</v>
      </c>
      <c r="B10" t="s">
        <v>17</v>
      </c>
      <c r="C10" t="s">
        <v>39</v>
      </c>
      <c r="D10" s="59">
        <v>12</v>
      </c>
      <c r="E10" s="3" t="s">
        <v>226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5">
      <c r="A11" s="58" t="s">
        <v>207</v>
      </c>
      <c r="B11" t="s">
        <v>27</v>
      </c>
      <c r="C11" t="s">
        <v>1</v>
      </c>
      <c r="D11" s="59">
        <v>1339</v>
      </c>
      <c r="E11" s="3" t="s">
        <v>196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5">
      <c r="A12" s="58" t="s">
        <v>208</v>
      </c>
      <c r="B12" t="s">
        <v>28</v>
      </c>
      <c r="C12" t="s">
        <v>1</v>
      </c>
      <c r="D12" s="59">
        <v>788</v>
      </c>
      <c r="E12" s="3" t="s">
        <v>196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5">
      <c r="A13" s="58" t="s">
        <v>209</v>
      </c>
      <c r="B13" t="s">
        <v>29</v>
      </c>
      <c r="C13" t="s">
        <v>1</v>
      </c>
      <c r="D13" s="59">
        <v>1337</v>
      </c>
      <c r="E13" s="3" t="s">
        <v>224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5">
      <c r="A14" s="58" t="s">
        <v>211</v>
      </c>
      <c r="B14" t="s">
        <v>31</v>
      </c>
      <c r="C14" t="s">
        <v>1</v>
      </c>
      <c r="D14" s="59">
        <v>1336</v>
      </c>
      <c r="E14" s="3" t="s">
        <v>224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5">
      <c r="A15" s="58" t="s">
        <v>408</v>
      </c>
      <c r="B15" s="58" t="s">
        <v>397</v>
      </c>
      <c r="C15" s="58" t="s">
        <v>1</v>
      </c>
      <c r="D15" s="59" t="s">
        <v>398</v>
      </c>
      <c r="E15" s="51" t="s">
        <v>196</v>
      </c>
      <c r="F15" s="58">
        <v>740</v>
      </c>
      <c r="G15" s="60">
        <f t="shared" si="0"/>
        <v>925</v>
      </c>
      <c r="H15" s="58"/>
      <c r="I15" s="58"/>
      <c r="J15" s="58"/>
      <c r="K15" s="58"/>
    </row>
    <row r="16" spans="1:11" x14ac:dyDescent="0.25">
      <c r="A16" s="58" t="s">
        <v>409</v>
      </c>
      <c r="B16" s="58" t="s">
        <v>400</v>
      </c>
      <c r="C16" s="58" t="s">
        <v>1</v>
      </c>
      <c r="D16" s="59" t="s">
        <v>399</v>
      </c>
      <c r="E16" s="51" t="s">
        <v>196</v>
      </c>
      <c r="F16" s="58">
        <v>741</v>
      </c>
      <c r="G16" s="60">
        <f t="shared" si="0"/>
        <v>926.25</v>
      </c>
      <c r="H16" s="58"/>
      <c r="I16" s="58"/>
      <c r="J16" s="58"/>
      <c r="K16" s="58"/>
    </row>
    <row r="17" spans="1:11" x14ac:dyDescent="0.25">
      <c r="A17" s="58" t="s">
        <v>410</v>
      </c>
      <c r="B17" s="58" t="s">
        <v>401</v>
      </c>
      <c r="C17" s="58" t="s">
        <v>1</v>
      </c>
      <c r="D17" s="59" t="s">
        <v>396</v>
      </c>
      <c r="E17" s="51" t="s">
        <v>196</v>
      </c>
      <c r="F17" s="58">
        <v>694</v>
      </c>
      <c r="G17" s="60">
        <f t="shared" si="0"/>
        <v>867.5</v>
      </c>
      <c r="H17" s="58"/>
      <c r="I17" s="58"/>
      <c r="J17" s="58"/>
      <c r="K17" s="58"/>
    </row>
    <row r="18" spans="1:11" x14ac:dyDescent="0.25">
      <c r="A18" s="58" t="s">
        <v>411</v>
      </c>
      <c r="B18" s="58" t="s">
        <v>394</v>
      </c>
      <c r="C18" s="58" t="s">
        <v>1</v>
      </c>
      <c r="D18" s="59">
        <v>1312</v>
      </c>
      <c r="E18" s="51" t="s">
        <v>196</v>
      </c>
      <c r="F18" s="58">
        <v>250</v>
      </c>
      <c r="G18" s="60">
        <f t="shared" si="0"/>
        <v>312.5</v>
      </c>
      <c r="H18" s="58"/>
      <c r="I18" s="58"/>
      <c r="J18" s="58"/>
      <c r="K18" s="58"/>
    </row>
    <row r="19" spans="1:11" x14ac:dyDescent="0.25">
      <c r="A19" s="58" t="s">
        <v>412</v>
      </c>
      <c r="B19" s="58" t="s">
        <v>403</v>
      </c>
      <c r="C19" s="58" t="s">
        <v>3</v>
      </c>
      <c r="D19" s="59">
        <v>3</v>
      </c>
      <c r="E19" s="58" t="s">
        <v>225</v>
      </c>
      <c r="F19" s="58">
        <v>800</v>
      </c>
      <c r="G19" s="60">
        <f t="shared" si="0"/>
        <v>1000</v>
      </c>
    </row>
    <row r="20" spans="1:11" x14ac:dyDescent="0.25">
      <c r="A20" s="58" t="s">
        <v>413</v>
      </c>
      <c r="B20" s="58" t="s">
        <v>404</v>
      </c>
      <c r="C20" s="58" t="s">
        <v>3</v>
      </c>
      <c r="D20" s="59">
        <v>5</v>
      </c>
      <c r="E20" s="58" t="s">
        <v>225</v>
      </c>
      <c r="F20" s="58">
        <v>200</v>
      </c>
      <c r="G20" s="60">
        <f t="shared" si="0"/>
        <v>250</v>
      </c>
    </row>
    <row r="21" spans="1:11" x14ac:dyDescent="0.25">
      <c r="A21" s="58" t="s">
        <v>414</v>
      </c>
      <c r="B21" s="58" t="s">
        <v>405</v>
      </c>
      <c r="C21" s="58" t="s">
        <v>3</v>
      </c>
      <c r="D21" s="59">
        <v>6</v>
      </c>
      <c r="E21" s="58" t="s">
        <v>225</v>
      </c>
      <c r="F21" s="58">
        <v>200</v>
      </c>
      <c r="G21" s="60">
        <f>F21*1.25</f>
        <v>250</v>
      </c>
    </row>
    <row r="22" spans="1:11" x14ac:dyDescent="0.25">
      <c r="G22" s="6"/>
    </row>
    <row r="23" spans="1:11" x14ac:dyDescent="0.25">
      <c r="G23" s="34"/>
    </row>
    <row r="24" spans="1:11" x14ac:dyDescent="0.25">
      <c r="B24" s="58" t="s">
        <v>424</v>
      </c>
      <c r="F24" s="3"/>
      <c r="G24" s="6"/>
    </row>
    <row r="25" spans="1:11" x14ac:dyDescent="0.25">
      <c r="G25" s="6"/>
    </row>
    <row r="26" spans="1:11" x14ac:dyDescent="0.25">
      <c r="G26" s="6"/>
    </row>
    <row r="27" spans="1:11" x14ac:dyDescent="0.25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24"/>
  <sheetViews>
    <sheetView workbookViewId="0">
      <selection activeCell="A32" sqref="A32"/>
    </sheetView>
  </sheetViews>
  <sheetFormatPr defaultRowHeight="15" x14ac:dyDescent="0.25"/>
  <cols>
    <col min="1" max="1" width="42.42578125" bestFit="1" customWidth="1"/>
    <col min="2" max="2" width="15.85546875" bestFit="1" customWidth="1"/>
    <col min="5" max="6" width="18.5703125" customWidth="1"/>
    <col min="10" max="10" width="21.42578125" customWidth="1"/>
    <col min="14" max="14" width="11.7109375" bestFit="1" customWidth="1"/>
    <col min="15" max="15" width="15.85546875" bestFit="1" customWidth="1"/>
  </cols>
  <sheetData>
    <row r="1" spans="1:17" x14ac:dyDescent="0.25">
      <c r="A1" s="1"/>
      <c r="E1" s="1" t="s">
        <v>293</v>
      </c>
      <c r="F1" s="1"/>
      <c r="H1" s="3"/>
      <c r="I1" s="3"/>
      <c r="J1" s="26" t="s">
        <v>287</v>
      </c>
      <c r="K1" s="3"/>
      <c r="L1" s="3"/>
      <c r="M1" s="3"/>
      <c r="N1" s="3"/>
      <c r="O1" s="3"/>
      <c r="P1" t="s">
        <v>258</v>
      </c>
    </row>
    <row r="2" spans="1:17" x14ac:dyDescent="0.25">
      <c r="A2" t="s">
        <v>0</v>
      </c>
      <c r="B2" t="s">
        <v>5</v>
      </c>
      <c r="C2" t="s">
        <v>175</v>
      </c>
      <c r="D2" t="s">
        <v>244</v>
      </c>
      <c r="E2" t="s">
        <v>292</v>
      </c>
      <c r="F2" t="s">
        <v>384</v>
      </c>
      <c r="G2" t="s">
        <v>283</v>
      </c>
      <c r="H2" t="s">
        <v>284</v>
      </c>
      <c r="I2" t="s">
        <v>258</v>
      </c>
      <c r="J2" s="3" t="s">
        <v>288</v>
      </c>
      <c r="K2" s="3" t="s">
        <v>283</v>
      </c>
      <c r="L2" s="3" t="s">
        <v>285</v>
      </c>
      <c r="M2" s="3" t="s">
        <v>258</v>
      </c>
      <c r="N2" s="3" t="s">
        <v>286</v>
      </c>
      <c r="O2" s="3" t="s">
        <v>258</v>
      </c>
      <c r="P2" s="3" t="s">
        <v>314</v>
      </c>
      <c r="Q2" s="3" t="s">
        <v>184</v>
      </c>
    </row>
    <row r="3" spans="1:17" x14ac:dyDescent="0.25">
      <c r="A3" t="s">
        <v>18</v>
      </c>
      <c r="B3" t="s">
        <v>3</v>
      </c>
      <c r="C3" t="s">
        <v>225</v>
      </c>
      <c r="D3">
        <v>1</v>
      </c>
      <c r="E3" t="s">
        <v>298</v>
      </c>
      <c r="F3">
        <v>1</v>
      </c>
      <c r="G3">
        <v>1000</v>
      </c>
      <c r="H3">
        <v>1</v>
      </c>
      <c r="I3">
        <f>1/H3</f>
        <v>1</v>
      </c>
      <c r="J3" s="3" t="s">
        <v>289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5">
      <c r="A4" t="s">
        <v>21</v>
      </c>
      <c r="B4" t="s">
        <v>4</v>
      </c>
      <c r="C4" t="s">
        <v>198</v>
      </c>
      <c r="D4">
        <v>0</v>
      </c>
      <c r="E4" t="s">
        <v>297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5">
      <c r="A5" s="3" t="s">
        <v>22</v>
      </c>
      <c r="B5" s="3" t="s">
        <v>4</v>
      </c>
      <c r="C5" s="3" t="s">
        <v>198</v>
      </c>
      <c r="D5" s="3">
        <v>0</v>
      </c>
      <c r="E5" t="s">
        <v>295</v>
      </c>
      <c r="F5">
        <v>1</v>
      </c>
      <c r="G5">
        <v>500</v>
      </c>
      <c r="H5">
        <v>1</v>
      </c>
      <c r="I5">
        <f t="shared" si="0"/>
        <v>1</v>
      </c>
      <c r="J5" s="3" t="s">
        <v>290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5">
      <c r="A6" t="s">
        <v>23</v>
      </c>
      <c r="B6" t="s">
        <v>4</v>
      </c>
      <c r="C6" t="s">
        <v>198</v>
      </c>
      <c r="D6">
        <v>0</v>
      </c>
      <c r="E6" t="s">
        <v>296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291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5">
      <c r="A7" t="s">
        <v>24</v>
      </c>
      <c r="B7" t="s">
        <v>4</v>
      </c>
      <c r="C7" t="s">
        <v>198</v>
      </c>
      <c r="D7">
        <v>1</v>
      </c>
      <c r="E7" t="s">
        <v>294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291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5">
      <c r="A8" t="s">
        <v>25</v>
      </c>
      <c r="B8" t="s">
        <v>4</v>
      </c>
      <c r="C8" t="s">
        <v>198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5">
      <c r="A9" t="s">
        <v>11</v>
      </c>
      <c r="B9" t="s">
        <v>39</v>
      </c>
      <c r="C9" t="s">
        <v>226</v>
      </c>
      <c r="D9">
        <v>0</v>
      </c>
      <c r="E9" t="s">
        <v>299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5">
      <c r="A10" t="s">
        <v>17</v>
      </c>
      <c r="B10" t="s">
        <v>39</v>
      </c>
      <c r="C10" s="3" t="s">
        <v>226</v>
      </c>
      <c r="D10" s="3">
        <v>1</v>
      </c>
      <c r="E10" s="3" t="s">
        <v>300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5">
      <c r="A11" t="s">
        <v>27</v>
      </c>
      <c r="B11" t="s">
        <v>1</v>
      </c>
      <c r="C11" s="3" t="s">
        <v>196</v>
      </c>
      <c r="D11" s="3">
        <v>1</v>
      </c>
      <c r="E11" s="3" t="s">
        <v>301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194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5">
      <c r="A12" t="s">
        <v>28</v>
      </c>
      <c r="B12" t="s">
        <v>1</v>
      </c>
      <c r="C12" s="3" t="s">
        <v>196</v>
      </c>
      <c r="D12" s="3">
        <v>1</v>
      </c>
      <c r="E12" s="3" t="s">
        <v>301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194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5">
      <c r="A13" t="s">
        <v>29</v>
      </c>
      <c r="B13" t="s">
        <v>1</v>
      </c>
      <c r="C13" s="3" t="s">
        <v>224</v>
      </c>
      <c r="D13" s="3">
        <v>1</v>
      </c>
      <c r="E13" s="3" t="s">
        <v>303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302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5">
      <c r="A14" t="s">
        <v>31</v>
      </c>
      <c r="B14" t="s">
        <v>1</v>
      </c>
      <c r="C14" s="3" t="s">
        <v>224</v>
      </c>
      <c r="D14" s="3">
        <v>1</v>
      </c>
      <c r="E14" s="3" t="s">
        <v>304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305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58" customFormat="1" x14ac:dyDescent="0.25">
      <c r="A15" s="58" t="s">
        <v>397</v>
      </c>
      <c r="B15" s="58" t="s">
        <v>1</v>
      </c>
      <c r="C15" s="51" t="s">
        <v>196</v>
      </c>
      <c r="D15" s="51">
        <v>1</v>
      </c>
      <c r="E15" s="51" t="s">
        <v>301</v>
      </c>
      <c r="F15" s="51">
        <v>1</v>
      </c>
      <c r="G15" s="58">
        <v>5500</v>
      </c>
      <c r="H15" s="58">
        <v>8</v>
      </c>
      <c r="I15" s="58">
        <f>1/H15</f>
        <v>0.125</v>
      </c>
      <c r="J15" s="58" t="s">
        <v>194</v>
      </c>
      <c r="K15" s="58">
        <v>600</v>
      </c>
      <c r="L15" s="58">
        <v>7</v>
      </c>
      <c r="M15" s="51">
        <f>1/L15</f>
        <v>0.14285714285714285</v>
      </c>
      <c r="N15" s="58">
        <v>3</v>
      </c>
      <c r="O15" s="51">
        <f>1/N15</f>
        <v>0.33333333333333331</v>
      </c>
      <c r="P15" s="58">
        <f>O15/2+M15/2</f>
        <v>0.23809523809523808</v>
      </c>
      <c r="Q15" s="58">
        <f>I15/2+M15/2+O15/2</f>
        <v>0.30059523809523808</v>
      </c>
    </row>
    <row r="16" spans="1:17" s="58" customFormat="1" x14ac:dyDescent="0.25">
      <c r="A16" s="58" t="s">
        <v>400</v>
      </c>
      <c r="B16" s="58" t="s">
        <v>1</v>
      </c>
      <c r="C16" s="51" t="s">
        <v>196</v>
      </c>
      <c r="D16" s="51">
        <v>1</v>
      </c>
      <c r="E16" s="51" t="s">
        <v>301</v>
      </c>
      <c r="F16" s="51">
        <v>1</v>
      </c>
      <c r="G16" s="58">
        <v>4300</v>
      </c>
      <c r="H16" s="58">
        <v>7</v>
      </c>
      <c r="I16" s="58">
        <f t="shared" si="0"/>
        <v>0.14285714285714285</v>
      </c>
      <c r="J16" s="58" t="s">
        <v>194</v>
      </c>
      <c r="K16" s="58">
        <v>400</v>
      </c>
      <c r="L16" s="58">
        <v>5</v>
      </c>
      <c r="M16" s="51">
        <f t="shared" si="1"/>
        <v>0.2</v>
      </c>
      <c r="N16" s="58">
        <v>2</v>
      </c>
      <c r="O16" s="51">
        <f t="shared" si="2"/>
        <v>0.5</v>
      </c>
      <c r="P16" s="58">
        <f t="shared" si="3"/>
        <v>0.35</v>
      </c>
      <c r="Q16" s="58">
        <f t="shared" si="4"/>
        <v>0.42142857142857143</v>
      </c>
    </row>
    <row r="17" spans="1:17" s="58" customFormat="1" x14ac:dyDescent="0.25">
      <c r="A17" s="58" t="s">
        <v>401</v>
      </c>
      <c r="B17" s="58" t="s">
        <v>1</v>
      </c>
      <c r="C17" s="51" t="s">
        <v>196</v>
      </c>
      <c r="D17" s="51">
        <v>1</v>
      </c>
      <c r="E17" s="51" t="s">
        <v>301</v>
      </c>
      <c r="F17" s="51">
        <v>1</v>
      </c>
      <c r="G17" s="58">
        <v>6000</v>
      </c>
      <c r="H17" s="58">
        <v>9</v>
      </c>
      <c r="I17" s="58">
        <f t="shared" si="0"/>
        <v>0.1111111111111111</v>
      </c>
      <c r="J17" s="58" t="s">
        <v>194</v>
      </c>
      <c r="K17" s="58">
        <v>900</v>
      </c>
      <c r="L17" s="58">
        <v>7</v>
      </c>
      <c r="M17" s="51">
        <f t="shared" si="1"/>
        <v>0.14285714285714285</v>
      </c>
      <c r="N17" s="58">
        <v>4</v>
      </c>
      <c r="O17" s="51">
        <f t="shared" si="2"/>
        <v>0.25</v>
      </c>
      <c r="P17" s="58">
        <f t="shared" si="3"/>
        <v>0.19642857142857142</v>
      </c>
      <c r="Q17" s="58">
        <f t="shared" si="4"/>
        <v>0.25198412698412698</v>
      </c>
    </row>
    <row r="18" spans="1:17" s="58" customFormat="1" x14ac:dyDescent="0.25">
      <c r="A18" s="58" t="s">
        <v>394</v>
      </c>
      <c r="B18" s="58" t="s">
        <v>1</v>
      </c>
      <c r="C18" s="51" t="s">
        <v>196</v>
      </c>
      <c r="D18" s="51">
        <v>1</v>
      </c>
      <c r="E18" s="51" t="s">
        <v>301</v>
      </c>
      <c r="F18" s="51">
        <v>1</v>
      </c>
      <c r="G18" s="58">
        <v>5200</v>
      </c>
      <c r="H18" s="58">
        <v>8</v>
      </c>
      <c r="I18" s="58">
        <f t="shared" si="0"/>
        <v>0.125</v>
      </c>
      <c r="J18" s="58" t="s">
        <v>194</v>
      </c>
      <c r="K18" s="58">
        <v>850</v>
      </c>
      <c r="L18" s="58">
        <v>11</v>
      </c>
      <c r="M18" s="51">
        <f t="shared" si="1"/>
        <v>9.0909090909090912E-2</v>
      </c>
      <c r="N18" s="58">
        <v>4</v>
      </c>
      <c r="O18" s="51">
        <f t="shared" si="2"/>
        <v>0.25</v>
      </c>
      <c r="P18" s="58">
        <f t="shared" si="3"/>
        <v>0.17045454545454547</v>
      </c>
      <c r="Q18" s="58">
        <f t="shared" si="4"/>
        <v>0.23295454545454547</v>
      </c>
    </row>
    <row r="19" spans="1:17" s="58" customFormat="1" x14ac:dyDescent="0.25">
      <c r="A19" s="58" t="s">
        <v>403</v>
      </c>
      <c r="B19" s="58" t="s">
        <v>3</v>
      </c>
      <c r="C19" s="58" t="s">
        <v>225</v>
      </c>
      <c r="D19" s="58">
        <v>1</v>
      </c>
      <c r="E19" s="58" t="s">
        <v>406</v>
      </c>
      <c r="F19" s="58">
        <v>1</v>
      </c>
      <c r="G19" s="58">
        <v>1700</v>
      </c>
      <c r="H19" s="58">
        <v>6</v>
      </c>
      <c r="I19" s="58">
        <f t="shared" si="0"/>
        <v>0.16666666666666666</v>
      </c>
      <c r="J19" s="58" t="s">
        <v>3</v>
      </c>
      <c r="K19" s="58">
        <v>450</v>
      </c>
      <c r="L19" s="58">
        <v>6</v>
      </c>
      <c r="M19" s="58">
        <f t="shared" si="1"/>
        <v>0.16666666666666666</v>
      </c>
      <c r="N19" s="58">
        <v>6</v>
      </c>
      <c r="O19" s="58">
        <f t="shared" si="2"/>
        <v>0.16666666666666666</v>
      </c>
      <c r="P19" s="58">
        <f t="shared" si="3"/>
        <v>0.16666666666666666</v>
      </c>
      <c r="Q19" s="58">
        <f t="shared" si="4"/>
        <v>0.25</v>
      </c>
    </row>
    <row r="20" spans="1:17" s="58" customFormat="1" x14ac:dyDescent="0.25">
      <c r="A20" s="58" t="s">
        <v>404</v>
      </c>
      <c r="B20" s="58" t="s">
        <v>3</v>
      </c>
      <c r="C20" s="58" t="s">
        <v>225</v>
      </c>
      <c r="D20" s="58">
        <v>1</v>
      </c>
      <c r="E20" s="58" t="s">
        <v>406</v>
      </c>
      <c r="F20" s="60">
        <v>1</v>
      </c>
      <c r="G20" s="58">
        <v>1600</v>
      </c>
      <c r="H20" s="58">
        <v>4</v>
      </c>
      <c r="I20" s="58">
        <f t="shared" si="0"/>
        <v>0.25</v>
      </c>
      <c r="J20" s="58" t="s">
        <v>3</v>
      </c>
      <c r="K20" s="58">
        <v>50</v>
      </c>
      <c r="L20" s="58">
        <v>1</v>
      </c>
      <c r="M20" s="58">
        <f t="shared" si="1"/>
        <v>1</v>
      </c>
      <c r="N20" s="58">
        <v>1</v>
      </c>
      <c r="O20" s="58">
        <f t="shared" si="2"/>
        <v>1</v>
      </c>
      <c r="P20" s="58">
        <f t="shared" si="3"/>
        <v>1</v>
      </c>
      <c r="Q20" s="58">
        <f t="shared" si="4"/>
        <v>1.125</v>
      </c>
    </row>
    <row r="21" spans="1:17" s="58" customFormat="1" x14ac:dyDescent="0.25">
      <c r="A21" s="58" t="s">
        <v>405</v>
      </c>
      <c r="B21" s="58" t="s">
        <v>3</v>
      </c>
      <c r="C21" s="58" t="s">
        <v>225</v>
      </c>
      <c r="D21" s="58">
        <v>1</v>
      </c>
      <c r="E21" s="58" t="s">
        <v>406</v>
      </c>
      <c r="F21" s="60">
        <v>1</v>
      </c>
      <c r="G21" s="58">
        <v>1600</v>
      </c>
      <c r="H21" s="58">
        <v>3</v>
      </c>
      <c r="I21" s="58">
        <f t="shared" si="0"/>
        <v>0.33333333333333331</v>
      </c>
      <c r="J21" s="58" t="s">
        <v>3</v>
      </c>
      <c r="K21" s="58">
        <v>100</v>
      </c>
      <c r="L21" s="58">
        <v>1</v>
      </c>
      <c r="M21" s="58">
        <f t="shared" si="1"/>
        <v>1</v>
      </c>
      <c r="N21" s="58">
        <v>1</v>
      </c>
      <c r="O21" s="58">
        <f t="shared" si="2"/>
        <v>1</v>
      </c>
      <c r="P21" s="58">
        <f t="shared" si="3"/>
        <v>1</v>
      </c>
      <c r="Q21" s="58">
        <f t="shared" si="4"/>
        <v>1.1666666666666665</v>
      </c>
    </row>
    <row r="22" spans="1:17" s="58" customFormat="1" x14ac:dyDescent="0.25"/>
    <row r="23" spans="1:17" s="58" customFormat="1" x14ac:dyDescent="0.25"/>
    <row r="24" spans="1:17" s="58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R26"/>
  <sheetViews>
    <sheetView topLeftCell="B1" workbookViewId="0">
      <selection activeCell="P8" sqref="P8"/>
    </sheetView>
  </sheetViews>
  <sheetFormatPr defaultRowHeight="15" x14ac:dyDescent="0.25"/>
  <cols>
    <col min="1" max="1" width="19.140625" customWidth="1"/>
    <col min="2" max="2" width="12" bestFit="1" customWidth="1"/>
    <col min="3" max="9" width="16.28515625" customWidth="1"/>
    <col min="16" max="16" width="16.140625" customWidth="1"/>
  </cols>
  <sheetData>
    <row r="1" spans="1:18" x14ac:dyDescent="0.25">
      <c r="A1" s="1" t="s">
        <v>264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77" t="s">
        <v>33</v>
      </c>
      <c r="Q1" s="78" t="s">
        <v>34</v>
      </c>
    </row>
    <row r="2" spans="1:18" ht="17.25" customHeight="1" x14ac:dyDescent="0.25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77"/>
      <c r="Q2" s="78"/>
    </row>
    <row r="3" spans="1:18" s="3" customFormat="1" x14ac:dyDescent="0.25">
      <c r="A3" s="79" t="s">
        <v>26</v>
      </c>
      <c r="B3" s="79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5">
      <c r="A4" s="76" t="s">
        <v>3</v>
      </c>
      <c r="B4" s="76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58">
        <f>'INPUT - Housing per plan '!I3+SUM('INPUT - Housing per plan '!I19:I21)</f>
        <v>2600</v>
      </c>
      <c r="Q4" s="58">
        <f>C4-P4</f>
        <v>1565</v>
      </c>
      <c r="R4" s="67">
        <f t="shared" ref="R4:R7" si="0">P4/(P4+Q4)</f>
        <v>0.62424969987995194</v>
      </c>
    </row>
    <row r="5" spans="1:18" x14ac:dyDescent="0.25">
      <c r="A5" s="76" t="s">
        <v>38</v>
      </c>
      <c r="B5" s="76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5">
      <c r="A6" s="76" t="s">
        <v>39</v>
      </c>
      <c r="B6" s="76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5">
      <c r="A7" s="76" t="s">
        <v>1</v>
      </c>
      <c r="B7" s="76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58">
        <f>SUM('INPUT - Housing per plan '!I11:I18)</f>
        <v>15925</v>
      </c>
      <c r="Q7" s="58">
        <f>C7-P7</f>
        <v>7803</v>
      </c>
      <c r="R7" s="67">
        <f t="shared" si="0"/>
        <v>0.67114801078894137</v>
      </c>
    </row>
    <row r="8" spans="1:18" x14ac:dyDescent="0.25">
      <c r="O8" t="s">
        <v>13</v>
      </c>
      <c r="P8" s="58">
        <f>SUM(P3:P7)</f>
        <v>23438</v>
      </c>
      <c r="Q8" s="58">
        <f>SUM(Q3:Q7)</f>
        <v>16451</v>
      </c>
      <c r="R8" s="67">
        <f>P8/(P8+Q8)</f>
        <v>0.58758053598736493</v>
      </c>
    </row>
    <row r="10" spans="1:18" x14ac:dyDescent="0.25">
      <c r="A10" s="1"/>
    </row>
    <row r="14" spans="1:18" s="3" customFormat="1" x14ac:dyDescent="0.25"/>
    <row r="19" spans="6:9" s="3" customFormat="1" x14ac:dyDescent="0.25"/>
    <row r="20" spans="6:9" x14ac:dyDescent="0.25">
      <c r="F20" s="3"/>
      <c r="I20" s="3"/>
    </row>
    <row r="21" spans="6:9" x14ac:dyDescent="0.25">
      <c r="F21" s="3"/>
      <c r="G21" s="3"/>
      <c r="I21" s="3"/>
    </row>
    <row r="22" spans="6:9" x14ac:dyDescent="0.25">
      <c r="F22" s="3"/>
      <c r="G22" s="3"/>
      <c r="H22" s="3"/>
      <c r="I22" s="3"/>
    </row>
    <row r="23" spans="6:9" x14ac:dyDescent="0.25">
      <c r="F23" s="3"/>
      <c r="G23" s="3"/>
      <c r="H23" s="3"/>
      <c r="I23" s="3"/>
    </row>
    <row r="24" spans="6:9" x14ac:dyDescent="0.25">
      <c r="F24" s="3"/>
      <c r="G24" s="3"/>
      <c r="H24" s="3"/>
      <c r="I24" s="3"/>
    </row>
    <row r="25" spans="6:9" x14ac:dyDescent="0.25">
      <c r="F25" s="3"/>
      <c r="G25" s="3"/>
      <c r="H25" s="3"/>
      <c r="I25" s="3"/>
    </row>
    <row r="26" spans="6:9" x14ac:dyDescent="0.25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I8"/>
  <sheetViews>
    <sheetView workbookViewId="0">
      <selection activeCell="I7" sqref="I7"/>
    </sheetView>
  </sheetViews>
  <sheetFormatPr defaultRowHeight="15" x14ac:dyDescent="0.25"/>
  <cols>
    <col min="1" max="1" width="33" bestFit="1" customWidth="1"/>
    <col min="9" max="9" width="9" bestFit="1" customWidth="1"/>
  </cols>
  <sheetData>
    <row r="1" spans="1:9" x14ac:dyDescent="0.25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242</v>
      </c>
    </row>
    <row r="2" spans="1:9" x14ac:dyDescent="0.25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5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5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5">
      <c r="A5" t="s">
        <v>193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5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5">
      <c r="A7" t="s">
        <v>279</v>
      </c>
      <c r="I7" s="6">
        <f>SUM(I2:I6)</f>
        <v>70215.874050490107</v>
      </c>
    </row>
    <row r="8" spans="1:9" x14ac:dyDescent="0.25">
      <c r="A8" t="s">
        <v>280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B41"/>
  <sheetViews>
    <sheetView workbookViewId="0">
      <pane xSplit="1" topLeftCell="E1" activePane="topRight" state="frozen"/>
      <selection pane="topRight" activeCell="K6" sqref="K6"/>
    </sheetView>
  </sheetViews>
  <sheetFormatPr defaultRowHeight="15" x14ac:dyDescent="0.25"/>
  <cols>
    <col min="1" max="1" width="15.85546875" bestFit="1" customWidth="1"/>
    <col min="2" max="3" width="39.140625" customWidth="1"/>
    <col min="4" max="4" width="17.85546875" bestFit="1" customWidth="1"/>
    <col min="5" max="5" width="13.42578125" customWidth="1"/>
    <col min="6" max="6" width="12" bestFit="1" customWidth="1"/>
    <col min="7" max="8" width="16.5703125" customWidth="1"/>
    <col min="9" max="14" width="16.28515625" style="3" customWidth="1"/>
    <col min="15" max="15" width="18" style="3" bestFit="1" customWidth="1"/>
    <col min="16" max="16" width="18.42578125" customWidth="1"/>
    <col min="17" max="17" width="18.42578125" style="51" customWidth="1"/>
    <col min="18" max="18" width="18.42578125" customWidth="1"/>
    <col min="19" max="19" width="16.28515625" customWidth="1"/>
    <col min="24" max="24" width="16.28515625" customWidth="1"/>
    <col min="25" max="25" width="16.28515625" style="3" customWidth="1"/>
    <col min="26" max="26" width="16.28515625" customWidth="1"/>
    <col min="27" max="27" width="16.140625" bestFit="1" customWidth="1"/>
    <col min="28" max="28" width="15.85546875" style="3" bestFit="1" customWidth="1"/>
    <col min="30" max="35" width="16.28515625" customWidth="1"/>
  </cols>
  <sheetData>
    <row r="1" spans="1:28" x14ac:dyDescent="0.25">
      <c r="B1" s="1"/>
      <c r="C1" s="1"/>
      <c r="G1" s="52" t="s">
        <v>316</v>
      </c>
      <c r="H1" s="52"/>
      <c r="J1"/>
      <c r="K1" s="49" t="s">
        <v>336</v>
      </c>
      <c r="M1" s="49" t="s">
        <v>337</v>
      </c>
      <c r="N1" t="s">
        <v>232</v>
      </c>
      <c r="O1"/>
      <c r="Q1" s="55" t="s">
        <v>317</v>
      </c>
      <c r="R1" t="s">
        <v>243</v>
      </c>
      <c r="S1" s="3"/>
      <c r="Y1"/>
      <c r="AB1"/>
    </row>
    <row r="2" spans="1:28" x14ac:dyDescent="0.25">
      <c r="A2" t="s">
        <v>166</v>
      </c>
      <c r="B2" t="s">
        <v>0</v>
      </c>
      <c r="C2" t="s">
        <v>381</v>
      </c>
      <c r="D2" t="s">
        <v>5</v>
      </c>
      <c r="E2" t="s">
        <v>175</v>
      </c>
      <c r="F2" t="s">
        <v>244</v>
      </c>
      <c r="G2" s="52" t="s">
        <v>315</v>
      </c>
      <c r="H2" s="53" t="s">
        <v>88</v>
      </c>
      <c r="I2" t="s">
        <v>237</v>
      </c>
      <c r="J2" t="s">
        <v>238</v>
      </c>
      <c r="K2" s="49" t="s">
        <v>392</v>
      </c>
      <c r="L2" s="49" t="s">
        <v>339</v>
      </c>
      <c r="M2" s="49" t="s">
        <v>338</v>
      </c>
      <c r="N2" t="s">
        <v>269</v>
      </c>
      <c r="O2" t="s">
        <v>245</v>
      </c>
      <c r="P2" t="s">
        <v>247</v>
      </c>
      <c r="Q2" s="55" t="s">
        <v>184</v>
      </c>
      <c r="R2" t="s">
        <v>269</v>
      </c>
      <c r="S2" s="3" t="s">
        <v>245</v>
      </c>
      <c r="T2" t="s">
        <v>13</v>
      </c>
      <c r="Y2"/>
      <c r="AB2"/>
    </row>
    <row r="3" spans="1:28" x14ac:dyDescent="0.25">
      <c r="A3" t="s">
        <v>195</v>
      </c>
      <c r="B3" t="s">
        <v>18</v>
      </c>
      <c r="C3" t="s">
        <v>18</v>
      </c>
      <c r="D3" t="s">
        <v>3</v>
      </c>
      <c r="E3" t="s">
        <v>225</v>
      </c>
      <c r="F3">
        <v>1</v>
      </c>
      <c r="G3" s="54">
        <f>'BASIS - Accessiblity of plans'!P3</f>
        <v>7.7294685990338161E-2</v>
      </c>
      <c r="H3" s="54">
        <f>'BASIS - Accessiblity of plans'!I3</f>
        <v>1</v>
      </c>
      <c r="I3">
        <v>1400</v>
      </c>
      <c r="J3" s="6">
        <f>I3*1.25</f>
        <v>1750</v>
      </c>
      <c r="K3" s="50"/>
      <c r="L3" s="50">
        <f>K3/100*J3</f>
        <v>0</v>
      </c>
      <c r="M3" s="50">
        <v>0</v>
      </c>
      <c r="N3">
        <f>L3*(100-M3)/100</f>
        <v>0</v>
      </c>
      <c r="O3">
        <f>L3*M3/100</f>
        <v>0</v>
      </c>
      <c r="P3" t="str">
        <f t="shared" ref="P3:P21" si="0">IF(N3+O3&lt;J3+1,"TRUE","FALSE")</f>
        <v>TRUE</v>
      </c>
      <c r="Q3" s="55">
        <f>SUM('INPUT - Infra Projects'!AP3:AP38)</f>
        <v>0</v>
      </c>
      <c r="R3">
        <f>IF(F3=1,N3*('BASIS - Financial data'!E9-'BASIS - Financial data'!D9)*(1+Q3),N3*('BASIS - Financial data'!G9-'BASIS - Financial data'!F9))*(1+Q3)</f>
        <v>0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0</v>
      </c>
      <c r="Y3"/>
      <c r="AB3"/>
    </row>
    <row r="4" spans="1:28" x14ac:dyDescent="0.25">
      <c r="A4" t="s">
        <v>199</v>
      </c>
      <c r="B4" t="s">
        <v>21</v>
      </c>
      <c r="C4" t="s">
        <v>21</v>
      </c>
      <c r="D4" t="s">
        <v>4</v>
      </c>
      <c r="E4" t="s">
        <v>198</v>
      </c>
      <c r="F4">
        <v>0</v>
      </c>
      <c r="G4" s="54">
        <f>'BASIS - Accessiblity of plans'!P4</f>
        <v>7.0454545454545464E-2</v>
      </c>
      <c r="H4" s="54">
        <f>'BASIS - Accessiblity of plans'!I4</f>
        <v>1</v>
      </c>
      <c r="I4">
        <v>1200</v>
      </c>
      <c r="J4" s="6">
        <f t="shared" ref="J4:J21" si="1">I4*1.25</f>
        <v>1500</v>
      </c>
      <c r="K4" s="50"/>
      <c r="L4" s="50">
        <f t="shared" ref="L4:L21" si="2">K4/100*J4</f>
        <v>0</v>
      </c>
      <c r="M4" s="50">
        <v>0</v>
      </c>
      <c r="N4">
        <f t="shared" ref="N4:N21" si="3">L4*(100-M4)/100</f>
        <v>0</v>
      </c>
      <c r="O4">
        <f t="shared" ref="O4:O21" si="4">L4*M4/100</f>
        <v>0</v>
      </c>
      <c r="P4" t="str">
        <f t="shared" si="0"/>
        <v>TRUE</v>
      </c>
      <c r="Q4" s="55">
        <f>SUM('INPUT - Infra Projects'!AQ3:AQ38)</f>
        <v>0</v>
      </c>
      <c r="R4">
        <f>IF(F4=1,N4*('BASIS - Financial data'!E10-'BASIS - Financial data'!D10)*(1+Q4),N4*('BASIS - Financial data'!G10-'BASIS - Financial data'!F10))*(1+Q4)</f>
        <v>0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0</v>
      </c>
      <c r="Y4"/>
      <c r="AB4"/>
    </row>
    <row r="5" spans="1:28" s="3" customFormat="1" x14ac:dyDescent="0.25">
      <c r="A5" s="3" t="s">
        <v>200</v>
      </c>
      <c r="B5" s="3" t="s">
        <v>22</v>
      </c>
      <c r="C5" s="3" t="s">
        <v>22</v>
      </c>
      <c r="D5" s="3" t="s">
        <v>4</v>
      </c>
      <c r="E5" s="3" t="s">
        <v>198</v>
      </c>
      <c r="F5" s="3">
        <v>0</v>
      </c>
      <c r="G5" s="54">
        <f>'BASIS - Accessiblity of plans'!P5</f>
        <v>9.6428571428571419E-2</v>
      </c>
      <c r="H5" s="54">
        <f>'BASIS - Accessiblity of plans'!I5</f>
        <v>1</v>
      </c>
      <c r="I5" s="3">
        <v>1200</v>
      </c>
      <c r="J5" s="34">
        <f>I5*1.25</f>
        <v>1500</v>
      </c>
      <c r="K5" s="50"/>
      <c r="L5" s="50">
        <f t="shared" si="2"/>
        <v>0</v>
      </c>
      <c r="M5" s="50">
        <v>0</v>
      </c>
      <c r="N5">
        <f t="shared" si="3"/>
        <v>0</v>
      </c>
      <c r="O5">
        <f t="shared" si="4"/>
        <v>0</v>
      </c>
      <c r="P5" t="str">
        <f t="shared" si="0"/>
        <v>TRUE</v>
      </c>
      <c r="Q5" s="55">
        <f>SUM('INPUT - Infra Projects'!AQ3:AQ38)</f>
        <v>0</v>
      </c>
      <c r="R5" s="3">
        <f>IF(F5=1,N5*('BASIS - Financial data'!E10-'BASIS - Financial data'!D10)*(1+Q5),N5*('BASIS - Financial data'!G10-'BASIS - Financial data'!F10))*(1+Q5)</f>
        <v>0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0</v>
      </c>
    </row>
    <row r="6" spans="1:28" x14ac:dyDescent="0.25">
      <c r="A6" t="s">
        <v>201</v>
      </c>
      <c r="B6" t="s">
        <v>23</v>
      </c>
      <c r="C6" t="s">
        <v>23</v>
      </c>
      <c r="D6" t="s">
        <v>4</v>
      </c>
      <c r="E6" t="s">
        <v>198</v>
      </c>
      <c r="F6">
        <v>0</v>
      </c>
      <c r="G6" s="54">
        <f>'BASIS - Accessiblity of plans'!P6</f>
        <v>0.10084033613445378</v>
      </c>
      <c r="H6" s="54">
        <f>'BASIS - Accessiblity of plans'!I6</f>
        <v>0.2</v>
      </c>
      <c r="I6">
        <v>690</v>
      </c>
      <c r="J6" s="6">
        <f t="shared" si="1"/>
        <v>862.5</v>
      </c>
      <c r="K6" s="50"/>
      <c r="L6" s="50">
        <f t="shared" si="2"/>
        <v>0</v>
      </c>
      <c r="M6" s="50">
        <v>0</v>
      </c>
      <c r="N6">
        <f t="shared" si="3"/>
        <v>0</v>
      </c>
      <c r="O6">
        <f t="shared" si="4"/>
        <v>0</v>
      </c>
      <c r="P6" t="str">
        <f t="shared" si="0"/>
        <v>TRUE</v>
      </c>
      <c r="Q6" s="55">
        <f>SUM('INPUT - Infra Projects'!AQ3:AQ38)</f>
        <v>0</v>
      </c>
      <c r="R6" s="3">
        <f>IF(F6=1,N6*('BASIS - Financial data'!E10-'BASIS - Financial data'!D10)*(1+Q6),N6*('BASIS - Financial data'!G10-'BASIS - Financial data'!F10))*(1+Q6)</f>
        <v>0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0</v>
      </c>
      <c r="Y6"/>
      <c r="AB6"/>
    </row>
    <row r="7" spans="1:28" x14ac:dyDescent="0.25">
      <c r="A7" t="s">
        <v>202</v>
      </c>
      <c r="B7" t="s">
        <v>24</v>
      </c>
      <c r="C7" t="s">
        <v>382</v>
      </c>
      <c r="D7" t="s">
        <v>4</v>
      </c>
      <c r="E7" t="s">
        <v>198</v>
      </c>
      <c r="F7">
        <v>1</v>
      </c>
      <c r="G7" s="54">
        <f>'BASIS - Accessiblity of plans'!P7</f>
        <v>0.10714285714285714</v>
      </c>
      <c r="H7" s="54">
        <f>'BASIS - Accessiblity of plans'!I7</f>
        <v>0.33333333333333331</v>
      </c>
      <c r="I7">
        <v>300</v>
      </c>
      <c r="J7" s="6">
        <f t="shared" si="1"/>
        <v>375</v>
      </c>
      <c r="K7" s="50"/>
      <c r="L7" s="50">
        <f t="shared" si="2"/>
        <v>0</v>
      </c>
      <c r="M7" s="50">
        <v>0</v>
      </c>
      <c r="N7">
        <f t="shared" si="3"/>
        <v>0</v>
      </c>
      <c r="O7">
        <f t="shared" si="4"/>
        <v>0</v>
      </c>
      <c r="P7" t="str">
        <f t="shared" si="0"/>
        <v>TRUE</v>
      </c>
      <c r="Q7" s="55">
        <f>SUM('INPUT - Infra Projects'!AQ3:AQ38)</f>
        <v>0</v>
      </c>
      <c r="R7">
        <f>IF(F7=1,N7*('BASIS - Financial data'!E10-'BASIS - Financial data'!D10)*(1+Q7),N7*('BASIS - Financial data'!G10-'BASIS - Financial data'!F10))*(1+Q7)</f>
        <v>0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0</v>
      </c>
      <c r="Y7"/>
      <c r="AB7"/>
    </row>
    <row r="8" spans="1:28" x14ac:dyDescent="0.25">
      <c r="A8" t="s">
        <v>203</v>
      </c>
      <c r="B8" t="s">
        <v>25</v>
      </c>
      <c r="C8" t="s">
        <v>25</v>
      </c>
      <c r="D8" t="s">
        <v>4</v>
      </c>
      <c r="E8" t="s">
        <v>198</v>
      </c>
      <c r="F8">
        <v>0</v>
      </c>
      <c r="G8" s="54">
        <f>'BASIS - Accessiblity of plans'!P8</f>
        <v>0.10714285714285714</v>
      </c>
      <c r="H8" s="54">
        <f>'BASIS - Accessiblity of plans'!I8</f>
        <v>0.33333333333333331</v>
      </c>
      <c r="I8">
        <v>300</v>
      </c>
      <c r="J8" s="6">
        <f t="shared" si="1"/>
        <v>375</v>
      </c>
      <c r="K8" s="50"/>
      <c r="L8" s="50">
        <f t="shared" si="2"/>
        <v>0</v>
      </c>
      <c r="M8" s="50">
        <v>0</v>
      </c>
      <c r="N8">
        <f t="shared" si="3"/>
        <v>0</v>
      </c>
      <c r="O8">
        <f t="shared" si="4"/>
        <v>0</v>
      </c>
      <c r="P8" t="str">
        <f t="shared" si="0"/>
        <v>TRUE</v>
      </c>
      <c r="Q8" s="55">
        <f>SUM('INPUT - Infra Projects'!AQ3:AQ38)</f>
        <v>0</v>
      </c>
      <c r="R8">
        <f>IF(F8=1,N8*('BASIS - Financial data'!E10-'BASIS - Financial data'!D10)*(1+Q8),N8*('BASIS - Financial data'!G10-'BASIS - Financial data'!F10))*(1+Q8)</f>
        <v>0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0</v>
      </c>
      <c r="Y8"/>
      <c r="AB8"/>
    </row>
    <row r="9" spans="1:28" x14ac:dyDescent="0.25">
      <c r="A9" t="s">
        <v>204</v>
      </c>
      <c r="B9" t="s">
        <v>11</v>
      </c>
      <c r="C9" t="s">
        <v>11</v>
      </c>
      <c r="D9" t="s">
        <v>39</v>
      </c>
      <c r="E9" t="s">
        <v>226</v>
      </c>
      <c r="F9">
        <v>0</v>
      </c>
      <c r="G9" s="54">
        <f>'BASIS - Accessiblity of plans'!P9</f>
        <v>3.1676413255360622E-2</v>
      </c>
      <c r="H9" s="54">
        <f>'BASIS - Accessiblity of plans'!I9</f>
        <v>0.33333333333333331</v>
      </c>
      <c r="I9">
        <v>740</v>
      </c>
      <c r="J9" s="6">
        <f t="shared" si="1"/>
        <v>925</v>
      </c>
      <c r="K9" s="50"/>
      <c r="L9" s="50">
        <f t="shared" si="2"/>
        <v>0</v>
      </c>
      <c r="M9" s="50">
        <v>0</v>
      </c>
      <c r="N9">
        <f t="shared" si="3"/>
        <v>0</v>
      </c>
      <c r="O9">
        <f t="shared" si="4"/>
        <v>0</v>
      </c>
      <c r="P9" t="str">
        <f t="shared" si="0"/>
        <v>TRUE</v>
      </c>
      <c r="Q9" s="55">
        <f>SUM('INPUT - Infra Projects'!AO3:AO38)</f>
        <v>0</v>
      </c>
      <c r="R9">
        <f>IF(F9=1,N9*('BASIS - Financial data'!E8-'BASIS - Financial data'!D8)*(1+Q9),N9*('BASIS - Financial data'!G8-'BASIS - Financial data'!F8))*(1+Q9)</f>
        <v>0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0</v>
      </c>
      <c r="Y9"/>
      <c r="AB9"/>
    </row>
    <row r="10" spans="1:28" x14ac:dyDescent="0.25">
      <c r="A10" t="s">
        <v>206</v>
      </c>
      <c r="B10" t="s">
        <v>17</v>
      </c>
      <c r="C10" t="s">
        <v>17</v>
      </c>
      <c r="D10" t="s">
        <v>39</v>
      </c>
      <c r="E10" s="3" t="s">
        <v>226</v>
      </c>
      <c r="F10" s="3">
        <v>1</v>
      </c>
      <c r="G10" s="54">
        <f>'BASIS - Accessiblity of plans'!P10</f>
        <v>2.8294573643410852E-2</v>
      </c>
      <c r="H10" s="54">
        <f>'BASIS - Accessiblity of plans'!I10</f>
        <v>0.14285714285714285</v>
      </c>
      <c r="I10">
        <v>483</v>
      </c>
      <c r="J10" s="6">
        <f t="shared" si="1"/>
        <v>603.75</v>
      </c>
      <c r="K10" s="50"/>
      <c r="L10" s="50">
        <f t="shared" si="2"/>
        <v>0</v>
      </c>
      <c r="M10" s="50">
        <v>0</v>
      </c>
      <c r="N10">
        <f t="shared" si="3"/>
        <v>0</v>
      </c>
      <c r="O10">
        <f t="shared" si="4"/>
        <v>0</v>
      </c>
      <c r="P10" t="str">
        <f t="shared" si="0"/>
        <v>TRUE</v>
      </c>
      <c r="Q10" s="55">
        <f>SUM('INPUT - Infra Projects'!AO3:AO38)</f>
        <v>0</v>
      </c>
      <c r="R10">
        <f>IF(F10=1,N10*('BASIS - Financial data'!E8-'BASIS - Financial data'!D8)*(1+Q10),N10*('BASIS - Financial data'!G8-'BASIS - Financial data'!F8))*(1+Q10)</f>
        <v>0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0</v>
      </c>
      <c r="W10" s="3"/>
      <c r="Y10"/>
      <c r="Z10" s="3"/>
      <c r="AB10"/>
    </row>
    <row r="11" spans="1:28" x14ac:dyDescent="0.25">
      <c r="A11" t="s">
        <v>207</v>
      </c>
      <c r="B11" t="s">
        <v>27</v>
      </c>
      <c r="C11" t="s">
        <v>27</v>
      </c>
      <c r="D11" t="s">
        <v>1</v>
      </c>
      <c r="E11" s="3" t="s">
        <v>196</v>
      </c>
      <c r="F11" s="3">
        <v>1</v>
      </c>
      <c r="G11" s="54">
        <f>'BASIS - Accessiblity of plans'!P11</f>
        <v>5.333333333333333E-2</v>
      </c>
      <c r="H11" s="54">
        <f>'BASIS - Accessiblity of plans'!I11</f>
        <v>0.5</v>
      </c>
      <c r="I11">
        <v>8500</v>
      </c>
      <c r="J11" s="6">
        <f t="shared" si="1"/>
        <v>10625</v>
      </c>
      <c r="K11" s="50"/>
      <c r="L11" s="50">
        <f t="shared" si="2"/>
        <v>0</v>
      </c>
      <c r="M11" s="50">
        <v>0</v>
      </c>
      <c r="N11">
        <f t="shared" si="3"/>
        <v>0</v>
      </c>
      <c r="O11">
        <f t="shared" si="4"/>
        <v>0</v>
      </c>
      <c r="P11" t="str">
        <f t="shared" si="0"/>
        <v>TRUE</v>
      </c>
      <c r="Q11" s="55">
        <f>SUM('INPUT - Infra Projects'!AR3:AR38)</f>
        <v>0</v>
      </c>
      <c r="R11">
        <f>IF(F11=1,N11*('BASIS - Financial data'!E11-'BASIS - Financial data'!D11)*(1+Q11),N11*('BASIS - Financial data'!G11-'BASIS - Financial data'!F11))*(1+Q11)</f>
        <v>0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0</v>
      </c>
      <c r="W11" s="3"/>
      <c r="X11" s="3"/>
      <c r="Y11"/>
      <c r="Z11" s="3"/>
      <c r="AB11"/>
    </row>
    <row r="12" spans="1:28" x14ac:dyDescent="0.25">
      <c r="A12" t="s">
        <v>208</v>
      </c>
      <c r="B12" t="s">
        <v>28</v>
      </c>
      <c r="C12" t="s">
        <v>28</v>
      </c>
      <c r="D12" t="s">
        <v>1</v>
      </c>
      <c r="E12" s="3" t="s">
        <v>196</v>
      </c>
      <c r="F12" s="3">
        <v>1</v>
      </c>
      <c r="G12" s="54">
        <f>'BASIS - Accessiblity of plans'!P12</f>
        <v>9.375E-2</v>
      </c>
      <c r="H12" s="54">
        <f>'BASIS - Accessiblity of plans'!I12</f>
        <v>0.2</v>
      </c>
      <c r="I12">
        <v>1000</v>
      </c>
      <c r="J12" s="6">
        <f t="shared" si="1"/>
        <v>1250</v>
      </c>
      <c r="K12" s="50"/>
      <c r="L12" s="50">
        <f t="shared" si="2"/>
        <v>0</v>
      </c>
      <c r="M12" s="50">
        <v>0</v>
      </c>
      <c r="N12">
        <f t="shared" si="3"/>
        <v>0</v>
      </c>
      <c r="O12">
        <f t="shared" si="4"/>
        <v>0</v>
      </c>
      <c r="P12" t="str">
        <f t="shared" si="0"/>
        <v>TRUE</v>
      </c>
      <c r="Q12" s="55">
        <f>SUM('INPUT - Infra Projects'!AR3:AR38)</f>
        <v>0</v>
      </c>
      <c r="R12">
        <f>IF(F12=1,N12*('BASIS - Financial data'!E11-'BASIS - Financial data'!D11)*(1+Q12),N12*('BASIS - Financial data'!G11-'BASIS - Financial data'!F11))*(1+Q12)</f>
        <v>0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0</v>
      </c>
      <c r="W12" s="3"/>
      <c r="X12" s="3"/>
      <c r="Z12" s="3"/>
      <c r="AB12"/>
    </row>
    <row r="13" spans="1:28" x14ac:dyDescent="0.25">
      <c r="A13" t="s">
        <v>209</v>
      </c>
      <c r="B13" t="s">
        <v>29</v>
      </c>
      <c r="C13" t="s">
        <v>29</v>
      </c>
      <c r="D13" t="s">
        <v>1</v>
      </c>
      <c r="E13" s="3" t="s">
        <v>224</v>
      </c>
      <c r="F13" s="3">
        <v>1</v>
      </c>
      <c r="G13" s="54">
        <f>'BASIS - Accessiblity of plans'!P13</f>
        <v>0.625</v>
      </c>
      <c r="H13" s="54">
        <f>'BASIS - Accessiblity of plans'!I13</f>
        <v>0.25</v>
      </c>
      <c r="I13">
        <v>3000</v>
      </c>
      <c r="J13" s="6">
        <f t="shared" si="1"/>
        <v>3750</v>
      </c>
      <c r="K13" s="50"/>
      <c r="L13" s="50">
        <f t="shared" si="2"/>
        <v>0</v>
      </c>
      <c r="M13" s="50">
        <v>0</v>
      </c>
      <c r="N13">
        <f t="shared" si="3"/>
        <v>0</v>
      </c>
      <c r="O13">
        <f t="shared" si="4"/>
        <v>0</v>
      </c>
      <c r="P13" t="str">
        <f t="shared" si="0"/>
        <v>TRUE</v>
      </c>
      <c r="Q13" s="55">
        <f>SUM('INPUT - Infra Projects'!AR3:AR38)</f>
        <v>0</v>
      </c>
      <c r="R13">
        <f>IF(F13=1,N13*('BASIS - Financial data'!E11-'BASIS - Financial data'!D11)*(1+Q13),N13*('BASIS - Financial data'!G11-'BASIS - Financial data'!F11))*(1+Q13)</f>
        <v>0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0</v>
      </c>
      <c r="W13" s="3"/>
      <c r="X13" s="3"/>
      <c r="Z13" s="3"/>
      <c r="AB13"/>
    </row>
    <row r="14" spans="1:28" x14ac:dyDescent="0.25">
      <c r="A14" t="s">
        <v>211</v>
      </c>
      <c r="B14" t="s">
        <v>31</v>
      </c>
      <c r="C14" t="s">
        <v>31</v>
      </c>
      <c r="D14" t="s">
        <v>1</v>
      </c>
      <c r="E14" s="3" t="s">
        <v>224</v>
      </c>
      <c r="F14" s="3">
        <v>1</v>
      </c>
      <c r="G14" s="54">
        <f>'BASIS - Accessiblity of plans'!P14</f>
        <v>5.9523809523809521E-2</v>
      </c>
      <c r="H14" s="54">
        <f>'BASIS - Accessiblity of plans'!I14</f>
        <v>0.14285714285714285</v>
      </c>
      <c r="I14">
        <v>1000</v>
      </c>
      <c r="J14" s="6">
        <f t="shared" si="1"/>
        <v>1250</v>
      </c>
      <c r="K14" s="50"/>
      <c r="L14" s="50">
        <f t="shared" si="2"/>
        <v>0</v>
      </c>
      <c r="M14" s="50">
        <v>0</v>
      </c>
      <c r="N14">
        <f t="shared" si="3"/>
        <v>0</v>
      </c>
      <c r="O14">
        <f t="shared" si="4"/>
        <v>0</v>
      </c>
      <c r="P14" t="str">
        <f t="shared" si="0"/>
        <v>TRUE</v>
      </c>
      <c r="Q14" s="55">
        <f>SUM('INPUT - Infra Projects'!AR3:AR38)</f>
        <v>0</v>
      </c>
      <c r="R14">
        <f>IF(F14=1,N14*('BASIS - Financial data'!E11-'BASIS - Financial data'!D11)*(1+Q14),N14*('BASIS - Financial data'!G11-'BASIS - Financial data'!F11))*(1+Q14)</f>
        <v>0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0</v>
      </c>
      <c r="W14" s="3"/>
      <c r="X14" s="3"/>
      <c r="Z14" s="3"/>
      <c r="AB14"/>
    </row>
    <row r="15" spans="1:28" x14ac:dyDescent="0.25">
      <c r="A15" s="58" t="s">
        <v>408</v>
      </c>
      <c r="B15" s="58" t="s">
        <v>397</v>
      </c>
      <c r="C15" s="58" t="s">
        <v>415</v>
      </c>
      <c r="D15" s="58" t="s">
        <v>1</v>
      </c>
      <c r="E15" s="51" t="s">
        <v>196</v>
      </c>
      <c r="F15" s="51">
        <v>1</v>
      </c>
      <c r="G15" s="64">
        <f>'BASIS - Accessiblity of plans'!P15</f>
        <v>0.23809523809523808</v>
      </c>
      <c r="H15" s="64">
        <f>'BASIS - Accessiblity of plans'!I15</f>
        <v>0.125</v>
      </c>
      <c r="I15" s="58">
        <v>740</v>
      </c>
      <c r="J15" s="60">
        <f>I15*1.25</f>
        <v>925</v>
      </c>
      <c r="K15" s="66">
        <v>90</v>
      </c>
      <c r="L15" s="66">
        <f>K15/100*J15</f>
        <v>832.5</v>
      </c>
      <c r="M15" s="66">
        <v>0</v>
      </c>
      <c r="N15" s="58">
        <f>L15*(100-M15)/100</f>
        <v>832.5</v>
      </c>
      <c r="O15" s="58">
        <f>L15*M15/100</f>
        <v>0</v>
      </c>
      <c r="P15" s="58" t="str">
        <f t="shared" si="0"/>
        <v>TRUE</v>
      </c>
      <c r="Q15" s="51">
        <f>SUM('INPUT - Infra Projects'!AR3:AR38)</f>
        <v>0</v>
      </c>
      <c r="R15" s="51">
        <f>IF(F15=1,N15*('BASIS - Financial data'!E11-'BASIS - Financial data'!D11)*(1+Q15),N15*('BASIS - Financial data'!G11-'BASIS - Financial data'!F11))*(1+Q15)</f>
        <v>6707282.4044956733</v>
      </c>
      <c r="S15" s="51">
        <f>IF($F15=1,$O15*('BASIS - Financial data'!$H11-'BASIS - Financial data'!$D11)*(1+Q15),$O15*('BASIS - Financial data'!$I11-'BASIS - Financial data'!$F11))*(1+Q15)</f>
        <v>0</v>
      </c>
      <c r="T15" s="58">
        <f t="shared" si="5"/>
        <v>6707282.4044956733</v>
      </c>
      <c r="X15" s="3"/>
      <c r="Y15"/>
      <c r="AA15" s="3"/>
      <c r="AB15"/>
    </row>
    <row r="16" spans="1:28" x14ac:dyDescent="0.25">
      <c r="A16" s="58" t="s">
        <v>409</v>
      </c>
      <c r="B16" s="58" t="s">
        <v>400</v>
      </c>
      <c r="C16" s="58" t="s">
        <v>393</v>
      </c>
      <c r="D16" s="58" t="s">
        <v>1</v>
      </c>
      <c r="E16" s="51" t="s">
        <v>196</v>
      </c>
      <c r="F16" s="51">
        <v>1</v>
      </c>
      <c r="G16" s="64">
        <f>'BASIS - Accessiblity of plans'!P16</f>
        <v>0.35</v>
      </c>
      <c r="H16" s="64">
        <f>'BASIS - Accessiblity of plans'!I16</f>
        <v>0.14285714285714285</v>
      </c>
      <c r="I16" s="58">
        <v>741</v>
      </c>
      <c r="J16" s="60">
        <f t="shared" si="1"/>
        <v>926.25</v>
      </c>
      <c r="K16" s="66"/>
      <c r="L16" s="66">
        <f t="shared" si="2"/>
        <v>0</v>
      </c>
      <c r="M16" s="66">
        <v>0</v>
      </c>
      <c r="N16" s="58">
        <f t="shared" si="3"/>
        <v>0</v>
      </c>
      <c r="O16" s="58">
        <f t="shared" si="4"/>
        <v>0</v>
      </c>
      <c r="P16" s="58" t="str">
        <f t="shared" si="0"/>
        <v>TRUE</v>
      </c>
      <c r="Q16" s="51">
        <f>SUM('INPUT - Infra Projects'!AR3:AR38)</f>
        <v>0</v>
      </c>
      <c r="R16" s="51">
        <f>IF(F16=1,N16*('BASIS - Financial data'!E11-'BASIS - Financial data'!D11)*(1+Q16),N16*('BASIS - Financial data'!G11-'BASIS - Financial data'!F11))*(1+Q16)</f>
        <v>0</v>
      </c>
      <c r="S16" s="51">
        <f>IF($F16=1,$O16*('BASIS - Financial data'!$H11-'BASIS - Financial data'!$D11)*(1+Q16),$O16*('BASIS - Financial data'!$I11-'BASIS - Financial data'!$F11))*(1+Q16)</f>
        <v>0</v>
      </c>
      <c r="T16" s="58">
        <f t="shared" si="5"/>
        <v>0</v>
      </c>
    </row>
    <row r="17" spans="1:28" x14ac:dyDescent="0.25">
      <c r="A17" s="51" t="s">
        <v>410</v>
      </c>
      <c r="B17" s="58" t="s">
        <v>401</v>
      </c>
      <c r="C17" s="58" t="s">
        <v>416</v>
      </c>
      <c r="D17" s="58" t="s">
        <v>1</v>
      </c>
      <c r="E17" s="51" t="s">
        <v>196</v>
      </c>
      <c r="F17" s="51">
        <v>1</v>
      </c>
      <c r="G17" s="64">
        <f>'BASIS - Accessiblity of plans'!P17</f>
        <v>0.19642857142857142</v>
      </c>
      <c r="H17" s="64">
        <f>'BASIS - Accessiblity of plans'!I17</f>
        <v>0.1111111111111111</v>
      </c>
      <c r="I17" s="58">
        <v>694</v>
      </c>
      <c r="J17" s="65">
        <f>I17*1.25</f>
        <v>867.5</v>
      </c>
      <c r="K17" s="66"/>
      <c r="L17" s="66">
        <f t="shared" si="2"/>
        <v>0</v>
      </c>
      <c r="M17" s="66">
        <v>0</v>
      </c>
      <c r="N17" s="58">
        <f t="shared" si="3"/>
        <v>0</v>
      </c>
      <c r="O17" s="58">
        <f t="shared" si="4"/>
        <v>0</v>
      </c>
      <c r="P17" s="58" t="str">
        <f t="shared" si="0"/>
        <v>TRUE</v>
      </c>
      <c r="Q17" s="51">
        <f>SUM('INPUT - Infra Projects'!AR3:AR38)</f>
        <v>0</v>
      </c>
      <c r="R17" s="58">
        <f>IF(F17=1,N17*('BASIS - Financial data'!E11-'BASIS - Financial data'!D11)*(1+Q17),N17*('BASIS - Financial data'!G11-'BASIS - Financial data'!F11))*(1+Q17)</f>
        <v>0</v>
      </c>
      <c r="S17" s="51">
        <f>IF($F17=1,$O17*('BASIS - Financial data'!$H11-'BASIS - Financial data'!$D11)*(1+Q17),$O17*('BASIS - Financial data'!$I11-'BASIS - Financial data'!$F11))*(1+Q17)</f>
        <v>0</v>
      </c>
      <c r="T17" s="58">
        <f t="shared" si="5"/>
        <v>0</v>
      </c>
      <c r="X17" s="3"/>
      <c r="Y17"/>
      <c r="AA17" s="3"/>
      <c r="AB17"/>
    </row>
    <row r="18" spans="1:28" x14ac:dyDescent="0.25">
      <c r="A18" s="58" t="s">
        <v>411</v>
      </c>
      <c r="B18" s="58" t="s">
        <v>394</v>
      </c>
      <c r="C18" s="58" t="s">
        <v>394</v>
      </c>
      <c r="D18" s="58" t="s">
        <v>1</v>
      </c>
      <c r="E18" s="51" t="s">
        <v>196</v>
      </c>
      <c r="F18" s="51">
        <v>1</v>
      </c>
      <c r="G18" s="64">
        <f>'BASIS - Accessiblity of plans'!P18</f>
        <v>0.17045454545454547</v>
      </c>
      <c r="H18" s="64">
        <f>'BASIS - Accessiblity of plans'!I18</f>
        <v>0.125</v>
      </c>
      <c r="I18" s="58">
        <v>250</v>
      </c>
      <c r="J18" s="60">
        <f t="shared" si="1"/>
        <v>312.5</v>
      </c>
      <c r="K18" s="66"/>
      <c r="L18" s="66">
        <f t="shared" si="2"/>
        <v>0</v>
      </c>
      <c r="M18" s="66">
        <v>0</v>
      </c>
      <c r="N18" s="58">
        <f t="shared" si="3"/>
        <v>0</v>
      </c>
      <c r="O18" s="58">
        <f t="shared" si="4"/>
        <v>0</v>
      </c>
      <c r="P18" s="58" t="str">
        <f t="shared" si="0"/>
        <v>TRUE</v>
      </c>
      <c r="Q18" s="51">
        <f>SUM('INPUT - Infra Projects'!AR3:AR38)</f>
        <v>0</v>
      </c>
      <c r="R18" s="51">
        <f>IF(F18=1,N18*('BASIS - Financial data'!E11-'BASIS - Financial data'!D11)*(1+Q18),N18*('BASIS - Financial data'!G11-'BASIS - Financial data'!F11))*(1+Q18)</f>
        <v>0</v>
      </c>
      <c r="S18" s="51">
        <f>IF($F18=1,$O18*('BASIS - Financial data'!$H11-'BASIS - Financial data'!$D11)*(1+Q18),$O18*('BASIS - Financial data'!$I11-'BASIS - Financial data'!$F11))*(1+Q18)</f>
        <v>0</v>
      </c>
      <c r="T18" s="58">
        <f t="shared" si="5"/>
        <v>0</v>
      </c>
      <c r="X18" s="3"/>
      <c r="Y18"/>
      <c r="AA18" s="3"/>
      <c r="AB18"/>
    </row>
    <row r="19" spans="1:28" x14ac:dyDescent="0.25">
      <c r="A19" s="58" t="s">
        <v>412</v>
      </c>
      <c r="B19" s="58" t="s">
        <v>403</v>
      </c>
      <c r="C19" s="58" t="s">
        <v>403</v>
      </c>
      <c r="D19" s="58" t="s">
        <v>3</v>
      </c>
      <c r="E19" s="58" t="s">
        <v>225</v>
      </c>
      <c r="F19" s="51">
        <v>1</v>
      </c>
      <c r="G19" s="64">
        <f>'BASIS - Accessiblity of plans'!P19</f>
        <v>0.16666666666666666</v>
      </c>
      <c r="H19" s="64">
        <f>'BASIS - Accessiblity of plans'!I19</f>
        <v>0.16666666666666666</v>
      </c>
      <c r="I19" s="58">
        <v>800</v>
      </c>
      <c r="J19" s="60">
        <f t="shared" si="1"/>
        <v>1000</v>
      </c>
      <c r="K19" s="66"/>
      <c r="L19" s="66">
        <f t="shared" si="2"/>
        <v>0</v>
      </c>
      <c r="M19" s="66">
        <v>0</v>
      </c>
      <c r="N19" s="58">
        <f t="shared" si="3"/>
        <v>0</v>
      </c>
      <c r="O19" s="58">
        <f t="shared" si="4"/>
        <v>0</v>
      </c>
      <c r="P19" s="58" t="str">
        <f t="shared" si="0"/>
        <v>TRUE</v>
      </c>
      <c r="Q19" s="51">
        <f>SUM('INPUT - Infra Projects'!AP3:AP38)</f>
        <v>0</v>
      </c>
      <c r="R19" s="51">
        <f>IF(F19=1,N19*('BASIS - Financial data'!E9-'BASIS - Financial data'!D9)*(1+Q19),N19*('BASIS - Financial data'!G9-'BASIS - Financial data'!F9))*(1+Q19)</f>
        <v>0</v>
      </c>
      <c r="S19" s="51">
        <f>IF($F19=1,$O19*('BASIS - Financial data'!$H9-'BASIS - Financial data'!$D9)*(1+Q19),$O19*('BASIS - Financial data'!$I9-'BASIS - Financial data'!$F9))*(1+Q19)</f>
        <v>0</v>
      </c>
      <c r="T19" s="51">
        <f t="shared" si="5"/>
        <v>0</v>
      </c>
      <c r="X19" s="3"/>
      <c r="Y19"/>
      <c r="AA19" s="3"/>
      <c r="AB19"/>
    </row>
    <row r="20" spans="1:28" x14ac:dyDescent="0.25">
      <c r="A20" s="58" t="s">
        <v>413</v>
      </c>
      <c r="B20" s="58" t="s">
        <v>404</v>
      </c>
      <c r="C20" s="58" t="s">
        <v>404</v>
      </c>
      <c r="D20" s="58" t="s">
        <v>3</v>
      </c>
      <c r="E20" s="58" t="s">
        <v>225</v>
      </c>
      <c r="F20" s="51">
        <v>1</v>
      </c>
      <c r="G20" s="64">
        <f>'BASIS - Accessiblity of plans'!P20</f>
        <v>1</v>
      </c>
      <c r="H20" s="64">
        <f>'BASIS - Accessiblity of plans'!I20</f>
        <v>0.25</v>
      </c>
      <c r="I20" s="58">
        <v>200</v>
      </c>
      <c r="J20" s="60">
        <f t="shared" si="1"/>
        <v>250</v>
      </c>
      <c r="K20" s="66"/>
      <c r="L20" s="66">
        <f t="shared" si="2"/>
        <v>0</v>
      </c>
      <c r="M20" s="66">
        <v>0</v>
      </c>
      <c r="N20" s="58">
        <f t="shared" si="3"/>
        <v>0</v>
      </c>
      <c r="O20" s="58">
        <f t="shared" si="4"/>
        <v>0</v>
      </c>
      <c r="P20" s="58" t="str">
        <f t="shared" si="0"/>
        <v>TRUE</v>
      </c>
      <c r="Q20" s="51">
        <f>SUM('INPUT - Infra Projects'!AP3:AP38)</f>
        <v>0</v>
      </c>
      <c r="R20" s="51">
        <f>IF(F20=1,N20*('BASIS - Financial data'!E9-'BASIS - Financial data'!D9)*(1+Q20),N20*('BASIS - Financial data'!G9-'BASIS - Financial data'!F9))*(1+Q20)</f>
        <v>0</v>
      </c>
      <c r="S20" s="51">
        <f>IF($F20=1,$O20*('BASIS - Financial data'!$H9-'BASIS - Financial data'!$D9)*(1+Q20),$O20*('BASIS - Financial data'!$I9-'BASIS - Financial data'!$F9))*(1+Q20)</f>
        <v>0</v>
      </c>
      <c r="T20" s="51">
        <f t="shared" si="5"/>
        <v>0</v>
      </c>
      <c r="AB20"/>
    </row>
    <row r="21" spans="1:28" x14ac:dyDescent="0.25">
      <c r="A21" s="58" t="s">
        <v>414</v>
      </c>
      <c r="B21" s="58" t="s">
        <v>405</v>
      </c>
      <c r="C21" s="58" t="s">
        <v>405</v>
      </c>
      <c r="D21" s="58" t="s">
        <v>3</v>
      </c>
      <c r="E21" s="58" t="s">
        <v>225</v>
      </c>
      <c r="F21" s="51">
        <v>1</v>
      </c>
      <c r="G21" s="64">
        <f>'BASIS - Accessiblity of plans'!P21</f>
        <v>1</v>
      </c>
      <c r="H21" s="64">
        <f>'BASIS - Accessiblity of plans'!I21</f>
        <v>0.33333333333333331</v>
      </c>
      <c r="I21" s="58">
        <v>200</v>
      </c>
      <c r="J21" s="60">
        <f t="shared" si="1"/>
        <v>250</v>
      </c>
      <c r="K21" s="66"/>
      <c r="L21" s="66">
        <f t="shared" si="2"/>
        <v>0</v>
      </c>
      <c r="M21" s="66">
        <v>0</v>
      </c>
      <c r="N21" s="58">
        <f t="shared" si="3"/>
        <v>0</v>
      </c>
      <c r="O21" s="58">
        <f t="shared" si="4"/>
        <v>0</v>
      </c>
      <c r="P21" s="58" t="str">
        <f t="shared" si="0"/>
        <v>TRUE</v>
      </c>
      <c r="Q21" s="51">
        <f>SUM('INPUT - Infra Projects'!AP3:AP38)</f>
        <v>0</v>
      </c>
      <c r="R21" s="51">
        <f>IF(F21=1,N21*('BASIS - Financial data'!E9-'BASIS - Financial data'!D9)*(1+Q21),N21*('BASIS - Financial data'!G9-'BASIS - Financial data'!F9))*(1+Q21)</f>
        <v>0</v>
      </c>
      <c r="S21" s="51">
        <f>IF($F21=1,$O21*('BASIS - Financial data'!$H9-'BASIS - Financial data'!$D9)*(1+Q21),$O21*('BASIS - Financial data'!$I9-'BASIS - Financial data'!$F9))*(1+Q21)</f>
        <v>0</v>
      </c>
      <c r="T21" s="51">
        <f t="shared" si="5"/>
        <v>0</v>
      </c>
      <c r="AB21"/>
    </row>
    <row r="22" spans="1:28" x14ac:dyDescent="0.25">
      <c r="O22"/>
      <c r="W22" s="3"/>
      <c r="Y22"/>
      <c r="Z22" s="3"/>
      <c r="AB22"/>
    </row>
    <row r="23" spans="1:28" x14ac:dyDescent="0.25">
      <c r="O23"/>
      <c r="W23" s="3"/>
      <c r="Y23"/>
      <c r="Z23" s="3"/>
      <c r="AB23"/>
    </row>
    <row r="24" spans="1:28" x14ac:dyDescent="0.25">
      <c r="O24"/>
      <c r="W24" s="3"/>
      <c r="Y24"/>
      <c r="Z24" s="3"/>
      <c r="AB24"/>
    </row>
    <row r="25" spans="1:28" x14ac:dyDescent="0.25">
      <c r="B25" t="s">
        <v>454</v>
      </c>
      <c r="O25"/>
      <c r="W25" s="3"/>
      <c r="Y25"/>
      <c r="Z25" s="3"/>
      <c r="AB25"/>
    </row>
    <row r="26" spans="1:28" x14ac:dyDescent="0.25">
      <c r="B26" t="s">
        <v>417</v>
      </c>
      <c r="O26"/>
      <c r="W26" s="3"/>
      <c r="Y26"/>
      <c r="Z26" s="3"/>
      <c r="AB26"/>
    </row>
    <row r="27" spans="1:28" x14ac:dyDescent="0.25">
      <c r="O27"/>
      <c r="W27" s="3"/>
      <c r="Y27"/>
      <c r="Z27" s="3"/>
      <c r="AB27"/>
    </row>
    <row r="31" spans="1:28" x14ac:dyDescent="0.25">
      <c r="A31">
        <v>0</v>
      </c>
    </row>
    <row r="32" spans="1:28" x14ac:dyDescent="0.25">
      <c r="A32">
        <v>10</v>
      </c>
    </row>
    <row r="33" spans="1:1" x14ac:dyDescent="0.25">
      <c r="A33">
        <v>20</v>
      </c>
    </row>
    <row r="34" spans="1:1" x14ac:dyDescent="0.25">
      <c r="A34">
        <v>30</v>
      </c>
    </row>
    <row r="35" spans="1:1" x14ac:dyDescent="0.25">
      <c r="A35">
        <v>40</v>
      </c>
    </row>
    <row r="36" spans="1:1" x14ac:dyDescent="0.25">
      <c r="A36">
        <v>50</v>
      </c>
    </row>
    <row r="37" spans="1:1" x14ac:dyDescent="0.25">
      <c r="A37">
        <v>60</v>
      </c>
    </row>
    <row r="38" spans="1:1" x14ac:dyDescent="0.25">
      <c r="A38">
        <v>70</v>
      </c>
    </row>
    <row r="39" spans="1:1" x14ac:dyDescent="0.25">
      <c r="A39">
        <v>80</v>
      </c>
    </row>
    <row r="40" spans="1:1" x14ac:dyDescent="0.25">
      <c r="A40">
        <v>90</v>
      </c>
    </row>
    <row r="41" spans="1:1" x14ac:dyDescent="0.25">
      <c r="A41">
        <v>100</v>
      </c>
    </row>
  </sheetData>
  <dataValidations count="2">
    <dataValidation type="list" allowBlank="1" showInputMessage="1" showErrorMessage="1" sqref="M16:M21 M4:M14" xr:uid="{00000000-0002-0000-0500-000000000000}">
      <formula1>$A$31:$A$36</formula1>
    </dataValidation>
    <dataValidation type="list" allowBlank="1" showInputMessage="1" showErrorMessage="1" sqref="M3 M15 K3:K21" xr:uid="{00000000-0002-0000-0500-000001000000}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B43"/>
  <sheetViews>
    <sheetView tabSelected="1" zoomScale="85" zoomScaleNormal="85" workbookViewId="0">
      <pane xSplit="2" topLeftCell="L1" activePane="topRight" state="frozen"/>
      <selection activeCell="K8" sqref="K8"/>
      <selection pane="topRight" activeCell="X18" sqref="X18"/>
    </sheetView>
  </sheetViews>
  <sheetFormatPr defaultRowHeight="15" x14ac:dyDescent="0.25"/>
  <cols>
    <col min="2" max="2" width="68" customWidth="1"/>
    <col min="3" max="3" width="38.140625" customWidth="1"/>
    <col min="4" max="4" width="38.140625" style="58" customWidth="1"/>
    <col min="5" max="5" width="10.7109375" bestFit="1" customWidth="1"/>
    <col min="6" max="7" width="11.28515625" customWidth="1"/>
    <col min="8" max="8" width="20.140625" bestFit="1" customWidth="1"/>
    <col min="9" max="9" width="10.28515625" style="7" customWidth="1"/>
    <col min="10" max="10" width="10.28515625" style="17" customWidth="1"/>
    <col min="11" max="11" width="25.140625" customWidth="1"/>
    <col min="17" max="17" width="20.7109375" customWidth="1"/>
    <col min="18" max="18" width="7.5703125" style="40" bestFit="1" customWidth="1"/>
    <col min="19" max="25" width="10.28515625" style="44" customWidth="1"/>
    <col min="26" max="26" width="10.28515625" customWidth="1"/>
    <col min="28" max="28" width="13.42578125" customWidth="1"/>
    <col min="29" max="32" width="16.42578125" customWidth="1"/>
    <col min="33" max="33" width="13.42578125" customWidth="1"/>
    <col min="34" max="37" width="16.42578125" customWidth="1"/>
    <col min="41" max="41" width="15.85546875" bestFit="1" customWidth="1"/>
  </cols>
  <sheetData>
    <row r="1" spans="1:54" x14ac:dyDescent="0.25">
      <c r="A1" s="1" t="s">
        <v>166</v>
      </c>
      <c r="B1" s="81" t="s">
        <v>0</v>
      </c>
      <c r="C1" s="81" t="s">
        <v>344</v>
      </c>
      <c r="D1" s="62" t="s">
        <v>402</v>
      </c>
      <c r="E1" s="30" t="s">
        <v>189</v>
      </c>
      <c r="F1" s="82" t="s">
        <v>177</v>
      </c>
      <c r="G1" s="76"/>
      <c r="H1" s="76"/>
      <c r="I1" s="27" t="s">
        <v>176</v>
      </c>
      <c r="J1" s="41"/>
      <c r="K1" s="41"/>
      <c r="L1" s="41"/>
      <c r="M1" s="27" t="s">
        <v>175</v>
      </c>
      <c r="N1" s="27"/>
      <c r="O1" s="27"/>
      <c r="P1" s="27"/>
      <c r="Q1" s="27"/>
      <c r="R1" s="39" t="s">
        <v>232</v>
      </c>
      <c r="S1" s="38" t="s">
        <v>234</v>
      </c>
      <c r="T1" s="38"/>
      <c r="U1" s="38"/>
      <c r="V1" s="38"/>
      <c r="W1" s="38"/>
      <c r="X1" s="38"/>
      <c r="Y1" s="38"/>
      <c r="AB1" s="80" t="s">
        <v>174</v>
      </c>
      <c r="AC1" s="80"/>
      <c r="AD1" s="80"/>
      <c r="AE1" s="80"/>
      <c r="AF1" s="80"/>
      <c r="AG1" s="80" t="s">
        <v>173</v>
      </c>
      <c r="AH1" s="80"/>
      <c r="AI1" s="80"/>
      <c r="AJ1" s="80"/>
      <c r="AK1" s="80"/>
      <c r="AL1" s="1" t="s">
        <v>307</v>
      </c>
      <c r="AN1" s="26" t="s">
        <v>318</v>
      </c>
      <c r="AS1" t="s">
        <v>319</v>
      </c>
      <c r="AX1" t="s">
        <v>320</v>
      </c>
    </row>
    <row r="2" spans="1:54" x14ac:dyDescent="0.25">
      <c r="B2" s="81"/>
      <c r="C2" s="81"/>
      <c r="D2" s="62"/>
      <c r="E2" s="30"/>
      <c r="F2" s="26" t="s">
        <v>172</v>
      </c>
      <c r="G2" s="26" t="s">
        <v>35</v>
      </c>
      <c r="H2" s="26" t="s">
        <v>171</v>
      </c>
      <c r="I2" s="29" t="s">
        <v>170</v>
      </c>
      <c r="J2" s="28" t="s">
        <v>169</v>
      </c>
      <c r="K2" s="26" t="s">
        <v>168</v>
      </c>
      <c r="L2" s="26" t="s">
        <v>167</v>
      </c>
      <c r="M2" s="80" t="s">
        <v>228</v>
      </c>
      <c r="N2" s="80"/>
      <c r="O2" s="80"/>
      <c r="P2" s="80"/>
      <c r="Q2" s="26" t="s">
        <v>229</v>
      </c>
      <c r="R2" s="40" t="s">
        <v>233</v>
      </c>
      <c r="S2" s="42" t="s">
        <v>26</v>
      </c>
      <c r="T2" s="42" t="s">
        <v>39</v>
      </c>
      <c r="U2" s="42" t="s">
        <v>3</v>
      </c>
      <c r="V2" s="42" t="s">
        <v>4</v>
      </c>
      <c r="W2" s="42" t="s">
        <v>1</v>
      </c>
      <c r="X2" s="42" t="s">
        <v>110</v>
      </c>
      <c r="Y2" s="42" t="s">
        <v>76</v>
      </c>
      <c r="Z2" t="s">
        <v>235</v>
      </c>
      <c r="AA2" s="27" t="s">
        <v>35</v>
      </c>
      <c r="AB2" s="26" t="s">
        <v>165</v>
      </c>
      <c r="AC2" s="26" t="s">
        <v>164</v>
      </c>
      <c r="AD2" s="26" t="s">
        <v>163</v>
      </c>
      <c r="AE2" s="26" t="s">
        <v>162</v>
      </c>
      <c r="AF2" s="26" t="s">
        <v>161</v>
      </c>
      <c r="AG2" s="26" t="s">
        <v>165</v>
      </c>
      <c r="AH2" s="26" t="s">
        <v>164</v>
      </c>
      <c r="AI2" s="26" t="s">
        <v>163</v>
      </c>
      <c r="AJ2" s="26" t="s">
        <v>162</v>
      </c>
      <c r="AK2" s="26" t="s">
        <v>161</v>
      </c>
      <c r="AL2" s="26" t="s">
        <v>306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5">
      <c r="A3">
        <v>1</v>
      </c>
      <c r="B3" s="3" t="s">
        <v>160</v>
      </c>
      <c r="C3" s="3" t="s">
        <v>345</v>
      </c>
      <c r="D3" s="51" t="s">
        <v>418</v>
      </c>
      <c r="E3" s="3" t="s">
        <v>159</v>
      </c>
      <c r="F3" s="3" t="s">
        <v>154</v>
      </c>
      <c r="G3" s="3" t="s">
        <v>57</v>
      </c>
      <c r="H3" s="3" t="s">
        <v>158</v>
      </c>
      <c r="I3" s="23">
        <v>2</v>
      </c>
      <c r="J3" s="18" t="s">
        <v>63</v>
      </c>
      <c r="K3" s="3" t="s">
        <v>157</v>
      </c>
      <c r="L3" s="3">
        <v>1</v>
      </c>
      <c r="M3" s="3" t="s">
        <v>225</v>
      </c>
      <c r="O3" s="3"/>
      <c r="P3" s="3"/>
      <c r="R3" s="40">
        <v>1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t="str">
        <f>IF(SUM(S3:Y3)=I3,"TRUE","FALSE")</f>
        <v>FALSE</v>
      </c>
      <c r="AA3" s="3" t="s">
        <v>331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1E-4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1E-4</v>
      </c>
      <c r="AT3">
        <f>$R3*AH3*$AM3</f>
        <v>0</v>
      </c>
      <c r="AU3">
        <f>$R3*AI3*$AM3</f>
        <v>1E-4</v>
      </c>
      <c r="AV3">
        <f>$R3*AJ3*$AM3</f>
        <v>1E-4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5">
      <c r="A4">
        <v>2</v>
      </c>
      <c r="B4" s="3" t="s">
        <v>156</v>
      </c>
      <c r="C4" s="3" t="s">
        <v>346</v>
      </c>
      <c r="D4" s="51" t="s">
        <v>419</v>
      </c>
      <c r="E4" s="3" t="s">
        <v>155</v>
      </c>
      <c r="F4" s="3" t="s">
        <v>154</v>
      </c>
      <c r="G4" s="3" t="s">
        <v>57</v>
      </c>
      <c r="H4" s="3" t="s">
        <v>153</v>
      </c>
      <c r="I4" s="23">
        <v>35.700000000000003</v>
      </c>
      <c r="J4" s="18" t="s">
        <v>63</v>
      </c>
      <c r="K4" s="3" t="s">
        <v>152</v>
      </c>
      <c r="L4" s="3">
        <v>1</v>
      </c>
      <c r="M4" s="3" t="s">
        <v>198</v>
      </c>
      <c r="N4" s="3"/>
      <c r="O4" s="3"/>
      <c r="P4" s="3"/>
      <c r="R4" s="40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t="str">
        <f t="shared" ref="Z4:Z38" si="0">IF(SUM(S4:Y4)=I4,"TRUE","FALSE")</f>
        <v>FALSE</v>
      </c>
      <c r="AA4" s="3" t="s">
        <v>331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38" si="1">AL4*0.01</f>
        <v>1E-4</v>
      </c>
      <c r="AN4">
        <f t="shared" ref="AN4:AN37" si="2">R4*AM4*(AB4+AG4)</f>
        <v>0</v>
      </c>
      <c r="AO4">
        <f t="shared" ref="AO4:AO38" si="3">S4*$AM4*(AC4+AH4)</f>
        <v>0</v>
      </c>
      <c r="AP4">
        <f t="shared" ref="AP4:AP38" si="4">T4*$AM4*(AD4+AI4)</f>
        <v>0</v>
      </c>
      <c r="AQ4">
        <f t="shared" ref="AQ4:AQ38" si="5">U4*$AM4*(AE4+AJ4)</f>
        <v>0</v>
      </c>
      <c r="AR4">
        <f t="shared" ref="AR4:AR38" si="6">V4*$AM4*(AF4+AK4)</f>
        <v>0</v>
      </c>
      <c r="AS4">
        <f t="shared" ref="AS4:AS38" si="7">$R4*AG4*$AM4</f>
        <v>0</v>
      </c>
      <c r="AT4">
        <f t="shared" ref="AT4:AT38" si="8">$R4*AH4*$AM4</f>
        <v>0</v>
      </c>
      <c r="AU4">
        <f t="shared" ref="AU4:AU38" si="9">$R4*AI4*$AM4</f>
        <v>0</v>
      </c>
      <c r="AV4">
        <f t="shared" ref="AV4:AV38" si="10">$R4*AJ4*$AM4</f>
        <v>0</v>
      </c>
      <c r="AW4">
        <f t="shared" ref="AW4:AW38" si="11">$R4*AK4*$AM4</f>
        <v>0</v>
      </c>
      <c r="AX4">
        <f t="shared" ref="AX4:AX38" si="12">$R4*AB4*$AM4</f>
        <v>0</v>
      </c>
      <c r="AY4">
        <f t="shared" ref="AY4:AY38" si="13">$R4*AC4*$AM4</f>
        <v>0</v>
      </c>
      <c r="AZ4">
        <f t="shared" ref="AZ4:AZ38" si="14">$R4*AD4*$AM4</f>
        <v>0</v>
      </c>
      <c r="BA4">
        <f t="shared" ref="BA4:BA38" si="15">$R4*AE4*$AM4</f>
        <v>0</v>
      </c>
      <c r="BB4">
        <f t="shared" ref="BB4:BB38" si="16">$R4*AF4*$AM4</f>
        <v>0</v>
      </c>
    </row>
    <row r="5" spans="1:54" x14ac:dyDescent="0.25">
      <c r="A5">
        <v>3</v>
      </c>
      <c r="B5" s="3" t="s">
        <v>151</v>
      </c>
      <c r="C5" s="3" t="s">
        <v>347</v>
      </c>
      <c r="D5" s="51" t="s">
        <v>420</v>
      </c>
      <c r="E5" s="3" t="s">
        <v>150</v>
      </c>
      <c r="F5" s="3" t="s">
        <v>149</v>
      </c>
      <c r="G5" s="3" t="s">
        <v>57</v>
      </c>
      <c r="H5" s="3" t="s">
        <v>80</v>
      </c>
      <c r="I5" s="69">
        <v>20</v>
      </c>
      <c r="J5" s="24" t="s">
        <v>63</v>
      </c>
      <c r="K5" s="3" t="s">
        <v>148</v>
      </c>
      <c r="L5" s="3">
        <v>1</v>
      </c>
      <c r="M5" s="3" t="s">
        <v>196</v>
      </c>
      <c r="N5" s="3"/>
      <c r="O5" s="3"/>
      <c r="P5" s="3"/>
      <c r="Q5" s="3" t="s">
        <v>197</v>
      </c>
      <c r="R5" s="40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5">
      <c r="A6">
        <v>4</v>
      </c>
      <c r="B6" s="3" t="s">
        <v>147</v>
      </c>
      <c r="C6" s="3" t="s">
        <v>348</v>
      </c>
      <c r="D6" s="51" t="s">
        <v>421</v>
      </c>
      <c r="E6" s="3" t="s">
        <v>146</v>
      </c>
      <c r="F6" s="3" t="s">
        <v>145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144</v>
      </c>
      <c r="L6" s="3">
        <v>1</v>
      </c>
      <c r="M6" s="3" t="s">
        <v>198</v>
      </c>
      <c r="N6" s="3"/>
      <c r="O6" s="3"/>
      <c r="P6" s="3"/>
      <c r="Q6" s="3"/>
      <c r="R6" s="40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5">
      <c r="A7">
        <v>5</v>
      </c>
      <c r="B7" s="3" t="s">
        <v>143</v>
      </c>
      <c r="C7" s="3" t="s">
        <v>349</v>
      </c>
      <c r="D7" s="51" t="s">
        <v>422</v>
      </c>
      <c r="E7" s="3" t="s">
        <v>142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141</v>
      </c>
      <c r="L7" s="3">
        <v>1</v>
      </c>
      <c r="M7" s="51" t="s">
        <v>198</v>
      </c>
      <c r="N7" s="3"/>
      <c r="O7" s="3"/>
      <c r="P7" s="3"/>
      <c r="Q7" s="3"/>
      <c r="R7" s="40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5">
      <c r="A8">
        <v>6</v>
      </c>
      <c r="B8" s="3" t="s">
        <v>140</v>
      </c>
      <c r="C8" s="3" t="s">
        <v>350</v>
      </c>
      <c r="D8" s="51" t="s">
        <v>423</v>
      </c>
      <c r="E8" s="3" t="s">
        <v>139</v>
      </c>
      <c r="F8" s="3" t="s">
        <v>88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226</v>
      </c>
      <c r="N8" s="3"/>
      <c r="O8" s="3"/>
      <c r="P8" s="3"/>
      <c r="Q8" s="3" t="s">
        <v>197</v>
      </c>
      <c r="R8" s="40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t="str">
        <f t="shared" si="0"/>
        <v>FALSE</v>
      </c>
      <c r="AA8" s="3" t="s">
        <v>330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</row>
    <row r="9" spans="1:54" x14ac:dyDescent="0.25">
      <c r="A9">
        <v>7</v>
      </c>
      <c r="B9" s="3" t="s">
        <v>190</v>
      </c>
      <c r="C9" s="3" t="s">
        <v>351</v>
      </c>
      <c r="D9" s="51" t="s">
        <v>425</v>
      </c>
      <c r="E9" s="3" t="s">
        <v>138</v>
      </c>
      <c r="F9" s="3" t="s">
        <v>88</v>
      </c>
      <c r="G9" s="3" t="s">
        <v>57</v>
      </c>
      <c r="H9" s="3" t="s">
        <v>191</v>
      </c>
      <c r="I9" s="23">
        <v>100</v>
      </c>
      <c r="J9" s="18" t="s">
        <v>63</v>
      </c>
      <c r="K9" s="3" t="s">
        <v>62</v>
      </c>
      <c r="L9" s="3">
        <v>3</v>
      </c>
      <c r="M9" s="3" t="s">
        <v>225</v>
      </c>
      <c r="N9" s="3"/>
      <c r="O9" s="3"/>
      <c r="P9" s="3"/>
      <c r="Q9" s="3" t="s">
        <v>197</v>
      </c>
      <c r="R9" s="40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t="str">
        <f t="shared" si="0"/>
        <v>FALSE</v>
      </c>
      <c r="AA9" s="3" t="s">
        <v>330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</row>
    <row r="10" spans="1:54" x14ac:dyDescent="0.25">
      <c r="A10">
        <v>8</v>
      </c>
      <c r="B10" s="3" t="s">
        <v>192</v>
      </c>
      <c r="C10" s="3" t="s">
        <v>352</v>
      </c>
      <c r="D10" s="51" t="s">
        <v>426</v>
      </c>
      <c r="E10" s="3" t="s">
        <v>138</v>
      </c>
      <c r="F10" s="3" t="s">
        <v>88</v>
      </c>
      <c r="G10" s="3" t="s">
        <v>57</v>
      </c>
      <c r="H10" s="3" t="s">
        <v>191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225</v>
      </c>
      <c r="N10" s="3"/>
      <c r="O10" s="3"/>
      <c r="P10" s="3"/>
      <c r="Q10" s="3" t="s">
        <v>197</v>
      </c>
      <c r="R10" s="40">
        <v>1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t="str">
        <f t="shared" si="0"/>
        <v>FALSE</v>
      </c>
      <c r="AA10" s="3" t="s">
        <v>330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5.0000000000000001E-4</v>
      </c>
      <c r="BA10">
        <f t="shared" si="15"/>
        <v>0</v>
      </c>
      <c r="BB10">
        <f t="shared" si="16"/>
        <v>0</v>
      </c>
    </row>
    <row r="11" spans="1:54" x14ac:dyDescent="0.25">
      <c r="A11">
        <v>9</v>
      </c>
      <c r="B11" s="3" t="s">
        <v>137</v>
      </c>
      <c r="C11" s="3" t="s">
        <v>353</v>
      </c>
      <c r="D11" s="51" t="s">
        <v>427</v>
      </c>
      <c r="E11" s="3" t="s">
        <v>136</v>
      </c>
      <c r="F11" s="3" t="s">
        <v>88</v>
      </c>
      <c r="G11" s="3" t="s">
        <v>57</v>
      </c>
      <c r="H11" s="3" t="s">
        <v>135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196</v>
      </c>
      <c r="N11" s="3"/>
      <c r="O11" s="3"/>
      <c r="P11" s="3"/>
      <c r="Q11" s="3" t="s">
        <v>197</v>
      </c>
      <c r="R11" s="40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t="str">
        <f t="shared" si="0"/>
        <v>FALSE</v>
      </c>
      <c r="AA11" s="3" t="s">
        <v>330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</row>
    <row r="12" spans="1:54" x14ac:dyDescent="0.25">
      <c r="A12">
        <v>10</v>
      </c>
      <c r="B12" s="3" t="s">
        <v>134</v>
      </c>
      <c r="C12" s="3" t="s">
        <v>354</v>
      </c>
      <c r="D12" s="51" t="s">
        <v>428</v>
      </c>
      <c r="E12" s="3" t="s">
        <v>133</v>
      </c>
      <c r="F12" s="3" t="s">
        <v>88</v>
      </c>
      <c r="G12" s="3" t="s">
        <v>57</v>
      </c>
      <c r="H12" s="3" t="s">
        <v>39</v>
      </c>
      <c r="I12" s="23" t="s">
        <v>132</v>
      </c>
      <c r="J12" s="18" t="s">
        <v>63</v>
      </c>
      <c r="K12" s="3" t="s">
        <v>131</v>
      </c>
      <c r="L12" s="3">
        <v>1</v>
      </c>
      <c r="M12" s="3" t="s">
        <v>226</v>
      </c>
      <c r="N12" s="3"/>
      <c r="O12" s="3"/>
      <c r="P12" s="3"/>
      <c r="Q12" s="3"/>
      <c r="R12" s="40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t="str">
        <f t="shared" si="0"/>
        <v>FALSE</v>
      </c>
      <c r="AA12" s="3" t="s">
        <v>330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5">
      <c r="A13">
        <v>11</v>
      </c>
      <c r="B13" s="3" t="s">
        <v>130</v>
      </c>
      <c r="C13" s="3" t="s">
        <v>355</v>
      </c>
      <c r="D13" s="51" t="s">
        <v>429</v>
      </c>
      <c r="E13" s="3" t="s">
        <v>129</v>
      </c>
      <c r="F13" s="3" t="s">
        <v>88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119</v>
      </c>
      <c r="L13" s="3">
        <v>1</v>
      </c>
      <c r="M13" s="3" t="s">
        <v>225</v>
      </c>
      <c r="N13" s="3"/>
      <c r="O13" s="3"/>
      <c r="P13" s="3"/>
      <c r="Q13" s="3"/>
      <c r="R13" s="40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t="str">
        <f t="shared" si="0"/>
        <v>FALSE</v>
      </c>
      <c r="AA13" s="3" t="s">
        <v>330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</row>
    <row r="14" spans="1:54" x14ac:dyDescent="0.25">
      <c r="A14">
        <v>12</v>
      </c>
      <c r="B14" s="3" t="s">
        <v>128</v>
      </c>
      <c r="C14" s="3" t="s">
        <v>356</v>
      </c>
      <c r="D14" s="51" t="s">
        <v>430</v>
      </c>
      <c r="E14" s="3" t="s">
        <v>127</v>
      </c>
      <c r="F14" s="3" t="s">
        <v>88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76</v>
      </c>
      <c r="L14" s="3">
        <v>1</v>
      </c>
      <c r="M14" s="3" t="s">
        <v>225</v>
      </c>
      <c r="N14" s="3"/>
      <c r="O14" s="3"/>
      <c r="P14" s="3"/>
      <c r="Q14" s="3" t="s">
        <v>197</v>
      </c>
      <c r="R14" s="40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t="str">
        <f t="shared" si="0"/>
        <v>FALSE</v>
      </c>
      <c r="AA14" s="3" t="s">
        <v>330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</row>
    <row r="15" spans="1:54" x14ac:dyDescent="0.25">
      <c r="A15">
        <v>13</v>
      </c>
      <c r="B15" s="3" t="s">
        <v>126</v>
      </c>
      <c r="C15" s="3" t="s">
        <v>357</v>
      </c>
      <c r="D15" s="51" t="s">
        <v>431</v>
      </c>
      <c r="E15" s="3" t="s">
        <v>125</v>
      </c>
      <c r="F15" s="3" t="s">
        <v>88</v>
      </c>
      <c r="G15" s="3" t="s">
        <v>57</v>
      </c>
      <c r="H15" s="3" t="s">
        <v>4</v>
      </c>
      <c r="I15" s="23" t="s">
        <v>124</v>
      </c>
      <c r="J15" s="18" t="s">
        <v>72</v>
      </c>
      <c r="K15" s="3" t="s">
        <v>123</v>
      </c>
      <c r="L15" s="3">
        <v>1</v>
      </c>
      <c r="M15" s="3" t="s">
        <v>226</v>
      </c>
      <c r="N15" s="3"/>
      <c r="O15" s="3"/>
      <c r="P15" s="3"/>
      <c r="Q15" s="3"/>
      <c r="R15" s="40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t="str">
        <f t="shared" si="0"/>
        <v>FALSE</v>
      </c>
      <c r="AA15" s="3" t="s">
        <v>330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</row>
    <row r="16" spans="1:54" x14ac:dyDescent="0.25">
      <c r="A16">
        <v>14</v>
      </c>
      <c r="B16" s="3" t="s">
        <v>121</v>
      </c>
      <c r="C16" s="3" t="s">
        <v>358</v>
      </c>
      <c r="D16" s="51" t="s">
        <v>432</v>
      </c>
      <c r="E16" s="3" t="s">
        <v>122</v>
      </c>
      <c r="F16" s="3" t="s">
        <v>88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114</v>
      </c>
      <c r="L16" s="3">
        <v>0.5</v>
      </c>
      <c r="M16" s="3" t="s">
        <v>198</v>
      </c>
      <c r="N16" s="3"/>
      <c r="O16" s="3"/>
      <c r="P16" s="3"/>
      <c r="Q16" s="3"/>
      <c r="R16" s="40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t="str">
        <f t="shared" si="0"/>
        <v>FALSE</v>
      </c>
      <c r="AA16" s="3" t="s">
        <v>330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</row>
    <row r="17" spans="1:54" x14ac:dyDescent="0.25">
      <c r="A17">
        <v>15</v>
      </c>
      <c r="B17" s="3" t="s">
        <v>121</v>
      </c>
      <c r="C17" s="3" t="s">
        <v>359</v>
      </c>
      <c r="D17" s="51" t="s">
        <v>433</v>
      </c>
      <c r="E17" s="3" t="s">
        <v>120</v>
      </c>
      <c r="F17" s="3" t="s">
        <v>88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119</v>
      </c>
      <c r="L17" s="3">
        <v>0.5</v>
      </c>
      <c r="M17" s="3" t="s">
        <v>225</v>
      </c>
      <c r="N17" s="3"/>
      <c r="O17" s="3"/>
      <c r="P17" s="3"/>
      <c r="Q17" s="3"/>
      <c r="R17" s="40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t="str">
        <f t="shared" si="0"/>
        <v>FALSE</v>
      </c>
      <c r="AA17" s="3" t="s">
        <v>330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</row>
    <row r="18" spans="1:54" x14ac:dyDescent="0.25">
      <c r="A18">
        <v>16</v>
      </c>
      <c r="B18" s="3" t="s">
        <v>118</v>
      </c>
      <c r="C18" s="3" t="s">
        <v>360</v>
      </c>
      <c r="D18" s="51" t="s">
        <v>434</v>
      </c>
      <c r="E18" s="3" t="s">
        <v>117</v>
      </c>
      <c r="F18" s="3" t="s">
        <v>88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76</v>
      </c>
      <c r="L18" s="3">
        <v>3</v>
      </c>
      <c r="M18" s="3" t="s">
        <v>198</v>
      </c>
      <c r="N18" s="3"/>
      <c r="O18" s="3"/>
      <c r="P18" s="3"/>
      <c r="Q18" s="3" t="s">
        <v>197</v>
      </c>
      <c r="R18" s="40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t="str">
        <f t="shared" si="0"/>
        <v>FALSE</v>
      </c>
      <c r="AA18" s="3" t="s">
        <v>330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</row>
    <row r="19" spans="1:54" x14ac:dyDescent="0.25">
      <c r="A19">
        <v>17</v>
      </c>
      <c r="B19" s="3" t="s">
        <v>116</v>
      </c>
      <c r="C19" s="3" t="s">
        <v>361</v>
      </c>
      <c r="D19" s="51" t="s">
        <v>435</v>
      </c>
      <c r="E19" s="3" t="s">
        <v>115</v>
      </c>
      <c r="F19" s="3" t="s">
        <v>88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114</v>
      </c>
      <c r="L19" s="3">
        <v>1</v>
      </c>
      <c r="M19" s="3" t="s">
        <v>198</v>
      </c>
      <c r="N19" s="3"/>
      <c r="O19" s="3"/>
      <c r="P19" s="3"/>
      <c r="Q19" s="3"/>
      <c r="R19" s="40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t="str">
        <f t="shared" si="0"/>
        <v>FALSE</v>
      </c>
      <c r="AA19" s="3" t="s">
        <v>330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</row>
    <row r="20" spans="1:54" x14ac:dyDescent="0.25">
      <c r="A20">
        <v>18</v>
      </c>
      <c r="B20" s="3" t="s">
        <v>113</v>
      </c>
      <c r="C20" s="3" t="s">
        <v>300</v>
      </c>
      <c r="D20" s="51" t="s">
        <v>436</v>
      </c>
      <c r="E20" s="3" t="s">
        <v>112</v>
      </c>
      <c r="F20" s="3" t="s">
        <v>88</v>
      </c>
      <c r="G20" s="3" t="s">
        <v>57</v>
      </c>
      <c r="H20" s="3" t="s">
        <v>40</v>
      </c>
      <c r="I20" s="23" t="s">
        <v>111</v>
      </c>
      <c r="J20" s="18" t="s">
        <v>63</v>
      </c>
      <c r="K20" s="3" t="s">
        <v>110</v>
      </c>
      <c r="L20" s="3">
        <v>1</v>
      </c>
      <c r="M20" s="3" t="s">
        <v>226</v>
      </c>
      <c r="N20" s="3"/>
      <c r="O20" s="3"/>
      <c r="P20" s="3"/>
      <c r="Q20" s="3" t="s">
        <v>197</v>
      </c>
      <c r="R20" s="40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t="str">
        <f t="shared" si="0"/>
        <v>FALSE</v>
      </c>
      <c r="AA20" s="3" t="s">
        <v>330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</row>
    <row r="21" spans="1:54" x14ac:dyDescent="0.25">
      <c r="A21">
        <v>19</v>
      </c>
      <c r="B21" s="3" t="s">
        <v>109</v>
      </c>
      <c r="C21" s="3" t="s">
        <v>362</v>
      </c>
      <c r="D21" s="51" t="s">
        <v>437</v>
      </c>
      <c r="E21" s="3" t="s">
        <v>108</v>
      </c>
      <c r="F21" s="3" t="s">
        <v>88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76</v>
      </c>
      <c r="L21" s="3">
        <v>3</v>
      </c>
      <c r="M21" s="3" t="s">
        <v>196</v>
      </c>
      <c r="N21" s="3"/>
      <c r="O21" s="3"/>
      <c r="P21" s="3"/>
      <c r="Q21" s="3" t="s">
        <v>197</v>
      </c>
      <c r="R21" s="40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t="str">
        <f t="shared" si="0"/>
        <v>FALSE</v>
      </c>
      <c r="AA21" s="3" t="s">
        <v>330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</row>
    <row r="22" spans="1:54" x14ac:dyDescent="0.25">
      <c r="A22">
        <v>20</v>
      </c>
      <c r="B22" s="19" t="s">
        <v>107</v>
      </c>
      <c r="C22" s="19" t="s">
        <v>363</v>
      </c>
      <c r="D22" s="51" t="s">
        <v>438</v>
      </c>
      <c r="E22" s="3" t="s">
        <v>106</v>
      </c>
      <c r="F22" s="19" t="s">
        <v>88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76</v>
      </c>
      <c r="L22" s="19">
        <v>3</v>
      </c>
      <c r="M22" s="19" t="s">
        <v>224</v>
      </c>
      <c r="N22" s="19"/>
      <c r="O22" s="19"/>
      <c r="P22" s="19"/>
      <c r="Q22" s="19" t="s">
        <v>197</v>
      </c>
      <c r="R22" s="40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t="str">
        <f t="shared" si="0"/>
        <v>FALSE</v>
      </c>
      <c r="AA22" s="3" t="s">
        <v>330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</row>
    <row r="23" spans="1:54" x14ac:dyDescent="0.25">
      <c r="A23">
        <v>21</v>
      </c>
      <c r="B23" s="3" t="s">
        <v>105</v>
      </c>
      <c r="C23" s="19" t="s">
        <v>364</v>
      </c>
      <c r="D23" s="51" t="s">
        <v>439</v>
      </c>
      <c r="E23" s="3" t="s">
        <v>104</v>
      </c>
      <c r="F23" s="3" t="s">
        <v>88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92</v>
      </c>
      <c r="L23" s="3">
        <v>1</v>
      </c>
      <c r="M23" s="19" t="s">
        <v>224</v>
      </c>
      <c r="N23" s="19"/>
      <c r="O23" s="19"/>
      <c r="P23" s="3"/>
      <c r="Q23" s="3"/>
      <c r="R23" s="40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t="str">
        <f t="shared" si="0"/>
        <v>FALSE</v>
      </c>
      <c r="AA23" s="3" t="s">
        <v>330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0</v>
      </c>
    </row>
    <row r="24" spans="1:54" x14ac:dyDescent="0.25">
      <c r="A24">
        <v>22</v>
      </c>
      <c r="B24" s="3" t="s">
        <v>103</v>
      </c>
      <c r="C24" s="19" t="s">
        <v>365</v>
      </c>
      <c r="D24" s="51" t="s">
        <v>440</v>
      </c>
      <c r="E24" s="3" t="s">
        <v>102</v>
      </c>
      <c r="F24" s="3" t="s">
        <v>88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92</v>
      </c>
      <c r="L24" s="3">
        <v>1</v>
      </c>
      <c r="M24" s="19" t="s">
        <v>196</v>
      </c>
      <c r="N24" s="19"/>
      <c r="O24" s="19"/>
      <c r="P24" s="3"/>
      <c r="Q24" s="3"/>
      <c r="R24" s="40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t="str">
        <f t="shared" si="0"/>
        <v>FALSE</v>
      </c>
      <c r="AA24" s="3" t="s">
        <v>330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</row>
    <row r="25" spans="1:54" x14ac:dyDescent="0.25">
      <c r="A25">
        <v>23</v>
      </c>
      <c r="B25" s="3" t="s">
        <v>101</v>
      </c>
      <c r="C25" s="19" t="s">
        <v>366</v>
      </c>
      <c r="D25" s="51" t="s">
        <v>441</v>
      </c>
      <c r="E25" s="3" t="s">
        <v>100</v>
      </c>
      <c r="F25" s="3" t="s">
        <v>88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76</v>
      </c>
      <c r="L25" s="3">
        <v>1</v>
      </c>
      <c r="M25" s="19" t="s">
        <v>224</v>
      </c>
      <c r="N25" s="19"/>
      <c r="O25" s="19"/>
      <c r="P25" s="3"/>
      <c r="Q25" s="3" t="s">
        <v>227</v>
      </c>
      <c r="R25" s="40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t="str">
        <f t="shared" si="0"/>
        <v>FALSE</v>
      </c>
      <c r="AA25" s="3" t="s">
        <v>330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</row>
    <row r="26" spans="1:54" x14ac:dyDescent="0.25">
      <c r="A26">
        <v>24</v>
      </c>
      <c r="B26" s="3" t="s">
        <v>99</v>
      </c>
      <c r="C26" s="19" t="s">
        <v>367</v>
      </c>
      <c r="D26" s="51" t="s">
        <v>442</v>
      </c>
      <c r="E26" s="3" t="s">
        <v>98</v>
      </c>
      <c r="F26" s="3" t="s">
        <v>88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76</v>
      </c>
      <c r="L26" s="3">
        <v>3</v>
      </c>
      <c r="M26" s="19" t="s">
        <v>224</v>
      </c>
      <c r="N26" s="19"/>
      <c r="O26" s="19"/>
      <c r="P26" s="19"/>
      <c r="Q26" s="3" t="s">
        <v>197</v>
      </c>
      <c r="R26" s="40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t="str">
        <f t="shared" si="0"/>
        <v>FALSE</v>
      </c>
      <c r="AA26" s="3" t="s">
        <v>330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0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</row>
    <row r="27" spans="1:54" x14ac:dyDescent="0.25">
      <c r="A27">
        <v>25</v>
      </c>
      <c r="B27" s="3" t="s">
        <v>97</v>
      </c>
      <c r="C27" s="19" t="s">
        <v>368</v>
      </c>
      <c r="D27" s="51" t="s">
        <v>443</v>
      </c>
      <c r="E27" s="3" t="s">
        <v>96</v>
      </c>
      <c r="F27" s="3" t="s">
        <v>88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76</v>
      </c>
      <c r="L27" s="3">
        <v>3</v>
      </c>
      <c r="M27" s="19" t="s">
        <v>224</v>
      </c>
      <c r="N27" s="19"/>
      <c r="O27" s="19"/>
      <c r="P27" s="3"/>
      <c r="Q27" s="3" t="s">
        <v>197</v>
      </c>
      <c r="R27" s="40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t="str">
        <f t="shared" si="0"/>
        <v>FALSE</v>
      </c>
      <c r="AA27" s="3" t="s">
        <v>330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0</v>
      </c>
    </row>
    <row r="28" spans="1:54" x14ac:dyDescent="0.25">
      <c r="A28">
        <v>26</v>
      </c>
      <c r="B28" s="3" t="s">
        <v>95</v>
      </c>
      <c r="C28" s="19" t="s">
        <v>95</v>
      </c>
      <c r="D28" s="51" t="s">
        <v>444</v>
      </c>
      <c r="E28" s="3" t="s">
        <v>94</v>
      </c>
      <c r="F28" s="3" t="s">
        <v>88</v>
      </c>
      <c r="G28" s="3" t="s">
        <v>57</v>
      </c>
      <c r="H28" s="3" t="s">
        <v>1</v>
      </c>
      <c r="I28" s="23" t="s">
        <v>93</v>
      </c>
      <c r="J28" s="18" t="s">
        <v>63</v>
      </c>
      <c r="K28" s="3" t="s">
        <v>92</v>
      </c>
      <c r="L28" s="19">
        <v>1</v>
      </c>
      <c r="M28" s="19" t="s">
        <v>224</v>
      </c>
      <c r="N28" s="19"/>
      <c r="O28" s="19"/>
      <c r="P28" s="19"/>
      <c r="Q28" s="19"/>
      <c r="R28" s="40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t="str">
        <f t="shared" si="0"/>
        <v>FALSE</v>
      </c>
      <c r="AA28" s="3" t="s">
        <v>330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</row>
    <row r="29" spans="1:54" x14ac:dyDescent="0.25">
      <c r="A29">
        <v>27</v>
      </c>
      <c r="B29" s="3" t="s">
        <v>91</v>
      </c>
      <c r="C29" s="19" t="s">
        <v>369</v>
      </c>
      <c r="D29" s="51" t="s">
        <v>445</v>
      </c>
      <c r="E29" s="3" t="s">
        <v>90</v>
      </c>
      <c r="F29" s="3" t="s">
        <v>88</v>
      </c>
      <c r="G29" s="3" t="s">
        <v>57</v>
      </c>
      <c r="H29" s="3" t="s">
        <v>89</v>
      </c>
      <c r="I29" s="23">
        <v>66.5</v>
      </c>
      <c r="J29" s="18" t="s">
        <v>63</v>
      </c>
      <c r="K29" s="3" t="s">
        <v>76</v>
      </c>
      <c r="L29" s="3">
        <v>1</v>
      </c>
      <c r="M29" s="19" t="s">
        <v>198</v>
      </c>
      <c r="N29" s="19"/>
      <c r="O29" s="19"/>
      <c r="P29" s="3"/>
      <c r="Q29" s="19" t="s">
        <v>197</v>
      </c>
      <c r="R29" s="40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t="str">
        <f t="shared" si="0"/>
        <v>FALSE</v>
      </c>
      <c r="AA29" s="3" t="s">
        <v>330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0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</row>
    <row r="30" spans="1:54" x14ac:dyDescent="0.25">
      <c r="A30">
        <v>28</v>
      </c>
      <c r="B30" s="3" t="s">
        <v>87</v>
      </c>
      <c r="C30" s="19" t="s">
        <v>370</v>
      </c>
      <c r="D30" s="51" t="s">
        <v>446</v>
      </c>
      <c r="E30" s="3" t="s">
        <v>86</v>
      </c>
      <c r="F30" s="3" t="s">
        <v>65</v>
      </c>
      <c r="G30" s="3" t="s">
        <v>57</v>
      </c>
      <c r="H30" s="3" t="s">
        <v>3</v>
      </c>
      <c r="I30" s="23" t="s">
        <v>85</v>
      </c>
      <c r="J30" s="18" t="s">
        <v>63</v>
      </c>
      <c r="K30" s="3" t="s">
        <v>76</v>
      </c>
      <c r="L30" s="3">
        <v>1</v>
      </c>
      <c r="M30" s="19" t="s">
        <v>225</v>
      </c>
      <c r="N30" s="19"/>
      <c r="O30" s="19"/>
      <c r="P30" s="3"/>
      <c r="Q30" s="19" t="s">
        <v>197</v>
      </c>
      <c r="R30" s="40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0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5">
      <c r="A31">
        <v>29</v>
      </c>
      <c r="B31" s="3" t="s">
        <v>84</v>
      </c>
      <c r="C31" s="19" t="s">
        <v>371</v>
      </c>
      <c r="D31" s="51" t="s">
        <v>447</v>
      </c>
      <c r="E31" s="3" t="s">
        <v>83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76</v>
      </c>
      <c r="L31" s="3">
        <v>0.5</v>
      </c>
      <c r="M31" s="19" t="s">
        <v>225</v>
      </c>
      <c r="N31" s="19"/>
      <c r="O31" s="19"/>
      <c r="P31" s="3"/>
      <c r="Q31" s="19" t="s">
        <v>227</v>
      </c>
      <c r="R31" s="40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0</v>
      </c>
      <c r="AV31">
        <f t="shared" si="10"/>
        <v>0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5">
      <c r="A32">
        <v>30</v>
      </c>
      <c r="B32" s="3" t="s">
        <v>82</v>
      </c>
      <c r="C32" s="19" t="s">
        <v>373</v>
      </c>
      <c r="D32" s="51" t="s">
        <v>449</v>
      </c>
      <c r="E32" s="3" t="s">
        <v>81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76</v>
      </c>
      <c r="L32" s="3">
        <v>0.5</v>
      </c>
      <c r="M32" s="51" t="s">
        <v>224</v>
      </c>
      <c r="N32" s="19"/>
      <c r="O32" s="19"/>
      <c r="P32" s="3"/>
      <c r="Q32" s="19" t="s">
        <v>227</v>
      </c>
      <c r="R32" s="40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x14ac:dyDescent="0.25">
      <c r="A33">
        <v>32</v>
      </c>
      <c r="B33" s="3" t="s">
        <v>79</v>
      </c>
      <c r="C33" s="19" t="s">
        <v>372</v>
      </c>
      <c r="D33" s="51" t="s">
        <v>448</v>
      </c>
      <c r="E33" s="3" t="s">
        <v>78</v>
      </c>
      <c r="F33" s="3" t="s">
        <v>77</v>
      </c>
      <c r="G33" s="3" t="s">
        <v>57</v>
      </c>
      <c r="H33" s="3" t="s">
        <v>4</v>
      </c>
      <c r="I33" s="15">
        <v>0.4</v>
      </c>
      <c r="J33" s="18" t="s">
        <v>72</v>
      </c>
      <c r="K33" s="3" t="s">
        <v>76</v>
      </c>
      <c r="L33" s="3">
        <v>0.5</v>
      </c>
      <c r="M33" s="19" t="s">
        <v>224</v>
      </c>
      <c r="N33" s="19"/>
      <c r="O33" s="19"/>
      <c r="P33" s="3"/>
      <c r="Q33" s="19" t="s">
        <v>227</v>
      </c>
      <c r="R33" s="40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t="str">
        <f t="shared" si="0"/>
        <v>FALSE</v>
      </c>
      <c r="AA33" s="3" t="s">
        <v>61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19">
        <v>0</v>
      </c>
      <c r="AI33" s="19">
        <v>1</v>
      </c>
      <c r="AJ33" s="19">
        <v>1</v>
      </c>
      <c r="AK33" s="19">
        <v>0</v>
      </c>
      <c r="AL33" s="19">
        <v>0.02</v>
      </c>
      <c r="AM33">
        <f t="shared" si="1"/>
        <v>2.0000000000000001E-4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s="70" customFormat="1" x14ac:dyDescent="0.25">
      <c r="A34" s="70">
        <v>34</v>
      </c>
      <c r="B34" s="70" t="s">
        <v>75</v>
      </c>
      <c r="C34" s="70" t="s">
        <v>376</v>
      </c>
      <c r="D34" s="71" t="s">
        <v>455</v>
      </c>
      <c r="E34" s="70" t="s">
        <v>74</v>
      </c>
      <c r="F34" s="70" t="s">
        <v>65</v>
      </c>
      <c r="G34" s="70" t="s">
        <v>64</v>
      </c>
      <c r="H34" s="70" t="s">
        <v>1</v>
      </c>
      <c r="I34" s="75">
        <v>0.5</v>
      </c>
      <c r="J34" s="72" t="s">
        <v>72</v>
      </c>
      <c r="K34" s="70" t="s">
        <v>62</v>
      </c>
      <c r="L34" s="70">
        <v>0.5</v>
      </c>
      <c r="M34" s="73" t="s">
        <v>196</v>
      </c>
      <c r="Q34" s="73" t="s">
        <v>227</v>
      </c>
      <c r="R34" s="70">
        <v>0</v>
      </c>
      <c r="S34" s="74">
        <v>0</v>
      </c>
      <c r="T34" s="74">
        <v>0</v>
      </c>
      <c r="U34" s="74">
        <v>0</v>
      </c>
      <c r="V34" s="74">
        <v>0</v>
      </c>
      <c r="W34" s="74">
        <v>0</v>
      </c>
      <c r="X34" s="74">
        <v>0</v>
      </c>
      <c r="Y34" s="74">
        <v>0</v>
      </c>
      <c r="Z34" s="70" t="str">
        <f t="shared" si="0"/>
        <v>FALSE</v>
      </c>
      <c r="AA34" s="70" t="s">
        <v>61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1</v>
      </c>
      <c r="AL34" s="70">
        <v>0.05</v>
      </c>
      <c r="AM34" s="70">
        <f t="shared" si="1"/>
        <v>5.0000000000000001E-4</v>
      </c>
      <c r="AN34" s="70">
        <f t="shared" si="2"/>
        <v>0</v>
      </c>
      <c r="AO34" s="70">
        <f t="shared" si="3"/>
        <v>0</v>
      </c>
      <c r="AP34" s="70">
        <f t="shared" si="4"/>
        <v>0</v>
      </c>
      <c r="AQ34" s="70">
        <f t="shared" si="5"/>
        <v>0</v>
      </c>
      <c r="AR34" s="70">
        <f t="shared" si="6"/>
        <v>0</v>
      </c>
      <c r="AS34" s="70">
        <f t="shared" si="7"/>
        <v>0</v>
      </c>
      <c r="AT34" s="70">
        <f t="shared" si="8"/>
        <v>0</v>
      </c>
      <c r="AU34" s="70">
        <f t="shared" si="9"/>
        <v>0</v>
      </c>
      <c r="AV34" s="70">
        <f t="shared" si="10"/>
        <v>0</v>
      </c>
      <c r="AW34" s="70">
        <f t="shared" si="11"/>
        <v>0</v>
      </c>
      <c r="AX34" s="70">
        <f t="shared" si="12"/>
        <v>0</v>
      </c>
      <c r="AY34" s="70">
        <f t="shared" si="13"/>
        <v>0</v>
      </c>
      <c r="AZ34" s="70">
        <f t="shared" si="14"/>
        <v>0</v>
      </c>
      <c r="BA34" s="70">
        <f t="shared" si="15"/>
        <v>0</v>
      </c>
      <c r="BB34" s="70">
        <f t="shared" si="16"/>
        <v>0</v>
      </c>
    </row>
    <row r="35" spans="1:54" x14ac:dyDescent="0.25">
      <c r="A35">
        <v>35</v>
      </c>
      <c r="B35" s="3" t="s">
        <v>71</v>
      </c>
      <c r="C35" t="s">
        <v>377</v>
      </c>
      <c r="D35" s="58" t="s">
        <v>450</v>
      </c>
      <c r="E35" s="3" t="s">
        <v>70</v>
      </c>
      <c r="F35" s="3" t="s">
        <v>65</v>
      </c>
      <c r="G35" s="3" t="s">
        <v>57</v>
      </c>
      <c r="H35" t="s">
        <v>1</v>
      </c>
      <c r="I35" s="7">
        <v>30</v>
      </c>
      <c r="J35" s="17" t="s">
        <v>55</v>
      </c>
      <c r="K35" s="3" t="s">
        <v>62</v>
      </c>
      <c r="L35" s="3">
        <v>3</v>
      </c>
      <c r="M35" t="s">
        <v>224</v>
      </c>
      <c r="N35" s="3"/>
      <c r="O35" s="3"/>
      <c r="P35" s="3"/>
      <c r="Q35" t="s">
        <v>197</v>
      </c>
      <c r="R35" s="40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t="str">
        <f t="shared" si="0"/>
        <v>FALSE</v>
      </c>
      <c r="AA35" s="3" t="s">
        <v>61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9">
        <v>0</v>
      </c>
      <c r="AI35" s="19">
        <v>0</v>
      </c>
      <c r="AJ35" s="19">
        <v>0</v>
      </c>
      <c r="AK35" s="19">
        <v>1</v>
      </c>
      <c r="AL35" s="2">
        <v>0.05</v>
      </c>
      <c r="AM35">
        <f t="shared" si="1"/>
        <v>5.0000000000000001E-4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x14ac:dyDescent="0.25">
      <c r="A36">
        <v>36</v>
      </c>
      <c r="B36" s="21" t="s">
        <v>69</v>
      </c>
      <c r="C36" s="21" t="s">
        <v>378</v>
      </c>
      <c r="D36" s="63" t="s">
        <v>451</v>
      </c>
      <c r="E36" s="3" t="s">
        <v>68</v>
      </c>
      <c r="F36" s="3" t="s">
        <v>65</v>
      </c>
      <c r="G36" s="3" t="s">
        <v>57</v>
      </c>
      <c r="H36" t="s">
        <v>3</v>
      </c>
      <c r="I36" s="20">
        <v>3.2</v>
      </c>
      <c r="J36" s="17" t="s">
        <v>63</v>
      </c>
      <c r="K36" s="3" t="s">
        <v>62</v>
      </c>
      <c r="L36" s="3">
        <v>1</v>
      </c>
      <c r="M36" s="3" t="s">
        <v>225</v>
      </c>
      <c r="N36" s="3"/>
      <c r="O36" s="3"/>
      <c r="P36" s="3"/>
      <c r="Q36" s="3" t="s">
        <v>227</v>
      </c>
      <c r="R36" s="40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t="str">
        <f t="shared" si="0"/>
        <v>FALSE</v>
      </c>
      <c r="AA36" s="3" t="s">
        <v>61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19">
        <v>0</v>
      </c>
      <c r="AI36" s="19">
        <v>1</v>
      </c>
      <c r="AJ36" s="19">
        <v>0</v>
      </c>
      <c r="AK36" s="19">
        <v>0</v>
      </c>
      <c r="AL36" s="2">
        <v>0.02</v>
      </c>
      <c r="AM36">
        <f t="shared" si="1"/>
        <v>2.0000000000000001E-4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0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0</v>
      </c>
      <c r="AZ36">
        <f t="shared" si="14"/>
        <v>0</v>
      </c>
      <c r="BA36">
        <f t="shared" si="15"/>
        <v>0</v>
      </c>
      <c r="BB36">
        <f t="shared" si="16"/>
        <v>0</v>
      </c>
    </row>
    <row r="37" spans="1:54" x14ac:dyDescent="0.25">
      <c r="A37">
        <v>37</v>
      </c>
      <c r="B37" s="3" t="s">
        <v>67</v>
      </c>
      <c r="C37" t="s">
        <v>379</v>
      </c>
      <c r="D37" s="58" t="s">
        <v>452</v>
      </c>
      <c r="E37" s="3" t="s">
        <v>66</v>
      </c>
      <c r="F37" s="3" t="s">
        <v>65</v>
      </c>
      <c r="G37" s="3" t="s">
        <v>64</v>
      </c>
      <c r="H37" t="s">
        <v>3</v>
      </c>
      <c r="I37" s="20">
        <v>5.8</v>
      </c>
      <c r="J37" s="17" t="s">
        <v>63</v>
      </c>
      <c r="K37" s="3" t="s">
        <v>62</v>
      </c>
      <c r="L37" s="3">
        <v>0.5</v>
      </c>
      <c r="M37" s="3" t="s">
        <v>225</v>
      </c>
      <c r="N37" s="3"/>
      <c r="O37" s="3"/>
      <c r="P37" s="3"/>
      <c r="Q37" s="3" t="s">
        <v>227</v>
      </c>
      <c r="R37" s="40">
        <v>1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1</v>
      </c>
      <c r="AJ37" s="19">
        <v>0</v>
      </c>
      <c r="AK37" s="19">
        <v>0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5.0000000000000001E-4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5">
      <c r="A38">
        <v>38</v>
      </c>
      <c r="B38" s="3" t="s">
        <v>60</v>
      </c>
      <c r="C38" s="3" t="s">
        <v>380</v>
      </c>
      <c r="D38" s="51" t="s">
        <v>453</v>
      </c>
      <c r="E38" s="3" t="s">
        <v>59</v>
      </c>
      <c r="F38" s="3" t="s">
        <v>58</v>
      </c>
      <c r="G38" s="3" t="s">
        <v>57</v>
      </c>
      <c r="H38" t="s">
        <v>56</v>
      </c>
      <c r="I38" s="20">
        <v>1000</v>
      </c>
      <c r="J38" s="17" t="s">
        <v>55</v>
      </c>
      <c r="K38" s="3" t="s">
        <v>54</v>
      </c>
      <c r="L38" s="3">
        <v>5</v>
      </c>
      <c r="M38" s="3" t="s">
        <v>196</v>
      </c>
      <c r="N38" s="3"/>
      <c r="O38" s="3"/>
      <c r="P38" s="3"/>
      <c r="Q38" s="3" t="s">
        <v>197</v>
      </c>
      <c r="R38" s="40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t="str">
        <f t="shared" si="0"/>
        <v>FALSE</v>
      </c>
      <c r="AA38" s="3" t="s">
        <v>330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19">
        <v>1</v>
      </c>
      <c r="AI38" s="19">
        <v>1</v>
      </c>
      <c r="AJ38" s="19">
        <v>1</v>
      </c>
      <c r="AK38" s="19">
        <v>1</v>
      </c>
      <c r="AL38" s="2">
        <v>0.1</v>
      </c>
      <c r="AM38">
        <f t="shared" si="1"/>
        <v>1E-3</v>
      </c>
      <c r="AN38">
        <f>R38*AM38*(AB38+AG38)</f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5">
      <c r="I39" s="7">
        <f>SUM(I3:I38)</f>
        <v>2269</v>
      </c>
    </row>
    <row r="41" spans="1:54" x14ac:dyDescent="0.25">
      <c r="B41" s="3"/>
      <c r="C41" s="3"/>
      <c r="D41" s="51"/>
      <c r="E41" s="3"/>
      <c r="F41" s="3"/>
      <c r="G41" s="3"/>
      <c r="H41" s="3"/>
      <c r="I41" s="15"/>
      <c r="J41" s="18"/>
      <c r="K41" s="3"/>
      <c r="L41" s="3"/>
      <c r="M41" s="3"/>
      <c r="N41" s="3"/>
      <c r="O41" s="3"/>
      <c r="P41" s="3"/>
      <c r="Q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54" x14ac:dyDescent="0.25">
      <c r="B42" s="3"/>
      <c r="C42" s="3"/>
      <c r="D42" s="51"/>
      <c r="E42" s="3"/>
      <c r="F42" s="3"/>
      <c r="G42" s="3"/>
      <c r="H42" s="3"/>
      <c r="I42" s="15"/>
      <c r="J42" s="18"/>
      <c r="K42" s="3"/>
      <c r="L42" s="3"/>
      <c r="M42" s="3"/>
      <c r="N42" s="3"/>
      <c r="O42" s="3"/>
      <c r="P42" s="3"/>
      <c r="Q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54" x14ac:dyDescent="0.25">
      <c r="B43" s="3"/>
      <c r="C43" s="3"/>
      <c r="D43" s="51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A43"/>
  <sheetViews>
    <sheetView topLeftCell="A7" workbookViewId="0">
      <pane xSplit="1" topLeftCell="B1" activePane="topRight" state="frozen"/>
      <selection pane="topRight" activeCell="C18" sqref="C18"/>
    </sheetView>
  </sheetViews>
  <sheetFormatPr defaultRowHeight="15" x14ac:dyDescent="0.25"/>
  <cols>
    <col min="2" max="2" width="34.42578125" customWidth="1"/>
    <col min="3" max="3" width="32.28515625" bestFit="1" customWidth="1"/>
    <col min="4" max="4" width="36.28515625" bestFit="1" customWidth="1"/>
    <col min="5" max="5" width="39" bestFit="1" customWidth="1"/>
    <col min="6" max="7" width="15.85546875" customWidth="1"/>
    <col min="8" max="8" width="13.28515625" bestFit="1" customWidth="1"/>
    <col min="9" max="17" width="13.28515625" customWidth="1"/>
    <col min="18" max="18" width="13.42578125" bestFit="1" customWidth="1"/>
    <col min="19" max="21" width="13.42578125" customWidth="1"/>
    <col min="22" max="22" width="13.28515625" customWidth="1"/>
    <col min="23" max="23" width="22.85546875" customWidth="1"/>
    <col min="24" max="24" width="18.85546875" bestFit="1" customWidth="1"/>
    <col min="25" max="25" width="17.5703125" bestFit="1" customWidth="1"/>
    <col min="26" max="26" width="10.5703125" bestFit="1" customWidth="1"/>
  </cols>
  <sheetData>
    <row r="1" spans="1:27" x14ac:dyDescent="0.25">
      <c r="A1" t="s">
        <v>166</v>
      </c>
      <c r="B1" s="1" t="s">
        <v>180</v>
      </c>
      <c r="C1" s="82" t="s">
        <v>214</v>
      </c>
      <c r="D1" s="82"/>
      <c r="E1" s="82"/>
      <c r="F1" s="82"/>
      <c r="G1" s="82"/>
      <c r="H1" s="82" t="s">
        <v>222</v>
      </c>
      <c r="I1" s="82"/>
      <c r="J1" s="82"/>
      <c r="K1" s="82"/>
      <c r="L1" s="82"/>
      <c r="M1" s="82"/>
      <c r="N1" s="82"/>
      <c r="O1" s="35"/>
      <c r="P1" s="35"/>
      <c r="Q1" s="35"/>
      <c r="R1" s="36" t="s">
        <v>223</v>
      </c>
      <c r="S1" s="36"/>
      <c r="T1" s="36"/>
      <c r="U1" s="37"/>
      <c r="V1" s="37"/>
      <c r="W1" s="1" t="s">
        <v>258</v>
      </c>
    </row>
    <row r="2" spans="1:27" x14ac:dyDescent="0.25">
      <c r="B2" s="1" t="s">
        <v>218</v>
      </c>
      <c r="W2" t="s">
        <v>259</v>
      </c>
      <c r="X2" t="s">
        <v>260</v>
      </c>
      <c r="Y2" t="s">
        <v>265</v>
      </c>
      <c r="Z2" t="s">
        <v>266</v>
      </c>
      <c r="AA2" t="s">
        <v>186</v>
      </c>
    </row>
    <row r="3" spans="1:27" x14ac:dyDescent="0.25">
      <c r="A3" t="s">
        <v>196</v>
      </c>
      <c r="B3" t="s">
        <v>215</v>
      </c>
      <c r="C3" t="s">
        <v>194</v>
      </c>
      <c r="D3" t="s">
        <v>26</v>
      </c>
      <c r="E3" t="s">
        <v>110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207</v>
      </c>
      <c r="S3" t="s">
        <v>208</v>
      </c>
      <c r="T3" t="s">
        <v>210</v>
      </c>
      <c r="W3" s="2"/>
      <c r="X3" s="2"/>
      <c r="Y3" s="3" t="e">
        <f>'INPUT - Housing per plan '!T11+'INPUT - Housing per plan '!T12+'INPUT - Housing per plan '!#REF!</f>
        <v>#REF!</v>
      </c>
      <c r="Z3" s="7" t="e">
        <f>'INPUT - Infra Projects'!I4+'INPUT - Infra Projects'!I5+'INPUT - Infra Projects'!I11+'INPUT - Infra Projects'!I21+'INPUT - Infra Projects'!I24+'INPUT - Infra Projects'!#REF!+'INPUT - Infra Projects'!#REF!+'INPUT - Infra Projects'!I34+'INPUT - Infra Projects'!I38</f>
        <v>#REF!</v>
      </c>
      <c r="AA3" s="7" t="e">
        <f>Y3-Z3</f>
        <v>#REF!</v>
      </c>
    </row>
    <row r="4" spans="1:27" x14ac:dyDescent="0.25">
      <c r="A4" t="s">
        <v>224</v>
      </c>
      <c r="B4" t="s">
        <v>220</v>
      </c>
      <c r="C4" t="s">
        <v>194</v>
      </c>
      <c r="D4" t="s">
        <v>110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209</v>
      </c>
      <c r="S4" t="s">
        <v>211</v>
      </c>
      <c r="T4" t="s">
        <v>212</v>
      </c>
      <c r="W4" s="2"/>
      <c r="X4" s="2"/>
      <c r="Y4" s="3" t="e">
        <f>'INPUT - Housing per plan '!T13+'INPUT - Housing per plan '!T14+'INPUT - Housing per plan '!#REF!</f>
        <v>#REF!</v>
      </c>
      <c r="Z4" s="7" t="e">
        <f>'INPUT - Infra Projects'!I22+'INPUT - Infra Projects'!I23+'INPUT - Infra Projects'!I25+'INPUT - Infra Projects'!I26+'INPUT - Infra Projects'!I27+'INPUT - Infra Projects'!I28+'INPUT - Infra Projects'!#REF!+'INPUT - Infra Projects'!#REF!+'INPUT - Infra Projects'!I35</f>
        <v>#VALUE!</v>
      </c>
      <c r="AA4" s="7" t="e">
        <f t="shared" ref="AA4:AA7" si="0">Y4-Z4</f>
        <v>#REF!</v>
      </c>
    </row>
    <row r="5" spans="1:27" x14ac:dyDescent="0.25">
      <c r="A5" t="s">
        <v>198</v>
      </c>
      <c r="B5" t="s">
        <v>216</v>
      </c>
      <c r="C5" t="s">
        <v>4</v>
      </c>
      <c r="D5" t="s">
        <v>110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s="2"/>
      <c r="X5" s="2"/>
      <c r="Y5" s="3">
        <f>'INPUT - Housing per plan '!T4+'INPUT - Housing per plan '!T5+'INPUT - Housing per plan '!T6+'INPUT - Housing per plan '!T7+'INPUT - Housing per plan '!T8</f>
        <v>0</v>
      </c>
      <c r="Z5" s="7" t="e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Projects'!I33+'INPUT - Infra Projects'!#REF!</f>
        <v>#REF!</v>
      </c>
      <c r="AA5" s="7" t="e">
        <f t="shared" si="0"/>
        <v>#REF!</v>
      </c>
    </row>
    <row r="6" spans="1:27" x14ac:dyDescent="0.25">
      <c r="A6" t="s">
        <v>225</v>
      </c>
      <c r="B6" t="s">
        <v>3</v>
      </c>
      <c r="C6" t="s">
        <v>3</v>
      </c>
      <c r="D6" t="s">
        <v>110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195</v>
      </c>
      <c r="W6" s="2"/>
      <c r="X6" s="9"/>
      <c r="Y6" s="3">
        <f>'INPUT - Housing per plan '!T3</f>
        <v>0</v>
      </c>
      <c r="Z6" s="7" t="e">
        <f>'INPUT - Infra Projects'!I3+'INPUT - Infra Projects'!I9+'INPUT - Infra Projects'!I10+'INPUT - Infra Projects'!I13+'INPUT - Infra Projects'!I14+'INPUT - Infra Projects'!I17+'INPUT - Infra Projects'!I30+'INPUT - Infra Projects'!I31+'INPUT - Infra Projects'!#REF!+'INPUT - Infra Projects'!I36+'INPUT - Infra Projects'!I37</f>
        <v>#VALUE!</v>
      </c>
      <c r="AA6" s="7" t="e">
        <f t="shared" si="0"/>
        <v>#VALUE!</v>
      </c>
    </row>
    <row r="7" spans="1:27" x14ac:dyDescent="0.25">
      <c r="A7" t="s">
        <v>226</v>
      </c>
      <c r="B7" t="s">
        <v>213</v>
      </c>
      <c r="C7" t="s">
        <v>39</v>
      </c>
      <c r="D7" t="s">
        <v>26</v>
      </c>
      <c r="E7" t="s">
        <v>4</v>
      </c>
      <c r="F7" t="s">
        <v>3</v>
      </c>
      <c r="G7" t="s">
        <v>110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204</v>
      </c>
      <c r="S7" t="s">
        <v>205</v>
      </c>
      <c r="T7" t="s">
        <v>206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5">
      <c r="W8" s="3"/>
      <c r="X8" s="3"/>
      <c r="Y8" s="3"/>
    </row>
    <row r="9" spans="1:27" x14ac:dyDescent="0.25">
      <c r="B9" s="1" t="s">
        <v>219</v>
      </c>
      <c r="W9" s="3"/>
      <c r="X9" s="3"/>
      <c r="Y9" s="3"/>
    </row>
    <row r="10" spans="1:27" x14ac:dyDescent="0.25">
      <c r="A10" t="s">
        <v>197</v>
      </c>
      <c r="B10" s="83" t="s">
        <v>217</v>
      </c>
      <c r="C10" s="83" t="s">
        <v>110</v>
      </c>
      <c r="D10" s="84" t="s">
        <v>76</v>
      </c>
      <c r="E10" s="83"/>
      <c r="F10" s="83"/>
      <c r="G10" s="83"/>
      <c r="W10" s="3"/>
      <c r="X10" s="3"/>
      <c r="Y10" s="3"/>
    </row>
    <row r="11" spans="1:27" x14ac:dyDescent="0.25">
      <c r="B11" s="83"/>
      <c r="C11" s="83"/>
      <c r="D11" s="84"/>
      <c r="E11" s="83"/>
      <c r="F11" s="83"/>
      <c r="G11" s="83"/>
      <c r="W11" s="3"/>
      <c r="X11" s="3"/>
      <c r="Y11" s="3"/>
    </row>
    <row r="12" spans="1:27" x14ac:dyDescent="0.25">
      <c r="A12" t="s">
        <v>227</v>
      </c>
      <c r="B12" t="s">
        <v>221</v>
      </c>
      <c r="C12" t="s">
        <v>110</v>
      </c>
      <c r="D12" t="s">
        <v>76</v>
      </c>
      <c r="K12">
        <v>31</v>
      </c>
      <c r="M12">
        <v>33</v>
      </c>
      <c r="W12" s="3"/>
      <c r="X12" s="3"/>
      <c r="Y12" s="3"/>
    </row>
    <row r="14" spans="1:27" x14ac:dyDescent="0.25">
      <c r="A14" s="87" t="s">
        <v>385</v>
      </c>
      <c r="B14" t="s">
        <v>391</v>
      </c>
      <c r="C14" s="85" t="s">
        <v>386</v>
      </c>
      <c r="D14" s="86" t="s">
        <v>387</v>
      </c>
      <c r="E14" s="86"/>
      <c r="F14" s="86"/>
    </row>
    <row r="15" spans="1:27" x14ac:dyDescent="0.25">
      <c r="A15" s="87"/>
      <c r="C15" s="85"/>
      <c r="D15" s="1" t="s">
        <v>388</v>
      </c>
      <c r="E15" s="1" t="s">
        <v>390</v>
      </c>
      <c r="F15" s="1" t="s">
        <v>389</v>
      </c>
    </row>
    <row r="16" spans="1:27" x14ac:dyDescent="0.25">
      <c r="A16" s="84" t="s">
        <v>196</v>
      </c>
      <c r="B16" s="84" t="s">
        <v>215</v>
      </c>
      <c r="C16" t="s">
        <v>27</v>
      </c>
      <c r="D16" s="3" t="s">
        <v>353</v>
      </c>
      <c r="E16" t="s">
        <v>376</v>
      </c>
    </row>
    <row r="17" spans="1:6" x14ac:dyDescent="0.25">
      <c r="A17" s="84"/>
      <c r="B17" s="84"/>
      <c r="C17" t="s">
        <v>28</v>
      </c>
      <c r="D17" s="3" t="s">
        <v>362</v>
      </c>
      <c r="E17" s="3" t="s">
        <v>347</v>
      </c>
    </row>
    <row r="18" spans="1:6" x14ac:dyDescent="0.25">
      <c r="A18" s="84"/>
      <c r="B18" s="84"/>
      <c r="D18" s="58" t="s">
        <v>365</v>
      </c>
    </row>
    <row r="19" spans="1:6" x14ac:dyDescent="0.25">
      <c r="A19" s="84"/>
      <c r="B19" s="84"/>
      <c r="D19" t="s">
        <v>380</v>
      </c>
    </row>
    <row r="20" spans="1:6" x14ac:dyDescent="0.25">
      <c r="A20" s="84" t="s">
        <v>224</v>
      </c>
      <c r="B20" s="84" t="s">
        <v>220</v>
      </c>
      <c r="C20" t="s">
        <v>29</v>
      </c>
      <c r="D20" s="3" t="s">
        <v>362</v>
      </c>
      <c r="E20" t="s">
        <v>377</v>
      </c>
    </row>
    <row r="21" spans="1:6" x14ac:dyDescent="0.25">
      <c r="A21" s="84"/>
      <c r="B21" s="84"/>
      <c r="C21" t="s">
        <v>31</v>
      </c>
      <c r="D21" s="19" t="s">
        <v>363</v>
      </c>
      <c r="E21" s="51" t="s">
        <v>373</v>
      </c>
    </row>
    <row r="22" spans="1:6" x14ac:dyDescent="0.25">
      <c r="A22" s="84"/>
      <c r="B22" s="84"/>
      <c r="D22" s="19" t="s">
        <v>364</v>
      </c>
    </row>
    <row r="23" spans="1:6" x14ac:dyDescent="0.25">
      <c r="A23" s="84"/>
      <c r="B23" s="84"/>
      <c r="D23" s="19" t="s">
        <v>366</v>
      </c>
    </row>
    <row r="24" spans="1:6" x14ac:dyDescent="0.25">
      <c r="A24" s="84"/>
      <c r="B24" s="84"/>
      <c r="D24" s="19" t="s">
        <v>367</v>
      </c>
    </row>
    <row r="25" spans="1:6" x14ac:dyDescent="0.25">
      <c r="A25" s="84"/>
      <c r="B25" s="84"/>
      <c r="D25" s="19" t="s">
        <v>368</v>
      </c>
    </row>
    <row r="26" spans="1:6" x14ac:dyDescent="0.25">
      <c r="A26" s="84"/>
      <c r="B26" s="84"/>
      <c r="D26" s="19" t="s">
        <v>95</v>
      </c>
    </row>
    <row r="27" spans="1:6" x14ac:dyDescent="0.25">
      <c r="A27" s="83" t="s">
        <v>198</v>
      </c>
      <c r="B27" s="84" t="s">
        <v>216</v>
      </c>
      <c r="C27" t="s">
        <v>21</v>
      </c>
      <c r="D27" s="3" t="s">
        <v>348</v>
      </c>
      <c r="E27" s="19" t="s">
        <v>372</v>
      </c>
      <c r="F27" s="3" t="s">
        <v>346</v>
      </c>
    </row>
    <row r="28" spans="1:6" x14ac:dyDescent="0.25">
      <c r="A28" s="83"/>
      <c r="B28" s="84"/>
      <c r="C28" s="3" t="s">
        <v>22</v>
      </c>
      <c r="D28" s="3" t="s">
        <v>358</v>
      </c>
    </row>
    <row r="29" spans="1:6" x14ac:dyDescent="0.25">
      <c r="A29" s="83"/>
      <c r="B29" s="84"/>
      <c r="C29" t="s">
        <v>23</v>
      </c>
      <c r="D29" s="3" t="s">
        <v>360</v>
      </c>
    </row>
    <row r="30" spans="1:6" x14ac:dyDescent="0.25">
      <c r="A30" s="83"/>
      <c r="B30" s="84"/>
      <c r="C30" t="s">
        <v>24</v>
      </c>
      <c r="D30" s="3" t="s">
        <v>361</v>
      </c>
    </row>
    <row r="31" spans="1:6" x14ac:dyDescent="0.25">
      <c r="A31" s="83"/>
      <c r="B31" s="84"/>
      <c r="C31" t="s">
        <v>25</v>
      </c>
      <c r="D31" s="19" t="s">
        <v>369</v>
      </c>
    </row>
    <row r="32" spans="1:6" x14ac:dyDescent="0.25">
      <c r="A32" s="84" t="s">
        <v>225</v>
      </c>
      <c r="B32" s="84" t="s">
        <v>3</v>
      </c>
      <c r="C32" t="s">
        <v>18</v>
      </c>
      <c r="D32" s="3" t="s">
        <v>351</v>
      </c>
      <c r="E32" s="19" t="s">
        <v>370</v>
      </c>
      <c r="F32" s="3" t="s">
        <v>345</v>
      </c>
    </row>
    <row r="33" spans="1:5" x14ac:dyDescent="0.25">
      <c r="A33" s="84"/>
      <c r="B33" s="84"/>
      <c r="D33" s="3" t="s">
        <v>352</v>
      </c>
      <c r="E33" s="19" t="s">
        <v>371</v>
      </c>
    </row>
    <row r="34" spans="1:5" x14ac:dyDescent="0.25">
      <c r="A34" s="84"/>
      <c r="B34" s="84"/>
      <c r="D34" s="3" t="s">
        <v>355</v>
      </c>
      <c r="E34" s="21" t="s">
        <v>378</v>
      </c>
    </row>
    <row r="35" spans="1:5" x14ac:dyDescent="0.25">
      <c r="A35" s="84"/>
      <c r="B35" s="84"/>
      <c r="D35" s="3" t="s">
        <v>356</v>
      </c>
      <c r="E35" t="s">
        <v>379</v>
      </c>
    </row>
    <row r="36" spans="1:5" x14ac:dyDescent="0.25">
      <c r="A36" s="84"/>
      <c r="B36" s="84"/>
      <c r="D36" s="3" t="s">
        <v>359</v>
      </c>
    </row>
    <row r="37" spans="1:5" x14ac:dyDescent="0.25">
      <c r="A37" s="84" t="s">
        <v>226</v>
      </c>
      <c r="B37" s="84" t="s">
        <v>213</v>
      </c>
      <c r="C37" t="s">
        <v>11</v>
      </c>
      <c r="D37" s="3" t="s">
        <v>349</v>
      </c>
    </row>
    <row r="38" spans="1:5" x14ac:dyDescent="0.25">
      <c r="A38" s="84"/>
      <c r="B38" s="84"/>
      <c r="C38" s="3" t="s">
        <v>14</v>
      </c>
      <c r="D38" s="3" t="s">
        <v>350</v>
      </c>
    </row>
    <row r="39" spans="1:5" x14ac:dyDescent="0.25">
      <c r="A39" s="84"/>
      <c r="B39" s="84"/>
      <c r="C39" t="s">
        <v>17</v>
      </c>
      <c r="D39" s="3" t="s">
        <v>354</v>
      </c>
    </row>
    <row r="40" spans="1:5" x14ac:dyDescent="0.25">
      <c r="A40" s="84"/>
      <c r="B40" s="84"/>
      <c r="D40" s="3" t="s">
        <v>357</v>
      </c>
    </row>
    <row r="41" spans="1:5" x14ac:dyDescent="0.25">
      <c r="A41" s="84"/>
      <c r="B41" s="84"/>
      <c r="D41" s="51" t="s">
        <v>300</v>
      </c>
    </row>
    <row r="42" spans="1:5" x14ac:dyDescent="0.25">
      <c r="A42" s="84" t="s">
        <v>227</v>
      </c>
      <c r="B42" s="84" t="s">
        <v>221</v>
      </c>
      <c r="E42" t="s">
        <v>374</v>
      </c>
    </row>
    <row r="43" spans="1:5" x14ac:dyDescent="0.25">
      <c r="A43" s="84"/>
      <c r="B43" s="84"/>
      <c r="E43" t="s">
        <v>375</v>
      </c>
    </row>
  </sheetData>
  <mergeCells count="23">
    <mergeCell ref="B27:B31"/>
    <mergeCell ref="B32:B36"/>
    <mergeCell ref="B37:B41"/>
    <mergeCell ref="B42:B43"/>
    <mergeCell ref="A27:A31"/>
    <mergeCell ref="A32:A36"/>
    <mergeCell ref="A37:A41"/>
    <mergeCell ref="A42:A43"/>
    <mergeCell ref="C14:C15"/>
    <mergeCell ref="D14:F14"/>
    <mergeCell ref="A14:A15"/>
    <mergeCell ref="A16:A19"/>
    <mergeCell ref="A20:A26"/>
    <mergeCell ref="B16:B19"/>
    <mergeCell ref="B20:B26"/>
    <mergeCell ref="B10:B11"/>
    <mergeCell ref="H1:N1"/>
    <mergeCell ref="C1:G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E18"/>
  <sheetViews>
    <sheetView workbookViewId="0">
      <selection activeCell="E10" sqref="E10"/>
    </sheetView>
  </sheetViews>
  <sheetFormatPr defaultRowHeight="15" x14ac:dyDescent="0.25"/>
  <cols>
    <col min="1" max="1" width="25" bestFit="1" customWidth="1"/>
    <col min="2" max="2" width="17.42578125" customWidth="1"/>
    <col min="3" max="3" width="18.42578125" bestFit="1" customWidth="1"/>
    <col min="4" max="4" width="15.140625" bestFit="1" customWidth="1"/>
  </cols>
  <sheetData>
    <row r="1" spans="1:5" x14ac:dyDescent="0.25">
      <c r="A1" s="1" t="s">
        <v>5</v>
      </c>
      <c r="B1" s="48" t="s">
        <v>231</v>
      </c>
      <c r="C1" s="1" t="s">
        <v>182</v>
      </c>
      <c r="D1" s="1" t="s">
        <v>183</v>
      </c>
      <c r="E1" s="1" t="s">
        <v>184</v>
      </c>
    </row>
    <row r="2" spans="1:5" s="2" customFormat="1" x14ac:dyDescent="0.25">
      <c r="A2" s="2" t="s">
        <v>26</v>
      </c>
      <c r="C2" s="2">
        <f>SUM('INPUT - Infra Projects'!AS3:AS38)</f>
        <v>1E-4</v>
      </c>
      <c r="D2" s="2">
        <f>SUM('INPUT - Infra Projects'!AX3:AX38)</f>
        <v>0</v>
      </c>
      <c r="E2" s="2">
        <f>SUM(C2:D2)</f>
        <v>1E-4</v>
      </c>
    </row>
    <row r="3" spans="1:5" x14ac:dyDescent="0.25">
      <c r="A3" t="s">
        <v>39</v>
      </c>
      <c r="B3" s="2"/>
      <c r="C3">
        <f>SUM('INPUT - Infra Projects'!AT3:AT38)</f>
        <v>0</v>
      </c>
      <c r="D3">
        <f>SUM('INPUT - Infra Projects'!AY3:AY38)</f>
        <v>0</v>
      </c>
      <c r="E3">
        <f t="shared" ref="E3:E6" si="0">SUM(C3:D3)</f>
        <v>0</v>
      </c>
    </row>
    <row r="4" spans="1:5" x14ac:dyDescent="0.25">
      <c r="A4" t="s">
        <v>3</v>
      </c>
      <c r="B4" s="2"/>
      <c r="C4">
        <f>SUM('INPUT - Infra Projects'!AU3:AU38)</f>
        <v>6.0000000000000006E-4</v>
      </c>
      <c r="D4">
        <f>SUM('INPUT - Infra Projects'!AZ3:AZ38)</f>
        <v>5.0000000000000001E-4</v>
      </c>
      <c r="E4">
        <f t="shared" si="0"/>
        <v>1.1000000000000001E-3</v>
      </c>
    </row>
    <row r="5" spans="1:5" x14ac:dyDescent="0.25">
      <c r="A5" t="s">
        <v>4</v>
      </c>
      <c r="B5" s="2"/>
      <c r="C5">
        <f>SUM('INPUT - Infra Projects'!AV3:AV38)</f>
        <v>1E-4</v>
      </c>
      <c r="D5">
        <f>SUM('INPUT - Infra Projects'!BA3:BA38)</f>
        <v>0</v>
      </c>
      <c r="E5">
        <f t="shared" si="0"/>
        <v>1E-4</v>
      </c>
    </row>
    <row r="6" spans="1:5" x14ac:dyDescent="0.25">
      <c r="A6" t="s">
        <v>1</v>
      </c>
      <c r="B6" s="2"/>
      <c r="C6">
        <f>SUM('INPUT - Infra Projects'!AW3:AW38)</f>
        <v>0</v>
      </c>
      <c r="D6">
        <f>SUM('INPUT - Infra Projects'!BB3:BB38)</f>
        <v>0</v>
      </c>
      <c r="E6">
        <f t="shared" si="0"/>
        <v>0</v>
      </c>
    </row>
    <row r="7" spans="1:5" x14ac:dyDescent="0.25">
      <c r="A7" t="s">
        <v>181</v>
      </c>
      <c r="B7" s="2"/>
      <c r="C7">
        <f>SUM(C2:C6)/5</f>
        <v>1.6000000000000004E-4</v>
      </c>
      <c r="D7">
        <f t="shared" ref="D7:E7" si="1">SUM(D2:D6)/5</f>
        <v>1E-4</v>
      </c>
      <c r="E7">
        <f t="shared" si="1"/>
        <v>2.6000000000000003E-4</v>
      </c>
    </row>
    <row r="9" spans="1:5" x14ac:dyDescent="0.25">
      <c r="B9" t="s">
        <v>342</v>
      </c>
      <c r="C9" s="1" t="s">
        <v>328</v>
      </c>
      <c r="D9" s="1" t="s">
        <v>329</v>
      </c>
      <c r="E9" s="1" t="s">
        <v>154</v>
      </c>
    </row>
    <row r="10" spans="1:5" x14ac:dyDescent="0.25">
      <c r="A10" t="s">
        <v>321</v>
      </c>
      <c r="B10" s="56">
        <v>0</v>
      </c>
      <c r="C10" s="56">
        <f>(SUMIFS('INPUT - Infra Projects'!AM3:AM38,'INPUT - Infra Projects'!S3:S38,"1",'INPUT - Infra Projects'!AA3:AA38,"CAR",'INPUT - Infra Projects'!M3:M38,"p1"))/(SUMIFS('INPUT - Infra Projects'!AM3:AM38,'INPUT - Infra Projects'!AA3:AA38,"CAR",'INPUT - Infra Projects'!M3:M38,"p1"))*100</f>
        <v>0</v>
      </c>
      <c r="D10" s="56">
        <f>SUMIFS('INPUT - Infra Projects'!AM3:AM38,'INPUT - Infra Projects'!S3:S38,"1",'INPUT - Infra Projects'!AA3:AA38,"PT",'INPUT - Infra Projects'!M3:M38,"p1")</f>
        <v>0</v>
      </c>
      <c r="E10" s="56" t="e">
        <f>(SUMIFS('INPUT - Infra Projects'!$AM$3:$AM$38,'INPUT - Infra Projects'!$S$3:$S$38,"1",'INPUT - Infra Projects'!$AA$3:$AA$38,"BIC",'INPUT - Infra Projects'!$M$3:$M$38,"p1"))/(SUMIFS('INPUT - Infra Projects'!$AM$3:$AM$38,'INPUT - Infra Projects'!$AA$3:$AA$38,"BIC",'INPUT - Infra Projects'!$M$3:$M$38,"p1"))*100</f>
        <v>#DIV/0!</v>
      </c>
    </row>
    <row r="11" spans="1:5" x14ac:dyDescent="0.25">
      <c r="A11" t="s">
        <v>322</v>
      </c>
      <c r="B11" s="56">
        <v>0</v>
      </c>
      <c r="C11" s="56">
        <f>SUMIFS('INPUT - Infra Projects'!AM3:AM38,'INPUT - Infra Projects'!S3:S38,"1",'INPUT - Infra Projects'!AA3:AA38,"CAR",'INPUT - Infra Projects'!M3:M38,"p2")/SUMIFS('INPUT - Infra Projects'!AM3:AM38,'INPUT - Infra Projects'!AA3:AA38,"CAR",'INPUT - Infra Projects'!M3:M38,"p2")*100</f>
        <v>0</v>
      </c>
      <c r="D11" s="56">
        <f>(SUMIFS('INPUT - Infra Projects'!$AM$3:$AM$38,'INPUT - Infra Projects'!$S$3:$S$38,"1",'INPUT - Infra Projects'!$AA$3:$AA$38,"PT",'INPUT - Infra Projects'!$M$3:$M$38,"p2"))/(SUMIFS('INPUT - Infra Projects'!$AM$3:$AM$38,'INPUT - Infra Projects'!$AA$3:$AA$38,"PT",'INPUT - Infra Projects'!$M$3:$M$38,"p2"))*100</f>
        <v>0</v>
      </c>
      <c r="E11" s="56" t="e">
        <f>(SUMIFS('INPUT - Infra Projects'!$AM$3:$AM$38,'INPUT - Infra Projects'!$S$3:$S$38,"1",'INPUT - Infra Projects'!$AA$3:$AA$38,"BIC",'INPUT - Infra Projects'!$M$3:$M$38,"p2"))/(SUMIFS('INPUT - Infra Projects'!$AM$3:$AM$38,'INPUT - Infra Projects'!$AA$3:$AA$38,"BIC",'INPUT - Infra Projects'!$M$3:$M$38,"p2"))*100</f>
        <v>#DIV/0!</v>
      </c>
    </row>
    <row r="12" spans="1:5" x14ac:dyDescent="0.25">
      <c r="A12" t="s">
        <v>323</v>
      </c>
      <c r="B12" s="56">
        <v>0</v>
      </c>
      <c r="C12" s="56">
        <f>SUMIFS('INPUT - Infra Projects'!AM3:AM38,'INPUT - Infra Projects'!S3:S38,"1",'INPUT - Infra Projects'!AA3:AA38,"CAR",'INPUT - Infra Projects'!M3:M38,"p3")/SUMIFS('INPUT - Infra Projects'!AM3:AM38,'INPUT - Infra Projects'!AA3:AA38,"CAR",'INPUT - Infra Projects'!M3:M38,"p3")*100</f>
        <v>0</v>
      </c>
      <c r="D12" s="56">
        <f>(SUMIFS('INPUT - Infra Projects'!$AM$3:$AM$38,'INPUT - Infra Projects'!$S$3:$S$38,"1",'INPUT - Infra Projects'!$AA$3:$AA$38,"PT",'INPUT - Infra Projects'!$M$3:$M$38,"p3"))/(SUMIFS('INPUT - Infra Projects'!$AM$3:$AM$38,'INPUT - Infra Projects'!$AA$3:$AA$38,"PT",'INPUT - Infra Projects'!$M$3:$M$38,"p3"))*100</f>
        <v>0</v>
      </c>
      <c r="E12" s="56">
        <f>(SUMIFS('INPUT - Infra Projects'!$AM$3:$AM$38,'INPUT - Infra Projects'!$S$3:$S$38,"1",'INPUT - Infra Projects'!$AA$3:$AA$38,"BIC",'INPUT - Infra Projects'!$M$3:$M$38,"p3"))/(SUMIFS('INPUT - Infra Projects'!$AM$3:$AM$38,'INPUT - Infra Projects'!$AA$3:$AA$38,"BIC",'INPUT - Infra Projects'!$M$3:$M$38,"p3"))*100</f>
        <v>0</v>
      </c>
    </row>
    <row r="13" spans="1:5" x14ac:dyDescent="0.25">
      <c r="A13" t="s">
        <v>324</v>
      </c>
      <c r="B13" s="56">
        <v>0</v>
      </c>
      <c r="C13" s="56">
        <f>(SUMIFS('INPUT - Infra Projects'!AM3:AM38,'INPUT - Infra Projects'!S3:S38,"1",'INPUT - Infra Projects'!AA3:AA38,"CAR",'INPUT - Infra Projects'!M3:M38,"p4"))/(SUMIFS('INPUT - Infra Projects'!AM3:AM38,'INPUT - Infra Projects'!AA3:AA38,"CAR",'INPUT - Infra Projects'!M3:M38,"p4"))*100</f>
        <v>0</v>
      </c>
      <c r="D13" s="56">
        <f>(SUMIFS('INPUT - Infra Projects'!$AM$3:$AM$38,'INPUT - Infra Projects'!$S$3:$S$38,"1",'INPUT - Infra Projects'!$AA$3:$AA$38,"PT",'INPUT - Infra Projects'!$M$3:$M$38,"p4"))/(SUMIFS('INPUT - Infra Projects'!$AM$3:$AM$38,'INPUT - Infra Projects'!$AA$3:$AA$38,"PT",'INPUT - Infra Projects'!$M$3:$M$38,"p4"))*100</f>
        <v>0</v>
      </c>
      <c r="E13" s="56">
        <f>(SUMIFS('INPUT - Infra Projects'!$AM$3:$AM$38,'INPUT - Infra Projects'!$S$3:$S$38,"1",'INPUT - Infra Projects'!$AA$3:$AA$38,"BIC",'INPUT - Infra Projects'!$M$3:$M$38,"p4"))/(SUMIFS('INPUT - Infra Projects'!$AM$3:$AM$38,'INPUT - Infra Projects'!$AA$3:$AA$38,"BIC",'INPUT - Infra Projects'!$M$3:$M$38,"p4"))*100</f>
        <v>0</v>
      </c>
    </row>
    <row r="14" spans="1:5" x14ac:dyDescent="0.25">
      <c r="A14" t="s">
        <v>325</v>
      </c>
      <c r="B14" s="56">
        <v>0</v>
      </c>
      <c r="C14" s="56">
        <f>(SUMIFS('INPUT - Infra Projects'!AM3:AM38,'INPUT - Infra Projects'!S3:S38,"1",'INPUT - Infra Projects'!AA3:AA38,"CAR",'INPUT - Infra Projects'!M3:M38,"p5"))/(SUMIFS('INPUT - Infra Projects'!AM3:AM38,'INPUT - Infra Projects'!AA3:AA38,"CAR",'INPUT - Infra Projects'!M3:M38,"p5"))*100</f>
        <v>0</v>
      </c>
      <c r="D14" s="56" t="e">
        <f>(SUMIFS('INPUT - Infra Projects'!$AM$3:$AM$38,'INPUT - Infra Projects'!$S$3:$S$38,"1",'INPUT - Infra Projects'!$AA$3:$AA$38,"PT",'INPUT - Infra Projects'!$M$3:$M$38,"p5"))/(SUMIFS('INPUT - Infra Projects'!$AM$3:$AM$38,'INPUT - Infra Projects'!$AA$3:$AA$38,"PT",'INPUT - Infra Projects'!$M$3:$M$38,"p5"))*100</f>
        <v>#DIV/0!</v>
      </c>
      <c r="E14" s="56" t="e">
        <f>(SUMIFS('INPUT - Infra Projects'!$AM$3:$AM$38,'INPUT - Infra Projects'!$S$3:$S$38,"1",'INPUT - Infra Projects'!$AA$3:$AA$38,"BIC",'INPUT - Infra Projects'!$M$3:$M$38,"p5"))/(SUMIFS('INPUT - Infra Projects'!$AM$3:$AM$38,'INPUT - Infra Projects'!$AA$3:$AA$38,"BIC",'INPUT - Infra Projects'!$M$3:$M$38,"p5"))*100</f>
        <v>#DIV/0!</v>
      </c>
    </row>
    <row r="15" spans="1:5" x14ac:dyDescent="0.25">
      <c r="A15" t="s">
        <v>326</v>
      </c>
      <c r="B15" s="56">
        <v>0</v>
      </c>
      <c r="C15" s="56" t="e">
        <f>(SUMIFS('INPUT - Infra Projects'!AM3:AM38,'INPUT - Infra Projects'!S3:S38,"1",'INPUT - Infra Projects'!AA3:AA38,"CAR",'INPUT - Infra Projects'!M3:M38,"p6"))/(SUMIFS('INPUT - Infra Projects'!AM3:AM38,'INPUT - Infra Projects'!AA3:AA38,"CAR",'INPUT - Infra Projects'!M3:M38,"p6"))*100</f>
        <v>#DIV/0!</v>
      </c>
      <c r="D15" s="56" t="e">
        <f>(SUMIFS('INPUT - Infra Projects'!$AM$3:$AM$38,'INPUT - Infra Projects'!$S$3:$S$38,"1",'INPUT - Infra Projects'!$AA$3:$AA$38,"PT",'INPUT - Infra Projects'!$M$3:$M$38,"p6"))/(SUMIFS('INPUT - Infra Projects'!$AM$3:$AM$38,'INPUT - Infra Projects'!$AA$3:$AA$38,"PT",'INPUT - Infra Projects'!$M$3:$M$38,"p6"))*100</f>
        <v>#DIV/0!</v>
      </c>
      <c r="E15" s="56" t="e">
        <f>(SUMIFS('INPUT - Infra Projects'!$AM$3:$AM$38,'INPUT - Infra Projects'!$S$3:$S$38,"1",'INPUT - Infra Projects'!$AA$3:$AA$38,"BIC",'INPUT - Infra Projects'!$M$3:$M$38,"p6"))/(SUMIFS('INPUT - Infra Projects'!$AM$3:$AM$38,'INPUT - Infra Projects'!$AA$3:$AA$38,"BIC",'INPUT - Infra Projects'!$M$3:$M$38,"p6"))*100</f>
        <v>#DIV/0!</v>
      </c>
    </row>
    <row r="16" spans="1:5" x14ac:dyDescent="0.25">
      <c r="A16" t="s">
        <v>327</v>
      </c>
      <c r="B16" s="56">
        <v>0</v>
      </c>
      <c r="C16" s="56" t="e">
        <f>(SUMIFS('INPUT - Infra Projects'!AM3:AM38,'INPUT - Infra Projects'!S3:S38,"1",'INPUT - Infra Projects'!AA3:AA38,"CAR",'INPUT - Infra Projects'!M3:M38,"p7"))/(SUMIFS('INPUT - Infra Projects'!AM3:AM38,'INPUT - Infra Projects'!AA3:AA38,"CAR",'INPUT - Infra Projects'!M3:M38,"p7"))*100</f>
        <v>#DIV/0!</v>
      </c>
      <c r="D16" s="56" t="e">
        <f>(SUMIFS('INPUT - Infra Projects'!$AM$3:$AM$38,'INPUT - Infra Projects'!$S$3:$S$38,"1",'INPUT - Infra Projects'!$AA$3:$AA$38,"PT",'INPUT - Infra Projects'!$M$3:$M$38,"p7"))/(SUMIFS('INPUT - Infra Projects'!$AM$3:$AM$38,'INPUT - Infra Projects'!$AA$3:$AA$38,"PT",'INPUT - Infra Projects'!$M$3:$M$38,"p7"))*100</f>
        <v>#DIV/0!</v>
      </c>
      <c r="E16" s="56" t="e">
        <f>(SUMIFS('INPUT - Infra Projects'!$AM$3:$AM$38,'INPUT - Infra Projects'!$S$3:$S$38,"1",'INPUT - Infra Projects'!$AA$3:$AA$38,"BIC",'INPUT - Infra Projects'!$M$3:$M$38,"p7"))/(SUMIFS('INPUT - Infra Projects'!$AM$3:$AM$38,'INPUT - Infra Projects'!$AA$3:$AA$38,"BIC",'INPUT - Infra Projects'!$M$3:$M$38,"p7"))*100</f>
        <v>#DIV/0!</v>
      </c>
    </row>
    <row r="18" spans="1:5" x14ac:dyDescent="0.25">
      <c r="A18" t="s">
        <v>13</v>
      </c>
      <c r="B18" s="56">
        <v>0</v>
      </c>
      <c r="C18" s="4">
        <f>(SUMIFS('INPUT - Infra Projects'!AM3:AM38,'INPUT - Infra Projects'!S3:S38,"1",'INPUT - Infra Projects'!AA3:AA38,"CAR"))/(SUMIF('INPUT - Infra Projects'!AA3:AA38,"CAR",'INPUT - Infra Projects'!AM3:AM38))*100</f>
        <v>0</v>
      </c>
      <c r="D18" s="4">
        <f>(SUMIFS('INPUT - Infra Projects'!AM3:AM38,'INPUT - Infra Projects'!S3:S38,"1",'INPUT - Infra Projects'!AA3:AA38,"PT"))/(SUMIF('INPUT - Infra Projects'!AA3:AA38,"PT",'INPUT - Infra Projects'!AM3:AM38))*100</f>
        <v>0</v>
      </c>
      <c r="E18" s="4">
        <f>(SUMIFS('INPUT - Infra Projects'!AM3:AM38,'INPUT - Infra Projects'!S3:S38,"1",'INPUT - Infra Projects'!AA3:AA38,"BIC"))/(SUMIF('INPUT - Infra Projects'!AA3:AA38,"BIC",'INPUT - Infra Projects'!AM3:AM38))*100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Raphael</cp:lastModifiedBy>
  <dcterms:created xsi:type="dcterms:W3CDTF">2018-06-21T09:33:50Z</dcterms:created>
  <dcterms:modified xsi:type="dcterms:W3CDTF">2018-10-11T16:16:34Z</dcterms:modified>
</cp:coreProperties>
</file>