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511177\Dropbox\"/>
    </mc:Choice>
  </mc:AlternateContent>
  <bookViews>
    <workbookView xWindow="0" yWindow="0" windowWidth="17490" windowHeight="7980" tabRatio="762" firstSheet="2" activeTab="6"/>
  </bookViews>
  <sheets>
    <sheet name="BASIS - Financial data" sheetId="21" r:id="rId1"/>
    <sheet name="BASIS - Housing per period" sheetId="20" r:id="rId2"/>
    <sheet name="BASIS - Accessiblity of plans" sheetId="19" r:id="rId3"/>
    <sheet name="BASIS - Plans per municipality" sheetId="2" r:id="rId4"/>
    <sheet name="BASIS - Housing demand" sheetId="3" r:id="rId5"/>
    <sheet name="INPUT - Housing per plan " sheetId="11" r:id="rId6"/>
    <sheet name="INPUT - Infra Projects" sheetId="6" r:id="rId7"/>
    <sheet name="Packages" sheetId="12" r:id="rId8"/>
    <sheet name="Indicator 1 Accessibility" sheetId="9" r:id="rId9"/>
    <sheet name="Indicator 2 Market balance" sheetId="5" r:id="rId10"/>
    <sheet name="Indicator 3 Finances" sheetId="8" r:id="rId11"/>
    <sheet name="Indicator 4 Spatial Goals" sheetId="22" r:id="rId12"/>
    <sheet name="Indicator 5 Sustainability" sheetId="23" r:id="rId13"/>
    <sheet name="Sheet1" sheetId="24" r:id="rId14"/>
    <sheet name="Reserve Revenue (NOT USED)" sheetId="15" r:id="rId15"/>
    <sheet name="Housing plans (NO USE)" sheetId="18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8" l="1"/>
  <c r="F17" i="22"/>
  <c r="F16" i="22"/>
  <c r="D17" i="22"/>
  <c r="D16" i="22"/>
  <c r="B17" i="22"/>
  <c r="B16" i="22"/>
  <c r="P4" i="2"/>
  <c r="P7" i="2"/>
  <c r="B6" i="5"/>
  <c r="Q21" i="11"/>
  <c r="Q20" i="11"/>
  <c r="Q19" i="11"/>
  <c r="Q18" i="11"/>
  <c r="Q17" i="11"/>
  <c r="Q16" i="11"/>
  <c r="Q15" i="11"/>
  <c r="J15" i="11"/>
  <c r="L15" i="11" s="1"/>
  <c r="J16" i="11"/>
  <c r="L16" i="11" s="1"/>
  <c r="J17" i="11"/>
  <c r="L17" i="11" s="1"/>
  <c r="J18" i="11"/>
  <c r="L18" i="11" s="1"/>
  <c r="N18" i="11" s="1"/>
  <c r="J19" i="11"/>
  <c r="L19" i="11" s="1"/>
  <c r="J20" i="11"/>
  <c r="L20" i="11" s="1"/>
  <c r="J21" i="11"/>
  <c r="L21" i="11" s="1"/>
  <c r="O21" i="19"/>
  <c r="P21" i="19"/>
  <c r="G21" i="11" s="1"/>
  <c r="O20" i="19"/>
  <c r="M21" i="19"/>
  <c r="M20" i="19"/>
  <c r="O19" i="19"/>
  <c r="M19" i="19"/>
  <c r="P19" i="19" s="1"/>
  <c r="G19" i="11" s="1"/>
  <c r="I21" i="19"/>
  <c r="H21" i="11" s="1"/>
  <c r="I20" i="19"/>
  <c r="H20" i="11" s="1"/>
  <c r="I19" i="19"/>
  <c r="H19" i="11" s="1"/>
  <c r="G21" i="20"/>
  <c r="G20" i="20"/>
  <c r="G19" i="20"/>
  <c r="I15" i="19"/>
  <c r="H15" i="11" s="1"/>
  <c r="I16" i="19"/>
  <c r="H16" i="11" s="1"/>
  <c r="I17" i="19"/>
  <c r="H17" i="11" s="1"/>
  <c r="I18" i="19"/>
  <c r="H18" i="11" s="1"/>
  <c r="M15" i="19"/>
  <c r="M16" i="19"/>
  <c r="M17" i="19"/>
  <c r="M18" i="19"/>
  <c r="O15" i="19"/>
  <c r="P15" i="19" s="1"/>
  <c r="G15" i="11" s="1"/>
  <c r="O16" i="19"/>
  <c r="P16" i="19" s="1"/>
  <c r="G16" i="11" s="1"/>
  <c r="O17" i="19"/>
  <c r="P17" i="19" s="1"/>
  <c r="G17" i="11" s="1"/>
  <c r="O18" i="19"/>
  <c r="P18" i="19" s="1"/>
  <c r="G18" i="11" s="1"/>
  <c r="Q15" i="19"/>
  <c r="Q16" i="19"/>
  <c r="G18" i="20"/>
  <c r="G17" i="20"/>
  <c r="G16" i="20"/>
  <c r="G15" i="20"/>
  <c r="P20" i="19" l="1"/>
  <c r="G20" i="11" s="1"/>
  <c r="Q18" i="19"/>
  <c r="Q21" i="19"/>
  <c r="Q19" i="19"/>
  <c r="Q20" i="19"/>
  <c r="O21" i="11"/>
  <c r="S21" i="11" s="1"/>
  <c r="N21" i="11"/>
  <c r="P21" i="11" s="1"/>
  <c r="O17" i="11"/>
  <c r="S17" i="11" s="1"/>
  <c r="N17" i="11"/>
  <c r="P17" i="11" s="1"/>
  <c r="N20" i="11"/>
  <c r="O20" i="11"/>
  <c r="S20" i="11" s="1"/>
  <c r="N16" i="11"/>
  <c r="O16" i="11"/>
  <c r="S16" i="11" s="1"/>
  <c r="N19" i="11"/>
  <c r="O19" i="11"/>
  <c r="S19" i="11" s="1"/>
  <c r="N15" i="11"/>
  <c r="O15" i="11"/>
  <c r="S15" i="11" s="1"/>
  <c r="R18" i="11"/>
  <c r="O18" i="11"/>
  <c r="P18" i="11" s="1"/>
  <c r="R16" i="11"/>
  <c r="R17" i="11"/>
  <c r="T17" i="11" s="1"/>
  <c r="Q17" i="19"/>
  <c r="P19" i="11" l="1"/>
  <c r="T16" i="11"/>
  <c r="S18" i="11"/>
  <c r="T18" i="11" s="1"/>
  <c r="R21" i="11"/>
  <c r="T21" i="11" s="1"/>
  <c r="P20" i="11"/>
  <c r="R19" i="11"/>
  <c r="T19" i="11" s="1"/>
  <c r="P15" i="11"/>
  <c r="R20" i="11"/>
  <c r="T20" i="11" s="1"/>
  <c r="R15" i="11"/>
  <c r="T15" i="11" s="1"/>
  <c r="P16" i="11"/>
  <c r="C10" i="9"/>
  <c r="E18" i="9"/>
  <c r="D18" i="9"/>
  <c r="C18" i="9"/>
  <c r="E16" i="9"/>
  <c r="E15" i="9"/>
  <c r="E14" i="9"/>
  <c r="E13" i="9"/>
  <c r="E12" i="9"/>
  <c r="E11" i="9"/>
  <c r="E10" i="9"/>
  <c r="D16" i="9"/>
  <c r="D15" i="9"/>
  <c r="D14" i="9"/>
  <c r="D13" i="9"/>
  <c r="D12" i="9"/>
  <c r="D11" i="9"/>
  <c r="C16" i="9"/>
  <c r="C15" i="9"/>
  <c r="C14" i="9"/>
  <c r="C13" i="9"/>
  <c r="C12" i="9"/>
  <c r="C11" i="9"/>
  <c r="D12" i="21"/>
  <c r="D11" i="21"/>
  <c r="D10" i="21"/>
  <c r="D9" i="21"/>
  <c r="D8" i="21"/>
  <c r="C31" i="8" l="1"/>
  <c r="D31" i="8" s="1"/>
  <c r="C30" i="8"/>
  <c r="D30" i="8" s="1"/>
  <c r="C29" i="8"/>
  <c r="C28" i="8"/>
  <c r="C27" i="8"/>
  <c r="C26" i="8"/>
  <c r="C25" i="8"/>
  <c r="D10" i="9"/>
  <c r="D6" i="9" l="1"/>
  <c r="D5" i="9"/>
  <c r="D4" i="9"/>
  <c r="D3" i="9"/>
  <c r="D2" i="9"/>
  <c r="C6" i="9"/>
  <c r="C5" i="9"/>
  <c r="C4" i="9"/>
  <c r="C3" i="9"/>
  <c r="C2" i="9"/>
  <c r="AY4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Z4" i="6"/>
  <c r="AZ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BA4" i="6"/>
  <c r="BA5" i="6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B4" i="6"/>
  <c r="BB5" i="6"/>
  <c r="BB6" i="6"/>
  <c r="BB7" i="6"/>
  <c r="BB8" i="6"/>
  <c r="BB9" i="6"/>
  <c r="BB10" i="6"/>
  <c r="BB11" i="6"/>
  <c r="BB12" i="6"/>
  <c r="BB13" i="6"/>
  <c r="BB14" i="6"/>
  <c r="BB15" i="6"/>
  <c r="BB16" i="6"/>
  <c r="BB17" i="6"/>
  <c r="BB18" i="6"/>
  <c r="BB19" i="6"/>
  <c r="BB20" i="6"/>
  <c r="BB21" i="6"/>
  <c r="BB22" i="6"/>
  <c r="BB23" i="6"/>
  <c r="BB24" i="6"/>
  <c r="BB25" i="6"/>
  <c r="BB26" i="6"/>
  <c r="BB27" i="6"/>
  <c r="BB28" i="6"/>
  <c r="BB29" i="6"/>
  <c r="BB30" i="6"/>
  <c r="BB31" i="6"/>
  <c r="BB32" i="6"/>
  <c r="BB33" i="6"/>
  <c r="BB34" i="6"/>
  <c r="BB35" i="6"/>
  <c r="BB36" i="6"/>
  <c r="BB37" i="6"/>
  <c r="BB38" i="6"/>
  <c r="BB39" i="6"/>
  <c r="BB40" i="6"/>
  <c r="BB3" i="6"/>
  <c r="BA3" i="6"/>
  <c r="AZ3" i="6"/>
  <c r="AY3" i="6"/>
  <c r="AX4" i="6"/>
  <c r="AX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3" i="6"/>
  <c r="AW4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3" i="6"/>
  <c r="AV4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U4" i="6"/>
  <c r="AU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V3" i="6"/>
  <c r="AU3" i="6"/>
  <c r="AT4" i="6"/>
  <c r="AT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3" i="6"/>
  <c r="AS4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3" i="6"/>
  <c r="AN3" i="6"/>
  <c r="Q14" i="11"/>
  <c r="Q13" i="11"/>
  <c r="Q12" i="11"/>
  <c r="Q11" i="11"/>
  <c r="Q10" i="11"/>
  <c r="Q9" i="11"/>
  <c r="Q8" i="11"/>
  <c r="Q7" i="11"/>
  <c r="Q6" i="11"/>
  <c r="Q5" i="11"/>
  <c r="Q4" i="11"/>
  <c r="Q3" i="11"/>
  <c r="AR4" i="6"/>
  <c r="AR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Q4" i="6"/>
  <c r="AQ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R3" i="6"/>
  <c r="AQ3" i="6"/>
  <c r="AP4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3" i="6"/>
  <c r="AN40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M4" i="19" l="1"/>
  <c r="M5" i="19"/>
  <c r="M6" i="19"/>
  <c r="M7" i="19"/>
  <c r="M8" i="19"/>
  <c r="M9" i="19"/>
  <c r="M10" i="19"/>
  <c r="M11" i="19"/>
  <c r="M12" i="19"/>
  <c r="M13" i="19"/>
  <c r="M14" i="19"/>
  <c r="M3" i="19"/>
  <c r="O4" i="19"/>
  <c r="P4" i="19" s="1"/>
  <c r="G4" i="11" s="1"/>
  <c r="O5" i="19"/>
  <c r="O6" i="19"/>
  <c r="P6" i="19" s="1"/>
  <c r="G6" i="11" s="1"/>
  <c r="O7" i="19"/>
  <c r="P7" i="19" s="1"/>
  <c r="G7" i="11" s="1"/>
  <c r="O8" i="19"/>
  <c r="P8" i="19" s="1"/>
  <c r="G8" i="11" s="1"/>
  <c r="O9" i="19"/>
  <c r="O10" i="19"/>
  <c r="P10" i="19" s="1"/>
  <c r="G10" i="11" s="1"/>
  <c r="O11" i="19"/>
  <c r="P11" i="19" s="1"/>
  <c r="G11" i="11" s="1"/>
  <c r="O12" i="19"/>
  <c r="O13" i="19"/>
  <c r="P13" i="19" s="1"/>
  <c r="G13" i="11" s="1"/>
  <c r="O14" i="19"/>
  <c r="P14" i="19" s="1"/>
  <c r="G14" i="11" s="1"/>
  <c r="O3" i="19"/>
  <c r="P3" i="19" s="1"/>
  <c r="G3" i="11" s="1"/>
  <c r="I4" i="19"/>
  <c r="H4" i="11" s="1"/>
  <c r="I5" i="19"/>
  <c r="H5" i="11" s="1"/>
  <c r="I6" i="19"/>
  <c r="H6" i="11" s="1"/>
  <c r="I7" i="19"/>
  <c r="H7" i="11" s="1"/>
  <c r="I8" i="19"/>
  <c r="H8" i="11" s="1"/>
  <c r="I9" i="19"/>
  <c r="H9" i="11" s="1"/>
  <c r="I10" i="19"/>
  <c r="H10" i="11" s="1"/>
  <c r="I11" i="19"/>
  <c r="H11" i="11" s="1"/>
  <c r="I12" i="19"/>
  <c r="H12" i="11" s="1"/>
  <c r="I13" i="19"/>
  <c r="H13" i="11" s="1"/>
  <c r="I14" i="19"/>
  <c r="H14" i="11" s="1"/>
  <c r="I3" i="19"/>
  <c r="H3" i="11" s="1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3" i="6"/>
  <c r="C17" i="21"/>
  <c r="C16" i="21"/>
  <c r="C11" i="21"/>
  <c r="C10" i="21"/>
  <c r="C9" i="21"/>
  <c r="C8" i="21"/>
  <c r="E5" i="21"/>
  <c r="G4" i="21" s="1"/>
  <c r="E4" i="21"/>
  <c r="F10" i="21" s="1"/>
  <c r="E3" i="21"/>
  <c r="G14" i="20"/>
  <c r="G13" i="20"/>
  <c r="G12" i="20"/>
  <c r="G11" i="20"/>
  <c r="G10" i="20"/>
  <c r="G9" i="20"/>
  <c r="G8" i="20"/>
  <c r="G7" i="20"/>
  <c r="G6" i="20"/>
  <c r="G5" i="20"/>
  <c r="G4" i="20"/>
  <c r="G3" i="20"/>
  <c r="I41" i="6"/>
  <c r="B16" i="8"/>
  <c r="B17" i="8"/>
  <c r="B18" i="8"/>
  <c r="B19" i="8"/>
  <c r="B20" i="8"/>
  <c r="B21" i="8"/>
  <c r="B22" i="8"/>
  <c r="C35" i="18"/>
  <c r="C34" i="18"/>
  <c r="F30" i="18"/>
  <c r="D30" i="18"/>
  <c r="F29" i="18"/>
  <c r="D29" i="18"/>
  <c r="C29" i="18"/>
  <c r="C28" i="18"/>
  <c r="F27" i="18"/>
  <c r="D27" i="18"/>
  <c r="C27" i="18"/>
  <c r="C26" i="18"/>
  <c r="E23" i="18"/>
  <c r="G22" i="18" s="1"/>
  <c r="F22" i="18"/>
  <c r="G30" i="18" s="1"/>
  <c r="E22" i="18"/>
  <c r="F26" i="18" s="1"/>
  <c r="F21" i="18"/>
  <c r="E29" i="18" s="1"/>
  <c r="E21" i="18"/>
  <c r="D28" i="18" s="1"/>
  <c r="I17" i="18"/>
  <c r="P17" i="18" s="1"/>
  <c r="P16" i="18"/>
  <c r="I16" i="18"/>
  <c r="I15" i="18"/>
  <c r="P15" i="18" s="1"/>
  <c r="P14" i="18"/>
  <c r="I14" i="18"/>
  <c r="I13" i="18"/>
  <c r="P13" i="18" s="1"/>
  <c r="P12" i="18"/>
  <c r="I12" i="18"/>
  <c r="I11" i="18"/>
  <c r="P11" i="18" s="1"/>
  <c r="P10" i="18"/>
  <c r="I10" i="18"/>
  <c r="I9" i="18"/>
  <c r="P9" i="18" s="1"/>
  <c r="P8" i="18"/>
  <c r="I8" i="18"/>
  <c r="I7" i="18"/>
  <c r="P7" i="18" s="1"/>
  <c r="P6" i="18"/>
  <c r="I6" i="18"/>
  <c r="I5" i="18"/>
  <c r="P5" i="18" s="1"/>
  <c r="P4" i="18"/>
  <c r="I4" i="18"/>
  <c r="I3" i="18"/>
  <c r="P3" i="18" s="1"/>
  <c r="P12" i="19" l="1"/>
  <c r="G12" i="11" s="1"/>
  <c r="P9" i="19"/>
  <c r="G9" i="11" s="1"/>
  <c r="P5" i="19"/>
  <c r="G5" i="11" s="1"/>
  <c r="Q14" i="19"/>
  <c r="Q10" i="19"/>
  <c r="Q7" i="19"/>
  <c r="Q13" i="19"/>
  <c r="Q6" i="19"/>
  <c r="Q3" i="19"/>
  <c r="Q12" i="19"/>
  <c r="Q9" i="19"/>
  <c r="Q5" i="19"/>
  <c r="Q11" i="19"/>
  <c r="Q8" i="19"/>
  <c r="Q4" i="19"/>
  <c r="F9" i="21"/>
  <c r="F12" i="21"/>
  <c r="F8" i="21"/>
  <c r="F3" i="21"/>
  <c r="F4" i="21"/>
  <c r="F11" i="21"/>
  <c r="G3" i="21"/>
  <c r="Q16" i="18"/>
  <c r="Q12" i="18"/>
  <c r="Q15" i="18"/>
  <c r="Q13" i="18"/>
  <c r="Q14" i="18"/>
  <c r="G26" i="18"/>
  <c r="E28" i="18"/>
  <c r="Q7" i="18" s="1"/>
  <c r="G21" i="18"/>
  <c r="D26" i="18"/>
  <c r="E27" i="18"/>
  <c r="Q3" i="18" s="1"/>
  <c r="F28" i="18"/>
  <c r="G29" i="18"/>
  <c r="Q17" i="18" s="1"/>
  <c r="E30" i="18"/>
  <c r="H21" i="18"/>
  <c r="H22" i="18"/>
  <c r="E26" i="18"/>
  <c r="G28" i="18"/>
  <c r="G27" i="18"/>
  <c r="Z7" i="12"/>
  <c r="Z6" i="12"/>
  <c r="Z5" i="12"/>
  <c r="Z4" i="12"/>
  <c r="Z3" i="12"/>
  <c r="B3" i="5"/>
  <c r="F6" i="15"/>
  <c r="J5" i="11"/>
  <c r="L5" i="11" s="1"/>
  <c r="O5" i="11" l="1"/>
  <c r="N5" i="11"/>
  <c r="P5" i="11" s="1"/>
  <c r="G11" i="21"/>
  <c r="G8" i="21"/>
  <c r="G12" i="21"/>
  <c r="G9" i="21"/>
  <c r="G10" i="21"/>
  <c r="H4" i="21"/>
  <c r="E12" i="21"/>
  <c r="E9" i="21"/>
  <c r="E10" i="21"/>
  <c r="E11" i="21"/>
  <c r="E8" i="21"/>
  <c r="H3" i="21"/>
  <c r="H28" i="18"/>
  <c r="R7" i="18" s="1"/>
  <c r="S7" i="18" s="1"/>
  <c r="H29" i="18"/>
  <c r="H26" i="18"/>
  <c r="R11" i="18" s="1"/>
  <c r="H30" i="18"/>
  <c r="H27" i="18"/>
  <c r="R3" i="18" s="1"/>
  <c r="S3" i="18"/>
  <c r="Q9" i="18"/>
  <c r="Q10" i="18"/>
  <c r="Q8" i="18"/>
  <c r="Q4" i="18"/>
  <c r="Q6" i="18"/>
  <c r="Q5" i="18"/>
  <c r="Q11" i="18"/>
  <c r="S11" i="18" s="1"/>
  <c r="S17" i="18"/>
  <c r="I29" i="18"/>
  <c r="R17" i="18" s="1"/>
  <c r="I26" i="18"/>
  <c r="I30" i="18"/>
  <c r="I27" i="18"/>
  <c r="I28" i="18"/>
  <c r="H3" i="3"/>
  <c r="H4" i="3"/>
  <c r="H5" i="3"/>
  <c r="H6" i="3"/>
  <c r="H2" i="3"/>
  <c r="B5" i="5"/>
  <c r="B4" i="5"/>
  <c r="J4" i="11"/>
  <c r="J6" i="11"/>
  <c r="J7" i="11"/>
  <c r="J8" i="11"/>
  <c r="J9" i="11"/>
  <c r="J10" i="11"/>
  <c r="J11" i="11"/>
  <c r="J12" i="11"/>
  <c r="J13" i="11"/>
  <c r="J14" i="11"/>
  <c r="J3" i="11"/>
  <c r="D7" i="8"/>
  <c r="E7" i="8" s="1"/>
  <c r="D8" i="8"/>
  <c r="E8" i="8" s="1"/>
  <c r="D3" i="8"/>
  <c r="D4" i="8"/>
  <c r="D5" i="8"/>
  <c r="D6" i="8"/>
  <c r="D2" i="8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3" i="6"/>
  <c r="E6" i="15"/>
  <c r="D6" i="15"/>
  <c r="C6" i="15"/>
  <c r="B6" i="15"/>
  <c r="G4" i="15"/>
  <c r="F3" i="15"/>
  <c r="F8" i="15" s="1"/>
  <c r="E3" i="15"/>
  <c r="E8" i="15" s="1"/>
  <c r="D3" i="15"/>
  <c r="D8" i="15" s="1"/>
  <c r="C3" i="15"/>
  <c r="G3" i="15" s="1"/>
  <c r="B3" i="15"/>
  <c r="B8" i="15" s="1"/>
  <c r="F2" i="15"/>
  <c r="E2" i="15"/>
  <c r="D2" i="15"/>
  <c r="C2" i="15"/>
  <c r="G2" i="15" s="1"/>
  <c r="B2" i="15"/>
  <c r="L14" i="11" l="1"/>
  <c r="L8" i="11"/>
  <c r="L4" i="11"/>
  <c r="L10" i="11"/>
  <c r="L7" i="11"/>
  <c r="D13" i="22" s="1"/>
  <c r="L13" i="11"/>
  <c r="L12" i="11"/>
  <c r="L9" i="11"/>
  <c r="B15" i="22" s="1"/>
  <c r="L11" i="11"/>
  <c r="L3" i="11"/>
  <c r="L6" i="11"/>
  <c r="R5" i="11"/>
  <c r="I12" i="21"/>
  <c r="I9" i="21"/>
  <c r="I10" i="21"/>
  <c r="I11" i="21"/>
  <c r="I8" i="21"/>
  <c r="H8" i="21"/>
  <c r="H12" i="21"/>
  <c r="H9" i="21"/>
  <c r="H10" i="21"/>
  <c r="H11" i="21"/>
  <c r="S8" i="18"/>
  <c r="R15" i="18"/>
  <c r="S15" i="18" s="1"/>
  <c r="R14" i="18"/>
  <c r="S14" i="18" s="1"/>
  <c r="R12" i="18"/>
  <c r="S12" i="18" s="1"/>
  <c r="R13" i="18"/>
  <c r="S13" i="18" s="1"/>
  <c r="R16" i="18"/>
  <c r="S16" i="18" s="1"/>
  <c r="R10" i="18"/>
  <c r="S10" i="18" s="1"/>
  <c r="R9" i="18"/>
  <c r="R8" i="18"/>
  <c r="R4" i="18"/>
  <c r="S4" i="18" s="1"/>
  <c r="R6" i="18"/>
  <c r="S6" i="18" s="1"/>
  <c r="R5" i="18"/>
  <c r="S5" i="18" s="1"/>
  <c r="S9" i="18"/>
  <c r="B8" i="5"/>
  <c r="I2" i="15"/>
  <c r="G8" i="15"/>
  <c r="M2" i="15"/>
  <c r="D7" i="15"/>
  <c r="C8" i="15"/>
  <c r="B7" i="15"/>
  <c r="F7" i="15"/>
  <c r="P5" i="2"/>
  <c r="D15" i="22" l="1"/>
  <c r="D11" i="22"/>
  <c r="B11" i="22"/>
  <c r="B13" i="22"/>
  <c r="D18" i="22"/>
  <c r="D14" i="22"/>
  <c r="B18" i="22"/>
  <c r="B14" i="22"/>
  <c r="D12" i="22"/>
  <c r="B12" i="22"/>
  <c r="O10" i="11"/>
  <c r="N10" i="11"/>
  <c r="S10" i="11"/>
  <c r="O6" i="11"/>
  <c r="N6" i="11"/>
  <c r="O3" i="11"/>
  <c r="N3" i="11"/>
  <c r="N11" i="11"/>
  <c r="O11" i="11"/>
  <c r="O9" i="11"/>
  <c r="N9" i="11"/>
  <c r="N8" i="11"/>
  <c r="O8" i="11"/>
  <c r="S8" i="11" s="1"/>
  <c r="O7" i="11"/>
  <c r="S7" i="11" s="1"/>
  <c r="N7" i="11"/>
  <c r="O12" i="11"/>
  <c r="S12" i="11" s="1"/>
  <c r="N12" i="11"/>
  <c r="O13" i="11"/>
  <c r="N13" i="11"/>
  <c r="N4" i="11"/>
  <c r="O4" i="11"/>
  <c r="N14" i="11"/>
  <c r="O14" i="11"/>
  <c r="S6" i="11"/>
  <c r="S4" i="11"/>
  <c r="S5" i="11"/>
  <c r="S11" i="11"/>
  <c r="S14" i="11"/>
  <c r="C7" i="15"/>
  <c r="G7" i="15" s="1"/>
  <c r="E7" i="15"/>
  <c r="P6" i="2"/>
  <c r="Q4" i="2"/>
  <c r="F12" i="22" l="1"/>
  <c r="S9" i="11"/>
  <c r="F15" i="22"/>
  <c r="S3" i="11"/>
  <c r="F18" i="22"/>
  <c r="F14" i="22"/>
  <c r="F13" i="22"/>
  <c r="F11" i="22"/>
  <c r="P7" i="11"/>
  <c r="R7" i="11"/>
  <c r="T7" i="11" s="1"/>
  <c r="R3" i="11"/>
  <c r="P3" i="11"/>
  <c r="S13" i="11"/>
  <c r="P13" i="11"/>
  <c r="R13" i="11"/>
  <c r="P12" i="11"/>
  <c r="R12" i="11"/>
  <c r="T12" i="11" s="1"/>
  <c r="P10" i="11"/>
  <c r="R10" i="11"/>
  <c r="R14" i="11"/>
  <c r="P14" i="11"/>
  <c r="P8" i="11"/>
  <c r="R8" i="11"/>
  <c r="R6" i="11"/>
  <c r="T6" i="11" s="1"/>
  <c r="P6" i="11"/>
  <c r="R9" i="11"/>
  <c r="T9" i="11" s="1"/>
  <c r="P9" i="11"/>
  <c r="R11" i="11"/>
  <c r="T11" i="11" s="1"/>
  <c r="P11" i="11"/>
  <c r="R4" i="11"/>
  <c r="T4" i="11" s="1"/>
  <c r="P4" i="11"/>
  <c r="T14" i="11"/>
  <c r="T10" i="11"/>
  <c r="T5" i="11"/>
  <c r="T8" i="11"/>
  <c r="E6" i="9"/>
  <c r="E3" i="9"/>
  <c r="C7" i="9"/>
  <c r="E4" i="9"/>
  <c r="D7" i="9"/>
  <c r="E5" i="9"/>
  <c r="E2" i="9"/>
  <c r="B25" i="8" l="1"/>
  <c r="T3" i="11"/>
  <c r="T13" i="11"/>
  <c r="B27" i="8"/>
  <c r="D27" i="8" s="1"/>
  <c r="D25" i="8"/>
  <c r="D29" i="8"/>
  <c r="Y3" i="12"/>
  <c r="AA3" i="12" s="1"/>
  <c r="C5" i="8"/>
  <c r="Y5" i="12"/>
  <c r="AA5" i="12" s="1"/>
  <c r="C3" i="8"/>
  <c r="Y7" i="12"/>
  <c r="AA7" i="12" s="1"/>
  <c r="E7" i="9"/>
  <c r="D26" i="8" l="1"/>
  <c r="B26" i="8"/>
  <c r="B28" i="8"/>
  <c r="D28" i="8" s="1"/>
  <c r="C4" i="8"/>
  <c r="Y4" i="12"/>
  <c r="AA4" i="12" s="1"/>
  <c r="C6" i="8"/>
  <c r="Y6" i="12"/>
  <c r="AA6" i="12" s="1"/>
  <c r="E4" i="8"/>
  <c r="E3" i="8" l="1"/>
  <c r="E5" i="8"/>
  <c r="E2" i="8"/>
  <c r="E6" i="8" l="1"/>
  <c r="P8" i="2"/>
  <c r="R4" i="2"/>
  <c r="Q6" i="2"/>
  <c r="R6" i="2" s="1"/>
  <c r="Q5" i="2"/>
  <c r="R5" i="2" s="1"/>
  <c r="Q7" i="2"/>
  <c r="R7" i="2" s="1"/>
  <c r="Q8" i="2" l="1"/>
  <c r="R8" i="2" s="1"/>
  <c r="I5" i="3" l="1"/>
  <c r="I6" i="3"/>
  <c r="E6" i="5" s="1"/>
  <c r="I3" i="3"/>
  <c r="E4" i="5" s="1"/>
  <c r="I2" i="3"/>
  <c r="E2" i="5" s="1"/>
  <c r="I4" i="3"/>
  <c r="C3" i="5" s="1"/>
  <c r="I8" i="3" l="1"/>
  <c r="E8" i="5" s="1"/>
  <c r="C4" i="5"/>
  <c r="D4" i="5" s="1"/>
  <c r="C6" i="5"/>
  <c r="D6" i="5" s="1"/>
  <c r="E3" i="5"/>
  <c r="C5" i="5"/>
  <c r="D5" i="5" s="1"/>
  <c r="E5" i="5"/>
  <c r="I7" i="3"/>
  <c r="E7" i="5" s="1"/>
  <c r="C8" i="5" l="1"/>
  <c r="D8" i="5" s="1"/>
  <c r="D3" i="5"/>
</calcChain>
</file>

<file path=xl/comments1.xml><?xml version="1.0" encoding="utf-8"?>
<comments xmlns="http://schemas.openxmlformats.org/spreadsheetml/2006/main">
  <authors>
    <author>Sander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Prijsniveaus CBS
tov 2000
</t>
        </r>
      </text>
    </comment>
  </commentList>
</comments>
</file>

<file path=xl/comments10.xml><?xml version="1.0" encoding="utf-8"?>
<comments xmlns="http://schemas.openxmlformats.org/spreadsheetml/2006/main">
  <authors>
    <author>Sander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Sander:</t>
        </r>
        <r>
          <rPr>
            <sz val="9"/>
            <color indexed="81"/>
            <rFont val="Tahoma"/>
            <charset val="1"/>
          </rPr>
          <t xml:space="preserve">
afstand tot station?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see Infra Projects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Sander:</t>
        </r>
        <r>
          <rPr>
            <sz val="9"/>
            <color indexed="81"/>
            <rFont val="Tahoma"/>
            <charset val="1"/>
          </rPr>
          <t xml:space="preserve">
Not more than max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Prijsniveaus CBS
tov 2000
</t>
        </r>
      </text>
    </comment>
  </commentList>
</comments>
</file>

<file path=xl/comments2.xml><?xml version="1.0" encoding="utf-8"?>
<comments xmlns="http://schemas.openxmlformats.org/spreadsheetml/2006/main">
  <authors>
    <author>Sander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</commentList>
</comments>
</file>

<file path=xl/comments3.xml><?xml version="1.0" encoding="utf-8"?>
<comments xmlns="http://schemas.openxmlformats.org/spreadsheetml/2006/main">
  <authors>
    <author>Sander</author>
    <author>Lenferink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Sander:</t>
        </r>
        <r>
          <rPr>
            <sz val="9"/>
            <color indexed="81"/>
            <rFont val="Tahoma"/>
            <charset val="1"/>
          </rPr>
          <t xml:space="preserve">
afstand tot station?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L5" authorId="1" shapeId="0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walking due to no bus
</t>
        </r>
      </text>
    </comment>
    <comment ref="L6" authorId="1" shapeId="0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To Purmerend
</t>
        </r>
      </text>
    </comment>
    <comment ref="J9" authorId="1" shapeId="0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by bus
by bicycle: Purmerend Overwhere</t>
        </r>
      </text>
    </comment>
    <comment ref="K9" authorId="1" shapeId="0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Purmerend Overwhere 8700</t>
        </r>
      </text>
    </comment>
    <comment ref="N9" authorId="1" shapeId="0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Purmerend Overwhere</t>
        </r>
      </text>
    </comment>
    <comment ref="K10" authorId="1" shapeId="0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10000 m to Purmerend Overwhere
</t>
        </r>
      </text>
    </comment>
    <comment ref="N10" authorId="1" shapeId="0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purmerend overwhere
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walking</t>
        </r>
      </text>
    </comment>
  </commentList>
</comments>
</file>

<file path=xl/comments4.xml><?xml version="1.0" encoding="utf-8"?>
<comments xmlns="http://schemas.openxmlformats.org/spreadsheetml/2006/main">
  <authors>
    <author>Sander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Amsterdam is not playable, but relevant info</t>
        </r>
      </text>
    </comment>
  </commentList>
</comments>
</file>

<file path=xl/comments5.xml><?xml version="1.0" encoding="utf-8"?>
<comments xmlns="http://schemas.openxmlformats.org/spreadsheetml/2006/main">
  <authors>
    <author>Sander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see Infra Projects, still to be impleented in calculation of revenues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Sander:</t>
        </r>
        <r>
          <rPr>
            <sz val="9"/>
            <color indexed="81"/>
            <rFont val="Tahoma"/>
            <charset val="1"/>
          </rPr>
          <t xml:space="preserve">
Not more than max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</commentList>
</comments>
</file>

<file path=xl/comments6.xml><?xml version="1.0" encoding="utf-8"?>
<comments xmlns="http://schemas.openxmlformats.org/spreadsheetml/2006/main">
  <authors>
    <author>Lenferink</author>
    <author>Sander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cah-kaart.nl
Purmerend 2040
Zaanstad</t>
        </r>
      </text>
    </comment>
    <comment ref="I6" authorId="1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23-43
</t>
        </r>
      </text>
    </comment>
    <comment ref="I11" authorId="1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33-60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22-40
</t>
        </r>
      </text>
    </comment>
    <comment ref="I14" authorId="1" shapeId="0">
      <text>
        <r>
          <rPr>
            <b/>
            <sz val="9"/>
            <color indexed="81"/>
            <rFont val="Tahoma"/>
            <family val="2"/>
          </rPr>
          <t xml:space="preserve">Sander:
avg 21-39
</t>
        </r>
      </text>
    </comment>
    <comment ref="I16" authorId="1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0,2-3
</t>
        </r>
      </text>
    </comment>
    <comment ref="I17" authorId="1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0,2-3
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bij rechttrekken: 120-220
bij verdiept: 290-540
avg 69-127
</t>
        </r>
      </text>
    </comment>
    <comment ref="I19" authorId="1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8-14</t>
        </r>
      </text>
    </comment>
    <comment ref="I21" authorId="1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27-70
</t>
        </r>
      </text>
    </comment>
    <comment ref="I22" authorId="0" shapeId="0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14M from zaanstad
avg 245-337
</t>
        </r>
      </text>
    </comment>
    <comment ref="I24" authorId="1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3-16
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3-5
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??</t>
        </r>
      </text>
    </comment>
    <comment ref="I26" authorId="1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100-187
</t>
        </r>
      </text>
    </comment>
    <comment ref="I27" authorId="0" shapeId="0">
      <text>
        <r>
          <rPr>
            <b/>
            <sz val="9"/>
            <color indexed="81"/>
            <rFont val="Tahoma"/>
            <charset val="1"/>
          </rPr>
          <t>Lenferink:</t>
        </r>
        <r>
          <rPr>
            <sz val="9"/>
            <color indexed="81"/>
            <rFont val="Tahoma"/>
            <charset val="1"/>
          </rPr>
          <t xml:space="preserve">
incl aansluiting Achtersluispolder
avg 12-21</t>
        </r>
      </text>
    </comment>
    <comment ref="I29" authorId="1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43-90
</t>
        </r>
      </text>
    </comment>
    <comment ref="I31" authorId="1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0,28-0,52
</t>
        </r>
      </text>
    </comment>
    <comment ref="I34" authorId="1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0,28
-0,52
</t>
        </r>
      </text>
    </comment>
    <comment ref="I37" authorId="1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21-39
</t>
        </r>
      </text>
    </comment>
  </commentList>
</comments>
</file>

<file path=xl/comments7.xml><?xml version="1.0" encoding="utf-8"?>
<comments xmlns="http://schemas.openxmlformats.org/spreadsheetml/2006/main">
  <authors>
    <author>Sander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excluded from the formulas
</t>
        </r>
      </text>
    </comment>
  </commentList>
</comments>
</file>

<file path=xl/comments8.xml><?xml version="1.0" encoding="utf-8"?>
<comments xmlns="http://schemas.openxmlformats.org/spreadsheetml/2006/main">
  <authors>
    <author>Sander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hoge Transit accessibility in totaal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huizen BBG in totaal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Rent in totaal</t>
        </r>
      </text>
    </comment>
  </commentList>
</comments>
</file>

<file path=xl/comments9.xml><?xml version="1.0" encoding="utf-8"?>
<comments xmlns="http://schemas.openxmlformats.org/spreadsheetml/2006/main">
  <authors>
    <author>Sander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excluded from the formulas
</t>
        </r>
      </text>
    </comment>
  </commentList>
</comments>
</file>

<file path=xl/sharedStrings.xml><?xml version="1.0" encoding="utf-8"?>
<sst xmlns="http://schemas.openxmlformats.org/spreadsheetml/2006/main" count="1289" uniqueCount="460">
  <si>
    <t>Name</t>
  </si>
  <si>
    <t>Zaanstad</t>
  </si>
  <si>
    <t>Demand</t>
  </si>
  <si>
    <t>Hoorn</t>
  </si>
  <si>
    <t>Purmerend</t>
  </si>
  <si>
    <t>Municipality</t>
  </si>
  <si>
    <t>Buy</t>
  </si>
  <si>
    <t>Tot. Amount</t>
  </si>
  <si>
    <t>Period 1</t>
  </si>
  <si>
    <t>Period 2</t>
  </si>
  <si>
    <t>Period 3</t>
  </si>
  <si>
    <t>Lange Weren</t>
  </si>
  <si>
    <t xml:space="preserve">Rent </t>
  </si>
  <si>
    <t>Total</t>
  </si>
  <si>
    <t>Broekgouw Keetzijde</t>
  </si>
  <si>
    <t>Period 4</t>
  </si>
  <si>
    <t xml:space="preserve">Total </t>
  </si>
  <si>
    <t>Broeckgouw</t>
  </si>
  <si>
    <t>Bangert en Oosterpolder</t>
  </si>
  <si>
    <t>Ground-bound</t>
  </si>
  <si>
    <t>Appartments</t>
  </si>
  <si>
    <t>Purmer Zuid-Zuid</t>
  </si>
  <si>
    <t>Kommetje A7</t>
  </si>
  <si>
    <t>Zuidoostbeemster II</t>
  </si>
  <si>
    <t>Prinsenstichting/Kadijkerkoog/Kwadijkerpark</t>
  </si>
  <si>
    <t>De Nieuwe Tuinderij Oost</t>
  </si>
  <si>
    <t>Amsterdam</t>
  </si>
  <si>
    <t>Achtersluispolder</t>
  </si>
  <si>
    <t>Hembrugterrein</t>
  </si>
  <si>
    <t>Kogerveld</t>
  </si>
  <si>
    <t>Centrum Oost</t>
  </si>
  <si>
    <t>Molletjesveer</t>
  </si>
  <si>
    <t>Kreekrijk</t>
  </si>
  <si>
    <t>Amount per playable location</t>
  </si>
  <si>
    <t>Remaining amount</t>
  </si>
  <si>
    <t>Type</t>
  </si>
  <si>
    <t>Unknown</t>
  </si>
  <si>
    <t>Market</t>
  </si>
  <si>
    <t>Purmerend (+Middenbeemster)</t>
  </si>
  <si>
    <t>Edam-Volendam</t>
  </si>
  <si>
    <t>Waterland</t>
  </si>
  <si>
    <t>Totaal</t>
  </si>
  <si>
    <t>Municipalities</t>
  </si>
  <si>
    <t>n.a.</t>
  </si>
  <si>
    <t>Decreasing factor</t>
  </si>
  <si>
    <t>Increasing factor</t>
  </si>
  <si>
    <t>Max Supply</t>
  </si>
  <si>
    <t>Supplied</t>
  </si>
  <si>
    <t>Profit</t>
  </si>
  <si>
    <t>Revenues m2</t>
  </si>
  <si>
    <t>Profitability</t>
  </si>
  <si>
    <t>Starting rendement Q42018</t>
  </si>
  <si>
    <t>Demand/supply ratio</t>
  </si>
  <si>
    <t>Amsterdam overflow</t>
  </si>
  <si>
    <t>Ministry, Province, Zaanstad, Amsterdam</t>
  </si>
  <si>
    <t>2030</t>
  </si>
  <si>
    <t>Zaanstad - Amsterdam</t>
  </si>
  <si>
    <t>Infra</t>
  </si>
  <si>
    <t>Car, Train, Bus, Bicycle</t>
  </si>
  <si>
    <t>ALL-ALL1</t>
  </si>
  <si>
    <t>Vaste oeververbinding Noordzeekanaal</t>
  </si>
  <si>
    <t>PT</t>
  </si>
  <si>
    <t>Province, Ministry</t>
  </si>
  <si>
    <t>2020</t>
  </si>
  <si>
    <t>Services</t>
  </si>
  <si>
    <t>Train</t>
  </si>
  <si>
    <t>TRA-NHM6</t>
  </si>
  <si>
    <t>Verlenging sprinter naar Hoorn Kersenboogerd</t>
  </si>
  <si>
    <t>TRA-NHM5</t>
  </si>
  <si>
    <t>Verlenging perron station Hoorn</t>
  </si>
  <si>
    <t>TRA-NHM4</t>
  </si>
  <si>
    <t>Combineren stations Koog aan de Zaan en Zaandijk-Zaanse Schans</t>
  </si>
  <si>
    <t>2018</t>
  </si>
  <si>
    <t>Bus</t>
  </si>
  <si>
    <t>TRA-NHM3</t>
  </si>
  <si>
    <t>Reguliere IC stop in Zaandam</t>
  </si>
  <si>
    <t>Zaanstad, Purmerend, Hoorn</t>
  </si>
  <si>
    <t>TRA-NHM2</t>
  </si>
  <si>
    <t>Meer capaciteit aanbieden in de spits (langer, dubbeldeks, 8 bakken)</t>
  </si>
  <si>
    <t>Ministry</t>
  </si>
  <si>
    <t xml:space="preserve">Train </t>
  </si>
  <si>
    <t>TRA-M4</t>
  </si>
  <si>
    <t>Afteller bij station Purmerend</t>
  </si>
  <si>
    <t>Zaanstad-Amsterdam</t>
  </si>
  <si>
    <t>TRA-NHM1</t>
  </si>
  <si>
    <t>Borgen airportsprinter in netwerk Amsterdam-Schiphol</t>
  </si>
  <si>
    <t>TRA-M3</t>
  </si>
  <si>
    <t>Opheffen snelheidsbeperking Zaandam-Kogerveld</t>
  </si>
  <si>
    <t>TRA-M2</t>
  </si>
  <si>
    <t>Afteller bij Hoorn Kersenboogerd</t>
  </si>
  <si>
    <t>10,9</t>
  </si>
  <si>
    <t>TRA-M1</t>
  </si>
  <si>
    <t>Verlenging keerspoor Hoorn Kersenboogerd</t>
  </si>
  <si>
    <t>Car</t>
  </si>
  <si>
    <t>Zaanstad - Purmerend</t>
  </si>
  <si>
    <t>CAR-M8</t>
  </si>
  <si>
    <t>Ombouw spitsstrook A7 tussen Zaandam en Purmerend Zuid</t>
  </si>
  <si>
    <t>Zaanstad, Province</t>
  </si>
  <si>
    <t>1,5</t>
  </si>
  <si>
    <t>CAR-ZNH3</t>
  </si>
  <si>
    <t>Guisweg</t>
  </si>
  <si>
    <t>CAR-M7</t>
  </si>
  <si>
    <t>Volledig maken van de aansluiting Zaandijk-West</t>
  </si>
  <si>
    <t>CAR-M6</t>
  </si>
  <si>
    <t>Ombouw van het knooppunt Zaandam</t>
  </si>
  <si>
    <t>CAR-M5</t>
  </si>
  <si>
    <t>Laten vervallen van de aansluiting Zaandijk</t>
  </si>
  <si>
    <t>CAR-ZNH2</t>
  </si>
  <si>
    <t>AVANT (Invalsweg N516/Thorbeckeweg)</t>
  </si>
  <si>
    <t>CAR-ZNH1</t>
  </si>
  <si>
    <t>Afwaarderen van de A7 in Zaandam</t>
  </si>
  <si>
    <t>CAR-M4</t>
  </si>
  <si>
    <t>A8-A9 verbinding</t>
  </si>
  <si>
    <t>CAR-M3</t>
  </si>
  <si>
    <t>A8 verbeteren tussen de knooppunten Zaandam en Coenplein</t>
  </si>
  <si>
    <t>Province</t>
  </si>
  <si>
    <t>44</t>
  </si>
  <si>
    <t>CAR-PNH3</t>
  </si>
  <si>
    <t>Bereikbaarheid Waterland: N247</t>
  </si>
  <si>
    <t>Purmerend, Province</t>
  </si>
  <si>
    <t>CAR-PP8</t>
  </si>
  <si>
    <t>Verbreding laan der continenten</t>
  </si>
  <si>
    <t>CAR-M2</t>
  </si>
  <si>
    <t>Verbreding A7 tussen de aansluiting Purmerend Noord en Purmerend Zuid</t>
  </si>
  <si>
    <t>Hoorn, Province</t>
  </si>
  <si>
    <t>CAR-HNH2</t>
  </si>
  <si>
    <t>Carpoolplaatsen</t>
  </si>
  <si>
    <t>CAR-PNH2</t>
  </si>
  <si>
    <t>Province, Purmerend</t>
  </si>
  <si>
    <t>5</t>
  </si>
  <si>
    <t>CAR-PNH1</t>
  </si>
  <si>
    <t>Bereikbaarheid Waterland: Rijbaanverdubbeling N244</t>
  </si>
  <si>
    <t>CAR-M1</t>
  </si>
  <si>
    <t>Spitsstrook op de A7 tussen de aansluitingen Hoorn Noord en Avenhorn</t>
  </si>
  <si>
    <t>CAR-HNH1</t>
  </si>
  <si>
    <t>Ombouw van de turborotonde in de provinciale weg</t>
  </si>
  <si>
    <t>Edam-Volendam, Province</t>
  </si>
  <si>
    <t>17</t>
  </si>
  <si>
    <t>CAR-ENH1</t>
  </si>
  <si>
    <t>Derde ontsluitingsweg</t>
  </si>
  <si>
    <t>Amsterdam - Zaanstad</t>
  </si>
  <si>
    <t>CAR-NHM3</t>
  </si>
  <si>
    <t>Permanent openstellen van alle rijstroken in de Coentunnel</t>
  </si>
  <si>
    <t>CAR-NHM2</t>
  </si>
  <si>
    <t>CAR-NHM1</t>
  </si>
  <si>
    <t>Knooppunt A10-N247-s116 (KANS)</t>
  </si>
  <si>
    <t>Purmerend, Amsterdam, Province</t>
  </si>
  <si>
    <t>BUS-PA1</t>
  </si>
  <si>
    <t>HOV verbinding Purmerend-Amsterdam</t>
  </si>
  <si>
    <t>Purmerend, Province?</t>
  </si>
  <si>
    <t>Bicycle - Bus - Car - Train</t>
  </si>
  <si>
    <t>BIC-PNH1</t>
  </si>
  <si>
    <t>Ongelijkvloerse kruising spoor - Churchilllaan</t>
  </si>
  <si>
    <t>Zaanstad, Amsterdam, Province</t>
  </si>
  <si>
    <t>Bicycle - Bus - Boat</t>
  </si>
  <si>
    <t>BIC-ZA1</t>
  </si>
  <si>
    <t>Verbinding Zaanstad-Amsterdam Noord (Achtersluispolder)</t>
  </si>
  <si>
    <t>Purmerend, Zaanstad, Province</t>
  </si>
  <si>
    <t>Purmerend - Zaanstad</t>
  </si>
  <si>
    <t>Bicycle</t>
  </si>
  <si>
    <t>BIC-PZ1</t>
  </si>
  <si>
    <t>Snelfietsroute Purmerend - Zaanstad</t>
  </si>
  <si>
    <t>Hoorn, Purmerend, Province</t>
  </si>
  <si>
    <t>Hoorn - Purmerend</t>
  </si>
  <si>
    <t>BIC-HP1</t>
  </si>
  <si>
    <t>Regionale Fietsroute Hoorn-Purmerend</t>
  </si>
  <si>
    <t>Acc. Zaanstad</t>
  </si>
  <si>
    <t>Acc. Purmerend</t>
  </si>
  <si>
    <t>Acc. Hoorn</t>
  </si>
  <si>
    <t>Acc. Edam-Volendam</t>
  </si>
  <si>
    <t>Acc. Amsterdam</t>
  </si>
  <si>
    <t>ID</t>
  </si>
  <si>
    <t>Construction time (years)</t>
  </si>
  <si>
    <t>Decision by</t>
  </si>
  <si>
    <t>Start (earliest)</t>
  </si>
  <si>
    <t>Costs (M€)</t>
  </si>
  <si>
    <t>Location</t>
  </si>
  <si>
    <t>Modality</t>
  </si>
  <si>
    <t>Effects transit accessibility</t>
  </si>
  <si>
    <t>Effects car accessibility</t>
  </si>
  <si>
    <t>Package</t>
  </si>
  <si>
    <t>Process and Finance</t>
  </si>
  <si>
    <t>Character</t>
  </si>
  <si>
    <t>Housing Revenu</t>
  </si>
  <si>
    <t>Market balance</t>
  </si>
  <si>
    <t>Name Package</t>
  </si>
  <si>
    <t>Province of Noord-Holland</t>
  </si>
  <si>
    <t>Transit accessibility</t>
  </si>
  <si>
    <t>Car accessibility</t>
  </si>
  <si>
    <t>Overall</t>
  </si>
  <si>
    <t>Transport Investments</t>
  </si>
  <si>
    <t>Financial result</t>
  </si>
  <si>
    <t>Player</t>
  </si>
  <si>
    <t>Costs</t>
  </si>
  <si>
    <t>IDINFRA</t>
  </si>
  <si>
    <t>N23 Westfrisiaweg (west)</t>
  </si>
  <si>
    <t>Purmerend - Hoorn</t>
  </si>
  <si>
    <t>N23 Westfrisiaweg (oost)</t>
  </si>
  <si>
    <t>Purmerend (+ Beemster)</t>
  </si>
  <si>
    <t>Zaandam</t>
  </si>
  <si>
    <t>h1</t>
  </si>
  <si>
    <t>p1</t>
  </si>
  <si>
    <t>p6</t>
  </si>
  <si>
    <t>p3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</si>
  <si>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</si>
  <si>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</si>
  <si>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</si>
  <si>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</si>
  <si>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</si>
  <si>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</si>
  <si>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</si>
  <si>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</si>
  <si>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</si>
  <si>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</si>
  <si>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</si>
  <si>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</si>
  <si>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</si>
  <si>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</si>
  <si>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Ring A10 oost - Waterland</t>
  </si>
  <si>
    <t>Players involved</t>
  </si>
  <si>
    <t>Noordoever Noordzeekanaal</t>
  </si>
  <si>
    <t>Purmerend: BBG  of A7</t>
  </si>
  <si>
    <t>Grote Infra</t>
  </si>
  <si>
    <t>Gebiedspakketten</t>
  </si>
  <si>
    <t>Infrapakketten</t>
  </si>
  <si>
    <t>Zaandam - noord</t>
  </si>
  <si>
    <t>Kleine Infra / Diensten</t>
  </si>
  <si>
    <t>Infrastructure (Opt in or out)</t>
  </si>
  <si>
    <t>Housing plans (determine amount per type)</t>
  </si>
  <si>
    <t>p2</t>
  </si>
  <si>
    <t>p4</t>
  </si>
  <si>
    <t>p5</t>
  </si>
  <si>
    <t>p7</t>
  </si>
  <si>
    <t>Gebiedspakket</t>
  </si>
  <si>
    <t>Infrapakket</t>
  </si>
  <si>
    <t>Starting budget</t>
  </si>
  <si>
    <t>Starting Score</t>
  </si>
  <si>
    <t>CHOICE</t>
  </si>
  <si>
    <t>yes/no</t>
  </si>
  <si>
    <t>Cost distribution</t>
  </si>
  <si>
    <t>CHECK</t>
  </si>
  <si>
    <t>Investment costs</t>
  </si>
  <si>
    <t>Programmed. Amount</t>
  </si>
  <si>
    <t>Max tot. amount</t>
  </si>
  <si>
    <t>Start Supply</t>
  </si>
  <si>
    <t>Start Demand</t>
  </si>
  <si>
    <t>Start score</t>
  </si>
  <si>
    <t>Adjusted</t>
  </si>
  <si>
    <t>Revenues</t>
  </si>
  <si>
    <t>BBG</t>
  </si>
  <si>
    <t>Rent</t>
  </si>
  <si>
    <t>Owner-occupied</t>
  </si>
  <si>
    <t>Check</t>
  </si>
  <si>
    <t>GF</t>
  </si>
  <si>
    <t>Average Housing price</t>
  </si>
  <si>
    <t>Prov NH</t>
  </si>
  <si>
    <t>EIB, 2013</t>
  </si>
  <si>
    <t>CBS,2017</t>
  </si>
  <si>
    <t>Index 2017</t>
  </si>
  <si>
    <t>Index</t>
  </si>
  <si>
    <t>BBG cost</t>
  </si>
  <si>
    <t>GF Cost</t>
  </si>
  <si>
    <t>Accessibility effect</t>
  </si>
  <si>
    <t>Score</t>
  </si>
  <si>
    <t>Acc</t>
  </si>
  <si>
    <t>Market Balance</t>
  </si>
  <si>
    <t>Index 2013</t>
  </si>
  <si>
    <t>Price effect</t>
  </si>
  <si>
    <t>Transit adjacency</t>
  </si>
  <si>
    <t>Supply per municipality included plans</t>
  </si>
  <si>
    <t>Revenues Housing</t>
  </si>
  <si>
    <t>Costs Infra</t>
  </si>
  <si>
    <t>Building costs 2017</t>
  </si>
  <si>
    <t>Building costs 2014</t>
  </si>
  <si>
    <t>Owner-Occupied</t>
  </si>
  <si>
    <t>Rent reduction 2013</t>
  </si>
  <si>
    <t>Costs 2017</t>
  </si>
  <si>
    <t>Revenues 2017</t>
  </si>
  <si>
    <t>Rent reduction 2017</t>
  </si>
  <si>
    <t>Rent revenues 2017</t>
  </si>
  <si>
    <t>BBG Revenu OO</t>
  </si>
  <si>
    <t>GF Revenu OO</t>
  </si>
  <si>
    <t>BBG Revenu Rent</t>
  </si>
  <si>
    <t>GF Revenu Rent</t>
  </si>
  <si>
    <t>Total with Amsterdam</t>
  </si>
  <si>
    <t>Total excl Amsterdam</t>
  </si>
  <si>
    <t>Regional excl Ams</t>
  </si>
  <si>
    <t>Regional incl Ams</t>
  </si>
  <si>
    <t>distance</t>
  </si>
  <si>
    <t>time</t>
  </si>
  <si>
    <t>Bus time</t>
  </si>
  <si>
    <t>Bicycle time</t>
  </si>
  <si>
    <t>Station adjacency</t>
  </si>
  <si>
    <t>Nearest station</t>
  </si>
  <si>
    <t>Hoorn Kersenboogerd</t>
  </si>
  <si>
    <t>Purmerend Weidevenne</t>
  </si>
  <si>
    <t>Purmerend Overwhere</t>
  </si>
  <si>
    <t>Nearest exit</t>
  </si>
  <si>
    <t>Highway adjacency</t>
  </si>
  <si>
    <t>N244</t>
  </si>
  <si>
    <t>Purmerend-Zuid</t>
  </si>
  <si>
    <t>Purmerend-Noord</t>
  </si>
  <si>
    <t>N235</t>
  </si>
  <si>
    <t>N302</t>
  </si>
  <si>
    <t>N517</t>
  </si>
  <si>
    <t>N247</t>
  </si>
  <si>
    <t>Oostzaan (A8)</t>
  </si>
  <si>
    <t>Zaandam-Kogerveld</t>
  </si>
  <si>
    <t>Knppunt Zaandam (A8/A7)</t>
  </si>
  <si>
    <t>knppunt (N8/N203)</t>
  </si>
  <si>
    <t>Wormerveer</t>
  </si>
  <si>
    <t>Multiplier</t>
  </si>
  <si>
    <t>Project impact</t>
  </si>
  <si>
    <t>TOD Goal</t>
  </si>
  <si>
    <t>Starting score</t>
  </si>
  <si>
    <t>Target score</t>
  </si>
  <si>
    <t>Current score</t>
  </si>
  <si>
    <t>Social Housing goal</t>
  </si>
  <si>
    <t>Use Build-up area</t>
  </si>
  <si>
    <t>Transit</t>
  </si>
  <si>
    <t>Transit/Bicycle</t>
  </si>
  <si>
    <t>Adjacency effects</t>
  </si>
  <si>
    <t>Accessibility effects</t>
  </si>
  <si>
    <t>Accessibility impact</t>
  </si>
  <si>
    <t>Accessibility impact transit</t>
  </si>
  <si>
    <t>Accessibility impact car</t>
  </si>
  <si>
    <t>Package 1</t>
  </si>
  <si>
    <t>Package 2</t>
  </si>
  <si>
    <t>Package 3</t>
  </si>
  <si>
    <t>Package 4</t>
  </si>
  <si>
    <t>Package 5</t>
  </si>
  <si>
    <t>Package 6</t>
  </si>
  <si>
    <t>Package 7</t>
  </si>
  <si>
    <t xml:space="preserve">Car </t>
  </si>
  <si>
    <t>Public Transport</t>
  </si>
  <si>
    <t>CAR</t>
  </si>
  <si>
    <t>BIC</t>
  </si>
  <si>
    <t>Display in game: Regional Balance E8</t>
  </si>
  <si>
    <t>Optional: municipal balances E3:E6</t>
  </si>
  <si>
    <t>Housing revenue</t>
  </si>
  <si>
    <t>Transport investments</t>
  </si>
  <si>
    <t>Choice numbers</t>
  </si>
  <si>
    <t>Choice slider</t>
  </si>
  <si>
    <t>% of Rent</t>
  </si>
  <si>
    <t>Housing</t>
  </si>
  <si>
    <t>TOD %</t>
  </si>
  <si>
    <t>Infill %</t>
  </si>
  <si>
    <t>Start</t>
  </si>
  <si>
    <t>Rental %</t>
  </si>
  <si>
    <t>Short name</t>
  </si>
  <si>
    <t>Snelfietsroute Hoorn-Purmerend</t>
  </si>
  <si>
    <t>Snelfietsroute Purmerend-Zaanstad</t>
  </si>
  <si>
    <t>Ontsluiting Achtersluispolder Oost</t>
  </si>
  <si>
    <t>Churchillaan Ongelijkvloers</t>
  </si>
  <si>
    <t>HOV Purmerend-A'dam</t>
  </si>
  <si>
    <t>KANS</t>
  </si>
  <si>
    <t>Westfrisiaweg (west)</t>
  </si>
  <si>
    <t>Westfrisiaweg (oost)</t>
  </si>
  <si>
    <t>Coentunnel rijstroken openstellen</t>
  </si>
  <si>
    <t xml:space="preserve">Derde Ontsluitingsweg </t>
  </si>
  <si>
    <t>Turborotonde Hoorn</t>
  </si>
  <si>
    <t>Spitsstrook A7 Hoorn</t>
  </si>
  <si>
    <t>Verdubbeling N244</t>
  </si>
  <si>
    <t>Carpool Purmerend</t>
  </si>
  <si>
    <t>Carpool Hoorn</t>
  </si>
  <si>
    <t>Verbreding A7 Purmerend</t>
  </si>
  <si>
    <t>Verbreding Laan der Continenten</t>
  </si>
  <si>
    <t>A8 Zaandam - Coenplein</t>
  </si>
  <si>
    <t>Verbinding A8-A9</t>
  </si>
  <si>
    <t>Afwaarderen A7 Zaandam</t>
  </si>
  <si>
    <t>AVANT</t>
  </si>
  <si>
    <t>Vervallen aansluiting Zaandijk</t>
  </si>
  <si>
    <t>Ombouw Knppnt Zaandam</t>
  </si>
  <si>
    <t>Voltooien Zaandijk West</t>
  </si>
  <si>
    <t>Verbreding A7 Zaandam-Purmerend</t>
  </si>
  <si>
    <t>Keerspoor Hoorn Kersenboogerd</t>
  </si>
  <si>
    <t>Afteller Hoorn Kersenboogerd</t>
  </si>
  <si>
    <t>Afteller Purmerend</t>
  </si>
  <si>
    <t>Verhogen snelheid Zaandam-Kogerveld</t>
  </si>
  <si>
    <t>Airportsprinter</t>
  </si>
  <si>
    <t>Capaciteit in de spits</t>
  </si>
  <si>
    <t>IC stop Zaandam</t>
  </si>
  <si>
    <t>Combineren Koog a/d Zaan en Zaandijk</t>
  </si>
  <si>
    <t>Verlenging Perron Hoorn</t>
  </si>
  <si>
    <t>Verlenging sprinter Hoorn Kersenboogerd</t>
  </si>
  <si>
    <t>Oeververbinding Noordzeekanaal</t>
  </si>
  <si>
    <t>Short Name</t>
  </si>
  <si>
    <t>Prinsenstichting</t>
  </si>
  <si>
    <t>Cost correction Infra</t>
  </si>
  <si>
    <t>TOD absolute</t>
  </si>
  <si>
    <t>Pakket</t>
  </si>
  <si>
    <t>Woningbouwlocatie</t>
  </si>
  <si>
    <t>Infrastructuur</t>
  </si>
  <si>
    <t>Auto</t>
  </si>
  <si>
    <t>Fiets</t>
  </si>
  <si>
    <t>Openbaar Vervoer</t>
  </si>
  <si>
    <t>Naam</t>
  </si>
  <si>
    <t>% of Maximum</t>
  </si>
  <si>
    <t>Houthavenkade</t>
  </si>
  <si>
    <t>Aris van Broekweg</t>
  </si>
  <si>
    <t>Plancapaciteit</t>
  </si>
  <si>
    <t>851 + 1215</t>
  </si>
  <si>
    <t>Heldin / De Stelling /Ebbehout</t>
  </si>
  <si>
    <t>812 + 1316</t>
  </si>
  <si>
    <t>823 + 835</t>
  </si>
  <si>
    <t>Houthavenkade / Noordsche Bos</t>
  </si>
  <si>
    <t>Zaanse Helden / Burano</t>
  </si>
  <si>
    <t>Description</t>
  </si>
  <si>
    <t>Pelmolenpad</t>
  </si>
  <si>
    <t>Stationsgebied Zuid</t>
  </si>
  <si>
    <t>Stationsgebied Noord</t>
  </si>
  <si>
    <t>Hoorn (A8)</t>
  </si>
  <si>
    <t>Code</t>
  </si>
  <si>
    <t>h16</t>
  </si>
  <si>
    <t>h17</t>
  </si>
  <si>
    <t>h18</t>
  </si>
  <si>
    <t>h19</t>
  </si>
  <si>
    <t>h20</t>
  </si>
  <si>
    <t>h21</t>
  </si>
  <si>
    <t>h22</t>
  </si>
  <si>
    <t>Heldin</t>
  </si>
  <si>
    <t>Zaanse Helden</t>
  </si>
  <si>
    <t>All formulas have been updated to reflect this change</t>
  </si>
  <si>
    <t>De realisatie van een regionale fietsroute tussen Hoorn en Purmerend.</t>
  </si>
  <si>
    <t>De realisatie van een regionale fietsroute tussen Zaanstad en Purmerend.</t>
  </si>
  <si>
    <t>Het realiseren van een busverbinding tussen Amsterdam Noord - Achtersluispolder - Zaanstad</t>
  </si>
  <si>
    <t>Het ongelijkvloers maken van de kruising van de Churchillaan met het spoor Zaanstad-Hoorn</t>
  </si>
  <si>
    <t>Het realiseren van een hoogwaardige openbaar vervoer (HOV) verbinding tussen Purmerend en Amsterdam.</t>
  </si>
  <si>
    <t xml:space="preserve">Het verbouwen van de afslag Volendam (N247) op de ringweg A10 Amsterdam. </t>
  </si>
  <si>
    <t>h8, h13 and h15 have been removed</t>
  </si>
  <si>
    <t>Het realiseren van een nieuwe verbinding tussen Alkmaar en Enkhuizen (westelijk deel van het tracé).</t>
  </si>
  <si>
    <t>Het realiseren van een nieuwe verbinding tussen Alkmaar en Enkhuizen (oostelijk deel van het tracé).</t>
  </si>
  <si>
    <t>Het permanent openstellen van alle rijstroken in de Coentunnel (incl vluchtstroken).</t>
  </si>
  <si>
    <t>Het realiseren van een derde ontsluitingsweg tussen de kruising van de N244/N247 en de Dijkgraaf Poschlaan in Volendam.</t>
  </si>
  <si>
    <t xml:space="preserve">Het vervangen van de turborotonde en de rotonde bij de oostelijke op- en afrit van de A7 door gelijkvloerse kruisingen met verkeerslichten, ter verbetering van de doorstroming. </t>
  </si>
  <si>
    <t>Het realiseren van een spitsstrook op de A7 tussen de aansluitingen Hoorn Noord en Avenhorn.</t>
  </si>
  <si>
    <t>Het verdubbelen van de N244 tussen de A7 en de N247.</t>
  </si>
  <si>
    <t>Het realiseren van carpoolplaatsen aan de zuidkant van Purmerend</t>
  </si>
  <si>
    <t>Het realiseren van carpoolplaatsen aan de zuidkant van Hoorn.</t>
  </si>
  <si>
    <t>Het verbreden van de A7 tussen de aansluiting Purmerend Noord en Purmerend Zuid.</t>
  </si>
  <si>
    <t>Het verbreden van de Laan der Continenten in Purmerend</t>
  </si>
  <si>
    <t>Het verbeteren van de doorstroming en de verkeersveiligheid van de N247.</t>
  </si>
  <si>
    <t>Het verbeteren van de A8 tussen de knooppunten Zaandam en Coenplein, inclusief kunstwerken en verwijderen verzorgingsplaats.</t>
  </si>
  <si>
    <t>Het realiseren van een nieuwe verbinding tussen de A8 en A9.</t>
  </si>
  <si>
    <t>Het afwaarderen van het gedeelte van de A7 tussen knooppunt Zaandam en het Prins Bernhardplein.</t>
  </si>
  <si>
    <t>Het aanpakken van de verkeersdruk tussen afslag Zaanstad Zuid en de Thorbeckeweg, ter ontsluiting van de Noordzeekanaalzone Noordzijde.</t>
  </si>
  <si>
    <t>Het laten vervallen van de aansluiting Zaandijk.</t>
  </si>
  <si>
    <t>Het ombouwen van het knooppunt Zaandam om de hoofdrijrichting Purmerend –Coenplein te laten worden en de A8 knooppunt Zaandam - Assendelft hierop aan te laten sluiten.</t>
  </si>
  <si>
    <t>Het volledig maken van de aansluiting Zaandijk-West, zodat deze in beide rijrichtingen kan worden gebruikt.</t>
  </si>
  <si>
    <t>Het aanpakken van de verkeersonveiligheid rondom het knelpunt Guisweg, waar o.a. A8, spoorlijn Amsterdam-Alkmaar en provinciale weg kruisen.</t>
  </si>
  <si>
    <t>Het ombouwen van de spitsstrook op de A7 tussen Zaandam en Purmerend Zuid naar een volwaardige derde rijstrook</t>
  </si>
  <si>
    <t xml:space="preserve">Het verlengen van het keerspoor bij Hoorn Kersenboogerd tot buiten de bebouwde kom om milieuoverlast en geluidoverlast te verminderen. </t>
  </si>
  <si>
    <t>Het verminderen van de wachttijd voor treinen en overig verkeer door het plaatsen van een aftellen bij station Hoorn Kersenboogerd.</t>
  </si>
  <si>
    <t>Het verminderen van de wachttijd voor treinen en overig verkeer door het plaatsen van een aftellen bij station Purmerend.</t>
  </si>
  <si>
    <t>Het opheffen van de snelheidsbeperking (van 40 naar 80 km/uur) rondom station Zaandam-Kogerveld.</t>
  </si>
  <si>
    <t>Het combineren van stations Koog aan de Zaan en Zaandijk-Zaanse Schans ter hoogte van de A8 met kansen voor P+R.</t>
  </si>
  <si>
    <t>Het verlengen van het perron op station Hoorn.</t>
  </si>
  <si>
    <t>Het verlengen van de dienstregeling naar Schiphol met station Hoorn-Kersenboogerd</t>
  </si>
  <si>
    <t>Het realiseren van een nieuwe vaste oeververbinding over het Noordzeekanaal tussen het Hembrugterrein en Westpoort.</t>
  </si>
  <si>
    <t>Broekgouw Keetzijde (h8), Kreekrijk and Centrum Oost (h13 and h15) have been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</si>
</sst>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_-;\-* #,##0_-;_-* &quot;-&quot;??_-;_-@_-"/>
    <numFmt numFmtId="165" formatCode="0.00000"/>
    <numFmt numFmtId="166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i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1" fillId="4" borderId="4" applyNumberFormat="0" applyAlignment="0" applyProtection="0"/>
  </cellStyleXfs>
  <cellXfs count="8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9" fontId="0" fillId="0" borderId="0" xfId="1" applyFont="1"/>
    <xf numFmtId="0" fontId="0" fillId="0" borderId="0" xfId="0" applyNumberFormat="1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2" fontId="0" fillId="2" borderId="0" xfId="0" applyNumberFormat="1" applyFill="1"/>
    <xf numFmtId="0" fontId="0" fillId="0" borderId="2" xfId="0" applyBorder="1"/>
    <xf numFmtId="1" fontId="0" fillId="0" borderId="1" xfId="0" applyNumberFormat="1" applyBorder="1"/>
    <xf numFmtId="164" fontId="0" fillId="2" borderId="3" xfId="0" applyNumberFormat="1" applyFill="1" applyBorder="1"/>
    <xf numFmtId="164" fontId="0" fillId="0" borderId="1" xfId="0" applyNumberFormat="1" applyBorder="1"/>
    <xf numFmtId="2" fontId="0" fillId="0" borderId="0" xfId="0" applyNumberFormat="1" applyFill="1"/>
    <xf numFmtId="164" fontId="0" fillId="0" borderId="3" xfId="0" applyNumberFormat="1" applyFill="1" applyBorder="1"/>
    <xf numFmtId="49" fontId="0" fillId="0" borderId="0" xfId="0" applyNumberFormat="1"/>
    <xf numFmtId="49" fontId="0" fillId="0" borderId="0" xfId="0" applyNumberFormat="1" applyFill="1"/>
    <xf numFmtId="0" fontId="0" fillId="0" borderId="0" xfId="0" applyFont="1" applyFill="1"/>
    <xf numFmtId="0" fontId="0" fillId="0" borderId="0" xfId="0" applyNumberFormat="1"/>
    <xf numFmtId="0" fontId="7" fillId="0" borderId="0" xfId="2" applyFont="1"/>
    <xf numFmtId="0" fontId="0" fillId="0" borderId="0" xfId="0" applyNumberFormat="1" applyFill="1"/>
    <xf numFmtId="2" fontId="0" fillId="0" borderId="0" xfId="0" applyNumberFormat="1" applyFill="1" applyAlignment="1">
      <alignment horizontal="right"/>
    </xf>
    <xf numFmtId="49" fontId="0" fillId="0" borderId="0" xfId="0" applyNumberFormat="1" applyFont="1" applyFill="1"/>
    <xf numFmtId="2" fontId="0" fillId="0" borderId="0" xfId="0" applyNumberFormat="1" applyFont="1" applyFill="1" applyAlignment="1">
      <alignment horizontal="right"/>
    </xf>
    <xf numFmtId="0" fontId="1" fillId="0" borderId="0" xfId="0" applyFont="1" applyFill="1"/>
    <xf numFmtId="2" fontId="1" fillId="0" borderId="0" xfId="0" applyNumberFormat="1" applyFont="1" applyAlignment="1">
      <alignment vertical="top"/>
    </xf>
    <xf numFmtId="49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Font="1" applyFill="1" applyAlignment="1">
      <alignment horizontal="left" vertical="top"/>
    </xf>
    <xf numFmtId="1" fontId="5" fillId="2" borderId="3" xfId="0" applyNumberFormat="1" applyFont="1" applyFill="1" applyBorder="1"/>
    <xf numFmtId="1" fontId="5" fillId="0" borderId="3" xfId="0" applyNumberFormat="1" applyFont="1" applyBorder="1"/>
    <xf numFmtId="0" fontId="0" fillId="0" borderId="0" xfId="0" applyFill="1" applyBorder="1"/>
    <xf numFmtId="1" fontId="0" fillId="0" borderId="0" xfId="0" applyNumberFormat="1" applyFill="1"/>
    <xf numFmtId="0" fontId="0" fillId="0" borderId="0" xfId="0" applyAlignment="1">
      <alignment horizontal="left"/>
    </xf>
    <xf numFmtId="49" fontId="0" fillId="2" borderId="0" xfId="0" applyNumberFormat="1" applyFill="1"/>
    <xf numFmtId="0" fontId="0" fillId="2" borderId="0" xfId="0" applyFont="1" applyFill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2" fontId="1" fillId="3" borderId="0" xfId="0" applyNumberFormat="1" applyFont="1" applyFill="1" applyAlignment="1">
      <alignment vertical="top"/>
    </xf>
    <xf numFmtId="0" fontId="1" fillId="3" borderId="0" xfId="0" applyFont="1" applyFill="1"/>
    <xf numFmtId="0" fontId="0" fillId="3" borderId="0" xfId="0" applyFill="1"/>
    <xf numFmtId="2" fontId="0" fillId="0" borderId="0" xfId="0" applyNumberFormat="1" applyAlignment="1">
      <alignment vertical="top"/>
    </xf>
    <xf numFmtId="2" fontId="1" fillId="3" borderId="0" xfId="0" applyNumberFormat="1" applyFont="1" applyFill="1"/>
    <xf numFmtId="2" fontId="0" fillId="3" borderId="0" xfId="0" applyNumberFormat="1" applyFill="1" applyAlignment="1">
      <alignment horizontal="right"/>
    </xf>
    <xf numFmtId="2" fontId="0" fillId="3" borderId="0" xfId="0" applyNumberFormat="1" applyFill="1"/>
    <xf numFmtId="2" fontId="0" fillId="0" borderId="0" xfId="0" applyNumberFormat="1" applyAlignment="1"/>
    <xf numFmtId="0" fontId="10" fillId="0" borderId="0" xfId="0" applyFont="1"/>
    <xf numFmtId="165" fontId="0" fillId="0" borderId="0" xfId="0" applyNumberFormat="1" applyFill="1"/>
    <xf numFmtId="0" fontId="1" fillId="2" borderId="0" xfId="0" applyFont="1" applyFill="1"/>
    <xf numFmtId="0" fontId="11" fillId="4" borderId="4" xfId="3"/>
    <xf numFmtId="1" fontId="11" fillId="4" borderId="4" xfId="3" applyNumberFormat="1"/>
    <xf numFmtId="0" fontId="5" fillId="0" borderId="0" xfId="0" applyFont="1" applyFill="1"/>
    <xf numFmtId="0" fontId="7" fillId="2" borderId="0" xfId="0" applyFont="1" applyFill="1"/>
    <xf numFmtId="0" fontId="7" fillId="2" borderId="0" xfId="0" applyFont="1" applyFill="1" applyBorder="1"/>
    <xf numFmtId="166" fontId="7" fillId="2" borderId="0" xfId="0" applyNumberFormat="1" applyFont="1" applyFill="1"/>
    <xf numFmtId="0" fontId="7" fillId="0" borderId="0" xfId="0" applyFont="1" applyFill="1"/>
    <xf numFmtId="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5" fillId="0" borderId="0" xfId="0" applyFont="1"/>
    <xf numFmtId="0" fontId="5" fillId="0" borderId="0" xfId="0" applyFont="1" applyAlignment="1">
      <alignment horizontal="left"/>
    </xf>
    <xf numFmtId="1" fontId="5" fillId="0" borderId="0" xfId="0" applyNumberFormat="1" applyFont="1"/>
    <xf numFmtId="0" fontId="5" fillId="2" borderId="0" xfId="0" applyFont="1" applyFill="1"/>
    <xf numFmtId="1" fontId="5" fillId="2" borderId="0" xfId="0" applyNumberFormat="1" applyFont="1" applyFill="1"/>
    <xf numFmtId="0" fontId="12" fillId="0" borderId="0" xfId="0" applyFont="1" applyFill="1" applyAlignment="1">
      <alignment horizontal="left" vertical="top"/>
    </xf>
    <xf numFmtId="0" fontId="5" fillId="0" borderId="0" xfId="2" applyFont="1"/>
    <xf numFmtId="166" fontId="5" fillId="2" borderId="0" xfId="0" applyNumberFormat="1" applyFont="1" applyFill="1"/>
    <xf numFmtId="1" fontId="5" fillId="0" borderId="0" xfId="0" applyNumberFormat="1" applyFont="1" applyFill="1"/>
    <xf numFmtId="1" fontId="12" fillId="4" borderId="4" xfId="3" applyNumberFormat="1" applyFont="1"/>
    <xf numFmtId="9" fontId="5" fillId="0" borderId="0" xfId="1" applyFont="1"/>
    <xf numFmtId="0" fontId="5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right"/>
    </xf>
  </cellXfs>
  <cellStyles count="4">
    <cellStyle name="Calculation" xfId="3" builtinId="22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I23"/>
  <sheetViews>
    <sheetView workbookViewId="0">
      <selection activeCell="E8" sqref="E8"/>
    </sheetView>
  </sheetViews>
  <sheetFormatPr defaultRowHeight="15" x14ac:dyDescent="0.25"/>
  <cols>
    <col min="1" max="1" width="15.85546875" bestFit="1" customWidth="1"/>
    <col min="2" max="2" width="21" bestFit="1" customWidth="1"/>
  </cols>
  <sheetData>
    <row r="1" spans="1:9" x14ac:dyDescent="0.25">
      <c r="B1" t="s">
        <v>266</v>
      </c>
      <c r="E1" t="s">
        <v>258</v>
      </c>
    </row>
    <row r="2" spans="1:9" x14ac:dyDescent="0.25">
      <c r="B2" t="s">
        <v>193</v>
      </c>
      <c r="C2" t="s">
        <v>248</v>
      </c>
      <c r="D2" s="3" t="s">
        <v>275</v>
      </c>
      <c r="E2" t="s">
        <v>276</v>
      </c>
      <c r="F2" t="s">
        <v>277</v>
      </c>
      <c r="G2" s="3" t="s">
        <v>278</v>
      </c>
      <c r="H2" s="3" t="s">
        <v>279</v>
      </c>
      <c r="I2" s="3"/>
    </row>
    <row r="3" spans="1:9" x14ac:dyDescent="0.25">
      <c r="A3" t="s">
        <v>249</v>
      </c>
      <c r="B3">
        <v>62600</v>
      </c>
      <c r="C3">
        <v>46900</v>
      </c>
      <c r="D3" s="3">
        <v>9500</v>
      </c>
      <c r="E3" s="6">
        <f>B3*E5</f>
        <v>67156.911764705874</v>
      </c>
      <c r="F3" s="6">
        <f>C3*E5</f>
        <v>50314.044117647056</v>
      </c>
      <c r="G3" s="34">
        <f>D3*E5</f>
        <v>10191.544117647058</v>
      </c>
      <c r="H3" s="34">
        <f>F3-G3</f>
        <v>40122.5</v>
      </c>
      <c r="I3" s="3"/>
    </row>
    <row r="4" spans="1:9" x14ac:dyDescent="0.25">
      <c r="A4" t="s">
        <v>253</v>
      </c>
      <c r="B4">
        <v>59700</v>
      </c>
      <c r="C4">
        <v>66600</v>
      </c>
      <c r="D4" s="3">
        <v>11000</v>
      </c>
      <c r="E4" s="6">
        <f>B4*E5</f>
        <v>64045.808823529413</v>
      </c>
      <c r="F4" s="6">
        <f>C4*E5</f>
        <v>71448.088235294112</v>
      </c>
      <c r="G4" s="34">
        <f>D4*E5</f>
        <v>11800.735294117647</v>
      </c>
      <c r="H4" s="34">
        <f>F4-G4</f>
        <v>59647.352941176461</v>
      </c>
      <c r="I4" s="3"/>
    </row>
    <row r="5" spans="1:9" x14ac:dyDescent="0.25">
      <c r="B5" s="48" t="s">
        <v>256</v>
      </c>
      <c r="D5" s="3"/>
      <c r="E5" s="49">
        <f>145.9/136</f>
        <v>1.0727941176470588</v>
      </c>
      <c r="F5" s="6"/>
      <c r="G5" s="3"/>
      <c r="H5" s="3"/>
    </row>
    <row r="6" spans="1:9" x14ac:dyDescent="0.25">
      <c r="F6" s="6"/>
      <c r="G6" s="3"/>
      <c r="H6" s="3"/>
    </row>
    <row r="7" spans="1:9" x14ac:dyDescent="0.25">
      <c r="B7" t="s">
        <v>254</v>
      </c>
      <c r="C7" t="s">
        <v>259</v>
      </c>
      <c r="D7" t="s">
        <v>260</v>
      </c>
      <c r="E7" s="6" t="s">
        <v>280</v>
      </c>
      <c r="F7" s="3" t="s">
        <v>261</v>
      </c>
      <c r="G7" t="s">
        <v>281</v>
      </c>
      <c r="H7" t="s">
        <v>282</v>
      </c>
      <c r="I7" t="s">
        <v>283</v>
      </c>
    </row>
    <row r="8" spans="1:9" x14ac:dyDescent="0.25">
      <c r="A8" t="s">
        <v>39</v>
      </c>
      <c r="B8">
        <v>281721</v>
      </c>
      <c r="C8" s="7">
        <f>B8/B12*100</f>
        <v>84.580073375325</v>
      </c>
      <c r="D8" s="6">
        <f>$E$3*C8/100-B22</f>
        <v>36801.365247190493</v>
      </c>
      <c r="E8" s="6">
        <f>$F$3*C8/100</f>
        <v>42555.655432799271</v>
      </c>
      <c r="F8" s="34">
        <f>$E$4*C8/100</f>
        <v>54169.992096761547</v>
      </c>
      <c r="G8" s="6">
        <f>$F$4*C8/100</f>
        <v>60430.845454678711</v>
      </c>
      <c r="H8" s="6">
        <f>$H$3*C8/100</f>
        <v>33935.639940014778</v>
      </c>
      <c r="I8" s="6">
        <f>$H$4*C8/100</f>
        <v>50449.774884086124</v>
      </c>
    </row>
    <row r="9" spans="1:9" x14ac:dyDescent="0.25">
      <c r="A9" t="s">
        <v>3</v>
      </c>
      <c r="B9">
        <v>234005</v>
      </c>
      <c r="C9" s="47">
        <f>B9/B12*100</f>
        <v>70.254471871791338</v>
      </c>
      <c r="D9" s="6">
        <f>$E$3*C9/100-B22</f>
        <v>27180.733685699015</v>
      </c>
      <c r="E9" s="6">
        <f>$F$3*C9/100</f>
        <v>35347.865972193038</v>
      </c>
      <c r="F9" s="34">
        <f>$E$4*C9/100</f>
        <v>44995.044744987732</v>
      </c>
      <c r="G9" s="6">
        <f>$F$4*C9/100</f>
        <v>50195.477052197355</v>
      </c>
      <c r="H9" s="6">
        <f>$H$3*C9/100</f>
        <v>28187.850476759482</v>
      </c>
      <c r="I9" s="6">
        <f>$H$4*C9/100</f>
        <v>41904.932794326924</v>
      </c>
    </row>
    <row r="10" spans="1:9" x14ac:dyDescent="0.25">
      <c r="A10" t="s">
        <v>4</v>
      </c>
      <c r="B10">
        <v>236098</v>
      </c>
      <c r="C10" s="7">
        <f>B10/B12*100</f>
        <v>70.882845665631891</v>
      </c>
      <c r="D10" s="6">
        <f>$E$3*C10/100-B22</f>
        <v>27602.730119981046</v>
      </c>
      <c r="E10" s="6">
        <f>$F$3*C10/100</f>
        <v>35664.026240049701</v>
      </c>
      <c r="F10" s="34">
        <f>$E$4*C10/100</f>
        <v>45397.491823688011</v>
      </c>
      <c r="G10" s="6">
        <f>$F$4*C10/100</f>
        <v>50644.438114868019</v>
      </c>
      <c r="H10" s="6">
        <f>$H$3*C10/100</f>
        <v>28439.969752193152</v>
      </c>
      <c r="I10" s="6">
        <f>$H$4*C10/100</f>
        <v>42279.741128928858</v>
      </c>
    </row>
    <row r="11" spans="1:9" x14ac:dyDescent="0.25">
      <c r="A11" t="s">
        <v>1</v>
      </c>
      <c r="B11">
        <v>236187</v>
      </c>
      <c r="C11" s="7">
        <f>B11/B12*100</f>
        <v>70.909565812622716</v>
      </c>
      <c r="D11" s="6">
        <f>$E$3*C11/100-B22</f>
        <v>27620.674545519083</v>
      </c>
      <c r="E11" s="6">
        <f>$F$3*C11/100</f>
        <v>35677.470226594967</v>
      </c>
      <c r="F11" s="34">
        <f>$E$4*C11/100</f>
        <v>45414.604957947115</v>
      </c>
      <c r="G11" s="6">
        <f>$F$4*C11/100</f>
        <v>50663.529149066628</v>
      </c>
      <c r="H11" s="6">
        <f>$H$3*C11/100</f>
        <v>28450.690543169552</v>
      </c>
      <c r="I11" s="6">
        <f>$H$4*C11/100</f>
        <v>42295.678989310873</v>
      </c>
    </row>
    <row r="12" spans="1:9" x14ac:dyDescent="0.25">
      <c r="A12" t="s">
        <v>255</v>
      </c>
      <c r="B12">
        <v>333082</v>
      </c>
      <c r="C12">
        <v>100</v>
      </c>
      <c r="D12" s="6">
        <f>$E$3*C12/100-B22</f>
        <v>47156.911764705874</v>
      </c>
      <c r="E12" s="6">
        <f>$F$3*C12/100</f>
        <v>50314.044117647056</v>
      </c>
      <c r="F12" s="34">
        <f>$E$4*C12/100</f>
        <v>64045.80882352942</v>
      </c>
      <c r="G12" s="6">
        <f>$F$4*C12/100</f>
        <v>71448.088235294112</v>
      </c>
      <c r="H12" s="6">
        <f>$H$3*C12/100</f>
        <v>40122.5</v>
      </c>
      <c r="I12" s="6">
        <f>$H$4*C12/100</f>
        <v>59647.352941176461</v>
      </c>
    </row>
    <row r="13" spans="1:9" x14ac:dyDescent="0.25">
      <c r="B13" s="48" t="s">
        <v>257</v>
      </c>
      <c r="G13" s="3"/>
      <c r="H13" s="3"/>
      <c r="I13" s="3"/>
    </row>
    <row r="14" spans="1:9" x14ac:dyDescent="0.25">
      <c r="G14" s="3"/>
      <c r="H14" s="3"/>
      <c r="I14" s="3"/>
    </row>
    <row r="15" spans="1:9" x14ac:dyDescent="0.25">
      <c r="B15" t="s">
        <v>273</v>
      </c>
      <c r="C15" t="s">
        <v>272</v>
      </c>
      <c r="G15" s="3"/>
      <c r="H15" s="3"/>
      <c r="I15" s="3"/>
    </row>
    <row r="16" spans="1:9" x14ac:dyDescent="0.25">
      <c r="A16" t="s">
        <v>250</v>
      </c>
      <c r="B16">
        <v>86000</v>
      </c>
      <c r="C16" s="6">
        <f>B16*(C18/B18)</f>
        <v>90530.901722391092</v>
      </c>
      <c r="G16" s="3"/>
      <c r="H16" s="3"/>
      <c r="I16" s="3"/>
    </row>
    <row r="17" spans="1:9" x14ac:dyDescent="0.25">
      <c r="A17" t="s">
        <v>251</v>
      </c>
      <c r="B17">
        <v>129000</v>
      </c>
      <c r="C17" s="6">
        <f>B17*(C18/B18)</f>
        <v>135796.35258358665</v>
      </c>
      <c r="G17" s="3"/>
      <c r="H17" s="3"/>
      <c r="I17" s="3"/>
    </row>
    <row r="18" spans="1:9" x14ac:dyDescent="0.25">
      <c r="B18">
        <v>98.7</v>
      </c>
      <c r="C18">
        <v>103.9</v>
      </c>
      <c r="G18" s="3"/>
      <c r="H18" s="3"/>
      <c r="I18" s="3"/>
    </row>
    <row r="21" spans="1:9" x14ac:dyDescent="0.25">
      <c r="B21" t="s">
        <v>388</v>
      </c>
    </row>
    <row r="22" spans="1:9" x14ac:dyDescent="0.25">
      <c r="A22" t="s">
        <v>253</v>
      </c>
      <c r="B22">
        <v>20000</v>
      </c>
    </row>
    <row r="23" spans="1:9" x14ac:dyDescent="0.25">
      <c r="A23" t="s">
        <v>249</v>
      </c>
      <c r="B23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E12"/>
  <sheetViews>
    <sheetView workbookViewId="0">
      <selection activeCell="E8" sqref="E8"/>
    </sheetView>
  </sheetViews>
  <sheetFormatPr defaultRowHeight="15" x14ac:dyDescent="0.25"/>
  <cols>
    <col min="1" max="1" width="23.28515625" bestFit="1" customWidth="1"/>
    <col min="2" max="2" width="13.140625" bestFit="1" customWidth="1"/>
    <col min="3" max="4" width="13.140625" customWidth="1"/>
    <col min="5" max="5" width="14.7109375" style="3" bestFit="1" customWidth="1"/>
    <col min="6" max="6" width="12.140625" bestFit="1" customWidth="1"/>
    <col min="7" max="8" width="10.5703125" bestFit="1" customWidth="1"/>
    <col min="9" max="9" width="11.85546875" bestFit="1" customWidth="1"/>
    <col min="10" max="10" width="12" customWidth="1"/>
    <col min="13" max="13" width="12.7109375" customWidth="1"/>
    <col min="16" max="16" width="18.42578125" customWidth="1"/>
  </cols>
  <sheetData>
    <row r="1" spans="1:5" x14ac:dyDescent="0.25">
      <c r="A1" s="1" t="s">
        <v>42</v>
      </c>
      <c r="B1" s="1" t="s">
        <v>244</v>
      </c>
      <c r="C1" s="1" t="s">
        <v>245</v>
      </c>
      <c r="D1" s="1" t="s">
        <v>246</v>
      </c>
      <c r="E1" s="26" t="s">
        <v>184</v>
      </c>
    </row>
    <row r="2" spans="1:5" x14ac:dyDescent="0.25">
      <c r="A2" s="2" t="s">
        <v>26</v>
      </c>
      <c r="B2" s="2"/>
      <c r="C2" s="2"/>
      <c r="D2" s="2"/>
      <c r="E2" s="9">
        <f>'Reserve Revenue (NOT USED)'!B4-'BASIS - Housing demand'!I2</f>
        <v>-54673.812329213564</v>
      </c>
    </row>
    <row r="3" spans="1:5" x14ac:dyDescent="0.25">
      <c r="A3" t="s">
        <v>39</v>
      </c>
      <c r="B3">
        <f>SUM('INPUT - Housing per plan '!I9:I10)</f>
        <v>1223</v>
      </c>
      <c r="C3" s="6">
        <f>'BASIS - Housing demand'!I4</f>
        <v>1116.4030183759933</v>
      </c>
      <c r="D3" s="6">
        <f>B3-C3</f>
        <v>106.59698162400673</v>
      </c>
      <c r="E3" s="34">
        <f>SUM('INPUT - Housing per plan '!N9:O10)-'BASIS - Housing demand'!I4</f>
        <v>-1116.4030183759933</v>
      </c>
    </row>
    <row r="4" spans="1:5" x14ac:dyDescent="0.25">
      <c r="A4" t="s">
        <v>3</v>
      </c>
      <c r="B4">
        <f>'INPUT - Housing per plan '!I3</f>
        <v>1400</v>
      </c>
      <c r="C4" s="6">
        <f>'BASIS - Housing demand'!I3</f>
        <v>2056.5318759557772</v>
      </c>
      <c r="D4" s="6">
        <f t="shared" ref="D4:D8" si="0">B4-C4</f>
        <v>-656.5318759557772</v>
      </c>
      <c r="E4" s="80">
        <f>SUM('INPUT - Housing per plan '!N3:O3)+SUM('INPUT - Housing per plan '!N19:O21)-'BASIS - Housing demand'!I3</f>
        <v>-2056.5318759557772</v>
      </c>
    </row>
    <row r="5" spans="1:5" x14ac:dyDescent="0.25">
      <c r="A5" t="s">
        <v>198</v>
      </c>
      <c r="B5">
        <f>SUM('INPUT - Housing per plan '!I4:I8)</f>
        <v>3690</v>
      </c>
      <c r="C5" s="6">
        <f>'BASIS - Housing demand'!I5</f>
        <v>3349.2090551279803</v>
      </c>
      <c r="D5" s="6">
        <f t="shared" si="0"/>
        <v>340.79094487201974</v>
      </c>
      <c r="E5" s="34">
        <f>SUM('INPUT - Housing per plan '!N4:O8)-'BASIS - Housing demand'!I5</f>
        <v>-3349.2090551279803</v>
      </c>
    </row>
    <row r="6" spans="1:5" x14ac:dyDescent="0.25">
      <c r="A6" t="s">
        <v>1</v>
      </c>
      <c r="B6">
        <f>SUM('INPUT - Housing per plan '!I11:I14)</f>
        <v>13500</v>
      </c>
      <c r="C6" s="6">
        <f>'BASIS - Housing demand'!I6</f>
        <v>8519.9177718167921</v>
      </c>
      <c r="D6" s="6">
        <f t="shared" si="0"/>
        <v>4980.0822281832079</v>
      </c>
      <c r="E6" s="80">
        <f>SUM('INPUT - Housing per plan '!N11:O18)-'BASIS - Housing demand'!I6</f>
        <v>-8519.9177718167921</v>
      </c>
    </row>
    <row r="7" spans="1:5" x14ac:dyDescent="0.25">
      <c r="A7" s="2" t="s">
        <v>287</v>
      </c>
      <c r="C7" s="6"/>
      <c r="D7" s="6"/>
      <c r="E7" s="76">
        <f>SUM('INPUT - Housing per plan '!N3:O21)-'BASIS - Housing demand'!I7</f>
        <v>-70215.874050490107</v>
      </c>
    </row>
    <row r="8" spans="1:5" x14ac:dyDescent="0.25">
      <c r="A8" t="s">
        <v>286</v>
      </c>
      <c r="B8">
        <f>SUM(B3:B6)</f>
        <v>19813</v>
      </c>
      <c r="C8" s="6">
        <f>SUM(C3:C6)</f>
        <v>15042.061721276543</v>
      </c>
      <c r="D8" s="6">
        <f t="shared" si="0"/>
        <v>4770.9382787234572</v>
      </c>
      <c r="E8" s="80">
        <f>SUM('INPUT - Housing per plan '!N3:O21)-'BASIS - Housing demand'!I8</f>
        <v>-15042.061721276543</v>
      </c>
    </row>
    <row r="9" spans="1:5" x14ac:dyDescent="0.25">
      <c r="E9" s="15"/>
    </row>
    <row r="11" spans="1:5" x14ac:dyDescent="0.25">
      <c r="A11" t="s">
        <v>337</v>
      </c>
    </row>
    <row r="12" spans="1:5" x14ac:dyDescent="0.25">
      <c r="A12" t="s">
        <v>338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1"/>
  <sheetViews>
    <sheetView workbookViewId="0">
      <selection activeCell="B29" sqref="B29"/>
    </sheetView>
  </sheetViews>
  <sheetFormatPr defaultRowHeight="15" x14ac:dyDescent="0.25"/>
  <cols>
    <col min="1" max="1" width="12" bestFit="1" customWidth="1"/>
    <col min="2" max="2" width="16.140625" bestFit="1" customWidth="1"/>
    <col min="3" max="3" width="15.42578125" bestFit="1" customWidth="1"/>
    <col min="4" max="4" width="21.140625" bestFit="1" customWidth="1"/>
    <col min="5" max="5" width="14.5703125" bestFit="1" customWidth="1"/>
  </cols>
  <sheetData>
    <row r="1" spans="1:5" x14ac:dyDescent="0.25">
      <c r="A1" s="1" t="s">
        <v>192</v>
      </c>
      <c r="B1" s="1" t="s">
        <v>235</v>
      </c>
      <c r="C1" s="1" t="s">
        <v>183</v>
      </c>
      <c r="D1" s="1" t="s">
        <v>190</v>
      </c>
      <c r="E1" s="1" t="s">
        <v>191</v>
      </c>
    </row>
    <row r="2" spans="1:5" s="2" customFormat="1" x14ac:dyDescent="0.25">
      <c r="A2" s="2" t="s">
        <v>26</v>
      </c>
      <c r="B2" s="2" t="s">
        <v>43</v>
      </c>
      <c r="C2" s="2">
        <v>0</v>
      </c>
      <c r="D2" s="9">
        <f>'Indicator 3 Finances'!B16</f>
        <v>0</v>
      </c>
      <c r="E2" s="2">
        <f>C2-D2</f>
        <v>0</v>
      </c>
    </row>
    <row r="3" spans="1:5" x14ac:dyDescent="0.25">
      <c r="A3" t="s">
        <v>39</v>
      </c>
      <c r="B3" t="s">
        <v>43</v>
      </c>
      <c r="C3">
        <f>SUM('INPUT - Housing per plan '!T9:T10)</f>
        <v>0</v>
      </c>
      <c r="D3" s="6">
        <f>'Indicator 3 Finances'!B17</f>
        <v>0</v>
      </c>
      <c r="E3">
        <f t="shared" ref="E3:E6" si="0">C3-D3</f>
        <v>0</v>
      </c>
    </row>
    <row r="4" spans="1:5" x14ac:dyDescent="0.25">
      <c r="A4" t="s">
        <v>3</v>
      </c>
      <c r="B4" t="s">
        <v>43</v>
      </c>
      <c r="C4" s="72">
        <f>'INPUT - Housing per plan '!T3+SUM('INPUT - Housing per plan '!T19:T21)</f>
        <v>0</v>
      </c>
      <c r="D4" s="6">
        <f>'Indicator 3 Finances'!B18</f>
        <v>0</v>
      </c>
      <c r="E4">
        <f t="shared" si="0"/>
        <v>0</v>
      </c>
    </row>
    <row r="5" spans="1:5" x14ac:dyDescent="0.25">
      <c r="A5" t="s">
        <v>4</v>
      </c>
      <c r="B5" t="s">
        <v>43</v>
      </c>
      <c r="C5">
        <f>SUM('INPUT - Housing per plan '!T4:T8)</f>
        <v>0</v>
      </c>
      <c r="D5" s="6">
        <f>'Indicator 3 Finances'!B19</f>
        <v>0</v>
      </c>
      <c r="E5">
        <f t="shared" si="0"/>
        <v>0</v>
      </c>
    </row>
    <row r="6" spans="1:5" x14ac:dyDescent="0.25">
      <c r="A6" t="s">
        <v>1</v>
      </c>
      <c r="B6" t="s">
        <v>43</v>
      </c>
      <c r="C6" s="72">
        <f>SUM('INPUT - Housing per plan '!T11:T18)</f>
        <v>0</v>
      </c>
      <c r="D6" s="6">
        <f>'Indicator 3 Finances'!B20</f>
        <v>0</v>
      </c>
      <c r="E6">
        <f t="shared" si="0"/>
        <v>0</v>
      </c>
    </row>
    <row r="7" spans="1:5" x14ac:dyDescent="0.25">
      <c r="A7" t="s">
        <v>115</v>
      </c>
      <c r="B7" s="2">
        <v>0</v>
      </c>
      <c r="C7" t="s">
        <v>43</v>
      </c>
      <c r="D7" s="6">
        <f>'Indicator 3 Finances'!B21</f>
        <v>0</v>
      </c>
      <c r="E7" s="6">
        <f>B7-D7</f>
        <v>0</v>
      </c>
    </row>
    <row r="8" spans="1:5" x14ac:dyDescent="0.25">
      <c r="A8" t="s">
        <v>79</v>
      </c>
      <c r="B8" s="2">
        <v>0</v>
      </c>
      <c r="C8" t="s">
        <v>43</v>
      </c>
      <c r="D8" s="6">
        <f>'Indicator 3 Finances'!B22</f>
        <v>0</v>
      </c>
      <c r="E8">
        <f>B8-D8</f>
        <v>0</v>
      </c>
    </row>
    <row r="15" spans="1:5" x14ac:dyDescent="0.25">
      <c r="A15" s="1"/>
      <c r="B15" t="s">
        <v>241</v>
      </c>
    </row>
    <row r="16" spans="1:5" x14ac:dyDescent="0.25">
      <c r="A16" s="5" t="s">
        <v>26</v>
      </c>
      <c r="B16" s="7">
        <f>SUM('INPUT - Infra Projects'!S3:S40)</f>
        <v>0</v>
      </c>
    </row>
    <row r="17" spans="1:4" x14ac:dyDescent="0.25">
      <c r="A17" t="s">
        <v>3</v>
      </c>
      <c r="B17" s="7">
        <f>SUM('INPUT - Infra Projects'!T3:T40)</f>
        <v>0</v>
      </c>
    </row>
    <row r="18" spans="1:4" x14ac:dyDescent="0.25">
      <c r="A18" t="s">
        <v>39</v>
      </c>
      <c r="B18" s="7">
        <f>SUM('INPUT - Infra Projects'!U3:U40)</f>
        <v>0</v>
      </c>
    </row>
    <row r="19" spans="1:4" x14ac:dyDescent="0.25">
      <c r="A19" t="s">
        <v>198</v>
      </c>
      <c r="B19" s="7">
        <f>SUM('INPUT - Infra Projects'!V3:V40)</f>
        <v>0</v>
      </c>
    </row>
    <row r="20" spans="1:4" x14ac:dyDescent="0.25">
      <c r="A20" t="s">
        <v>1</v>
      </c>
      <c r="B20" s="7">
        <f>SUM('INPUT - Infra Projects'!W3:W40)</f>
        <v>0</v>
      </c>
    </row>
    <row r="21" spans="1:4" x14ac:dyDescent="0.25">
      <c r="A21" t="s">
        <v>115</v>
      </c>
      <c r="B21" s="7">
        <f>SUM('INPUT - Infra Projects'!X3:X40)</f>
        <v>0</v>
      </c>
    </row>
    <row r="22" spans="1:4" x14ac:dyDescent="0.25">
      <c r="A22" t="s">
        <v>79</v>
      </c>
      <c r="B22" s="7">
        <f>SUM('INPUT - Infra Projects'!Y3:Y40)</f>
        <v>0</v>
      </c>
    </row>
    <row r="24" spans="1:4" x14ac:dyDescent="0.25">
      <c r="B24" s="1" t="s">
        <v>339</v>
      </c>
      <c r="C24" s="1" t="s">
        <v>340</v>
      </c>
      <c r="D24" s="1" t="s">
        <v>191</v>
      </c>
    </row>
    <row r="25" spans="1:4" x14ac:dyDescent="0.25">
      <c r="A25" t="s">
        <v>326</v>
      </c>
      <c r="B25" s="72">
        <f>'INPUT - Housing per plan '!T11+'INPUT - Housing per plan '!T12+SUM('INPUT - Housing per plan '!T15:T18)</f>
        <v>0</v>
      </c>
      <c r="C25">
        <f>SUMIFS('INPUT - Infra Projects'!I3:I40,'INPUT - Infra Projects'!S3:S40,"1",'INPUT - Infra Projects'!M3:M40,"p1")</f>
        <v>0</v>
      </c>
      <c r="D25">
        <f>B25-C25</f>
        <v>0</v>
      </c>
    </row>
    <row r="26" spans="1:4" x14ac:dyDescent="0.25">
      <c r="A26" t="s">
        <v>327</v>
      </c>
      <c r="B26" s="72">
        <f>'INPUT - Housing per plan '!T13+'INPUT - Housing per plan '!T14</f>
        <v>0</v>
      </c>
      <c r="C26">
        <f>SUMIFS('INPUT - Infra Projects'!I3:I40,'INPUT - Infra Projects'!S3:S40,"1",'INPUT - Infra Projects'!M3:M40,"p2")</f>
        <v>0</v>
      </c>
      <c r="D26">
        <f t="shared" ref="D26:D31" si="1">B26-C26</f>
        <v>0</v>
      </c>
    </row>
    <row r="27" spans="1:4" x14ac:dyDescent="0.25">
      <c r="A27" t="s">
        <v>328</v>
      </c>
      <c r="B27">
        <f>'INPUT - Housing per plan '!T4+'INPUT - Housing per plan '!T5+'INPUT - Housing per plan '!T6+'INPUT - Housing per plan '!T7+'INPUT - Housing per plan '!T8</f>
        <v>0</v>
      </c>
      <c r="C27">
        <f>SUMIFS('INPUT - Infra Projects'!I3:I40,'INPUT - Infra Projects'!S3:S40,"1",'INPUT - Infra Projects'!M3:M40,"p3")</f>
        <v>0</v>
      </c>
      <c r="D27">
        <f t="shared" si="1"/>
        <v>0</v>
      </c>
    </row>
    <row r="28" spans="1:4" x14ac:dyDescent="0.25">
      <c r="A28" t="s">
        <v>329</v>
      </c>
      <c r="B28" s="72">
        <f>'INPUT - Housing per plan '!T3+SUM('INPUT - Housing per plan '!T19:T21)</f>
        <v>0</v>
      </c>
      <c r="C28">
        <f>SUMIFS('INPUT - Infra Projects'!I3:I40,'INPUT - Infra Projects'!S3:S40,"1",'INPUT - Infra Projects'!M3:M40,"p4")</f>
        <v>0</v>
      </c>
      <c r="D28">
        <f t="shared" si="1"/>
        <v>0</v>
      </c>
    </row>
    <row r="29" spans="1:4" x14ac:dyDescent="0.25">
      <c r="A29" t="s">
        <v>330</v>
      </c>
      <c r="B29" s="72">
        <f>'INPUT - Housing per plan '!T9+'INPUT - Housing per plan '!T10</f>
        <v>0</v>
      </c>
      <c r="C29">
        <f>SUMIFS('INPUT - Infra Projects'!I3:I40,'INPUT - Infra Projects'!S3:S40,"1",'INPUT - Infra Projects'!M3:M40,"p5")</f>
        <v>0</v>
      </c>
      <c r="D29">
        <f t="shared" si="1"/>
        <v>0</v>
      </c>
    </row>
    <row r="30" spans="1:4" x14ac:dyDescent="0.25">
      <c r="A30" t="s">
        <v>331</v>
      </c>
      <c r="B30">
        <v>0</v>
      </c>
      <c r="C30">
        <f>SUMIFS('INPUT - Infra Projects'!I3:I40,'INPUT - Infra Projects'!S3:S40,"1",'INPUT - Infra Projects'!M3:M40,"p6")</f>
        <v>0</v>
      </c>
      <c r="D30">
        <f t="shared" si="1"/>
        <v>0</v>
      </c>
    </row>
    <row r="31" spans="1:4" x14ac:dyDescent="0.25">
      <c r="A31" t="s">
        <v>332</v>
      </c>
      <c r="B31">
        <v>0</v>
      </c>
      <c r="C31">
        <f>SUMIFS('INPUT - Infra Projects'!I3:I40,'INPUT - Infra Projects'!S3:S40,"1",'INPUT - Infra Projects'!M3:M40,"p7")</f>
        <v>0</v>
      </c>
      <c r="D31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J18"/>
  <sheetViews>
    <sheetView workbookViewId="0">
      <selection activeCell="B11" sqref="B11"/>
    </sheetView>
  </sheetViews>
  <sheetFormatPr defaultRowHeight="15" x14ac:dyDescent="0.25"/>
  <cols>
    <col min="1" max="1" width="25" bestFit="1" customWidth="1"/>
    <col min="2" max="2" width="13.140625" bestFit="1" customWidth="1"/>
    <col min="3" max="3" width="11.7109375" bestFit="1" customWidth="1"/>
    <col min="4" max="4" width="12.85546875" bestFit="1" customWidth="1"/>
    <col min="5" max="5" width="16.7109375" bestFit="1" customWidth="1"/>
    <col min="6" max="6" width="11.7109375" bestFit="1" customWidth="1"/>
    <col min="7" max="7" width="12.85546875" bestFit="1" customWidth="1"/>
    <col min="8" max="8" width="18.140625" bestFit="1" customWidth="1"/>
    <col min="9" max="9" width="11.7109375" bestFit="1" customWidth="1"/>
    <col min="10" max="10" width="12.85546875" bestFit="1" customWidth="1"/>
  </cols>
  <sheetData>
    <row r="1" spans="1:10" x14ac:dyDescent="0.25">
      <c r="B1" s="1" t="s">
        <v>313</v>
      </c>
      <c r="E1" s="1" t="s">
        <v>318</v>
      </c>
      <c r="H1" s="1" t="s">
        <v>317</v>
      </c>
    </row>
    <row r="2" spans="1:10" x14ac:dyDescent="0.25">
      <c r="A2" s="1" t="s">
        <v>5</v>
      </c>
      <c r="B2" t="s">
        <v>314</v>
      </c>
      <c r="C2" t="s">
        <v>315</v>
      </c>
      <c r="D2" t="s">
        <v>316</v>
      </c>
      <c r="E2" t="s">
        <v>314</v>
      </c>
      <c r="F2" t="s">
        <v>315</v>
      </c>
      <c r="G2" t="s">
        <v>316</v>
      </c>
      <c r="H2" t="s">
        <v>314</v>
      </c>
      <c r="I2" t="s">
        <v>315</v>
      </c>
      <c r="J2" t="s">
        <v>316</v>
      </c>
    </row>
    <row r="3" spans="1:10" s="2" customFormat="1" x14ac:dyDescent="0.25">
      <c r="A3" s="2" t="s">
        <v>26</v>
      </c>
    </row>
    <row r="4" spans="1:10" x14ac:dyDescent="0.25">
      <c r="A4" t="s">
        <v>39</v>
      </c>
    </row>
    <row r="5" spans="1:10" x14ac:dyDescent="0.25">
      <c r="A5" t="s">
        <v>3</v>
      </c>
    </row>
    <row r="6" spans="1:10" x14ac:dyDescent="0.25">
      <c r="A6" t="s">
        <v>4</v>
      </c>
    </row>
    <row r="7" spans="1:10" x14ac:dyDescent="0.25">
      <c r="A7" t="s">
        <v>1</v>
      </c>
    </row>
    <row r="8" spans="1:10" x14ac:dyDescent="0.25">
      <c r="A8" t="s">
        <v>186</v>
      </c>
    </row>
    <row r="10" spans="1:10" x14ac:dyDescent="0.25">
      <c r="A10" s="1"/>
      <c r="B10" s="1" t="s">
        <v>345</v>
      </c>
      <c r="C10" s="1"/>
      <c r="D10" s="1" t="s">
        <v>346</v>
      </c>
      <c r="E10" s="1"/>
      <c r="F10" s="1" t="s">
        <v>348</v>
      </c>
      <c r="G10" s="1"/>
    </row>
    <row r="11" spans="1:10" x14ac:dyDescent="0.25">
      <c r="A11" t="s">
        <v>326</v>
      </c>
      <c r="B11" s="82" t="e">
        <f>(SUMIFS('INPUT - Housing per plan '!$L$3:$L$21,'INPUT - Housing per plan '!$E$3:$E$21,"p1",'BASIS - Accessiblity of plans'!$F$3:$F$21,"1"))/(SUMIFS('INPUT - Housing per plan '!$L$3:$L$21,'INPUT - Housing per plan '!$E$3:$E$21,"p1"))*100</f>
        <v>#DIV/0!</v>
      </c>
      <c r="D11" s="72" t="e">
        <f>(SUMIFS('INPUT - Housing per plan '!$L$3:$L$21,'INPUT - Housing per plan '!$E$3:$E$21,"p1",'INPUT - Housing per plan '!$F$3:$F$21,"1"))/(SUMIFS('INPUT - Housing per plan '!$L$3:$L$21,'INPUT - Housing per plan '!$E$3:$E$21,"p1"))*100</f>
        <v>#DIV/0!</v>
      </c>
      <c r="F11" s="72" t="e">
        <f>(SUMIFS('INPUT - Housing per plan '!$O$3:$O$21,'INPUT - Housing per plan '!$E$3:$E$21,"p1"))/(SUMIFS('INPUT - Housing per plan '!$L$3:$L$21,'INPUT - Housing per plan '!$E$3:$E$21,"p1"))*100</f>
        <v>#DIV/0!</v>
      </c>
    </row>
    <row r="12" spans="1:10" x14ac:dyDescent="0.25">
      <c r="A12" t="s">
        <v>327</v>
      </c>
      <c r="B12" s="82" t="e">
        <f>(SUMIFS('INPUT - Housing per plan '!$L$3:$L$21,'INPUT - Housing per plan '!$E$3:$E$21,"p2",'BASIS - Accessiblity of plans'!$F$3:$F$21,"1"))/(SUMIFS('INPUT - Housing per plan '!$L$3:$L$21,'INPUT - Housing per plan '!$E$3:$E$21,"p2"))*100</f>
        <v>#DIV/0!</v>
      </c>
      <c r="D12" s="72" t="e">
        <f>(SUMIFS('INPUT - Housing per plan '!$L$3:$L$21,'INPUT - Housing per plan '!$E$3:$E$21,"p2",'INPUT - Housing per plan '!$F$3:$F$21,"1"))/(SUMIFS('INPUT - Housing per plan '!$L$3:$L$21,'INPUT - Housing per plan '!$E$3:$E$21,"p2"))*100</f>
        <v>#DIV/0!</v>
      </c>
      <c r="F12" s="72" t="e">
        <f>(SUMIFS('INPUT - Housing per plan '!$O$3:$O$21,'INPUT - Housing per plan '!$E$3:$E$21,"p2"))/(SUMIFS('INPUT - Housing per plan '!$L$3:$L$21,'INPUT - Housing per plan '!$E$3:$E$21,"p2"))*100</f>
        <v>#DIV/0!</v>
      </c>
    </row>
    <row r="13" spans="1:10" x14ac:dyDescent="0.25">
      <c r="A13" t="s">
        <v>328</v>
      </c>
      <c r="B13" s="82" t="e">
        <f>(SUMIFS('INPUT - Housing per plan '!$L$3:$L$21,'INPUT - Housing per plan '!$E$3:$E$21,"p3",'BASIS - Accessiblity of plans'!$F$3:$F$21,"1"))/(SUMIFS('INPUT - Housing per plan '!$L$3:$L$21,'INPUT - Housing per plan '!$E$3:$E$21,"p3"))*100</f>
        <v>#DIV/0!</v>
      </c>
      <c r="D13" s="72" t="e">
        <f>(SUMIFS('INPUT - Housing per plan '!$L$3:$L$21,'INPUT - Housing per plan '!$E$3:$E$21,"p3",'INPUT - Housing per plan '!$F$3:$F$21,"1"))/(SUMIFS('INPUT - Housing per plan '!$L$3:$L$21,'INPUT - Housing per plan '!$E$3:$E$21,"p3"))*100</f>
        <v>#DIV/0!</v>
      </c>
      <c r="F13" s="72" t="e">
        <f>(SUMIFS('INPUT - Housing per plan '!$O$3:$O$21,'INPUT - Housing per plan '!$E$3:$E$21,"p3"))/(SUMIFS('INPUT - Housing per plan '!$L$3:$L$21,'INPUT - Housing per plan '!$E$3:$E$21,"p3"))*100</f>
        <v>#DIV/0!</v>
      </c>
    </row>
    <row r="14" spans="1:10" x14ac:dyDescent="0.25">
      <c r="A14" t="s">
        <v>329</v>
      </c>
      <c r="B14" s="82" t="e">
        <f>(SUMIFS('INPUT - Housing per plan '!$L$3:$L$21,'INPUT - Housing per plan '!$E$3:$E$21,"p4",'BASIS - Accessiblity of plans'!$F$3:$F$21,"1"))/(SUMIFS('INPUT - Housing per plan '!$L$3:$L$21,'INPUT - Housing per plan '!$E$3:$E$21,"p4"))*100</f>
        <v>#DIV/0!</v>
      </c>
      <c r="D14" s="72" t="e">
        <f>(SUMIFS('INPUT - Housing per plan '!$L$3:$L$21,'INPUT - Housing per plan '!$E$3:$E$21,"p4",'INPUT - Housing per plan '!$F$3:$F$21,"1"))/(SUMIFS('INPUT - Housing per plan '!$L$3:$L$21,'INPUT - Housing per plan '!$E$3:$E$21,"p4"))*100</f>
        <v>#DIV/0!</v>
      </c>
      <c r="F14" s="72" t="e">
        <f>(SUMIFS('INPUT - Housing per plan '!$O$3:$O$21,'INPUT - Housing per plan '!$E$3:$E$21,"p4"))/(SUMIFS('INPUT - Housing per plan '!$L$3:$L$21,'INPUT - Housing per plan '!$E$3:$E$21,"p4"))*100</f>
        <v>#DIV/0!</v>
      </c>
    </row>
    <row r="15" spans="1:10" x14ac:dyDescent="0.25">
      <c r="A15" t="s">
        <v>330</v>
      </c>
      <c r="B15" s="82" t="e">
        <f>(SUMIFS('INPUT - Housing per plan '!$L$3:$L$21,'INPUT - Housing per plan '!$E$3:$E$21,"p5",'BASIS - Accessiblity of plans'!$F$3:$F$21,"1"))/(SUMIFS('INPUT - Housing per plan '!$L$3:$L$21,'INPUT - Housing per plan '!$E$3:$E$21,"p5"))*100</f>
        <v>#DIV/0!</v>
      </c>
      <c r="D15" s="72" t="e">
        <f>(SUMIFS('INPUT - Housing per plan '!$L$3:$L$21,'INPUT - Housing per plan '!$E$3:$E$21,"p5",'INPUT - Housing per plan '!$F$3:$F$21,"1"))/(SUMIFS('INPUT - Housing per plan '!$L$3:$L$21,'INPUT - Housing per plan '!$E$3:$E$21,"p5"))*100</f>
        <v>#DIV/0!</v>
      </c>
      <c r="F15" s="72" t="e">
        <f>(SUMIFS('INPUT - Housing per plan '!$O$3:$O$21,'INPUT - Housing per plan '!$E$3:$E$21,"p5"))/(SUMIFS('INPUT - Housing per plan '!$L$3:$L$21,'INPUT - Housing per plan '!$E$3:$E$21,"p5"))*100</f>
        <v>#DIV/0!</v>
      </c>
    </row>
    <row r="16" spans="1:10" x14ac:dyDescent="0.25">
      <c r="A16" t="s">
        <v>331</v>
      </c>
      <c r="B16" s="82" t="e">
        <f>(SUMIFS('INPUT - Housing per plan '!$L$3:$L$21,'INPUT - Housing per plan '!$E$3:$E$21,"p6",'BASIS - Accessiblity of plans'!$F$3:$F$21,"1"))/(SUMIFS('INPUT - Housing per plan '!$L$3:$L$21,'INPUT - Housing per plan '!$E$3:$E$21,"p6"))*100</f>
        <v>#DIV/0!</v>
      </c>
      <c r="D16" s="72" t="e">
        <f>(SUMIFS('INPUT - Housing per plan '!$L$3:$L$21,'INPUT - Housing per plan '!$E$3:$E$21,"p6",'INPUT - Housing per plan '!$F$3:$F$21,"1"))/(SUMIFS('INPUT - Housing per plan '!$L$3:$L$21,'INPUT - Housing per plan '!$E$3:$E$21,"p6"))*100</f>
        <v>#DIV/0!</v>
      </c>
      <c r="F16" s="72" t="e">
        <f>(SUMIFS('INPUT - Housing per plan '!$O$3:$O$21,'INPUT - Housing per plan '!$E$3:$E$21,"p6"))/(SUMIFS('INPUT - Housing per plan '!$L$3:$L$21,'INPUT - Housing per plan '!$E$3:$E$21,"p6"))*100</f>
        <v>#DIV/0!</v>
      </c>
    </row>
    <row r="17" spans="1:6" x14ac:dyDescent="0.25">
      <c r="A17" t="s">
        <v>332</v>
      </c>
      <c r="B17" s="82" t="e">
        <f>(SUMIFS('INPUT - Housing per plan '!$L$3:$L$21,'INPUT - Housing per plan '!$E$3:$E$21,"p7",'BASIS - Accessiblity of plans'!$F$3:$F$21,"1"))/(SUMIFS('INPUT - Housing per plan '!$L$3:$L$21,'INPUT - Housing per plan '!$E$3:$E$21,"p7"))*100</f>
        <v>#DIV/0!</v>
      </c>
      <c r="D17" s="72" t="e">
        <f>(SUMIFS('INPUT - Housing per plan '!$L$3:$L$21,'INPUT - Housing per plan '!$E$3:$E$21,"p7",'INPUT - Housing per plan '!$F$3:$F$21,"1"))/(SUMIFS('INPUT - Housing per plan '!$L$3:$L$21,'INPUT - Housing per plan '!$E$3:$E$21,"p7"))*100</f>
        <v>#DIV/0!</v>
      </c>
      <c r="F17" s="72" t="e">
        <f>(SUMIFS('INPUT - Housing per plan '!$O$3:$O$21,'INPUT - Housing per plan '!$E$3:$E$21,"p7"))/(SUMIFS('INPUT - Housing per plan '!$L$3:$L$21,'INPUT - Housing per plan '!$E$3:$E$21,"p7"))*100</f>
        <v>#DIV/0!</v>
      </c>
    </row>
    <row r="18" spans="1:6" x14ac:dyDescent="0.25">
      <c r="A18" t="s">
        <v>13</v>
      </c>
      <c r="B18" s="82" t="e">
        <f>(SUMIFS('INPUT - Housing per plan '!$L$3:$L$21,'BASIS - Accessiblity of plans'!$F$3:$F$21,"1"))/(SUM('INPUT - Housing per plan '!$L$3:$L$21))*100</f>
        <v>#DIV/0!</v>
      </c>
      <c r="D18" s="72" t="e">
        <f>(SUMIFS('INPUT - Housing per plan '!$L$3:$L$21,'INPUT - Housing per plan '!$F$3:$F$21,"1"))/(SUM('INPUT - Housing per plan '!$L$3:$L$21))*100</f>
        <v>#DIV/0!</v>
      </c>
      <c r="F18" s="72" t="e">
        <f>(SUM('INPUT - Housing per plan '!$O$3:$O$21))/(SUM('INPUT - Housing per plan '!$L$3:$L$21))*100</f>
        <v>#DIV/0!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N14"/>
  <sheetViews>
    <sheetView workbookViewId="0">
      <selection activeCell="D34" sqref="D34"/>
    </sheetView>
  </sheetViews>
  <sheetFormatPr defaultRowHeight="15" x14ac:dyDescent="0.25"/>
  <cols>
    <col min="1" max="1" width="13.7109375" bestFit="1" customWidth="1"/>
    <col min="2" max="2" width="12.140625" style="3" bestFit="1" customWidth="1"/>
    <col min="3" max="3" width="12.140625" bestFit="1" customWidth="1"/>
    <col min="4" max="5" width="10.5703125" bestFit="1" customWidth="1"/>
    <col min="6" max="6" width="11.85546875" bestFit="1" customWidth="1"/>
    <col min="7" max="7" width="12" customWidth="1"/>
    <col min="10" max="10" width="12.7109375" customWidth="1"/>
    <col min="13" max="13" width="18.42578125" customWidth="1"/>
  </cols>
  <sheetData>
    <row r="1" spans="1:14" x14ac:dyDescent="0.25">
      <c r="A1" t="s">
        <v>42</v>
      </c>
      <c r="B1" s="2" t="s">
        <v>26</v>
      </c>
      <c r="C1" t="s">
        <v>39</v>
      </c>
      <c r="D1" t="s">
        <v>3</v>
      </c>
      <c r="E1" t="s">
        <v>198</v>
      </c>
      <c r="F1" t="s">
        <v>1</v>
      </c>
      <c r="G1" t="s">
        <v>13</v>
      </c>
      <c r="I1" t="s">
        <v>2</v>
      </c>
      <c r="J1" t="s">
        <v>44</v>
      </c>
      <c r="K1" t="s">
        <v>45</v>
      </c>
      <c r="L1" t="s">
        <v>51</v>
      </c>
      <c r="M1" t="s">
        <v>52</v>
      </c>
      <c r="N1" t="s">
        <v>53</v>
      </c>
    </row>
    <row r="2" spans="1:14" x14ac:dyDescent="0.25">
      <c r="A2" t="s">
        <v>46</v>
      </c>
      <c r="B2" s="2">
        <f>'BASIS - Plans per municipality'!C3</f>
        <v>272107</v>
      </c>
      <c r="C2">
        <f>'BASIS - Plans per municipality'!C6</f>
        <v>1982</v>
      </c>
      <c r="D2">
        <f>'BASIS - Plans per municipality'!C4</f>
        <v>4165</v>
      </c>
      <c r="E2">
        <f>'BASIS - Plans per municipality'!C5</f>
        <v>10014</v>
      </c>
      <c r="F2">
        <f>'BASIS - Plans per municipality'!C7</f>
        <v>23728</v>
      </c>
      <c r="G2">
        <f>SUM(C2:F2)</f>
        <v>39889</v>
      </c>
      <c r="I2" s="6">
        <f>G3</f>
        <v>25600</v>
      </c>
      <c r="J2">
        <v>0.2</v>
      </c>
      <c r="K2">
        <v>0.05</v>
      </c>
      <c r="L2">
        <v>5.5E-2</v>
      </c>
      <c r="M2">
        <f>G4/G3</f>
        <v>1.42578125</v>
      </c>
      <c r="N2">
        <v>0.2</v>
      </c>
    </row>
    <row r="3" spans="1:14" ht="15.75" thickBot="1" x14ac:dyDescent="0.3">
      <c r="A3" t="s">
        <v>2</v>
      </c>
      <c r="B3" s="2">
        <f>'BASIS - Housing demand'!G2-'BASIS - Housing demand'!B2</f>
        <v>93900</v>
      </c>
      <c r="C3">
        <f>'BASIS - Housing demand'!G4-'BASIS - Housing demand'!B4</f>
        <v>1900</v>
      </c>
      <c r="D3">
        <f>'BASIS - Housing demand'!G3-'BASIS - Housing demand'!B3</f>
        <v>3500</v>
      </c>
      <c r="E3">
        <f>'BASIS - Housing demand'!G5-'BASIS - Housing demand'!B5</f>
        <v>5700</v>
      </c>
      <c r="F3">
        <f>'BASIS - Housing demand'!G6-'BASIS - Housing demand'!B6</f>
        <v>14500</v>
      </c>
      <c r="G3">
        <f>SUM((C3+D3+E3+F3))</f>
        <v>25600</v>
      </c>
      <c r="I3" s="6"/>
    </row>
    <row r="4" spans="1:14" ht="15.75" thickBot="1" x14ac:dyDescent="0.3">
      <c r="A4" s="11" t="s">
        <v>47</v>
      </c>
      <c r="B4" s="31">
        <v>500</v>
      </c>
      <c r="C4" s="32">
        <v>2500</v>
      </c>
      <c r="D4" s="32">
        <v>4000</v>
      </c>
      <c r="E4" s="32">
        <v>5000</v>
      </c>
      <c r="F4" s="32">
        <v>25000</v>
      </c>
      <c r="G4" s="12">
        <f>SUM(C4:F4)</f>
        <v>36500</v>
      </c>
      <c r="H4" s="6"/>
    </row>
    <row r="5" spans="1:14" x14ac:dyDescent="0.25">
      <c r="A5" t="s">
        <v>49</v>
      </c>
      <c r="B5" s="9">
        <v>400</v>
      </c>
      <c r="C5" s="6">
        <v>200</v>
      </c>
      <c r="D5" s="6">
        <v>150</v>
      </c>
      <c r="E5" s="6">
        <v>250</v>
      </c>
      <c r="F5" s="6">
        <v>300</v>
      </c>
      <c r="G5" s="6"/>
      <c r="H5" s="6"/>
    </row>
    <row r="6" spans="1:14" ht="15.75" thickBot="1" x14ac:dyDescent="0.3">
      <c r="A6" t="s">
        <v>50</v>
      </c>
      <c r="B6" s="10">
        <f>$L$2*B5</f>
        <v>22</v>
      </c>
      <c r="C6" s="7">
        <f>$L$2*C5</f>
        <v>11</v>
      </c>
      <c r="D6" s="7">
        <f>$L$2*D5</f>
        <v>8.25</v>
      </c>
      <c r="E6" s="7">
        <f>$L$2*E5</f>
        <v>13.75</v>
      </c>
      <c r="F6" s="7">
        <f>$L$2*F5</f>
        <v>16.5</v>
      </c>
      <c r="G6" s="6"/>
      <c r="H6" s="6"/>
    </row>
    <row r="7" spans="1:14" ht="15.75" thickBot="1" x14ac:dyDescent="0.3">
      <c r="A7" s="11" t="s">
        <v>48</v>
      </c>
      <c r="B7" s="13">
        <f>IF($G$4&gt;$I$2, B4*(B6-(($G$4-$I$2)*$J$2)), IF($G$4&lt;$I$2, (B4*(B6-(($G$4-$I$2)*$K$2))), B4*B6))</f>
        <v>-1079000</v>
      </c>
      <c r="C7" s="16">
        <f>IF($G$4&gt;$I$2, C4*(C6-(($G$4-$I$2)*$J$2)), IF($G$4&lt;$I$2, (C4*(C6-(($G$4-$I$2)*$K$2))), C4*C6))</f>
        <v>-5422500</v>
      </c>
      <c r="D7" s="16">
        <f t="shared" ref="D7:F7" si="0">IF($G$4&gt;$I$2, D4*(D6-(($G$4-$I$2)*$J$2)), IF($G$4&lt;$I$2, (D4*(D6-(($G$4-$I$2)*$K$2))), D4*D6))</f>
        <v>-8687000</v>
      </c>
      <c r="E7" s="16">
        <f t="shared" si="0"/>
        <v>-10831250</v>
      </c>
      <c r="F7" s="16">
        <f t="shared" si="0"/>
        <v>-54087500</v>
      </c>
      <c r="G7" s="14">
        <f>SUM(C7:F7)</f>
        <v>-79028250</v>
      </c>
      <c r="H7" s="8"/>
    </row>
    <row r="8" spans="1:14" x14ac:dyDescent="0.25">
      <c r="A8" s="33" t="s">
        <v>184</v>
      </c>
      <c r="B8" s="34">
        <f>B4-B3</f>
        <v>-93400</v>
      </c>
      <c r="C8" s="34">
        <f t="shared" ref="C8:G8" si="1">C4-C3</f>
        <v>600</v>
      </c>
      <c r="D8" s="34">
        <f t="shared" si="1"/>
        <v>500</v>
      </c>
      <c r="E8" s="34">
        <f t="shared" si="1"/>
        <v>-700</v>
      </c>
      <c r="F8" s="34">
        <f t="shared" si="1"/>
        <v>10500</v>
      </c>
      <c r="G8" s="34">
        <f t="shared" si="1"/>
        <v>10900</v>
      </c>
    </row>
    <row r="10" spans="1:14" x14ac:dyDescent="0.25">
      <c r="B10" s="15"/>
    </row>
    <row r="11" spans="1:14" x14ac:dyDescent="0.25">
      <c r="B11" s="15"/>
    </row>
    <row r="12" spans="1:14" x14ac:dyDescent="0.25">
      <c r="B12" s="15"/>
    </row>
    <row r="13" spans="1:14" x14ac:dyDescent="0.25">
      <c r="B13" s="15"/>
    </row>
    <row r="14" spans="1:14" x14ac:dyDescent="0.25">
      <c r="B14" s="15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Y36"/>
  <sheetViews>
    <sheetView workbookViewId="0">
      <selection activeCell="N1" sqref="N1:P1048576"/>
    </sheetView>
  </sheetViews>
  <sheetFormatPr defaultRowHeight="15" x14ac:dyDescent="0.25"/>
  <cols>
    <col min="1" max="1" width="15.85546875" bestFit="1" customWidth="1"/>
    <col min="2" max="2" width="19.140625" customWidth="1"/>
    <col min="3" max="3" width="17.85546875" bestFit="1" customWidth="1"/>
    <col min="4" max="4" width="19.7109375" customWidth="1"/>
    <col min="5" max="5" width="12" bestFit="1" customWidth="1"/>
    <col min="6" max="6" width="16.28515625" style="3" bestFit="1" customWidth="1"/>
    <col min="7" max="7" width="18" style="3" bestFit="1" customWidth="1"/>
    <col min="8" max="8" width="18.42578125" customWidth="1"/>
    <col min="9" max="9" width="16.28515625" customWidth="1"/>
    <col min="14" max="14" width="16.28515625" customWidth="1"/>
    <col min="15" max="15" width="16.28515625" style="3" customWidth="1"/>
    <col min="16" max="16" width="16.28515625" customWidth="1"/>
    <col min="17" max="17" width="16.140625" bestFit="1" customWidth="1"/>
    <col min="18" max="18" width="15.85546875" style="3" bestFit="1" customWidth="1"/>
    <col min="20" max="25" width="16.28515625" customWidth="1"/>
  </cols>
  <sheetData>
    <row r="1" spans="1:25" x14ac:dyDescent="0.25">
      <c r="B1" s="1"/>
      <c r="F1" s="3" t="s">
        <v>267</v>
      </c>
      <c r="J1" t="s">
        <v>8</v>
      </c>
      <c r="K1" t="s">
        <v>9</v>
      </c>
      <c r="L1" t="s">
        <v>10</v>
      </c>
      <c r="M1" t="s">
        <v>15</v>
      </c>
      <c r="N1" s="51" t="s">
        <v>237</v>
      </c>
      <c r="O1" s="51"/>
      <c r="Q1" t="s">
        <v>248</v>
      </c>
      <c r="T1" t="s">
        <v>37</v>
      </c>
      <c r="W1" t="s">
        <v>35</v>
      </c>
    </row>
    <row r="2" spans="1:25" x14ac:dyDescent="0.25">
      <c r="A2" t="s">
        <v>171</v>
      </c>
      <c r="B2" t="s">
        <v>0</v>
      </c>
      <c r="C2" t="s">
        <v>5</v>
      </c>
      <c r="D2" t="s">
        <v>180</v>
      </c>
      <c r="E2" t="s">
        <v>249</v>
      </c>
      <c r="F2" s="2" t="s">
        <v>268</v>
      </c>
      <c r="G2" s="2" t="s">
        <v>262</v>
      </c>
      <c r="H2" t="s">
        <v>242</v>
      </c>
      <c r="I2" t="s">
        <v>243</v>
      </c>
      <c r="J2" t="s">
        <v>13</v>
      </c>
      <c r="K2" t="s">
        <v>13</v>
      </c>
      <c r="L2" t="s">
        <v>13</v>
      </c>
      <c r="M2" t="s">
        <v>16</v>
      </c>
      <c r="N2" s="51" t="s">
        <v>274</v>
      </c>
      <c r="O2" s="51" t="s">
        <v>250</v>
      </c>
      <c r="P2" t="s">
        <v>252</v>
      </c>
      <c r="Q2" t="s">
        <v>274</v>
      </c>
      <c r="R2" s="3" t="s">
        <v>250</v>
      </c>
      <c r="S2" t="s">
        <v>13</v>
      </c>
      <c r="T2" t="s">
        <v>6</v>
      </c>
      <c r="U2" t="s">
        <v>12</v>
      </c>
      <c r="V2" t="s">
        <v>36</v>
      </c>
      <c r="W2" t="s">
        <v>19</v>
      </c>
      <c r="X2" t="s">
        <v>20</v>
      </c>
      <c r="Y2" t="s">
        <v>36</v>
      </c>
    </row>
    <row r="3" spans="1:25" x14ac:dyDescent="0.25">
      <c r="A3" t="s">
        <v>200</v>
      </c>
      <c r="B3" t="s">
        <v>18</v>
      </c>
      <c r="C3" t="s">
        <v>3</v>
      </c>
      <c r="D3" t="s">
        <v>230</v>
      </c>
      <c r="E3">
        <v>1</v>
      </c>
      <c r="F3" s="2"/>
      <c r="G3" s="2"/>
      <c r="H3">
        <v>1400</v>
      </c>
      <c r="I3" s="6">
        <f>H3*1.25</f>
        <v>1750</v>
      </c>
      <c r="J3">
        <v>300</v>
      </c>
      <c r="K3">
        <v>620</v>
      </c>
      <c r="L3">
        <v>480</v>
      </c>
      <c r="M3">
        <v>0</v>
      </c>
      <c r="N3" s="52">
        <v>0</v>
      </c>
      <c r="O3" s="52">
        <v>0</v>
      </c>
      <c r="P3" t="str">
        <f>IF(N3+O3&lt;I3+1,"TRUE","FALSE")</f>
        <v>TRUE</v>
      </c>
      <c r="Q3">
        <f>IF(E3=1,N3*(E27-D27),N3*(G27-F27))</f>
        <v>0</v>
      </c>
      <c r="R3" s="3">
        <f>IF($E3=1,$O3*($H27-$D27),$O3*($I27-$F27))</f>
        <v>0</v>
      </c>
      <c r="S3">
        <f>Q3+R3</f>
        <v>0</v>
      </c>
      <c r="T3">
        <v>0</v>
      </c>
      <c r="U3">
        <v>0</v>
      </c>
      <c r="V3">
        <v>1400</v>
      </c>
      <c r="W3">
        <v>1225</v>
      </c>
      <c r="X3">
        <v>175</v>
      </c>
      <c r="Y3">
        <v>0</v>
      </c>
    </row>
    <row r="4" spans="1:25" x14ac:dyDescent="0.25">
      <c r="A4" t="s">
        <v>204</v>
      </c>
      <c r="B4" t="s">
        <v>21</v>
      </c>
      <c r="C4" t="s">
        <v>4</v>
      </c>
      <c r="D4" t="s">
        <v>203</v>
      </c>
      <c r="E4">
        <v>0</v>
      </c>
      <c r="F4" s="2"/>
      <c r="G4" s="2"/>
      <c r="H4">
        <v>1200</v>
      </c>
      <c r="I4" s="6">
        <f t="shared" ref="I4:I17" si="0">H4*1.25</f>
        <v>1500</v>
      </c>
      <c r="J4">
        <v>0</v>
      </c>
      <c r="K4">
        <v>100</v>
      </c>
      <c r="L4">
        <v>1100</v>
      </c>
      <c r="M4">
        <v>0</v>
      </c>
      <c r="N4" s="52">
        <v>0</v>
      </c>
      <c r="O4" s="52">
        <v>0</v>
      </c>
      <c r="P4" t="str">
        <f t="shared" ref="P4:P17" si="1">IF(N4+O4&lt;I4+1,"TRUE","FALSE")</f>
        <v>TRUE</v>
      </c>
      <c r="Q4">
        <f>IF(E4=1,N4*(E28-D28),N4*(G28-F28))</f>
        <v>0</v>
      </c>
      <c r="R4" s="3">
        <f>IF($E4=1,$O4*($H28-$D28),$O4*($I28-$F28))</f>
        <v>0</v>
      </c>
      <c r="S4">
        <f t="shared" ref="S4:S17" si="2">Q4+R4</f>
        <v>0</v>
      </c>
      <c r="T4">
        <v>0</v>
      </c>
      <c r="U4">
        <v>300</v>
      </c>
      <c r="V4">
        <v>900</v>
      </c>
      <c r="W4">
        <v>0</v>
      </c>
      <c r="X4">
        <v>0</v>
      </c>
      <c r="Y4">
        <v>1200</v>
      </c>
    </row>
    <row r="5" spans="1:25" s="3" customFormat="1" x14ac:dyDescent="0.25">
      <c r="A5" s="3" t="s">
        <v>205</v>
      </c>
      <c r="B5" s="3" t="s">
        <v>22</v>
      </c>
      <c r="C5" s="3" t="s">
        <v>4</v>
      </c>
      <c r="D5" s="3" t="s">
        <v>203</v>
      </c>
      <c r="E5" s="3">
        <v>0</v>
      </c>
      <c r="F5" s="2"/>
      <c r="G5" s="2"/>
      <c r="H5" s="3">
        <v>1200</v>
      </c>
      <c r="I5" s="34">
        <f>H5*1.25</f>
        <v>1500</v>
      </c>
      <c r="J5" s="3">
        <v>0</v>
      </c>
      <c r="K5" s="3">
        <v>0</v>
      </c>
      <c r="L5" s="3">
        <v>1200</v>
      </c>
      <c r="M5" s="3">
        <v>0</v>
      </c>
      <c r="N5" s="52">
        <v>0</v>
      </c>
      <c r="O5" s="52">
        <v>0</v>
      </c>
      <c r="P5" t="str">
        <f t="shared" si="1"/>
        <v>TRUE</v>
      </c>
      <c r="Q5" s="3">
        <f>IF(E5=1,N5*(E28-D28),N5*(G28-F28))</f>
        <v>0</v>
      </c>
      <c r="R5" s="3">
        <f>IF($E5=1,$O5*($H28-$D28),$O5*($I28-$F28))</f>
        <v>0</v>
      </c>
      <c r="S5">
        <f t="shared" si="2"/>
        <v>0</v>
      </c>
      <c r="T5" s="3">
        <v>0</v>
      </c>
      <c r="U5" s="3">
        <v>0</v>
      </c>
      <c r="V5" s="3">
        <v>1200</v>
      </c>
      <c r="W5" s="3">
        <v>0</v>
      </c>
      <c r="X5" s="3">
        <v>0</v>
      </c>
      <c r="Y5" s="3">
        <v>1200</v>
      </c>
    </row>
    <row r="6" spans="1:25" x14ac:dyDescent="0.25">
      <c r="A6" t="s">
        <v>206</v>
      </c>
      <c r="B6" t="s">
        <v>23</v>
      </c>
      <c r="C6" t="s">
        <v>4</v>
      </c>
      <c r="D6" t="s">
        <v>203</v>
      </c>
      <c r="E6">
        <v>0</v>
      </c>
      <c r="F6" s="2"/>
      <c r="G6" s="2"/>
      <c r="H6">
        <v>690</v>
      </c>
      <c r="I6" s="6">
        <f t="shared" si="0"/>
        <v>862.5</v>
      </c>
      <c r="J6">
        <v>240</v>
      </c>
      <c r="K6">
        <v>450</v>
      </c>
      <c r="L6">
        <v>0</v>
      </c>
      <c r="M6">
        <v>0</v>
      </c>
      <c r="N6" s="52">
        <v>0</v>
      </c>
      <c r="O6" s="52">
        <v>0</v>
      </c>
      <c r="P6" t="str">
        <f t="shared" si="1"/>
        <v>TRUE</v>
      </c>
      <c r="Q6" s="3">
        <f>IF(E6=1,N6*(E28-D28),N6*(G28-F28))</f>
        <v>0</v>
      </c>
      <c r="R6" s="3">
        <f>IF($E6=1,$O6*($H28-$D28),$O6*($I28-$F28))</f>
        <v>0</v>
      </c>
      <c r="S6">
        <f t="shared" si="2"/>
        <v>0</v>
      </c>
      <c r="T6">
        <v>515</v>
      </c>
      <c r="U6">
        <v>175</v>
      </c>
      <c r="V6">
        <v>0</v>
      </c>
      <c r="W6">
        <v>690</v>
      </c>
      <c r="X6">
        <v>0</v>
      </c>
      <c r="Y6">
        <v>0</v>
      </c>
    </row>
    <row r="7" spans="1:25" x14ac:dyDescent="0.25">
      <c r="A7" t="s">
        <v>207</v>
      </c>
      <c r="B7" t="s">
        <v>24</v>
      </c>
      <c r="C7" t="s">
        <v>4</v>
      </c>
      <c r="D7" t="s">
        <v>203</v>
      </c>
      <c r="E7">
        <v>1</v>
      </c>
      <c r="F7" s="2"/>
      <c r="G7" s="2"/>
      <c r="H7">
        <v>300</v>
      </c>
      <c r="I7" s="6">
        <f t="shared" si="0"/>
        <v>375</v>
      </c>
      <c r="J7">
        <v>0</v>
      </c>
      <c r="K7">
        <v>300</v>
      </c>
      <c r="L7">
        <v>0</v>
      </c>
      <c r="M7">
        <v>0</v>
      </c>
      <c r="N7" s="52">
        <v>0</v>
      </c>
      <c r="O7" s="52">
        <v>0</v>
      </c>
      <c r="P7" t="str">
        <f t="shared" si="1"/>
        <v>TRUE</v>
      </c>
      <c r="Q7">
        <f>IF(E7=1,N7*(E28-D28),N7*(G28-F28))</f>
        <v>0</v>
      </c>
      <c r="R7" s="3">
        <f>IF($E7=1,$O7*($H28-$D28),$O7*($I28-$F28))</f>
        <v>0</v>
      </c>
      <c r="S7">
        <f t="shared" si="2"/>
        <v>0</v>
      </c>
      <c r="T7">
        <v>260</v>
      </c>
      <c r="U7">
        <v>40</v>
      </c>
      <c r="V7">
        <v>0</v>
      </c>
      <c r="W7">
        <v>260</v>
      </c>
      <c r="X7">
        <v>40</v>
      </c>
      <c r="Y7">
        <v>0</v>
      </c>
    </row>
    <row r="8" spans="1:25" x14ac:dyDescent="0.25">
      <c r="A8" t="s">
        <v>208</v>
      </c>
      <c r="B8" t="s">
        <v>25</v>
      </c>
      <c r="C8" t="s">
        <v>4</v>
      </c>
      <c r="D8" t="s">
        <v>203</v>
      </c>
      <c r="E8">
        <v>0</v>
      </c>
      <c r="F8" s="2"/>
      <c r="G8" s="2"/>
      <c r="H8">
        <v>300</v>
      </c>
      <c r="I8" s="6">
        <f t="shared" si="0"/>
        <v>375</v>
      </c>
      <c r="J8">
        <v>120</v>
      </c>
      <c r="K8">
        <v>180</v>
      </c>
      <c r="L8">
        <v>0</v>
      </c>
      <c r="M8">
        <v>0</v>
      </c>
      <c r="N8" s="52">
        <v>0</v>
      </c>
      <c r="O8" s="52">
        <v>0</v>
      </c>
      <c r="P8" t="str">
        <f t="shared" si="1"/>
        <v>TRUE</v>
      </c>
      <c r="Q8">
        <f>IF(E8=1,N8*(E28-D28),N8*(G28-F28))</f>
        <v>0</v>
      </c>
      <c r="R8" s="3">
        <f>IF($E8=1,$O8*($H28-$D28),$O8*($I28-$F28))</f>
        <v>0</v>
      </c>
      <c r="S8">
        <f t="shared" si="2"/>
        <v>0</v>
      </c>
      <c r="T8">
        <v>0</v>
      </c>
      <c r="U8">
        <v>0</v>
      </c>
      <c r="V8">
        <v>300</v>
      </c>
      <c r="W8">
        <v>300</v>
      </c>
      <c r="X8">
        <v>0</v>
      </c>
      <c r="Y8">
        <v>0</v>
      </c>
    </row>
    <row r="9" spans="1:25" x14ac:dyDescent="0.25">
      <c r="A9" t="s">
        <v>209</v>
      </c>
      <c r="B9" t="s">
        <v>11</v>
      </c>
      <c r="C9" t="s">
        <v>39</v>
      </c>
      <c r="D9" t="s">
        <v>231</v>
      </c>
      <c r="E9">
        <v>0</v>
      </c>
      <c r="F9" s="2"/>
      <c r="G9" s="2"/>
      <c r="H9">
        <v>740</v>
      </c>
      <c r="I9" s="6">
        <f t="shared" si="0"/>
        <v>925</v>
      </c>
      <c r="J9">
        <v>0</v>
      </c>
      <c r="K9">
        <v>360</v>
      </c>
      <c r="L9">
        <v>380</v>
      </c>
      <c r="M9">
        <v>0</v>
      </c>
      <c r="N9" s="52">
        <v>0</v>
      </c>
      <c r="O9" s="52">
        <v>0</v>
      </c>
      <c r="P9" t="str">
        <f t="shared" si="1"/>
        <v>TRUE</v>
      </c>
      <c r="Q9">
        <f>IF(E9=1,N9*(E26-D26),N9*(G26-F26))</f>
        <v>0</v>
      </c>
      <c r="R9" s="3">
        <f>IF($E9=1,$O9*($H26-$D26),$O9*($I26-$F26))</f>
        <v>0</v>
      </c>
      <c r="S9">
        <f t="shared" si="2"/>
        <v>0</v>
      </c>
      <c r="T9">
        <v>0</v>
      </c>
      <c r="U9">
        <v>0</v>
      </c>
      <c r="V9">
        <v>740</v>
      </c>
      <c r="W9">
        <v>0</v>
      </c>
      <c r="X9">
        <v>0</v>
      </c>
      <c r="Y9">
        <v>740</v>
      </c>
    </row>
    <row r="10" spans="1:25" s="3" customFormat="1" x14ac:dyDescent="0.25">
      <c r="A10" t="s">
        <v>210</v>
      </c>
      <c r="B10" s="3" t="s">
        <v>14</v>
      </c>
      <c r="C10" s="3" t="s">
        <v>39</v>
      </c>
      <c r="D10" s="3" t="s">
        <v>231</v>
      </c>
      <c r="E10" s="3">
        <v>0</v>
      </c>
      <c r="F10" s="2"/>
      <c r="G10" s="2"/>
      <c r="H10" s="3">
        <v>82</v>
      </c>
      <c r="I10" s="6">
        <f t="shared" si="0"/>
        <v>102.5</v>
      </c>
      <c r="J10" s="3">
        <v>82</v>
      </c>
      <c r="K10" s="3">
        <v>0</v>
      </c>
      <c r="L10" s="3">
        <v>0</v>
      </c>
      <c r="M10" s="3">
        <v>0</v>
      </c>
      <c r="N10" s="52">
        <v>0</v>
      </c>
      <c r="O10" s="52">
        <v>0</v>
      </c>
      <c r="P10" t="str">
        <f t="shared" si="1"/>
        <v>TRUE</v>
      </c>
      <c r="Q10" s="3">
        <f>IF(E10=1,N10*(E26-D26),N10*(G26-F26))</f>
        <v>0</v>
      </c>
      <c r="R10" s="3">
        <f>IF($E10=1,$O10*($H26-$D26),$O10*($I26-$F26))</f>
        <v>0</v>
      </c>
      <c r="S10">
        <f t="shared" si="2"/>
        <v>0</v>
      </c>
      <c r="T10" s="3">
        <v>0</v>
      </c>
      <c r="U10" s="3">
        <v>0</v>
      </c>
      <c r="V10" s="3">
        <v>82</v>
      </c>
      <c r="W10" s="3">
        <v>0</v>
      </c>
      <c r="X10" s="3">
        <v>0</v>
      </c>
      <c r="Y10" s="3">
        <v>82</v>
      </c>
    </row>
    <row r="11" spans="1:25" x14ac:dyDescent="0.25">
      <c r="A11" t="s">
        <v>211</v>
      </c>
      <c r="B11" t="s">
        <v>17</v>
      </c>
      <c r="C11" t="s">
        <v>39</v>
      </c>
      <c r="D11" s="3" t="s">
        <v>231</v>
      </c>
      <c r="E11" s="3">
        <v>1</v>
      </c>
      <c r="F11" s="2"/>
      <c r="G11" s="2"/>
      <c r="H11">
        <v>483</v>
      </c>
      <c r="I11" s="6">
        <f t="shared" si="0"/>
        <v>603.75</v>
      </c>
      <c r="J11">
        <v>227</v>
      </c>
      <c r="K11">
        <v>256</v>
      </c>
      <c r="L11">
        <v>0</v>
      </c>
      <c r="M11">
        <v>0</v>
      </c>
      <c r="N11" s="52">
        <v>0</v>
      </c>
      <c r="O11" s="52">
        <v>0</v>
      </c>
      <c r="P11" t="str">
        <f t="shared" si="1"/>
        <v>TRUE</v>
      </c>
      <c r="Q11">
        <f>IF(E11=1,N11*(E26-D26),N11*(G26-F26))</f>
        <v>0</v>
      </c>
      <c r="R11" s="3">
        <f>IF($E11=1,$O11*($H26-$D26),$O11*($I26-$F26))</f>
        <v>0</v>
      </c>
      <c r="S11">
        <f t="shared" si="2"/>
        <v>0</v>
      </c>
      <c r="T11">
        <v>24</v>
      </c>
      <c r="U11">
        <v>459</v>
      </c>
      <c r="V11" s="3">
        <v>0</v>
      </c>
      <c r="W11">
        <v>435</v>
      </c>
      <c r="X11">
        <v>24</v>
      </c>
      <c r="Y11" s="3">
        <v>4</v>
      </c>
    </row>
    <row r="12" spans="1:25" x14ac:dyDescent="0.25">
      <c r="A12" t="s">
        <v>212</v>
      </c>
      <c r="B12" t="s">
        <v>27</v>
      </c>
      <c r="C12" t="s">
        <v>1</v>
      </c>
      <c r="D12" s="3" t="s">
        <v>201</v>
      </c>
      <c r="E12" s="3">
        <v>1</v>
      </c>
      <c r="F12" s="2"/>
      <c r="G12" s="2"/>
      <c r="H12">
        <v>8500</v>
      </c>
      <c r="I12" s="6">
        <f t="shared" si="0"/>
        <v>10625</v>
      </c>
      <c r="J12">
        <v>0</v>
      </c>
      <c r="K12">
        <v>500</v>
      </c>
      <c r="L12">
        <v>2000</v>
      </c>
      <c r="M12">
        <v>6000</v>
      </c>
      <c r="N12" s="52">
        <v>0</v>
      </c>
      <c r="O12" s="52">
        <v>0</v>
      </c>
      <c r="P12" t="str">
        <f t="shared" si="1"/>
        <v>TRUE</v>
      </c>
      <c r="Q12">
        <f>IF(E12=1,N12*(E29-D29),N12*(G29-F29))</f>
        <v>0</v>
      </c>
      <c r="R12" s="3">
        <f>IF($E12=1,$O12*($H$29-$D$29),$O12*($I$29-$F$29))</f>
        <v>0</v>
      </c>
      <c r="S12">
        <f t="shared" si="2"/>
        <v>0</v>
      </c>
      <c r="T12">
        <v>0</v>
      </c>
      <c r="U12">
        <v>0</v>
      </c>
      <c r="V12" s="3">
        <v>8500</v>
      </c>
      <c r="W12" s="3">
        <v>0</v>
      </c>
      <c r="X12">
        <v>0</v>
      </c>
      <c r="Y12" s="3">
        <v>8500</v>
      </c>
    </row>
    <row r="13" spans="1:25" x14ac:dyDescent="0.25">
      <c r="A13" t="s">
        <v>213</v>
      </c>
      <c r="B13" t="s">
        <v>28</v>
      </c>
      <c r="C13" t="s">
        <v>1</v>
      </c>
      <c r="D13" s="3" t="s">
        <v>201</v>
      </c>
      <c r="E13" s="3">
        <v>1</v>
      </c>
      <c r="F13" s="2"/>
      <c r="G13" s="2"/>
      <c r="H13">
        <v>1000</v>
      </c>
      <c r="I13" s="6">
        <f t="shared" si="0"/>
        <v>1250</v>
      </c>
      <c r="J13">
        <v>0</v>
      </c>
      <c r="K13">
        <v>500</v>
      </c>
      <c r="L13">
        <v>500</v>
      </c>
      <c r="M13">
        <v>0</v>
      </c>
      <c r="N13" s="52">
        <v>0</v>
      </c>
      <c r="O13" s="52">
        <v>0</v>
      </c>
      <c r="P13" t="str">
        <f t="shared" si="1"/>
        <v>TRUE</v>
      </c>
      <c r="Q13">
        <f>IF(E13=1,N13*(E29-D29),N13*(G29-F29))</f>
        <v>0</v>
      </c>
      <c r="R13" s="3">
        <f t="shared" ref="R13:R16" si="3">IF($E13=1,$O13*($H$29-$D$29),$O13*($I$29-$F$29))</f>
        <v>0</v>
      </c>
      <c r="S13">
        <f t="shared" si="2"/>
        <v>0</v>
      </c>
      <c r="T13">
        <v>600</v>
      </c>
      <c r="U13">
        <v>400</v>
      </c>
      <c r="V13" s="3">
        <v>0</v>
      </c>
      <c r="W13" s="3">
        <v>0</v>
      </c>
      <c r="X13" s="3">
        <v>0</v>
      </c>
      <c r="Y13" s="3">
        <v>1000</v>
      </c>
    </row>
    <row r="14" spans="1:25" x14ac:dyDescent="0.25">
      <c r="A14" t="s">
        <v>214</v>
      </c>
      <c r="B14" t="s">
        <v>29</v>
      </c>
      <c r="C14" t="s">
        <v>1</v>
      </c>
      <c r="D14" s="3" t="s">
        <v>229</v>
      </c>
      <c r="E14" s="3">
        <v>1</v>
      </c>
      <c r="F14" s="2"/>
      <c r="G14" s="2"/>
      <c r="H14">
        <v>3000</v>
      </c>
      <c r="I14" s="6">
        <f t="shared" si="0"/>
        <v>3750</v>
      </c>
      <c r="J14">
        <v>400</v>
      </c>
      <c r="K14">
        <v>500</v>
      </c>
      <c r="L14">
        <v>1000</v>
      </c>
      <c r="M14">
        <v>1100</v>
      </c>
      <c r="N14" s="52">
        <v>0</v>
      </c>
      <c r="O14" s="52">
        <v>0</v>
      </c>
      <c r="P14" t="str">
        <f t="shared" si="1"/>
        <v>TRUE</v>
      </c>
      <c r="Q14">
        <f>IF(E14=1,N14*(E29-D29),N14*(G29-F29))</f>
        <v>0</v>
      </c>
      <c r="R14" s="3">
        <f t="shared" si="3"/>
        <v>0</v>
      </c>
      <c r="S14">
        <f t="shared" si="2"/>
        <v>0</v>
      </c>
      <c r="T14">
        <v>0</v>
      </c>
      <c r="U14">
        <v>0</v>
      </c>
      <c r="V14" s="3">
        <v>3000</v>
      </c>
      <c r="W14" s="3">
        <v>0</v>
      </c>
      <c r="X14" s="3">
        <v>0</v>
      </c>
      <c r="Y14" s="3">
        <v>3000</v>
      </c>
    </row>
    <row r="15" spans="1:25" x14ac:dyDescent="0.25">
      <c r="A15" t="s">
        <v>215</v>
      </c>
      <c r="B15" t="s">
        <v>30</v>
      </c>
      <c r="C15" t="s">
        <v>1</v>
      </c>
      <c r="D15" s="3" t="s">
        <v>201</v>
      </c>
      <c r="E15" s="3">
        <v>1</v>
      </c>
      <c r="F15" s="2"/>
      <c r="G15" s="2"/>
      <c r="H15">
        <v>1000</v>
      </c>
      <c r="I15" s="6">
        <f t="shared" si="0"/>
        <v>1250</v>
      </c>
      <c r="J15">
        <v>0</v>
      </c>
      <c r="K15">
        <v>500</v>
      </c>
      <c r="L15">
        <v>500</v>
      </c>
      <c r="M15">
        <v>0</v>
      </c>
      <c r="N15" s="52">
        <v>0</v>
      </c>
      <c r="O15" s="52">
        <v>0</v>
      </c>
      <c r="P15" t="str">
        <f t="shared" si="1"/>
        <v>TRUE</v>
      </c>
      <c r="Q15">
        <f>IF(E15=1,N15*(E29-D29),N15*(G29-F29))</f>
        <v>0</v>
      </c>
      <c r="R15" s="3">
        <f t="shared" si="3"/>
        <v>0</v>
      </c>
      <c r="S15">
        <f t="shared" si="2"/>
        <v>0</v>
      </c>
      <c r="T15">
        <v>0</v>
      </c>
      <c r="U15">
        <v>0</v>
      </c>
      <c r="V15" s="3">
        <v>1000</v>
      </c>
      <c r="W15" s="3">
        <v>0</v>
      </c>
      <c r="X15" s="3">
        <v>0</v>
      </c>
      <c r="Y15" s="3">
        <v>1000</v>
      </c>
    </row>
    <row r="16" spans="1:25" x14ac:dyDescent="0.25">
      <c r="A16" t="s">
        <v>216</v>
      </c>
      <c r="B16" t="s">
        <v>31</v>
      </c>
      <c r="C16" t="s">
        <v>1</v>
      </c>
      <c r="D16" s="3" t="s">
        <v>229</v>
      </c>
      <c r="E16" s="3">
        <v>1</v>
      </c>
      <c r="F16" s="2"/>
      <c r="G16" s="2"/>
      <c r="H16">
        <v>1000</v>
      </c>
      <c r="I16" s="6">
        <f t="shared" si="0"/>
        <v>1250</v>
      </c>
      <c r="J16">
        <v>0</v>
      </c>
      <c r="K16">
        <v>50</v>
      </c>
      <c r="L16">
        <v>200</v>
      </c>
      <c r="M16">
        <v>750</v>
      </c>
      <c r="N16" s="52">
        <v>0</v>
      </c>
      <c r="O16" s="52">
        <v>0</v>
      </c>
      <c r="P16" t="str">
        <f t="shared" si="1"/>
        <v>TRUE</v>
      </c>
      <c r="Q16">
        <f>IF(E16=1,N16*(E29-D29),N16*(G29-F29))</f>
        <v>0</v>
      </c>
      <c r="R16" s="3">
        <f t="shared" si="3"/>
        <v>0</v>
      </c>
      <c r="S16">
        <f t="shared" si="2"/>
        <v>0</v>
      </c>
      <c r="T16">
        <v>0</v>
      </c>
      <c r="U16">
        <v>0</v>
      </c>
      <c r="V16" s="3">
        <v>1000</v>
      </c>
      <c r="W16" s="3">
        <v>0</v>
      </c>
      <c r="X16" s="3">
        <v>0</v>
      </c>
      <c r="Y16" s="3">
        <v>1000</v>
      </c>
    </row>
    <row r="17" spans="1:25" x14ac:dyDescent="0.25">
      <c r="A17" t="s">
        <v>217</v>
      </c>
      <c r="B17" t="s">
        <v>32</v>
      </c>
      <c r="C17" t="s">
        <v>1</v>
      </c>
      <c r="D17" s="3" t="s">
        <v>229</v>
      </c>
      <c r="E17" s="3">
        <v>0</v>
      </c>
      <c r="F17" s="2"/>
      <c r="G17" s="2"/>
      <c r="H17">
        <v>844</v>
      </c>
      <c r="I17" s="6">
        <f t="shared" si="0"/>
        <v>1055</v>
      </c>
      <c r="J17">
        <v>122</v>
      </c>
      <c r="K17">
        <v>722</v>
      </c>
      <c r="L17">
        <v>0</v>
      </c>
      <c r="M17">
        <v>0</v>
      </c>
      <c r="N17" s="52">
        <v>0</v>
      </c>
      <c r="O17" s="52">
        <v>0</v>
      </c>
      <c r="P17" t="str">
        <f t="shared" si="1"/>
        <v>TRUE</v>
      </c>
      <c r="Q17">
        <f>IF(E17=1,N17*(E29-D29),N17*(G29-F29))</f>
        <v>0</v>
      </c>
      <c r="R17" s="3">
        <f>IF($E17=1,$O17*($H$29-$D$29),$O17*($I$29-$F$29))</f>
        <v>0</v>
      </c>
      <c r="S17">
        <f t="shared" si="2"/>
        <v>0</v>
      </c>
      <c r="T17">
        <v>844</v>
      </c>
      <c r="U17">
        <v>0</v>
      </c>
      <c r="V17" s="3">
        <v>0</v>
      </c>
      <c r="W17">
        <v>706</v>
      </c>
      <c r="X17">
        <v>138</v>
      </c>
      <c r="Y17" s="3">
        <v>0</v>
      </c>
    </row>
    <row r="19" spans="1:25" x14ac:dyDescent="0.25">
      <c r="B19" t="s">
        <v>266</v>
      </c>
      <c r="E19" t="s">
        <v>258</v>
      </c>
      <c r="F19"/>
      <c r="H19" s="3"/>
      <c r="O19"/>
      <c r="P19" s="3"/>
      <c r="R19"/>
      <c r="S19" s="3"/>
    </row>
    <row r="20" spans="1:25" x14ac:dyDescent="0.25">
      <c r="B20" t="s">
        <v>193</v>
      </c>
      <c r="C20" t="s">
        <v>248</v>
      </c>
      <c r="D20" s="3" t="s">
        <v>275</v>
      </c>
      <c r="E20" t="s">
        <v>276</v>
      </c>
      <c r="F20" t="s">
        <v>277</v>
      </c>
      <c r="G20" s="3" t="s">
        <v>278</v>
      </c>
      <c r="H20" s="3" t="s">
        <v>279</v>
      </c>
      <c r="O20"/>
      <c r="P20" s="3"/>
      <c r="R20"/>
      <c r="S20" s="3"/>
    </row>
    <row r="21" spans="1:25" x14ac:dyDescent="0.25">
      <c r="A21" t="s">
        <v>249</v>
      </c>
      <c r="B21">
        <v>62600</v>
      </c>
      <c r="C21">
        <v>46900</v>
      </c>
      <c r="D21" s="3">
        <v>9500</v>
      </c>
      <c r="E21" s="6">
        <f>B21*E23</f>
        <v>67156.911764705874</v>
      </c>
      <c r="F21" s="6">
        <f>C21*E23</f>
        <v>50314.044117647056</v>
      </c>
      <c r="G21" s="34">
        <f>D21*E23</f>
        <v>10191.544117647058</v>
      </c>
      <c r="H21" s="34">
        <f>F21-G21</f>
        <v>40122.5</v>
      </c>
      <c r="O21"/>
      <c r="P21" s="3"/>
      <c r="R21"/>
      <c r="S21" s="3"/>
    </row>
    <row r="22" spans="1:25" x14ac:dyDescent="0.25">
      <c r="A22" t="s">
        <v>253</v>
      </c>
      <c r="B22">
        <v>59700</v>
      </c>
      <c r="C22">
        <v>66600</v>
      </c>
      <c r="D22" s="3">
        <v>11000</v>
      </c>
      <c r="E22" s="6">
        <f>B22*E23</f>
        <v>64045.808823529413</v>
      </c>
      <c r="F22" s="6">
        <f>C22*E23</f>
        <v>71448.088235294112</v>
      </c>
      <c r="G22" s="34">
        <f>D22*E23</f>
        <v>11800.735294117647</v>
      </c>
      <c r="H22" s="34">
        <f>F22-G22</f>
        <v>59647.352941176461</v>
      </c>
      <c r="O22"/>
      <c r="P22" s="3"/>
      <c r="R22"/>
      <c r="S22" s="3"/>
    </row>
    <row r="23" spans="1:25" x14ac:dyDescent="0.25">
      <c r="B23" s="48" t="s">
        <v>256</v>
      </c>
      <c r="D23" s="3"/>
      <c r="E23" s="49">
        <f>145.9/136</f>
        <v>1.0727941176470588</v>
      </c>
      <c r="F23" s="6"/>
      <c r="H23" s="3"/>
      <c r="O23"/>
      <c r="P23" s="3"/>
      <c r="R23"/>
    </row>
    <row r="24" spans="1:25" x14ac:dyDescent="0.25">
      <c r="F24" s="6"/>
      <c r="H24" s="3"/>
      <c r="O24"/>
      <c r="P24" s="3"/>
      <c r="R24"/>
    </row>
    <row r="25" spans="1:25" x14ac:dyDescent="0.25">
      <c r="B25" t="s">
        <v>254</v>
      </c>
      <c r="C25" t="s">
        <v>259</v>
      </c>
      <c r="D25" t="s">
        <v>260</v>
      </c>
      <c r="E25" s="6" t="s">
        <v>280</v>
      </c>
      <c r="F25" s="3" t="s">
        <v>261</v>
      </c>
      <c r="G25" t="s">
        <v>281</v>
      </c>
      <c r="H25" t="s">
        <v>282</v>
      </c>
      <c r="I25" t="s">
        <v>283</v>
      </c>
      <c r="N25" s="3"/>
      <c r="O25"/>
      <c r="Q25" s="3"/>
      <c r="R25"/>
    </row>
    <row r="26" spans="1:25" x14ac:dyDescent="0.25">
      <c r="A26" t="s">
        <v>39</v>
      </c>
      <c r="B26">
        <v>281721</v>
      </c>
      <c r="C26" s="7">
        <f>B26/B30*100</f>
        <v>84.580073375325</v>
      </c>
      <c r="D26" s="6">
        <f>$E$21*C26/100</f>
        <v>56801.365247190493</v>
      </c>
      <c r="E26" s="6">
        <f>$F$21*C26/100</f>
        <v>42555.655432799271</v>
      </c>
      <c r="F26" s="34">
        <f>$E$22*C26/100</f>
        <v>54169.992096761547</v>
      </c>
      <c r="G26" s="6">
        <f>$F$22*C26/100</f>
        <v>60430.845454678711</v>
      </c>
      <c r="H26" s="6">
        <f>$H$21*C26/100</f>
        <v>33935.639940014778</v>
      </c>
      <c r="I26" s="6">
        <f>$H$22*C26/100</f>
        <v>50449.774884086124</v>
      </c>
      <c r="N26" s="3"/>
      <c r="O26"/>
      <c r="Q26" s="3"/>
      <c r="R26"/>
    </row>
    <row r="27" spans="1:25" x14ac:dyDescent="0.25">
      <c r="A27" t="s">
        <v>3</v>
      </c>
      <c r="B27">
        <v>234005</v>
      </c>
      <c r="C27" s="47">
        <f>B27/B30*100</f>
        <v>70.254471871791338</v>
      </c>
      <c r="D27" s="6">
        <f t="shared" ref="D27:D30" si="4">$E$21*C27/100</f>
        <v>47180.733685699015</v>
      </c>
      <c r="E27" s="6">
        <f t="shared" ref="E27:E30" si="5">$F$21*C27/100</f>
        <v>35347.865972193038</v>
      </c>
      <c r="F27" s="34">
        <f t="shared" ref="F27:F30" si="6">$E$22*C27/100</f>
        <v>44995.044744987732</v>
      </c>
      <c r="G27" s="6">
        <f t="shared" ref="G27:G30" si="7">$F$22*C27/100</f>
        <v>50195.477052197355</v>
      </c>
      <c r="H27" s="6">
        <f t="shared" ref="H27:H30" si="8">$H$21*C27/100</f>
        <v>28187.850476759482</v>
      </c>
      <c r="I27" s="6">
        <f t="shared" ref="I27:I30" si="9">$H$22*C27/100</f>
        <v>41904.932794326924</v>
      </c>
      <c r="N27" s="3"/>
      <c r="O27"/>
      <c r="Q27" s="3"/>
      <c r="R27"/>
    </row>
    <row r="28" spans="1:25" x14ac:dyDescent="0.25">
      <c r="A28" t="s">
        <v>4</v>
      </c>
      <c r="B28">
        <v>236098</v>
      </c>
      <c r="C28" s="7">
        <f>B28/B30*100</f>
        <v>70.882845665631891</v>
      </c>
      <c r="D28" s="6">
        <f t="shared" si="4"/>
        <v>47602.730119981046</v>
      </c>
      <c r="E28" s="6">
        <f t="shared" si="5"/>
        <v>35664.026240049701</v>
      </c>
      <c r="F28" s="34">
        <f t="shared" si="6"/>
        <v>45397.491823688011</v>
      </c>
      <c r="G28" s="6">
        <f t="shared" si="7"/>
        <v>50644.438114868019</v>
      </c>
      <c r="H28" s="6">
        <f t="shared" si="8"/>
        <v>28439.969752193152</v>
      </c>
      <c r="I28" s="6">
        <f t="shared" si="9"/>
        <v>42279.741128928858</v>
      </c>
      <c r="N28" s="3"/>
      <c r="O28"/>
      <c r="Q28" s="3"/>
      <c r="R28"/>
    </row>
    <row r="29" spans="1:25" x14ac:dyDescent="0.25">
      <c r="A29" t="s">
        <v>1</v>
      </c>
      <c r="B29">
        <v>236187</v>
      </c>
      <c r="C29" s="7">
        <f>B29/B30*100</f>
        <v>70.909565812622716</v>
      </c>
      <c r="D29" s="6">
        <f t="shared" si="4"/>
        <v>47620.674545519083</v>
      </c>
      <c r="E29" s="6">
        <f t="shared" si="5"/>
        <v>35677.470226594967</v>
      </c>
      <c r="F29" s="34">
        <f t="shared" si="6"/>
        <v>45414.604957947115</v>
      </c>
      <c r="G29" s="6">
        <f t="shared" si="7"/>
        <v>50663.529149066628</v>
      </c>
      <c r="H29" s="6">
        <f t="shared" si="8"/>
        <v>28450.690543169552</v>
      </c>
      <c r="I29" s="6">
        <f t="shared" si="9"/>
        <v>42295.678989310873</v>
      </c>
      <c r="N29" s="3"/>
      <c r="O29"/>
      <c r="Q29" s="3"/>
      <c r="R29"/>
    </row>
    <row r="30" spans="1:25" x14ac:dyDescent="0.25">
      <c r="A30" t="s">
        <v>255</v>
      </c>
      <c r="B30">
        <v>333082</v>
      </c>
      <c r="C30">
        <v>100</v>
      </c>
      <c r="D30" s="6">
        <f t="shared" si="4"/>
        <v>67156.911764705874</v>
      </c>
      <c r="E30" s="6">
        <f t="shared" si="5"/>
        <v>50314.044117647056</v>
      </c>
      <c r="F30" s="34">
        <f t="shared" si="6"/>
        <v>64045.80882352942</v>
      </c>
      <c r="G30" s="6">
        <f t="shared" si="7"/>
        <v>71448.088235294112</v>
      </c>
      <c r="H30" s="6">
        <f t="shared" si="8"/>
        <v>40122.5</v>
      </c>
      <c r="I30" s="6">
        <f t="shared" si="9"/>
        <v>59647.352941176461</v>
      </c>
      <c r="N30" s="3"/>
      <c r="O30"/>
      <c r="Q30" s="3"/>
      <c r="R30"/>
    </row>
    <row r="31" spans="1:25" x14ac:dyDescent="0.25">
      <c r="B31" s="48" t="s">
        <v>257</v>
      </c>
    </row>
    <row r="33" spans="1:3" x14ac:dyDescent="0.25">
      <c r="B33" t="s">
        <v>273</v>
      </c>
      <c r="C33" t="s">
        <v>272</v>
      </c>
    </row>
    <row r="34" spans="1:3" x14ac:dyDescent="0.25">
      <c r="A34" t="s">
        <v>250</v>
      </c>
      <c r="B34">
        <v>86000</v>
      </c>
      <c r="C34" s="6">
        <f>B34*(C36/B36)</f>
        <v>90530.901722391092</v>
      </c>
    </row>
    <row r="35" spans="1:3" x14ac:dyDescent="0.25">
      <c r="A35" t="s">
        <v>251</v>
      </c>
      <c r="B35">
        <v>129000</v>
      </c>
      <c r="C35" s="6">
        <f>B35*(C36/B36)</f>
        <v>135796.35258358665</v>
      </c>
    </row>
    <row r="36" spans="1:3" x14ac:dyDescent="0.25">
      <c r="B36">
        <v>98.7</v>
      </c>
      <c r="C36">
        <v>103.9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K27"/>
  <sheetViews>
    <sheetView workbookViewId="0">
      <selection activeCell="A24" sqref="A24"/>
    </sheetView>
  </sheetViews>
  <sheetFormatPr defaultRowHeight="15" x14ac:dyDescent="0.25"/>
  <cols>
    <col min="1" max="1" width="9.140625" style="72"/>
    <col min="2" max="2" width="42.42578125" bestFit="1" customWidth="1"/>
    <col min="3" max="4" width="15.140625" customWidth="1"/>
  </cols>
  <sheetData>
    <row r="1" spans="1:11" x14ac:dyDescent="0.25">
      <c r="A1" s="72" t="s">
        <v>412</v>
      </c>
      <c r="B1" s="1"/>
      <c r="F1" s="3"/>
      <c r="H1" t="s">
        <v>8</v>
      </c>
      <c r="I1" t="s">
        <v>9</v>
      </c>
      <c r="J1" t="s">
        <v>10</v>
      </c>
      <c r="K1" t="s">
        <v>15</v>
      </c>
    </row>
    <row r="2" spans="1:11" x14ac:dyDescent="0.25">
      <c r="B2" t="s">
        <v>0</v>
      </c>
      <c r="C2" t="s">
        <v>5</v>
      </c>
      <c r="D2" s="59" t="s">
        <v>400</v>
      </c>
      <c r="E2" t="s">
        <v>180</v>
      </c>
      <c r="F2" t="s">
        <v>242</v>
      </c>
      <c r="G2" t="s">
        <v>243</v>
      </c>
      <c r="H2" t="s">
        <v>13</v>
      </c>
      <c r="I2" t="s">
        <v>13</v>
      </c>
      <c r="J2" t="s">
        <v>13</v>
      </c>
      <c r="K2" t="s">
        <v>16</v>
      </c>
    </row>
    <row r="3" spans="1:11" x14ac:dyDescent="0.25">
      <c r="A3" s="72" t="s">
        <v>200</v>
      </c>
      <c r="B3" t="s">
        <v>18</v>
      </c>
      <c r="C3" t="s">
        <v>3</v>
      </c>
      <c r="D3" s="73">
        <v>13</v>
      </c>
      <c r="E3" t="s">
        <v>230</v>
      </c>
      <c r="F3">
        <v>1400</v>
      </c>
      <c r="G3" s="6">
        <f>F3*1.25</f>
        <v>1750</v>
      </c>
      <c r="H3">
        <v>300</v>
      </c>
      <c r="I3">
        <v>620</v>
      </c>
      <c r="J3">
        <v>480</v>
      </c>
      <c r="K3">
        <v>0</v>
      </c>
    </row>
    <row r="4" spans="1:11" x14ac:dyDescent="0.25">
      <c r="A4" s="72" t="s">
        <v>204</v>
      </c>
      <c r="B4" t="s">
        <v>21</v>
      </c>
      <c r="C4" t="s">
        <v>4</v>
      </c>
      <c r="D4" s="73">
        <v>35</v>
      </c>
      <c r="E4" t="s">
        <v>203</v>
      </c>
      <c r="F4">
        <v>1200</v>
      </c>
      <c r="G4" s="6">
        <f t="shared" ref="G4:G20" si="0">F4*1.25</f>
        <v>1500</v>
      </c>
      <c r="H4">
        <v>0</v>
      </c>
      <c r="I4">
        <v>100</v>
      </c>
      <c r="J4">
        <v>1100</v>
      </c>
      <c r="K4">
        <v>0</v>
      </c>
    </row>
    <row r="5" spans="1:11" x14ac:dyDescent="0.25">
      <c r="A5" s="72" t="s">
        <v>205</v>
      </c>
      <c r="B5" s="3" t="s">
        <v>22</v>
      </c>
      <c r="C5" s="3" t="s">
        <v>4</v>
      </c>
      <c r="D5" s="83">
        <v>36</v>
      </c>
      <c r="E5" s="3" t="s">
        <v>203</v>
      </c>
      <c r="F5" s="3">
        <v>1200</v>
      </c>
      <c r="G5" s="34">
        <f>F5*1.25</f>
        <v>1500</v>
      </c>
      <c r="H5" s="3">
        <v>0</v>
      </c>
      <c r="I5" s="3">
        <v>0</v>
      </c>
      <c r="J5" s="3">
        <v>1200</v>
      </c>
      <c r="K5" s="3">
        <v>0</v>
      </c>
    </row>
    <row r="6" spans="1:11" x14ac:dyDescent="0.25">
      <c r="A6" s="72" t="s">
        <v>206</v>
      </c>
      <c r="B6" t="s">
        <v>23</v>
      </c>
      <c r="C6" t="s">
        <v>4</v>
      </c>
      <c r="D6" s="73">
        <v>4</v>
      </c>
      <c r="E6" t="s">
        <v>203</v>
      </c>
      <c r="F6">
        <v>690</v>
      </c>
      <c r="G6" s="6">
        <f t="shared" si="0"/>
        <v>862.5</v>
      </c>
      <c r="H6">
        <v>240</v>
      </c>
      <c r="I6">
        <v>450</v>
      </c>
      <c r="J6">
        <v>0</v>
      </c>
      <c r="K6">
        <v>0</v>
      </c>
    </row>
    <row r="7" spans="1:11" x14ac:dyDescent="0.25">
      <c r="A7" s="72" t="s">
        <v>207</v>
      </c>
      <c r="B7" t="s">
        <v>24</v>
      </c>
      <c r="C7" t="s">
        <v>4</v>
      </c>
      <c r="D7" s="73">
        <v>14</v>
      </c>
      <c r="E7" t="s">
        <v>203</v>
      </c>
      <c r="F7">
        <v>300</v>
      </c>
      <c r="G7" s="6">
        <f t="shared" si="0"/>
        <v>375</v>
      </c>
      <c r="H7">
        <v>0</v>
      </c>
      <c r="I7">
        <v>300</v>
      </c>
      <c r="J7">
        <v>0</v>
      </c>
      <c r="K7">
        <v>0</v>
      </c>
    </row>
    <row r="8" spans="1:11" x14ac:dyDescent="0.25">
      <c r="A8" s="72" t="s">
        <v>208</v>
      </c>
      <c r="B8" t="s">
        <v>25</v>
      </c>
      <c r="C8" t="s">
        <v>4</v>
      </c>
      <c r="D8" s="73">
        <v>2</v>
      </c>
      <c r="E8" t="s">
        <v>203</v>
      </c>
      <c r="F8">
        <v>300</v>
      </c>
      <c r="G8" s="6">
        <f t="shared" si="0"/>
        <v>375</v>
      </c>
      <c r="H8">
        <v>120</v>
      </c>
      <c r="I8">
        <v>180</v>
      </c>
      <c r="J8">
        <v>0</v>
      </c>
      <c r="K8">
        <v>0</v>
      </c>
    </row>
    <row r="9" spans="1:11" x14ac:dyDescent="0.25">
      <c r="A9" s="72" t="s">
        <v>209</v>
      </c>
      <c r="B9" t="s">
        <v>11</v>
      </c>
      <c r="C9" t="s">
        <v>39</v>
      </c>
      <c r="D9" s="73">
        <v>1001</v>
      </c>
      <c r="E9" t="s">
        <v>231</v>
      </c>
      <c r="F9">
        <v>740</v>
      </c>
      <c r="G9" s="6">
        <f t="shared" si="0"/>
        <v>925</v>
      </c>
      <c r="H9">
        <v>0</v>
      </c>
      <c r="I9">
        <v>360</v>
      </c>
      <c r="J9">
        <v>380</v>
      </c>
      <c r="K9">
        <v>0</v>
      </c>
    </row>
    <row r="10" spans="1:11" x14ac:dyDescent="0.25">
      <c r="A10" s="72" t="s">
        <v>211</v>
      </c>
      <c r="B10" t="s">
        <v>17</v>
      </c>
      <c r="C10" t="s">
        <v>39</v>
      </c>
      <c r="D10" s="73">
        <v>12</v>
      </c>
      <c r="E10" s="3" t="s">
        <v>231</v>
      </c>
      <c r="F10">
        <v>483</v>
      </c>
      <c r="G10" s="6">
        <f t="shared" si="0"/>
        <v>603.75</v>
      </c>
      <c r="H10">
        <v>227</v>
      </c>
      <c r="I10">
        <v>256</v>
      </c>
      <c r="J10">
        <v>0</v>
      </c>
      <c r="K10">
        <v>0</v>
      </c>
    </row>
    <row r="11" spans="1:11" x14ac:dyDescent="0.25">
      <c r="A11" s="72" t="s">
        <v>212</v>
      </c>
      <c r="B11" t="s">
        <v>27</v>
      </c>
      <c r="C11" t="s">
        <v>1</v>
      </c>
      <c r="D11" s="73">
        <v>1339</v>
      </c>
      <c r="E11" s="3" t="s">
        <v>201</v>
      </c>
      <c r="F11">
        <v>8500</v>
      </c>
      <c r="G11" s="6">
        <f t="shared" si="0"/>
        <v>10625</v>
      </c>
      <c r="H11">
        <v>0</v>
      </c>
      <c r="I11">
        <v>500</v>
      </c>
      <c r="J11">
        <v>2000</v>
      </c>
      <c r="K11">
        <v>6000</v>
      </c>
    </row>
    <row r="12" spans="1:11" x14ac:dyDescent="0.25">
      <c r="A12" s="72" t="s">
        <v>213</v>
      </c>
      <c r="B12" t="s">
        <v>28</v>
      </c>
      <c r="C12" t="s">
        <v>1</v>
      </c>
      <c r="D12" s="73">
        <v>788</v>
      </c>
      <c r="E12" s="3" t="s">
        <v>201</v>
      </c>
      <c r="F12">
        <v>1000</v>
      </c>
      <c r="G12" s="6">
        <f t="shared" si="0"/>
        <v>1250</v>
      </c>
      <c r="H12">
        <v>0</v>
      </c>
      <c r="I12">
        <v>500</v>
      </c>
      <c r="J12">
        <v>500</v>
      </c>
      <c r="K12">
        <v>0</v>
      </c>
    </row>
    <row r="13" spans="1:11" x14ac:dyDescent="0.25">
      <c r="A13" s="72" t="s">
        <v>214</v>
      </c>
      <c r="B13" t="s">
        <v>29</v>
      </c>
      <c r="C13" t="s">
        <v>1</v>
      </c>
      <c r="D13" s="73">
        <v>1337</v>
      </c>
      <c r="E13" s="3" t="s">
        <v>229</v>
      </c>
      <c r="F13">
        <v>3000</v>
      </c>
      <c r="G13" s="6">
        <f t="shared" si="0"/>
        <v>3750</v>
      </c>
      <c r="H13">
        <v>400</v>
      </c>
      <c r="I13">
        <v>500</v>
      </c>
      <c r="J13">
        <v>1000</v>
      </c>
      <c r="K13">
        <v>1100</v>
      </c>
    </row>
    <row r="14" spans="1:11" x14ac:dyDescent="0.25">
      <c r="A14" s="72" t="s">
        <v>216</v>
      </c>
      <c r="B14" t="s">
        <v>31</v>
      </c>
      <c r="C14" t="s">
        <v>1</v>
      </c>
      <c r="D14" s="73">
        <v>1336</v>
      </c>
      <c r="E14" s="3" t="s">
        <v>229</v>
      </c>
      <c r="F14">
        <v>1000</v>
      </c>
      <c r="G14" s="6">
        <f t="shared" si="0"/>
        <v>1250</v>
      </c>
      <c r="H14">
        <v>0</v>
      </c>
      <c r="I14">
        <v>50</v>
      </c>
      <c r="J14">
        <v>200</v>
      </c>
      <c r="K14">
        <v>750</v>
      </c>
    </row>
    <row r="15" spans="1:11" x14ac:dyDescent="0.25">
      <c r="A15" s="72" t="s">
        <v>413</v>
      </c>
      <c r="B15" s="72" t="s">
        <v>402</v>
      </c>
      <c r="C15" s="72" t="s">
        <v>1</v>
      </c>
      <c r="D15" s="73" t="s">
        <v>403</v>
      </c>
      <c r="E15" s="53" t="s">
        <v>201</v>
      </c>
      <c r="F15" s="72">
        <v>740</v>
      </c>
      <c r="G15" s="74">
        <f t="shared" si="0"/>
        <v>925</v>
      </c>
      <c r="H15" s="72"/>
      <c r="I15" s="72"/>
      <c r="J15" s="72"/>
      <c r="K15" s="72"/>
    </row>
    <row r="16" spans="1:11" x14ac:dyDescent="0.25">
      <c r="A16" s="72" t="s">
        <v>414</v>
      </c>
      <c r="B16" s="72" t="s">
        <v>405</v>
      </c>
      <c r="C16" s="72" t="s">
        <v>1</v>
      </c>
      <c r="D16" s="73" t="s">
        <v>404</v>
      </c>
      <c r="E16" s="53" t="s">
        <v>201</v>
      </c>
      <c r="F16" s="72">
        <v>741</v>
      </c>
      <c r="G16" s="74">
        <f t="shared" si="0"/>
        <v>926.25</v>
      </c>
      <c r="H16" s="72"/>
      <c r="I16" s="72"/>
      <c r="J16" s="72"/>
      <c r="K16" s="72"/>
    </row>
    <row r="17" spans="1:11" x14ac:dyDescent="0.25">
      <c r="A17" s="72" t="s">
        <v>415</v>
      </c>
      <c r="B17" s="72" t="s">
        <v>406</v>
      </c>
      <c r="C17" s="72" t="s">
        <v>1</v>
      </c>
      <c r="D17" s="73" t="s">
        <v>401</v>
      </c>
      <c r="E17" s="53" t="s">
        <v>201</v>
      </c>
      <c r="F17" s="72">
        <v>694</v>
      </c>
      <c r="G17" s="74">
        <f t="shared" si="0"/>
        <v>867.5</v>
      </c>
      <c r="H17" s="72"/>
      <c r="I17" s="72"/>
      <c r="J17" s="72"/>
      <c r="K17" s="72"/>
    </row>
    <row r="18" spans="1:11" x14ac:dyDescent="0.25">
      <c r="A18" s="72" t="s">
        <v>416</v>
      </c>
      <c r="B18" s="72" t="s">
        <v>399</v>
      </c>
      <c r="C18" s="72" t="s">
        <v>1</v>
      </c>
      <c r="D18" s="73">
        <v>1312</v>
      </c>
      <c r="E18" s="53" t="s">
        <v>201</v>
      </c>
      <c r="F18" s="72">
        <v>250</v>
      </c>
      <c r="G18" s="74">
        <f t="shared" si="0"/>
        <v>312.5</v>
      </c>
      <c r="H18" s="72"/>
      <c r="I18" s="72"/>
      <c r="J18" s="72"/>
      <c r="K18" s="72"/>
    </row>
    <row r="19" spans="1:11" x14ac:dyDescent="0.25">
      <c r="A19" s="72" t="s">
        <v>417</v>
      </c>
      <c r="B19" s="72" t="s">
        <v>408</v>
      </c>
      <c r="C19" s="72" t="s">
        <v>3</v>
      </c>
      <c r="D19" s="73">
        <v>3</v>
      </c>
      <c r="E19" s="72" t="s">
        <v>230</v>
      </c>
      <c r="F19" s="72">
        <v>800</v>
      </c>
      <c r="G19" s="74">
        <f t="shared" si="0"/>
        <v>1000</v>
      </c>
    </row>
    <row r="20" spans="1:11" x14ac:dyDescent="0.25">
      <c r="A20" s="72" t="s">
        <v>418</v>
      </c>
      <c r="B20" s="72" t="s">
        <v>409</v>
      </c>
      <c r="C20" s="72" t="s">
        <v>3</v>
      </c>
      <c r="D20" s="73">
        <v>5</v>
      </c>
      <c r="E20" s="72" t="s">
        <v>230</v>
      </c>
      <c r="F20" s="72">
        <v>200</v>
      </c>
      <c r="G20" s="74">
        <f t="shared" si="0"/>
        <v>250</v>
      </c>
    </row>
    <row r="21" spans="1:11" x14ac:dyDescent="0.25">
      <c r="A21" s="72" t="s">
        <v>419</v>
      </c>
      <c r="B21" s="72" t="s">
        <v>410</v>
      </c>
      <c r="C21" s="72" t="s">
        <v>3</v>
      </c>
      <c r="D21" s="73">
        <v>6</v>
      </c>
      <c r="E21" s="72" t="s">
        <v>230</v>
      </c>
      <c r="F21" s="72">
        <v>200</v>
      </c>
      <c r="G21" s="74">
        <f>F21*1.25</f>
        <v>250</v>
      </c>
    </row>
    <row r="22" spans="1:11" x14ac:dyDescent="0.25">
      <c r="G22" s="6"/>
    </row>
    <row r="23" spans="1:11" x14ac:dyDescent="0.25">
      <c r="G23" s="34"/>
    </row>
    <row r="24" spans="1:11" x14ac:dyDescent="0.25">
      <c r="B24" s="72" t="s">
        <v>429</v>
      </c>
      <c r="F24" s="3"/>
      <c r="G24" s="6"/>
    </row>
    <row r="25" spans="1:11" x14ac:dyDescent="0.25">
      <c r="G25" s="6"/>
    </row>
    <row r="26" spans="1:11" x14ac:dyDescent="0.25">
      <c r="G26" s="6"/>
    </row>
    <row r="27" spans="1:11" x14ac:dyDescent="0.25">
      <c r="G27" s="6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Q24"/>
  <sheetViews>
    <sheetView workbookViewId="0">
      <selection activeCell="A32" sqref="A32"/>
    </sheetView>
  </sheetViews>
  <sheetFormatPr defaultRowHeight="15" x14ac:dyDescent="0.25"/>
  <cols>
    <col min="1" max="1" width="42.42578125" bestFit="1" customWidth="1"/>
    <col min="2" max="2" width="15.85546875" bestFit="1" customWidth="1"/>
    <col min="5" max="6" width="18.5703125" customWidth="1"/>
    <col min="10" max="10" width="21.42578125" customWidth="1"/>
    <col min="14" max="14" width="11.7109375" bestFit="1" customWidth="1"/>
    <col min="15" max="15" width="15.85546875" bestFit="1" customWidth="1"/>
  </cols>
  <sheetData>
    <row r="1" spans="1:17" x14ac:dyDescent="0.25">
      <c r="A1" s="1"/>
      <c r="E1" s="1" t="s">
        <v>298</v>
      </c>
      <c r="F1" s="1"/>
      <c r="H1" s="3"/>
      <c r="I1" s="3"/>
      <c r="J1" s="26" t="s">
        <v>292</v>
      </c>
      <c r="K1" s="3"/>
      <c r="L1" s="3"/>
      <c r="M1" s="3"/>
      <c r="N1" s="3"/>
      <c r="O1" s="3"/>
      <c r="P1" t="s">
        <v>263</v>
      </c>
    </row>
    <row r="2" spans="1:17" x14ac:dyDescent="0.25">
      <c r="A2" t="s">
        <v>0</v>
      </c>
      <c r="B2" t="s">
        <v>5</v>
      </c>
      <c r="C2" t="s">
        <v>180</v>
      </c>
      <c r="D2" t="s">
        <v>249</v>
      </c>
      <c r="E2" t="s">
        <v>297</v>
      </c>
      <c r="F2" t="s">
        <v>389</v>
      </c>
      <c r="G2" t="s">
        <v>288</v>
      </c>
      <c r="H2" t="s">
        <v>289</v>
      </c>
      <c r="I2" t="s">
        <v>263</v>
      </c>
      <c r="J2" s="3" t="s">
        <v>293</v>
      </c>
      <c r="K2" s="3" t="s">
        <v>288</v>
      </c>
      <c r="L2" s="3" t="s">
        <v>290</v>
      </c>
      <c r="M2" s="3" t="s">
        <v>263</v>
      </c>
      <c r="N2" s="3" t="s">
        <v>291</v>
      </c>
      <c r="O2" s="3" t="s">
        <v>263</v>
      </c>
      <c r="P2" s="3" t="s">
        <v>319</v>
      </c>
      <c r="Q2" s="3" t="s">
        <v>189</v>
      </c>
    </row>
    <row r="3" spans="1:17" x14ac:dyDescent="0.25">
      <c r="A3" t="s">
        <v>18</v>
      </c>
      <c r="B3" t="s">
        <v>3</v>
      </c>
      <c r="C3" t="s">
        <v>230</v>
      </c>
      <c r="D3">
        <v>1</v>
      </c>
      <c r="E3" t="s">
        <v>303</v>
      </c>
      <c r="F3">
        <v>1</v>
      </c>
      <c r="G3">
        <v>1000</v>
      </c>
      <c r="H3">
        <v>1</v>
      </c>
      <c r="I3">
        <f>1/H3</f>
        <v>1</v>
      </c>
      <c r="J3" s="3" t="s">
        <v>294</v>
      </c>
      <c r="K3" s="3">
        <v>3000</v>
      </c>
      <c r="L3" s="3">
        <v>23</v>
      </c>
      <c r="M3" s="3">
        <f>1/L3</f>
        <v>4.3478260869565216E-2</v>
      </c>
      <c r="N3" s="3">
        <v>9</v>
      </c>
      <c r="O3" s="3">
        <f>1/N3</f>
        <v>0.1111111111111111</v>
      </c>
      <c r="P3">
        <f>O3/2+M3/2</f>
        <v>7.7294685990338161E-2</v>
      </c>
      <c r="Q3">
        <f>I3/2+M3/2+O3/2</f>
        <v>0.57729468599033817</v>
      </c>
    </row>
    <row r="4" spans="1:17" x14ac:dyDescent="0.25">
      <c r="A4" t="s">
        <v>21</v>
      </c>
      <c r="B4" t="s">
        <v>4</v>
      </c>
      <c r="C4" t="s">
        <v>203</v>
      </c>
      <c r="D4">
        <v>0</v>
      </c>
      <c r="E4" t="s">
        <v>302</v>
      </c>
      <c r="F4">
        <v>0</v>
      </c>
      <c r="G4">
        <v>1000</v>
      </c>
      <c r="H4">
        <v>1</v>
      </c>
      <c r="I4">
        <f t="shared" ref="I4:I21" si="0">1/H4</f>
        <v>1</v>
      </c>
      <c r="J4" s="3" t="s">
        <v>4</v>
      </c>
      <c r="K4" s="3">
        <v>3500</v>
      </c>
      <c r="L4" s="3">
        <v>20</v>
      </c>
      <c r="M4" s="3">
        <f t="shared" ref="M4:M21" si="1">1/L4</f>
        <v>0.05</v>
      </c>
      <c r="N4" s="3">
        <v>11</v>
      </c>
      <c r="O4" s="3">
        <f t="shared" ref="O4:O21" si="2">1/N4</f>
        <v>9.0909090909090912E-2</v>
      </c>
      <c r="P4">
        <f t="shared" ref="P4:P21" si="3">O4/2+M4/2</f>
        <v>7.0454545454545464E-2</v>
      </c>
      <c r="Q4">
        <f t="shared" ref="Q4:Q21" si="4">I4/2+M4/2+O4/2</f>
        <v>0.57045454545454544</v>
      </c>
    </row>
    <row r="5" spans="1:17" x14ac:dyDescent="0.25">
      <c r="A5" s="3" t="s">
        <v>22</v>
      </c>
      <c r="B5" s="3" t="s">
        <v>4</v>
      </c>
      <c r="C5" s="3" t="s">
        <v>203</v>
      </c>
      <c r="D5" s="3">
        <v>0</v>
      </c>
      <c r="E5" t="s">
        <v>300</v>
      </c>
      <c r="F5">
        <v>1</v>
      </c>
      <c r="G5">
        <v>500</v>
      </c>
      <c r="H5">
        <v>1</v>
      </c>
      <c r="I5">
        <f t="shared" si="0"/>
        <v>1</v>
      </c>
      <c r="J5" s="3" t="s">
        <v>295</v>
      </c>
      <c r="K5" s="3">
        <v>2100</v>
      </c>
      <c r="L5" s="3">
        <v>20</v>
      </c>
      <c r="M5" s="3">
        <f t="shared" si="1"/>
        <v>0.05</v>
      </c>
      <c r="N5" s="3">
        <v>7</v>
      </c>
      <c r="O5" s="3">
        <f t="shared" si="2"/>
        <v>0.14285714285714285</v>
      </c>
      <c r="P5">
        <f t="shared" si="3"/>
        <v>9.6428571428571419E-2</v>
      </c>
      <c r="Q5">
        <f t="shared" si="4"/>
        <v>0.59642857142857142</v>
      </c>
    </row>
    <row r="6" spans="1:17" x14ac:dyDescent="0.25">
      <c r="A6" t="s">
        <v>23</v>
      </c>
      <c r="B6" t="s">
        <v>4</v>
      </c>
      <c r="C6" t="s">
        <v>203</v>
      </c>
      <c r="D6">
        <v>0</v>
      </c>
      <c r="E6" t="s">
        <v>301</v>
      </c>
      <c r="F6">
        <v>1</v>
      </c>
      <c r="G6" s="3">
        <v>1500</v>
      </c>
      <c r="H6" s="3">
        <v>5</v>
      </c>
      <c r="I6">
        <f t="shared" si="0"/>
        <v>0.2</v>
      </c>
      <c r="J6" s="3" t="s">
        <v>296</v>
      </c>
      <c r="K6" s="3">
        <v>2500</v>
      </c>
      <c r="L6" s="3">
        <v>17</v>
      </c>
      <c r="M6" s="3">
        <f t="shared" si="1"/>
        <v>5.8823529411764705E-2</v>
      </c>
      <c r="N6" s="3">
        <v>7</v>
      </c>
      <c r="O6" s="3">
        <f t="shared" si="2"/>
        <v>0.14285714285714285</v>
      </c>
      <c r="P6">
        <f t="shared" si="3"/>
        <v>0.10084033613445378</v>
      </c>
      <c r="Q6">
        <f t="shared" si="4"/>
        <v>0.20084033613445379</v>
      </c>
    </row>
    <row r="7" spans="1:17" x14ac:dyDescent="0.25">
      <c r="A7" t="s">
        <v>24</v>
      </c>
      <c r="B7" t="s">
        <v>4</v>
      </c>
      <c r="C7" t="s">
        <v>203</v>
      </c>
      <c r="D7">
        <v>1</v>
      </c>
      <c r="E7" t="s">
        <v>299</v>
      </c>
      <c r="F7">
        <v>1</v>
      </c>
      <c r="G7">
        <v>1000</v>
      </c>
      <c r="H7">
        <v>3</v>
      </c>
      <c r="I7">
        <f t="shared" si="0"/>
        <v>0.33333333333333331</v>
      </c>
      <c r="J7" s="3" t="s">
        <v>296</v>
      </c>
      <c r="K7" s="3">
        <v>2100</v>
      </c>
      <c r="L7" s="3">
        <v>14</v>
      </c>
      <c r="M7" s="3">
        <f t="shared" si="1"/>
        <v>7.1428571428571425E-2</v>
      </c>
      <c r="N7" s="3">
        <v>7</v>
      </c>
      <c r="O7" s="3">
        <f t="shared" si="2"/>
        <v>0.14285714285714285</v>
      </c>
      <c r="P7">
        <f t="shared" si="3"/>
        <v>0.10714285714285714</v>
      </c>
      <c r="Q7">
        <f t="shared" si="4"/>
        <v>0.27380952380952384</v>
      </c>
    </row>
    <row r="8" spans="1:17" x14ac:dyDescent="0.25">
      <c r="A8" t="s">
        <v>25</v>
      </c>
      <c r="B8" t="s">
        <v>4</v>
      </c>
      <c r="C8" t="s">
        <v>203</v>
      </c>
      <c r="D8">
        <v>0</v>
      </c>
      <c r="E8" t="s">
        <v>4</v>
      </c>
      <c r="F8">
        <v>1</v>
      </c>
      <c r="G8">
        <v>1000</v>
      </c>
      <c r="H8">
        <v>3</v>
      </c>
      <c r="I8">
        <f t="shared" si="0"/>
        <v>0.33333333333333331</v>
      </c>
      <c r="J8" s="3" t="s">
        <v>4</v>
      </c>
      <c r="K8" s="3">
        <v>1800</v>
      </c>
      <c r="L8" s="3">
        <v>14</v>
      </c>
      <c r="M8" s="3">
        <f t="shared" si="1"/>
        <v>7.1428571428571425E-2</v>
      </c>
      <c r="N8" s="3">
        <v>7</v>
      </c>
      <c r="O8" s="3">
        <f t="shared" si="2"/>
        <v>0.14285714285714285</v>
      </c>
      <c r="P8">
        <f t="shared" si="3"/>
        <v>0.10714285714285714</v>
      </c>
      <c r="Q8">
        <f t="shared" si="4"/>
        <v>0.27380952380952384</v>
      </c>
    </row>
    <row r="9" spans="1:17" x14ac:dyDescent="0.25">
      <c r="A9" t="s">
        <v>11</v>
      </c>
      <c r="B9" t="s">
        <v>39</v>
      </c>
      <c r="C9" t="s">
        <v>231</v>
      </c>
      <c r="D9">
        <v>0</v>
      </c>
      <c r="E9" t="s">
        <v>304</v>
      </c>
      <c r="F9">
        <v>0</v>
      </c>
      <c r="G9">
        <v>1500</v>
      </c>
      <c r="H9">
        <v>3</v>
      </c>
      <c r="I9">
        <f t="shared" si="0"/>
        <v>0.33333333333333331</v>
      </c>
      <c r="J9" s="3" t="s">
        <v>26</v>
      </c>
      <c r="K9" s="3">
        <v>32000</v>
      </c>
      <c r="L9" s="3">
        <v>38</v>
      </c>
      <c r="M9" s="3">
        <f t="shared" si="1"/>
        <v>2.6315789473684209E-2</v>
      </c>
      <c r="N9" s="3">
        <v>27</v>
      </c>
      <c r="O9" s="3">
        <f t="shared" si="2"/>
        <v>3.7037037037037035E-2</v>
      </c>
      <c r="P9">
        <f t="shared" si="3"/>
        <v>3.1676413255360622E-2</v>
      </c>
      <c r="Q9">
        <f t="shared" si="4"/>
        <v>0.19834307992202729</v>
      </c>
    </row>
    <row r="10" spans="1:17" x14ac:dyDescent="0.25">
      <c r="A10" t="s">
        <v>17</v>
      </c>
      <c r="B10" t="s">
        <v>39</v>
      </c>
      <c r="C10" s="3" t="s">
        <v>231</v>
      </c>
      <c r="D10" s="3">
        <v>1</v>
      </c>
      <c r="E10" s="3" t="s">
        <v>305</v>
      </c>
      <c r="F10" s="3">
        <v>0</v>
      </c>
      <c r="G10" s="3">
        <v>3500</v>
      </c>
      <c r="H10" s="3">
        <v>7</v>
      </c>
      <c r="I10">
        <f t="shared" si="0"/>
        <v>0.14285714285714285</v>
      </c>
      <c r="J10" s="3" t="s">
        <v>4</v>
      </c>
      <c r="K10" s="3">
        <v>13000</v>
      </c>
      <c r="L10" s="3">
        <v>43</v>
      </c>
      <c r="M10" s="3">
        <f t="shared" si="1"/>
        <v>2.3255813953488372E-2</v>
      </c>
      <c r="N10" s="3">
        <v>30</v>
      </c>
      <c r="O10" s="3">
        <f t="shared" si="2"/>
        <v>3.3333333333333333E-2</v>
      </c>
      <c r="P10">
        <f t="shared" si="3"/>
        <v>2.8294573643410852E-2</v>
      </c>
      <c r="Q10">
        <f t="shared" si="4"/>
        <v>9.9723145071982267E-2</v>
      </c>
    </row>
    <row r="11" spans="1:17" x14ac:dyDescent="0.25">
      <c r="A11" t="s">
        <v>27</v>
      </c>
      <c r="B11" t="s">
        <v>1</v>
      </c>
      <c r="C11" s="3" t="s">
        <v>201</v>
      </c>
      <c r="D11" s="3">
        <v>1</v>
      </c>
      <c r="E11" s="3" t="s">
        <v>306</v>
      </c>
      <c r="F11" s="3">
        <v>0</v>
      </c>
      <c r="G11" s="3">
        <v>1500</v>
      </c>
      <c r="H11" s="3">
        <v>2</v>
      </c>
      <c r="I11">
        <f t="shared" si="0"/>
        <v>0.5</v>
      </c>
      <c r="J11" s="3" t="s">
        <v>199</v>
      </c>
      <c r="K11" s="3">
        <v>4500</v>
      </c>
      <c r="L11" s="3">
        <v>25</v>
      </c>
      <c r="M11" s="3">
        <f t="shared" si="1"/>
        <v>0.04</v>
      </c>
      <c r="N11" s="3">
        <v>15</v>
      </c>
      <c r="O11" s="3">
        <f t="shared" si="2"/>
        <v>6.6666666666666666E-2</v>
      </c>
      <c r="P11">
        <f t="shared" si="3"/>
        <v>5.333333333333333E-2</v>
      </c>
      <c r="Q11">
        <f t="shared" si="4"/>
        <v>0.30333333333333334</v>
      </c>
    </row>
    <row r="12" spans="1:17" x14ac:dyDescent="0.25">
      <c r="A12" t="s">
        <v>28</v>
      </c>
      <c r="B12" t="s">
        <v>1</v>
      </c>
      <c r="C12" s="3" t="s">
        <v>201</v>
      </c>
      <c r="D12" s="3">
        <v>1</v>
      </c>
      <c r="E12" s="3" t="s">
        <v>306</v>
      </c>
      <c r="F12" s="3">
        <v>1</v>
      </c>
      <c r="G12" s="3">
        <v>3300</v>
      </c>
      <c r="H12" s="3">
        <v>5</v>
      </c>
      <c r="I12">
        <f t="shared" si="0"/>
        <v>0.2</v>
      </c>
      <c r="J12" s="3" t="s">
        <v>199</v>
      </c>
      <c r="K12" s="3">
        <v>2300</v>
      </c>
      <c r="L12" s="3">
        <v>16</v>
      </c>
      <c r="M12" s="3">
        <f t="shared" si="1"/>
        <v>6.25E-2</v>
      </c>
      <c r="N12" s="3">
        <v>8</v>
      </c>
      <c r="O12" s="3">
        <f t="shared" si="2"/>
        <v>0.125</v>
      </c>
      <c r="P12">
        <f t="shared" si="3"/>
        <v>9.375E-2</v>
      </c>
      <c r="Q12">
        <f t="shared" si="4"/>
        <v>0.19375000000000001</v>
      </c>
    </row>
    <row r="13" spans="1:17" x14ac:dyDescent="0.25">
      <c r="A13" t="s">
        <v>29</v>
      </c>
      <c r="B13" t="s">
        <v>1</v>
      </c>
      <c r="C13" s="3" t="s">
        <v>229</v>
      </c>
      <c r="D13" s="3">
        <v>1</v>
      </c>
      <c r="E13" s="3" t="s">
        <v>308</v>
      </c>
      <c r="F13" s="3">
        <v>1</v>
      </c>
      <c r="G13" s="3">
        <v>1800</v>
      </c>
      <c r="H13" s="3">
        <v>4</v>
      </c>
      <c r="I13">
        <f t="shared" si="0"/>
        <v>0.25</v>
      </c>
      <c r="J13" s="3" t="s">
        <v>307</v>
      </c>
      <c r="K13" s="3">
        <v>350</v>
      </c>
      <c r="L13" s="3">
        <v>4</v>
      </c>
      <c r="M13" s="3">
        <f t="shared" si="1"/>
        <v>0.25</v>
      </c>
      <c r="N13" s="3">
        <v>1</v>
      </c>
      <c r="O13" s="3">
        <f t="shared" si="2"/>
        <v>1</v>
      </c>
      <c r="P13">
        <f t="shared" si="3"/>
        <v>0.625</v>
      </c>
      <c r="Q13">
        <f t="shared" si="4"/>
        <v>0.75</v>
      </c>
    </row>
    <row r="14" spans="1:17" x14ac:dyDescent="0.25">
      <c r="A14" t="s">
        <v>31</v>
      </c>
      <c r="B14" t="s">
        <v>1</v>
      </c>
      <c r="C14" s="3" t="s">
        <v>229</v>
      </c>
      <c r="D14" s="3">
        <v>1</v>
      </c>
      <c r="E14" s="3" t="s">
        <v>309</v>
      </c>
      <c r="F14" s="3">
        <v>0</v>
      </c>
      <c r="G14" s="3">
        <v>2000</v>
      </c>
      <c r="H14" s="3">
        <v>7</v>
      </c>
      <c r="I14">
        <f t="shared" si="0"/>
        <v>0.14285714285714285</v>
      </c>
      <c r="J14" s="3" t="s">
        <v>310</v>
      </c>
      <c r="K14" s="3">
        <v>4000</v>
      </c>
      <c r="L14" s="3">
        <v>28</v>
      </c>
      <c r="M14" s="3">
        <f t="shared" si="1"/>
        <v>3.5714285714285712E-2</v>
      </c>
      <c r="N14" s="3">
        <v>12</v>
      </c>
      <c r="O14" s="3">
        <f t="shared" si="2"/>
        <v>8.3333333333333329E-2</v>
      </c>
      <c r="P14">
        <f t="shared" si="3"/>
        <v>5.9523809523809521E-2</v>
      </c>
      <c r="Q14">
        <f t="shared" si="4"/>
        <v>0.13095238095238093</v>
      </c>
    </row>
    <row r="15" spans="1:17" s="72" customFormat="1" x14ac:dyDescent="0.25">
      <c r="A15" s="72" t="s">
        <v>402</v>
      </c>
      <c r="B15" s="72" t="s">
        <v>1</v>
      </c>
      <c r="C15" s="53" t="s">
        <v>201</v>
      </c>
      <c r="D15" s="53">
        <v>1</v>
      </c>
      <c r="E15" s="53" t="s">
        <v>306</v>
      </c>
      <c r="F15" s="53">
        <v>1</v>
      </c>
      <c r="G15" s="72">
        <v>5500</v>
      </c>
      <c r="H15" s="72">
        <v>8</v>
      </c>
      <c r="I15" s="72">
        <f>1/H15</f>
        <v>0.125</v>
      </c>
      <c r="J15" s="72" t="s">
        <v>199</v>
      </c>
      <c r="K15" s="72">
        <v>600</v>
      </c>
      <c r="L15" s="72">
        <v>7</v>
      </c>
      <c r="M15" s="53">
        <f>1/L15</f>
        <v>0.14285714285714285</v>
      </c>
      <c r="N15" s="72">
        <v>3</v>
      </c>
      <c r="O15" s="53">
        <f>1/N15</f>
        <v>0.33333333333333331</v>
      </c>
      <c r="P15" s="72">
        <f>O15/2+M15/2</f>
        <v>0.23809523809523808</v>
      </c>
      <c r="Q15" s="72">
        <f>I15/2+M15/2+O15/2</f>
        <v>0.30059523809523808</v>
      </c>
    </row>
    <row r="16" spans="1:17" s="72" customFormat="1" x14ac:dyDescent="0.25">
      <c r="A16" s="72" t="s">
        <v>405</v>
      </c>
      <c r="B16" s="72" t="s">
        <v>1</v>
      </c>
      <c r="C16" s="53" t="s">
        <v>201</v>
      </c>
      <c r="D16" s="53">
        <v>1</v>
      </c>
      <c r="E16" s="53" t="s">
        <v>306</v>
      </c>
      <c r="F16" s="53">
        <v>1</v>
      </c>
      <c r="G16" s="72">
        <v>4300</v>
      </c>
      <c r="H16" s="72">
        <v>7</v>
      </c>
      <c r="I16" s="72">
        <f t="shared" si="0"/>
        <v>0.14285714285714285</v>
      </c>
      <c r="J16" s="72" t="s">
        <v>199</v>
      </c>
      <c r="K16" s="72">
        <v>400</v>
      </c>
      <c r="L16" s="72">
        <v>5</v>
      </c>
      <c r="M16" s="53">
        <f t="shared" si="1"/>
        <v>0.2</v>
      </c>
      <c r="N16" s="72">
        <v>2</v>
      </c>
      <c r="O16" s="53">
        <f t="shared" si="2"/>
        <v>0.5</v>
      </c>
      <c r="P16" s="72">
        <f t="shared" si="3"/>
        <v>0.35</v>
      </c>
      <c r="Q16" s="72">
        <f t="shared" si="4"/>
        <v>0.42142857142857143</v>
      </c>
    </row>
    <row r="17" spans="1:17" s="72" customFormat="1" x14ac:dyDescent="0.25">
      <c r="A17" s="72" t="s">
        <v>406</v>
      </c>
      <c r="B17" s="72" t="s">
        <v>1</v>
      </c>
      <c r="C17" s="53" t="s">
        <v>201</v>
      </c>
      <c r="D17" s="53">
        <v>1</v>
      </c>
      <c r="E17" s="53" t="s">
        <v>306</v>
      </c>
      <c r="F17" s="53">
        <v>1</v>
      </c>
      <c r="G17" s="72">
        <v>6000</v>
      </c>
      <c r="H17" s="72">
        <v>9</v>
      </c>
      <c r="I17" s="72">
        <f t="shared" si="0"/>
        <v>0.1111111111111111</v>
      </c>
      <c r="J17" s="72" t="s">
        <v>199</v>
      </c>
      <c r="K17" s="72">
        <v>900</v>
      </c>
      <c r="L17" s="72">
        <v>7</v>
      </c>
      <c r="M17" s="53">
        <f t="shared" si="1"/>
        <v>0.14285714285714285</v>
      </c>
      <c r="N17" s="72">
        <v>4</v>
      </c>
      <c r="O17" s="53">
        <f t="shared" si="2"/>
        <v>0.25</v>
      </c>
      <c r="P17" s="72">
        <f t="shared" si="3"/>
        <v>0.19642857142857142</v>
      </c>
      <c r="Q17" s="72">
        <f t="shared" si="4"/>
        <v>0.25198412698412698</v>
      </c>
    </row>
    <row r="18" spans="1:17" s="72" customFormat="1" x14ac:dyDescent="0.25">
      <c r="A18" s="72" t="s">
        <v>399</v>
      </c>
      <c r="B18" s="72" t="s">
        <v>1</v>
      </c>
      <c r="C18" s="53" t="s">
        <v>201</v>
      </c>
      <c r="D18" s="53">
        <v>1</v>
      </c>
      <c r="E18" s="53" t="s">
        <v>306</v>
      </c>
      <c r="F18" s="53">
        <v>1</v>
      </c>
      <c r="G18" s="72">
        <v>5200</v>
      </c>
      <c r="H18" s="72">
        <v>8</v>
      </c>
      <c r="I18" s="72">
        <f t="shared" si="0"/>
        <v>0.125</v>
      </c>
      <c r="J18" s="72" t="s">
        <v>199</v>
      </c>
      <c r="K18" s="72">
        <v>850</v>
      </c>
      <c r="L18" s="72">
        <v>11</v>
      </c>
      <c r="M18" s="53">
        <f t="shared" si="1"/>
        <v>9.0909090909090912E-2</v>
      </c>
      <c r="N18" s="72">
        <v>4</v>
      </c>
      <c r="O18" s="53">
        <f t="shared" si="2"/>
        <v>0.25</v>
      </c>
      <c r="P18" s="72">
        <f t="shared" si="3"/>
        <v>0.17045454545454547</v>
      </c>
      <c r="Q18" s="72">
        <f t="shared" si="4"/>
        <v>0.23295454545454547</v>
      </c>
    </row>
    <row r="19" spans="1:17" s="72" customFormat="1" x14ac:dyDescent="0.25">
      <c r="A19" s="72" t="s">
        <v>408</v>
      </c>
      <c r="B19" s="72" t="s">
        <v>3</v>
      </c>
      <c r="C19" s="72" t="s">
        <v>230</v>
      </c>
      <c r="D19" s="72">
        <v>1</v>
      </c>
      <c r="E19" s="72" t="s">
        <v>411</v>
      </c>
      <c r="F19" s="72">
        <v>1</v>
      </c>
      <c r="G19" s="72">
        <v>1700</v>
      </c>
      <c r="H19" s="72">
        <v>6</v>
      </c>
      <c r="I19" s="72">
        <f t="shared" si="0"/>
        <v>0.16666666666666666</v>
      </c>
      <c r="J19" s="72" t="s">
        <v>3</v>
      </c>
      <c r="K19" s="72">
        <v>450</v>
      </c>
      <c r="L19" s="72">
        <v>6</v>
      </c>
      <c r="M19" s="72">
        <f t="shared" si="1"/>
        <v>0.16666666666666666</v>
      </c>
      <c r="N19" s="72">
        <v>6</v>
      </c>
      <c r="O19" s="72">
        <f t="shared" si="2"/>
        <v>0.16666666666666666</v>
      </c>
      <c r="P19" s="72">
        <f t="shared" si="3"/>
        <v>0.16666666666666666</v>
      </c>
      <c r="Q19" s="72">
        <f t="shared" si="4"/>
        <v>0.25</v>
      </c>
    </row>
    <row r="20" spans="1:17" s="72" customFormat="1" x14ac:dyDescent="0.25">
      <c r="A20" s="72" t="s">
        <v>409</v>
      </c>
      <c r="B20" s="72" t="s">
        <v>3</v>
      </c>
      <c r="C20" s="72" t="s">
        <v>230</v>
      </c>
      <c r="D20" s="72">
        <v>1</v>
      </c>
      <c r="E20" s="72" t="s">
        <v>411</v>
      </c>
      <c r="F20" s="74">
        <v>1</v>
      </c>
      <c r="G20" s="72">
        <v>1600</v>
      </c>
      <c r="H20" s="72">
        <v>4</v>
      </c>
      <c r="I20" s="72">
        <f t="shared" si="0"/>
        <v>0.25</v>
      </c>
      <c r="J20" s="72" t="s">
        <v>3</v>
      </c>
      <c r="K20" s="72">
        <v>50</v>
      </c>
      <c r="L20" s="72">
        <v>1</v>
      </c>
      <c r="M20" s="72">
        <f t="shared" si="1"/>
        <v>1</v>
      </c>
      <c r="N20" s="72">
        <v>1</v>
      </c>
      <c r="O20" s="72">
        <f t="shared" si="2"/>
        <v>1</v>
      </c>
      <c r="P20" s="72">
        <f t="shared" si="3"/>
        <v>1</v>
      </c>
      <c r="Q20" s="72">
        <f t="shared" si="4"/>
        <v>1.125</v>
      </c>
    </row>
    <row r="21" spans="1:17" s="72" customFormat="1" x14ac:dyDescent="0.25">
      <c r="A21" s="72" t="s">
        <v>410</v>
      </c>
      <c r="B21" s="72" t="s">
        <v>3</v>
      </c>
      <c r="C21" s="72" t="s">
        <v>230</v>
      </c>
      <c r="D21" s="72">
        <v>1</v>
      </c>
      <c r="E21" s="72" t="s">
        <v>411</v>
      </c>
      <c r="F21" s="74">
        <v>1</v>
      </c>
      <c r="G21" s="72">
        <v>1600</v>
      </c>
      <c r="H21" s="72">
        <v>3</v>
      </c>
      <c r="I21" s="72">
        <f t="shared" si="0"/>
        <v>0.33333333333333331</v>
      </c>
      <c r="J21" s="72" t="s">
        <v>3</v>
      </c>
      <c r="K21" s="72">
        <v>100</v>
      </c>
      <c r="L21" s="72">
        <v>1</v>
      </c>
      <c r="M21" s="72">
        <f t="shared" si="1"/>
        <v>1</v>
      </c>
      <c r="N21" s="72">
        <v>1</v>
      </c>
      <c r="O21" s="72">
        <f t="shared" si="2"/>
        <v>1</v>
      </c>
      <c r="P21" s="72">
        <f t="shared" si="3"/>
        <v>1</v>
      </c>
      <c r="Q21" s="72">
        <f t="shared" si="4"/>
        <v>1.1666666666666665</v>
      </c>
    </row>
    <row r="22" spans="1:17" s="72" customFormat="1" x14ac:dyDescent="0.25"/>
    <row r="23" spans="1:17" s="72" customFormat="1" x14ac:dyDescent="0.25"/>
    <row r="24" spans="1:17" s="72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R26"/>
  <sheetViews>
    <sheetView topLeftCell="B1" workbookViewId="0">
      <selection activeCell="P8" sqref="P8"/>
    </sheetView>
  </sheetViews>
  <sheetFormatPr defaultRowHeight="15" x14ac:dyDescent="0.25"/>
  <cols>
    <col min="1" max="1" width="19.140625" customWidth="1"/>
    <col min="2" max="2" width="12" bestFit="1" customWidth="1"/>
    <col min="3" max="9" width="16.28515625" customWidth="1"/>
    <col min="16" max="16" width="16.140625" customWidth="1"/>
  </cols>
  <sheetData>
    <row r="1" spans="1:18" x14ac:dyDescent="0.25">
      <c r="A1" s="1" t="s">
        <v>269</v>
      </c>
      <c r="D1" t="s">
        <v>37</v>
      </c>
      <c r="G1" t="s">
        <v>35</v>
      </c>
      <c r="J1" t="s">
        <v>8</v>
      </c>
      <c r="K1" t="s">
        <v>9</v>
      </c>
      <c r="L1" t="s">
        <v>10</v>
      </c>
      <c r="M1" t="s">
        <v>15</v>
      </c>
      <c r="N1" t="s">
        <v>36</v>
      </c>
      <c r="P1" s="61" t="s">
        <v>33</v>
      </c>
      <c r="Q1" s="62" t="s">
        <v>34</v>
      </c>
    </row>
    <row r="2" spans="1:18" ht="17.25" customHeight="1" x14ac:dyDescent="0.25">
      <c r="A2" s="1"/>
      <c r="C2" t="s">
        <v>7</v>
      </c>
      <c r="D2" t="s">
        <v>6</v>
      </c>
      <c r="E2" t="s">
        <v>12</v>
      </c>
      <c r="F2" t="s">
        <v>36</v>
      </c>
      <c r="G2" t="s">
        <v>19</v>
      </c>
      <c r="H2" t="s">
        <v>20</v>
      </c>
      <c r="I2" t="s">
        <v>36</v>
      </c>
      <c r="J2" t="s">
        <v>13</v>
      </c>
      <c r="K2" t="s">
        <v>13</v>
      </c>
      <c r="L2" t="s">
        <v>13</v>
      </c>
      <c r="M2" t="s">
        <v>16</v>
      </c>
      <c r="P2" s="61"/>
      <c r="Q2" s="62"/>
    </row>
    <row r="3" spans="1:18" s="3" customFormat="1" x14ac:dyDescent="0.25">
      <c r="A3" s="63" t="s">
        <v>26</v>
      </c>
      <c r="B3" s="63"/>
      <c r="C3" s="3">
        <v>272107</v>
      </c>
      <c r="D3" s="3">
        <v>21915</v>
      </c>
      <c r="E3" s="3">
        <v>34579</v>
      </c>
      <c r="F3" s="3">
        <v>215613</v>
      </c>
      <c r="G3" s="3">
        <v>2320</v>
      </c>
      <c r="H3" s="3">
        <v>55940</v>
      </c>
      <c r="I3" s="3">
        <v>213847</v>
      </c>
      <c r="J3" s="3">
        <v>14433</v>
      </c>
      <c r="K3" s="3">
        <v>43925</v>
      </c>
      <c r="L3" s="3">
        <v>23353</v>
      </c>
      <c r="M3" s="3">
        <v>190396</v>
      </c>
      <c r="N3" s="3">
        <v>0</v>
      </c>
      <c r="P3" s="3" t="s">
        <v>43</v>
      </c>
      <c r="Q3" s="3" t="s">
        <v>43</v>
      </c>
    </row>
    <row r="4" spans="1:18" x14ac:dyDescent="0.25">
      <c r="A4" s="60" t="s">
        <v>3</v>
      </c>
      <c r="B4" s="60"/>
      <c r="C4">
        <v>4165</v>
      </c>
      <c r="D4">
        <v>2616</v>
      </c>
      <c r="E4">
        <v>948</v>
      </c>
      <c r="F4">
        <v>601</v>
      </c>
      <c r="G4">
        <v>1738</v>
      </c>
      <c r="H4">
        <v>2425</v>
      </c>
      <c r="I4">
        <v>2</v>
      </c>
      <c r="J4">
        <v>813</v>
      </c>
      <c r="K4">
        <v>1847</v>
      </c>
      <c r="L4">
        <v>1455</v>
      </c>
      <c r="M4">
        <v>50</v>
      </c>
      <c r="N4">
        <v>0</v>
      </c>
      <c r="P4" s="72">
        <f>'INPUT - Housing per plan '!I3+SUM('INPUT - Housing per plan '!I19:I21)</f>
        <v>2600</v>
      </c>
      <c r="Q4" s="72">
        <f>C4-P4</f>
        <v>1565</v>
      </c>
      <c r="R4" s="82">
        <f t="shared" ref="R4:R7" si="0">P4/(P4+Q4)</f>
        <v>0.62424969987995194</v>
      </c>
    </row>
    <row r="5" spans="1:18" x14ac:dyDescent="0.25">
      <c r="A5" s="60" t="s">
        <v>38</v>
      </c>
      <c r="B5" s="60"/>
      <c r="C5">
        <v>10014</v>
      </c>
      <c r="D5">
        <v>2865</v>
      </c>
      <c r="E5">
        <v>2722</v>
      </c>
      <c r="F5">
        <v>3427</v>
      </c>
      <c r="G5">
        <v>2766</v>
      </c>
      <c r="H5">
        <v>3968</v>
      </c>
      <c r="I5">
        <v>3280</v>
      </c>
      <c r="J5">
        <v>1655</v>
      </c>
      <c r="K5">
        <v>4244</v>
      </c>
      <c r="L5">
        <v>2415</v>
      </c>
      <c r="M5">
        <v>0</v>
      </c>
      <c r="N5">
        <v>1700</v>
      </c>
      <c r="P5">
        <f>SUM('INPUT - Housing per plan '!I4:I8)</f>
        <v>3690</v>
      </c>
      <c r="Q5">
        <f>C5-P5</f>
        <v>6324</v>
      </c>
      <c r="R5" s="4">
        <f t="shared" si="0"/>
        <v>0.36848412222887955</v>
      </c>
    </row>
    <row r="6" spans="1:18" x14ac:dyDescent="0.25">
      <c r="A6" s="60" t="s">
        <v>39</v>
      </c>
      <c r="B6" s="60"/>
      <c r="C6">
        <v>1982</v>
      </c>
      <c r="D6">
        <v>823</v>
      </c>
      <c r="E6">
        <v>62</v>
      </c>
      <c r="F6">
        <v>1097</v>
      </c>
      <c r="G6">
        <v>831</v>
      </c>
      <c r="H6">
        <v>54</v>
      </c>
      <c r="I6">
        <v>1097</v>
      </c>
      <c r="J6">
        <v>679</v>
      </c>
      <c r="K6">
        <v>688</v>
      </c>
      <c r="L6">
        <v>380</v>
      </c>
      <c r="M6">
        <v>0</v>
      </c>
      <c r="N6">
        <v>235</v>
      </c>
      <c r="P6">
        <f>SUM('INPUT - Housing per plan '!I9:'INPUT - Housing per plan '!I10)</f>
        <v>1223</v>
      </c>
      <c r="Q6">
        <f>C6-P6</f>
        <v>759</v>
      </c>
      <c r="R6" s="4">
        <f t="shared" si="0"/>
        <v>0.6170534813319879</v>
      </c>
    </row>
    <row r="7" spans="1:18" x14ac:dyDescent="0.25">
      <c r="A7" s="60" t="s">
        <v>1</v>
      </c>
      <c r="B7" s="60"/>
      <c r="C7">
        <v>23728</v>
      </c>
      <c r="D7">
        <v>4591</v>
      </c>
      <c r="E7">
        <v>2987</v>
      </c>
      <c r="F7">
        <v>16150</v>
      </c>
      <c r="G7">
        <v>3201</v>
      </c>
      <c r="H7">
        <v>4745</v>
      </c>
      <c r="I7">
        <v>15782</v>
      </c>
      <c r="J7">
        <v>3107</v>
      </c>
      <c r="K7">
        <v>8305</v>
      </c>
      <c r="L7">
        <v>4456</v>
      </c>
      <c r="M7">
        <v>7850</v>
      </c>
      <c r="N7">
        <v>10</v>
      </c>
      <c r="P7" s="72">
        <f>SUM('INPUT - Housing per plan '!I11:I18)</f>
        <v>15925</v>
      </c>
      <c r="Q7" s="72">
        <f>C7-P7</f>
        <v>7803</v>
      </c>
      <c r="R7" s="82">
        <f t="shared" si="0"/>
        <v>0.67114801078894137</v>
      </c>
    </row>
    <row r="8" spans="1:18" x14ac:dyDescent="0.25">
      <c r="O8" t="s">
        <v>13</v>
      </c>
      <c r="P8" s="72">
        <f>SUM(P3:P7)</f>
        <v>23438</v>
      </c>
      <c r="Q8" s="72">
        <f>SUM(Q3:Q7)</f>
        <v>16451</v>
      </c>
      <c r="R8" s="82">
        <f>P8/(P8+Q8)</f>
        <v>0.58758053598736493</v>
      </c>
    </row>
    <row r="10" spans="1:18" x14ac:dyDescent="0.25">
      <c r="A10" s="1"/>
    </row>
    <row r="14" spans="1:18" s="3" customFormat="1" x14ac:dyDescent="0.25"/>
    <row r="19" spans="6:9" s="3" customFormat="1" x14ac:dyDescent="0.25"/>
    <row r="20" spans="6:9" x14ac:dyDescent="0.25">
      <c r="F20" s="3"/>
      <c r="I20" s="3"/>
    </row>
    <row r="21" spans="6:9" x14ac:dyDescent="0.25">
      <c r="F21" s="3"/>
      <c r="G21" s="3"/>
      <c r="I21" s="3"/>
    </row>
    <row r="22" spans="6:9" x14ac:dyDescent="0.25">
      <c r="F22" s="3"/>
      <c r="G22" s="3"/>
      <c r="H22" s="3"/>
      <c r="I22" s="3"/>
    </row>
    <row r="23" spans="6:9" x14ac:dyDescent="0.25">
      <c r="F23" s="3"/>
      <c r="G23" s="3"/>
      <c r="H23" s="3"/>
      <c r="I23" s="3"/>
    </row>
    <row r="24" spans="6:9" x14ac:dyDescent="0.25">
      <c r="F24" s="3"/>
      <c r="G24" s="3"/>
      <c r="H24" s="3"/>
      <c r="I24" s="3"/>
    </row>
    <row r="25" spans="6:9" x14ac:dyDescent="0.25">
      <c r="F25" s="3"/>
      <c r="G25" s="3"/>
      <c r="H25" s="3"/>
      <c r="I25" s="3"/>
    </row>
    <row r="26" spans="6:9" x14ac:dyDescent="0.25">
      <c r="F26" s="3"/>
      <c r="I26" s="3"/>
    </row>
  </sheetData>
  <mergeCells count="7">
    <mergeCell ref="A7:B7"/>
    <mergeCell ref="P1:P2"/>
    <mergeCell ref="Q1:Q2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selection activeCell="I7" sqref="I7"/>
    </sheetView>
  </sheetViews>
  <sheetFormatPr defaultRowHeight="15" x14ac:dyDescent="0.25"/>
  <cols>
    <col min="1" max="1" width="33" bestFit="1" customWidth="1"/>
    <col min="9" max="9" width="9" bestFit="1" customWidth="1"/>
  </cols>
  <sheetData>
    <row r="1" spans="1:9" x14ac:dyDescent="0.25">
      <c r="A1" t="s">
        <v>5</v>
      </c>
      <c r="B1" s="1">
        <v>2017</v>
      </c>
      <c r="C1" s="1">
        <v>2020</v>
      </c>
      <c r="D1" s="1">
        <v>2025</v>
      </c>
      <c r="E1" s="1">
        <v>2030</v>
      </c>
      <c r="F1" s="1">
        <v>2040</v>
      </c>
      <c r="G1" s="1" t="s">
        <v>41</v>
      </c>
      <c r="H1" s="1" t="s">
        <v>2</v>
      </c>
      <c r="I1" s="1" t="s">
        <v>247</v>
      </c>
    </row>
    <row r="2" spans="1:9" x14ac:dyDescent="0.25">
      <c r="A2" s="5" t="s">
        <v>26</v>
      </c>
      <c r="B2">
        <v>435700</v>
      </c>
      <c r="C2">
        <v>16400</v>
      </c>
      <c r="D2">
        <v>38500</v>
      </c>
      <c r="E2">
        <v>58200</v>
      </c>
      <c r="F2">
        <v>93900</v>
      </c>
      <c r="G2">
        <v>529600</v>
      </c>
      <c r="H2">
        <f>G2-B2</f>
        <v>93900</v>
      </c>
      <c r="I2" s="6">
        <f>H2*'BASIS - Plans per municipality'!$R$8</f>
        <v>55173.812329213564</v>
      </c>
    </row>
    <row r="3" spans="1:9" x14ac:dyDescent="0.25">
      <c r="A3" t="s">
        <v>3</v>
      </c>
      <c r="B3">
        <v>32700</v>
      </c>
      <c r="C3">
        <v>1200</v>
      </c>
      <c r="D3">
        <v>2700</v>
      </c>
      <c r="E3">
        <v>3500</v>
      </c>
      <c r="F3">
        <v>3500</v>
      </c>
      <c r="G3">
        <v>36200</v>
      </c>
      <c r="H3">
        <f t="shared" ref="H3:H6" si="0">G3-B3</f>
        <v>3500</v>
      </c>
      <c r="I3" s="6">
        <f>H3*'BASIS - Plans per municipality'!$R$8</f>
        <v>2056.5318759557772</v>
      </c>
    </row>
    <row r="4" spans="1:9" x14ac:dyDescent="0.25">
      <c r="A4" t="s">
        <v>39</v>
      </c>
      <c r="B4">
        <v>15100</v>
      </c>
      <c r="C4">
        <v>700</v>
      </c>
      <c r="D4">
        <v>1200</v>
      </c>
      <c r="E4">
        <v>1600</v>
      </c>
      <c r="F4">
        <v>1900</v>
      </c>
      <c r="G4">
        <v>17000</v>
      </c>
      <c r="H4">
        <f t="shared" si="0"/>
        <v>1900</v>
      </c>
      <c r="I4" s="6">
        <f>H4*'BASIS - Plans per municipality'!$R$8</f>
        <v>1116.4030183759933</v>
      </c>
    </row>
    <row r="5" spans="1:9" x14ac:dyDescent="0.25">
      <c r="A5" t="s">
        <v>198</v>
      </c>
      <c r="B5">
        <v>40200</v>
      </c>
      <c r="C5">
        <v>1400</v>
      </c>
      <c r="D5">
        <v>2800</v>
      </c>
      <c r="E5">
        <v>4000</v>
      </c>
      <c r="F5">
        <v>5700</v>
      </c>
      <c r="G5">
        <v>45900</v>
      </c>
      <c r="H5">
        <f t="shared" si="0"/>
        <v>5700</v>
      </c>
      <c r="I5" s="6">
        <f>H5*'BASIS - Plans per municipality'!$R$8</f>
        <v>3349.2090551279803</v>
      </c>
    </row>
    <row r="6" spans="1:9" x14ac:dyDescent="0.25">
      <c r="A6" t="s">
        <v>1</v>
      </c>
      <c r="B6">
        <v>68700</v>
      </c>
      <c r="C6">
        <v>2700</v>
      </c>
      <c r="D6">
        <v>6400</v>
      </c>
      <c r="E6">
        <v>9600</v>
      </c>
      <c r="F6">
        <v>14500</v>
      </c>
      <c r="G6">
        <v>83200</v>
      </c>
      <c r="H6">
        <f t="shared" si="0"/>
        <v>14500</v>
      </c>
      <c r="I6" s="6">
        <f>H6*'BASIS - Plans per municipality'!$R$8</f>
        <v>8519.9177718167921</v>
      </c>
    </row>
    <row r="7" spans="1:9" x14ac:dyDescent="0.25">
      <c r="A7" t="s">
        <v>284</v>
      </c>
      <c r="I7" s="6">
        <f>SUM(I2:I6)</f>
        <v>70215.874050490107</v>
      </c>
    </row>
    <row r="8" spans="1:9" x14ac:dyDescent="0.25">
      <c r="A8" t="s">
        <v>285</v>
      </c>
      <c r="I8" s="6">
        <f>SUM(I3:I6)</f>
        <v>15042.061721276543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AB41"/>
  <sheetViews>
    <sheetView workbookViewId="0">
      <pane xSplit="1" topLeftCell="B1" activePane="topRight" state="frozen"/>
      <selection pane="topRight" activeCell="A23" sqref="A23"/>
    </sheetView>
  </sheetViews>
  <sheetFormatPr defaultRowHeight="15" x14ac:dyDescent="0.25"/>
  <cols>
    <col min="1" max="1" width="15.85546875" bestFit="1" customWidth="1"/>
    <col min="2" max="3" width="39.140625" customWidth="1"/>
    <col min="4" max="4" width="17.85546875" bestFit="1" customWidth="1"/>
    <col min="5" max="5" width="13.42578125" customWidth="1"/>
    <col min="6" max="6" width="12" bestFit="1" customWidth="1"/>
    <col min="7" max="8" width="16.5703125" customWidth="1"/>
    <col min="9" max="14" width="16.28515625" style="3" customWidth="1"/>
    <col min="15" max="15" width="18" style="3" bestFit="1" customWidth="1"/>
    <col min="16" max="16" width="18.42578125" customWidth="1"/>
    <col min="17" max="17" width="18.42578125" style="53" customWidth="1"/>
    <col min="18" max="18" width="18.42578125" customWidth="1"/>
    <col min="19" max="19" width="16.28515625" customWidth="1"/>
    <col min="24" max="24" width="16.28515625" customWidth="1"/>
    <col min="25" max="25" width="16.28515625" style="3" customWidth="1"/>
    <col min="26" max="26" width="16.28515625" customWidth="1"/>
    <col min="27" max="27" width="16.140625" bestFit="1" customWidth="1"/>
    <col min="28" max="28" width="15.85546875" style="3" bestFit="1" customWidth="1"/>
    <col min="30" max="35" width="16.28515625" customWidth="1"/>
  </cols>
  <sheetData>
    <row r="1" spans="1:28" x14ac:dyDescent="0.25">
      <c r="B1" s="1"/>
      <c r="C1" s="1"/>
      <c r="G1" s="54" t="s">
        <v>321</v>
      </c>
      <c r="H1" s="54"/>
      <c r="J1"/>
      <c r="K1" s="51" t="s">
        <v>341</v>
      </c>
      <c r="M1" s="51" t="s">
        <v>342</v>
      </c>
      <c r="N1" t="s">
        <v>237</v>
      </c>
      <c r="O1"/>
      <c r="Q1" s="57" t="s">
        <v>322</v>
      </c>
      <c r="R1" t="s">
        <v>248</v>
      </c>
      <c r="S1" s="3"/>
      <c r="Y1"/>
      <c r="AB1"/>
    </row>
    <row r="2" spans="1:28" x14ac:dyDescent="0.25">
      <c r="A2" t="s">
        <v>171</v>
      </c>
      <c r="B2" t="s">
        <v>0</v>
      </c>
      <c r="C2" t="s">
        <v>386</v>
      </c>
      <c r="D2" t="s">
        <v>5</v>
      </c>
      <c r="E2" t="s">
        <v>180</v>
      </c>
      <c r="F2" t="s">
        <v>249</v>
      </c>
      <c r="G2" s="54" t="s">
        <v>320</v>
      </c>
      <c r="H2" s="55" t="s">
        <v>93</v>
      </c>
      <c r="I2" t="s">
        <v>242</v>
      </c>
      <c r="J2" t="s">
        <v>243</v>
      </c>
      <c r="K2" s="51" t="s">
        <v>397</v>
      </c>
      <c r="L2" s="51" t="s">
        <v>344</v>
      </c>
      <c r="M2" s="51" t="s">
        <v>343</v>
      </c>
      <c r="N2" t="s">
        <v>274</v>
      </c>
      <c r="O2" t="s">
        <v>250</v>
      </c>
      <c r="P2" t="s">
        <v>252</v>
      </c>
      <c r="Q2" s="57" t="s">
        <v>189</v>
      </c>
      <c r="R2" t="s">
        <v>274</v>
      </c>
      <c r="S2" s="3" t="s">
        <v>250</v>
      </c>
      <c r="T2" t="s">
        <v>13</v>
      </c>
      <c r="Y2"/>
      <c r="AB2"/>
    </row>
    <row r="3" spans="1:28" x14ac:dyDescent="0.25">
      <c r="A3" t="s">
        <v>200</v>
      </c>
      <c r="B3" t="s">
        <v>18</v>
      </c>
      <c r="C3" t="s">
        <v>18</v>
      </c>
      <c r="D3" t="s">
        <v>3</v>
      </c>
      <c r="E3" t="s">
        <v>230</v>
      </c>
      <c r="F3">
        <v>1</v>
      </c>
      <c r="G3" s="56">
        <f>'BASIS - Accessiblity of plans'!P3</f>
        <v>7.7294685990338161E-2</v>
      </c>
      <c r="H3" s="56">
        <f>'BASIS - Accessiblity of plans'!I3</f>
        <v>1</v>
      </c>
      <c r="I3">
        <v>1400</v>
      </c>
      <c r="J3" s="6">
        <f>I3*1.25</f>
        <v>1750</v>
      </c>
      <c r="K3" s="52"/>
      <c r="L3" s="52">
        <f>K3/100*J3</f>
        <v>0</v>
      </c>
      <c r="M3" s="52">
        <v>0</v>
      </c>
      <c r="N3">
        <f>L3*(100-M3)/100</f>
        <v>0</v>
      </c>
      <c r="O3">
        <f>L3*M3/100</f>
        <v>0</v>
      </c>
      <c r="P3" t="str">
        <f t="shared" ref="P3:P21" si="0">IF(N3+O3&lt;J3+1,"TRUE","FALSE")</f>
        <v>TRUE</v>
      </c>
      <c r="Q3" s="57">
        <f>SUM('INPUT - Infra Projects'!AP3:AP40)</f>
        <v>0</v>
      </c>
      <c r="R3">
        <f>IF(F3=1,N3*('BASIS - Financial data'!E9-'BASIS - Financial data'!D9)*(1+Q3),N3*('BASIS - Financial data'!G9-'BASIS - Financial data'!F9))*(1+Q3)</f>
        <v>0</v>
      </c>
      <c r="S3" s="3">
        <f>IF($F3=1,$O3*('BASIS - Financial data'!$H9-'BASIS - Financial data'!$D9)*(1+Q3),$O3*('BASIS - Financial data'!$I9-'BASIS - Financial data'!$F9))*(1+Q3)</f>
        <v>0</v>
      </c>
      <c r="T3">
        <f>R3+S3</f>
        <v>0</v>
      </c>
      <c r="Y3"/>
      <c r="AB3"/>
    </row>
    <row r="4" spans="1:28" x14ac:dyDescent="0.25">
      <c r="A4" t="s">
        <v>204</v>
      </c>
      <c r="B4" t="s">
        <v>21</v>
      </c>
      <c r="C4" t="s">
        <v>21</v>
      </c>
      <c r="D4" t="s">
        <v>4</v>
      </c>
      <c r="E4" t="s">
        <v>203</v>
      </c>
      <c r="F4">
        <v>0</v>
      </c>
      <c r="G4" s="56">
        <f>'BASIS - Accessiblity of plans'!P4</f>
        <v>7.0454545454545464E-2</v>
      </c>
      <c r="H4" s="56">
        <f>'BASIS - Accessiblity of plans'!I4</f>
        <v>1</v>
      </c>
      <c r="I4">
        <v>1200</v>
      </c>
      <c r="J4" s="6">
        <f t="shared" ref="J4:J21" si="1">I4*1.25</f>
        <v>1500</v>
      </c>
      <c r="K4" s="52"/>
      <c r="L4" s="52">
        <f t="shared" ref="L4:L21" si="2">K4/100*J4</f>
        <v>0</v>
      </c>
      <c r="M4" s="52">
        <v>0</v>
      </c>
      <c r="N4">
        <f t="shared" ref="N4:N21" si="3">L4*(100-M4)/100</f>
        <v>0</v>
      </c>
      <c r="O4">
        <f t="shared" ref="O4:O21" si="4">L4*M4/100</f>
        <v>0</v>
      </c>
      <c r="P4" t="str">
        <f t="shared" si="0"/>
        <v>TRUE</v>
      </c>
      <c r="Q4" s="57">
        <f>SUM('INPUT - Infra Projects'!AQ3:AQ40)</f>
        <v>0</v>
      </c>
      <c r="R4">
        <f>IF(F4=1,N4*('BASIS - Financial data'!E10-'BASIS - Financial data'!D10)*(1+Q4),N4*('BASIS - Financial data'!G10-'BASIS - Financial data'!F10))*(1+Q4)</f>
        <v>0</v>
      </c>
      <c r="S4" s="3">
        <f>IF($F4=1,$O4*('BASIS - Financial data'!$H10-'BASIS - Financial data'!$D10)*(1+Q4),$O4*('BASIS - Financial data'!$I10-'BASIS - Financial data'!$F10))*(1+Q4)</f>
        <v>0</v>
      </c>
      <c r="T4">
        <f t="shared" ref="T4:T21" si="5">R4+S4</f>
        <v>0</v>
      </c>
      <c r="Y4"/>
      <c r="AB4"/>
    </row>
    <row r="5" spans="1:28" s="3" customFormat="1" x14ac:dyDescent="0.25">
      <c r="A5" s="3" t="s">
        <v>205</v>
      </c>
      <c r="B5" s="3" t="s">
        <v>22</v>
      </c>
      <c r="C5" s="3" t="s">
        <v>22</v>
      </c>
      <c r="D5" s="3" t="s">
        <v>4</v>
      </c>
      <c r="E5" s="3" t="s">
        <v>203</v>
      </c>
      <c r="F5" s="3">
        <v>0</v>
      </c>
      <c r="G5" s="56">
        <f>'BASIS - Accessiblity of plans'!P5</f>
        <v>9.6428571428571419E-2</v>
      </c>
      <c r="H5" s="56">
        <f>'BASIS - Accessiblity of plans'!I5</f>
        <v>1</v>
      </c>
      <c r="I5" s="3">
        <v>1200</v>
      </c>
      <c r="J5" s="34">
        <f>I5*1.25</f>
        <v>1500</v>
      </c>
      <c r="K5" s="52"/>
      <c r="L5" s="52">
        <f t="shared" si="2"/>
        <v>0</v>
      </c>
      <c r="M5" s="52">
        <v>0</v>
      </c>
      <c r="N5">
        <f t="shared" si="3"/>
        <v>0</v>
      </c>
      <c r="O5">
        <f t="shared" si="4"/>
        <v>0</v>
      </c>
      <c r="P5" t="str">
        <f t="shared" si="0"/>
        <v>TRUE</v>
      </c>
      <c r="Q5" s="57">
        <f>SUM('INPUT - Infra Projects'!AQ3:AQ40)</f>
        <v>0</v>
      </c>
      <c r="R5" s="3">
        <f>IF(F5=1,N5*('BASIS - Financial data'!E10-'BASIS - Financial data'!D10)*(1+Q5),N5*('BASIS - Financial data'!G10-'BASIS - Financial data'!F10))*(1+Q5)</f>
        <v>0</v>
      </c>
      <c r="S5" s="3">
        <f>IF($F5=1,$O5*('BASIS - Financial data'!$H10-'BASIS - Financial data'!$D10)*(1+Q5),$O5*('BASIS - Financial data'!$I10-'BASIS - Financial data'!$F10))*(1+Q5)</f>
        <v>0</v>
      </c>
      <c r="T5">
        <f t="shared" si="5"/>
        <v>0</v>
      </c>
    </row>
    <row r="6" spans="1:28" x14ac:dyDescent="0.25">
      <c r="A6" t="s">
        <v>206</v>
      </c>
      <c r="B6" t="s">
        <v>23</v>
      </c>
      <c r="C6" t="s">
        <v>23</v>
      </c>
      <c r="D6" t="s">
        <v>4</v>
      </c>
      <c r="E6" t="s">
        <v>203</v>
      </c>
      <c r="F6">
        <v>0</v>
      </c>
      <c r="G6" s="56">
        <f>'BASIS - Accessiblity of plans'!P6</f>
        <v>0.10084033613445378</v>
      </c>
      <c r="H6" s="56">
        <f>'BASIS - Accessiblity of plans'!I6</f>
        <v>0.2</v>
      </c>
      <c r="I6">
        <v>690</v>
      </c>
      <c r="J6" s="6">
        <f t="shared" si="1"/>
        <v>862.5</v>
      </c>
      <c r="K6" s="52"/>
      <c r="L6" s="52">
        <f t="shared" si="2"/>
        <v>0</v>
      </c>
      <c r="M6" s="52">
        <v>0</v>
      </c>
      <c r="N6">
        <f t="shared" si="3"/>
        <v>0</v>
      </c>
      <c r="O6">
        <f t="shared" si="4"/>
        <v>0</v>
      </c>
      <c r="P6" t="str">
        <f t="shared" si="0"/>
        <v>TRUE</v>
      </c>
      <c r="Q6" s="57">
        <f>SUM('INPUT - Infra Projects'!AQ3:AQ40)</f>
        <v>0</v>
      </c>
      <c r="R6" s="3">
        <f>IF(F6=1,N6*('BASIS - Financial data'!E10-'BASIS - Financial data'!D10)*(1+Q6),N6*('BASIS - Financial data'!G10-'BASIS - Financial data'!F10))*(1+Q6)</f>
        <v>0</v>
      </c>
      <c r="S6" s="3">
        <f>IF($F6=1,$O6*('BASIS - Financial data'!$H10-'BASIS - Financial data'!$D10)*(1+Q6),$O6*('BASIS - Financial data'!$I10-'BASIS - Financial data'!$F10))*(1+Q6)</f>
        <v>0</v>
      </c>
      <c r="T6">
        <f t="shared" si="5"/>
        <v>0</v>
      </c>
      <c r="Y6"/>
      <c r="AB6"/>
    </row>
    <row r="7" spans="1:28" x14ac:dyDescent="0.25">
      <c r="A7" t="s">
        <v>207</v>
      </c>
      <c r="B7" t="s">
        <v>24</v>
      </c>
      <c r="C7" t="s">
        <v>387</v>
      </c>
      <c r="D7" t="s">
        <v>4</v>
      </c>
      <c r="E7" t="s">
        <v>203</v>
      </c>
      <c r="F7">
        <v>1</v>
      </c>
      <c r="G7" s="56">
        <f>'BASIS - Accessiblity of plans'!P7</f>
        <v>0.10714285714285714</v>
      </c>
      <c r="H7" s="56">
        <f>'BASIS - Accessiblity of plans'!I7</f>
        <v>0.33333333333333331</v>
      </c>
      <c r="I7">
        <v>300</v>
      </c>
      <c r="J7" s="6">
        <f t="shared" si="1"/>
        <v>375</v>
      </c>
      <c r="K7" s="52"/>
      <c r="L7" s="52">
        <f t="shared" si="2"/>
        <v>0</v>
      </c>
      <c r="M7" s="52">
        <v>0</v>
      </c>
      <c r="N7">
        <f t="shared" si="3"/>
        <v>0</v>
      </c>
      <c r="O7">
        <f t="shared" si="4"/>
        <v>0</v>
      </c>
      <c r="P7" t="str">
        <f t="shared" si="0"/>
        <v>TRUE</v>
      </c>
      <c r="Q7" s="57">
        <f>SUM('INPUT - Infra Projects'!AQ3:AQ40)</f>
        <v>0</v>
      </c>
      <c r="R7">
        <f>IF(F7=1,N7*('BASIS - Financial data'!E10-'BASIS - Financial data'!D10)*(1+Q7),N7*('BASIS - Financial data'!G10-'BASIS - Financial data'!F10))*(1+Q7)</f>
        <v>0</v>
      </c>
      <c r="S7" s="3">
        <f>IF($F7=1,$O7*('BASIS - Financial data'!$H10-'BASIS - Financial data'!$D10)*(1+Q7),$O7*('BASIS - Financial data'!$I10-'BASIS - Financial data'!$F10))*(1+Q7)</f>
        <v>0</v>
      </c>
      <c r="T7">
        <f t="shared" si="5"/>
        <v>0</v>
      </c>
      <c r="Y7"/>
      <c r="AB7"/>
    </row>
    <row r="8" spans="1:28" x14ac:dyDescent="0.25">
      <c r="A8" t="s">
        <v>208</v>
      </c>
      <c r="B8" t="s">
        <v>25</v>
      </c>
      <c r="C8" t="s">
        <v>25</v>
      </c>
      <c r="D8" t="s">
        <v>4</v>
      </c>
      <c r="E8" t="s">
        <v>203</v>
      </c>
      <c r="F8">
        <v>0</v>
      </c>
      <c r="G8" s="56">
        <f>'BASIS - Accessiblity of plans'!P8</f>
        <v>0.10714285714285714</v>
      </c>
      <c r="H8" s="56">
        <f>'BASIS - Accessiblity of plans'!I8</f>
        <v>0.33333333333333331</v>
      </c>
      <c r="I8">
        <v>300</v>
      </c>
      <c r="J8" s="6">
        <f t="shared" si="1"/>
        <v>375</v>
      </c>
      <c r="K8" s="52"/>
      <c r="L8" s="52">
        <f t="shared" si="2"/>
        <v>0</v>
      </c>
      <c r="M8" s="52">
        <v>0</v>
      </c>
      <c r="N8">
        <f t="shared" si="3"/>
        <v>0</v>
      </c>
      <c r="O8">
        <f t="shared" si="4"/>
        <v>0</v>
      </c>
      <c r="P8" t="str">
        <f t="shared" si="0"/>
        <v>TRUE</v>
      </c>
      <c r="Q8" s="57">
        <f>SUM('INPUT - Infra Projects'!AQ3:AQ40)</f>
        <v>0</v>
      </c>
      <c r="R8">
        <f>IF(F8=1,N8*('BASIS - Financial data'!E10-'BASIS - Financial data'!D10)*(1+Q8),N8*('BASIS - Financial data'!G10-'BASIS - Financial data'!F10))*(1+Q8)</f>
        <v>0</v>
      </c>
      <c r="S8" s="3">
        <f>IF($F8=1,$O8*('BASIS - Financial data'!$H10-'BASIS - Financial data'!$D10)*(1+Q8),$O8*('BASIS - Financial data'!$I10-'BASIS - Financial data'!$F10))*(1+Q8)</f>
        <v>0</v>
      </c>
      <c r="T8">
        <f t="shared" si="5"/>
        <v>0</v>
      </c>
      <c r="Y8"/>
      <c r="AB8"/>
    </row>
    <row r="9" spans="1:28" x14ac:dyDescent="0.25">
      <c r="A9" t="s">
        <v>209</v>
      </c>
      <c r="B9" t="s">
        <v>11</v>
      </c>
      <c r="C9" t="s">
        <v>11</v>
      </c>
      <c r="D9" t="s">
        <v>39</v>
      </c>
      <c r="E9" t="s">
        <v>231</v>
      </c>
      <c r="F9">
        <v>0</v>
      </c>
      <c r="G9" s="56">
        <f>'BASIS - Accessiblity of plans'!P9</f>
        <v>3.1676413255360622E-2</v>
      </c>
      <c r="H9" s="56">
        <f>'BASIS - Accessiblity of plans'!I9</f>
        <v>0.33333333333333331</v>
      </c>
      <c r="I9">
        <v>740</v>
      </c>
      <c r="J9" s="6">
        <f t="shared" si="1"/>
        <v>925</v>
      </c>
      <c r="K9" s="52"/>
      <c r="L9" s="52">
        <f t="shared" si="2"/>
        <v>0</v>
      </c>
      <c r="M9" s="52">
        <v>0</v>
      </c>
      <c r="N9">
        <f t="shared" si="3"/>
        <v>0</v>
      </c>
      <c r="O9">
        <f t="shared" si="4"/>
        <v>0</v>
      </c>
      <c r="P9" t="str">
        <f t="shared" si="0"/>
        <v>TRUE</v>
      </c>
      <c r="Q9" s="57">
        <f>SUM('INPUT - Infra Projects'!AO3:AO40)</f>
        <v>0</v>
      </c>
      <c r="R9">
        <f>IF(F9=1,N9*('BASIS - Financial data'!E8-'BASIS - Financial data'!D8)*(1+Q9),N9*('BASIS - Financial data'!G8-'BASIS - Financial data'!F8))*(1+Q9)</f>
        <v>0</v>
      </c>
      <c r="S9" s="3">
        <f>IF($F9=1,$O9*('BASIS - Financial data'!$H8-'BASIS - Financial data'!$D8)*(1+Q9),$O9*('BASIS - Financial data'!$I8-'BASIS - Financial data'!$F8))*(1+Q9)</f>
        <v>0</v>
      </c>
      <c r="T9">
        <f t="shared" si="5"/>
        <v>0</v>
      </c>
      <c r="Y9"/>
      <c r="AB9"/>
    </row>
    <row r="10" spans="1:28" x14ac:dyDescent="0.25">
      <c r="A10" t="s">
        <v>211</v>
      </c>
      <c r="B10" t="s">
        <v>17</v>
      </c>
      <c r="C10" t="s">
        <v>17</v>
      </c>
      <c r="D10" t="s">
        <v>39</v>
      </c>
      <c r="E10" s="3" t="s">
        <v>231</v>
      </c>
      <c r="F10" s="3">
        <v>1</v>
      </c>
      <c r="G10" s="56">
        <f>'BASIS - Accessiblity of plans'!P10</f>
        <v>2.8294573643410852E-2</v>
      </c>
      <c r="H10" s="56">
        <f>'BASIS - Accessiblity of plans'!I10</f>
        <v>0.14285714285714285</v>
      </c>
      <c r="I10">
        <v>483</v>
      </c>
      <c r="J10" s="6">
        <f t="shared" si="1"/>
        <v>603.75</v>
      </c>
      <c r="K10" s="52"/>
      <c r="L10" s="52">
        <f t="shared" si="2"/>
        <v>0</v>
      </c>
      <c r="M10" s="52">
        <v>0</v>
      </c>
      <c r="N10">
        <f t="shared" si="3"/>
        <v>0</v>
      </c>
      <c r="O10">
        <f t="shared" si="4"/>
        <v>0</v>
      </c>
      <c r="P10" t="str">
        <f t="shared" si="0"/>
        <v>TRUE</v>
      </c>
      <c r="Q10" s="57">
        <f>SUM('INPUT - Infra Projects'!AO3:AO40)</f>
        <v>0</v>
      </c>
      <c r="R10">
        <f>IF(F10=1,N10*('BASIS - Financial data'!E8-'BASIS - Financial data'!D8)*(1+Q10),N10*('BASIS - Financial data'!G8-'BASIS - Financial data'!F8))*(1+Q10)</f>
        <v>0</v>
      </c>
      <c r="S10" s="3">
        <f>IF($F10=1,$O10*('BASIS - Financial data'!$H8-'BASIS - Financial data'!$D8)*(1+Q10),$O10*('BASIS - Financial data'!$I8-'BASIS - Financial data'!$F8))*(1+Q10)</f>
        <v>0</v>
      </c>
      <c r="T10">
        <f t="shared" si="5"/>
        <v>0</v>
      </c>
      <c r="W10" s="3"/>
      <c r="Y10"/>
      <c r="Z10" s="3"/>
      <c r="AB10"/>
    </row>
    <row r="11" spans="1:28" x14ac:dyDescent="0.25">
      <c r="A11" t="s">
        <v>212</v>
      </c>
      <c r="B11" t="s">
        <v>27</v>
      </c>
      <c r="C11" t="s">
        <v>27</v>
      </c>
      <c r="D11" t="s">
        <v>1</v>
      </c>
      <c r="E11" s="3" t="s">
        <v>201</v>
      </c>
      <c r="F11" s="3">
        <v>1</v>
      </c>
      <c r="G11" s="56">
        <f>'BASIS - Accessiblity of plans'!P11</f>
        <v>5.333333333333333E-2</v>
      </c>
      <c r="H11" s="56">
        <f>'BASIS - Accessiblity of plans'!I11</f>
        <v>0.5</v>
      </c>
      <c r="I11">
        <v>8500</v>
      </c>
      <c r="J11" s="6">
        <f t="shared" si="1"/>
        <v>10625</v>
      </c>
      <c r="K11" s="52"/>
      <c r="L11" s="52">
        <f t="shared" si="2"/>
        <v>0</v>
      </c>
      <c r="M11" s="52">
        <v>0</v>
      </c>
      <c r="N11">
        <f t="shared" si="3"/>
        <v>0</v>
      </c>
      <c r="O11">
        <f t="shared" si="4"/>
        <v>0</v>
      </c>
      <c r="P11" t="str">
        <f t="shared" si="0"/>
        <v>TRUE</v>
      </c>
      <c r="Q11" s="57">
        <f>SUM('INPUT - Infra Projects'!AR3:AR40)</f>
        <v>0</v>
      </c>
      <c r="R11">
        <f>IF(F11=1,N11*('BASIS - Financial data'!E11-'BASIS - Financial data'!D11)*(1+Q11),N11*('BASIS - Financial data'!G11-'BASIS - Financial data'!F11))*(1+Q11)</f>
        <v>0</v>
      </c>
      <c r="S11" s="3">
        <f>IF($F11=1,$O11*('BASIS - Financial data'!$H$11-'BASIS - Financial data'!$D$11)*(1+Q11),$O11*('BASIS - Financial data'!$I$11-'BASIS - Financial data'!$F$11))*(1+Q11)</f>
        <v>0</v>
      </c>
      <c r="T11">
        <f t="shared" si="5"/>
        <v>0</v>
      </c>
      <c r="W11" s="3"/>
      <c r="X11" s="3"/>
      <c r="Y11"/>
      <c r="Z11" s="3"/>
      <c r="AB11"/>
    </row>
    <row r="12" spans="1:28" x14ac:dyDescent="0.25">
      <c r="A12" t="s">
        <v>213</v>
      </c>
      <c r="B12" t="s">
        <v>28</v>
      </c>
      <c r="C12" t="s">
        <v>28</v>
      </c>
      <c r="D12" t="s">
        <v>1</v>
      </c>
      <c r="E12" s="3" t="s">
        <v>201</v>
      </c>
      <c r="F12" s="3">
        <v>1</v>
      </c>
      <c r="G12" s="56">
        <f>'BASIS - Accessiblity of plans'!P12</f>
        <v>9.375E-2</v>
      </c>
      <c r="H12" s="56">
        <f>'BASIS - Accessiblity of plans'!I12</f>
        <v>0.2</v>
      </c>
      <c r="I12">
        <v>1000</v>
      </c>
      <c r="J12" s="6">
        <f t="shared" si="1"/>
        <v>1250</v>
      </c>
      <c r="K12" s="52"/>
      <c r="L12" s="52">
        <f t="shared" si="2"/>
        <v>0</v>
      </c>
      <c r="M12" s="52">
        <v>0</v>
      </c>
      <c r="N12">
        <f t="shared" si="3"/>
        <v>0</v>
      </c>
      <c r="O12">
        <f t="shared" si="4"/>
        <v>0</v>
      </c>
      <c r="P12" t="str">
        <f t="shared" si="0"/>
        <v>TRUE</v>
      </c>
      <c r="Q12" s="57">
        <f>SUM('INPUT - Infra Projects'!AR3:AR40)</f>
        <v>0</v>
      </c>
      <c r="R12">
        <f>IF(F12=1,N12*('BASIS - Financial data'!E11-'BASIS - Financial data'!D11)*(1+Q12),N12*('BASIS - Financial data'!G11-'BASIS - Financial data'!F11))*(1+Q12)</f>
        <v>0</v>
      </c>
      <c r="S12" s="3">
        <f>IF($F12=1,$O12*('BASIS - Financial data'!$H$11-'BASIS - Financial data'!$D$11)*(1+Q12),$O12*('BASIS - Financial data'!$I$11-'BASIS - Financial data'!$F$11))*(1+Q12)</f>
        <v>0</v>
      </c>
      <c r="T12">
        <f t="shared" si="5"/>
        <v>0</v>
      </c>
      <c r="W12" s="3"/>
      <c r="X12" s="3"/>
      <c r="Z12" s="3"/>
      <c r="AB12"/>
    </row>
    <row r="13" spans="1:28" x14ac:dyDescent="0.25">
      <c r="A13" t="s">
        <v>214</v>
      </c>
      <c r="B13" t="s">
        <v>29</v>
      </c>
      <c r="C13" t="s">
        <v>29</v>
      </c>
      <c r="D13" t="s">
        <v>1</v>
      </c>
      <c r="E13" s="3" t="s">
        <v>229</v>
      </c>
      <c r="F13" s="3">
        <v>1</v>
      </c>
      <c r="G13" s="56">
        <f>'BASIS - Accessiblity of plans'!P13</f>
        <v>0.625</v>
      </c>
      <c r="H13" s="56">
        <f>'BASIS - Accessiblity of plans'!I13</f>
        <v>0.25</v>
      </c>
      <c r="I13">
        <v>3000</v>
      </c>
      <c r="J13" s="6">
        <f t="shared" si="1"/>
        <v>3750</v>
      </c>
      <c r="K13" s="52"/>
      <c r="L13" s="52">
        <f t="shared" si="2"/>
        <v>0</v>
      </c>
      <c r="M13" s="52">
        <v>0</v>
      </c>
      <c r="N13">
        <f t="shared" si="3"/>
        <v>0</v>
      </c>
      <c r="O13">
        <f t="shared" si="4"/>
        <v>0</v>
      </c>
      <c r="P13" t="str">
        <f t="shared" si="0"/>
        <v>TRUE</v>
      </c>
      <c r="Q13" s="57">
        <f>SUM('INPUT - Infra Projects'!AR3:AR40)</f>
        <v>0</v>
      </c>
      <c r="R13">
        <f>IF(F13=1,N13*('BASIS - Financial data'!E11-'BASIS - Financial data'!D11)*(1+Q13),N13*('BASIS - Financial data'!G11-'BASIS - Financial data'!F11))*(1+Q13)</f>
        <v>0</v>
      </c>
      <c r="S13" s="3">
        <f>IF($F13=1,$O13*('BASIS - Financial data'!$H$11-'BASIS - Financial data'!$D$11)*(1+Q13),$O13*('BASIS - Financial data'!$I$11-'BASIS - Financial data'!$F$11))*(1+Q13)</f>
        <v>0</v>
      </c>
      <c r="T13">
        <f t="shared" si="5"/>
        <v>0</v>
      </c>
      <c r="W13" s="3"/>
      <c r="X13" s="3"/>
      <c r="Z13" s="3"/>
      <c r="AB13"/>
    </row>
    <row r="14" spans="1:28" x14ac:dyDescent="0.25">
      <c r="A14" t="s">
        <v>216</v>
      </c>
      <c r="B14" t="s">
        <v>31</v>
      </c>
      <c r="C14" t="s">
        <v>31</v>
      </c>
      <c r="D14" t="s">
        <v>1</v>
      </c>
      <c r="E14" s="3" t="s">
        <v>229</v>
      </c>
      <c r="F14" s="3">
        <v>1</v>
      </c>
      <c r="G14" s="56">
        <f>'BASIS - Accessiblity of plans'!P14</f>
        <v>5.9523809523809521E-2</v>
      </c>
      <c r="H14" s="56">
        <f>'BASIS - Accessiblity of plans'!I14</f>
        <v>0.14285714285714285</v>
      </c>
      <c r="I14">
        <v>1000</v>
      </c>
      <c r="J14" s="6">
        <f t="shared" si="1"/>
        <v>1250</v>
      </c>
      <c r="K14" s="52"/>
      <c r="L14" s="52">
        <f t="shared" si="2"/>
        <v>0</v>
      </c>
      <c r="M14" s="52">
        <v>0</v>
      </c>
      <c r="N14">
        <f t="shared" si="3"/>
        <v>0</v>
      </c>
      <c r="O14">
        <f t="shared" si="4"/>
        <v>0</v>
      </c>
      <c r="P14" t="str">
        <f t="shared" si="0"/>
        <v>TRUE</v>
      </c>
      <c r="Q14" s="57">
        <f>SUM('INPUT - Infra Projects'!AR3:AR40)</f>
        <v>0</v>
      </c>
      <c r="R14">
        <f>IF(F14=1,N14*('BASIS - Financial data'!E11-'BASIS - Financial data'!D11)*(1+Q14),N14*('BASIS - Financial data'!G11-'BASIS - Financial data'!F11))*(1+Q14)</f>
        <v>0</v>
      </c>
      <c r="S14" s="3">
        <f>IF($F14=1,$O14*('BASIS - Financial data'!$H$11-'BASIS - Financial data'!$D$11)*(1+Q14),$O14*('BASIS - Financial data'!$I$11-'BASIS - Financial data'!$F$11))*(1+Q14)</f>
        <v>0</v>
      </c>
      <c r="T14">
        <f t="shared" si="5"/>
        <v>0</v>
      </c>
      <c r="W14" s="3"/>
      <c r="X14" s="3"/>
      <c r="Z14" s="3"/>
      <c r="AB14"/>
    </row>
    <row r="15" spans="1:28" x14ac:dyDescent="0.25">
      <c r="A15" s="72" t="s">
        <v>413</v>
      </c>
      <c r="B15" s="72" t="s">
        <v>402</v>
      </c>
      <c r="C15" s="72" t="s">
        <v>420</v>
      </c>
      <c r="D15" s="72" t="s">
        <v>1</v>
      </c>
      <c r="E15" s="53" t="s">
        <v>201</v>
      </c>
      <c r="F15" s="53">
        <v>1</v>
      </c>
      <c r="G15" s="79">
        <f>'BASIS - Accessiblity of plans'!P15</f>
        <v>0.23809523809523808</v>
      </c>
      <c r="H15" s="79">
        <f>'BASIS - Accessiblity of plans'!I15</f>
        <v>0.125</v>
      </c>
      <c r="I15" s="72">
        <v>740</v>
      </c>
      <c r="J15" s="74">
        <f>I15*1.25</f>
        <v>925</v>
      </c>
      <c r="K15" s="81"/>
      <c r="L15" s="81">
        <f>K15/100*J15</f>
        <v>0</v>
      </c>
      <c r="M15" s="81">
        <v>0</v>
      </c>
      <c r="N15" s="72">
        <f>L15*(100-M15)/100</f>
        <v>0</v>
      </c>
      <c r="O15" s="72">
        <f>L15*M15/100</f>
        <v>0</v>
      </c>
      <c r="P15" s="72" t="str">
        <f t="shared" si="0"/>
        <v>TRUE</v>
      </c>
      <c r="Q15" s="53">
        <f>SUM('INPUT - Infra Projects'!AR3:AR40)</f>
        <v>0</v>
      </c>
      <c r="R15" s="53">
        <f>IF(F15=1,N15*('BASIS - Financial data'!E11-'BASIS - Financial data'!D11)*(1+Q15),N15*('BASIS - Financial data'!G11-'BASIS - Financial data'!F11))*(1+Q15)</f>
        <v>0</v>
      </c>
      <c r="S15" s="53">
        <f>IF($F15=1,$O15*('BASIS - Financial data'!$H11-'BASIS - Financial data'!$D11)*(1+Q15),$O15*('BASIS - Financial data'!$I11-'BASIS - Financial data'!$F11))*(1+Q15)</f>
        <v>0</v>
      </c>
      <c r="T15" s="72">
        <f t="shared" si="5"/>
        <v>0</v>
      </c>
      <c r="X15" s="3"/>
      <c r="Y15"/>
      <c r="AA15" s="3"/>
      <c r="AB15"/>
    </row>
    <row r="16" spans="1:28" x14ac:dyDescent="0.25">
      <c r="A16" s="72" t="s">
        <v>414</v>
      </c>
      <c r="B16" s="72" t="s">
        <v>405</v>
      </c>
      <c r="C16" s="72" t="s">
        <v>398</v>
      </c>
      <c r="D16" s="72" t="s">
        <v>1</v>
      </c>
      <c r="E16" s="53" t="s">
        <v>201</v>
      </c>
      <c r="F16" s="53">
        <v>1</v>
      </c>
      <c r="G16" s="79">
        <f>'BASIS - Accessiblity of plans'!P16</f>
        <v>0.35</v>
      </c>
      <c r="H16" s="79">
        <f>'BASIS - Accessiblity of plans'!I16</f>
        <v>0.14285714285714285</v>
      </c>
      <c r="I16" s="72">
        <v>741</v>
      </c>
      <c r="J16" s="74">
        <f t="shared" si="1"/>
        <v>926.25</v>
      </c>
      <c r="K16" s="81"/>
      <c r="L16" s="81">
        <f t="shared" si="2"/>
        <v>0</v>
      </c>
      <c r="M16" s="81">
        <v>0</v>
      </c>
      <c r="N16" s="72">
        <f t="shared" si="3"/>
        <v>0</v>
      </c>
      <c r="O16" s="72">
        <f t="shared" si="4"/>
        <v>0</v>
      </c>
      <c r="P16" s="72" t="str">
        <f t="shared" si="0"/>
        <v>TRUE</v>
      </c>
      <c r="Q16" s="53">
        <f>SUM('INPUT - Infra Projects'!AR3:AR40)</f>
        <v>0</v>
      </c>
      <c r="R16" s="53">
        <f>IF(F16=1,N16*('BASIS - Financial data'!E11-'BASIS - Financial data'!D11)*(1+Q16),N16*('BASIS - Financial data'!G11-'BASIS - Financial data'!F11))*(1+Q16)</f>
        <v>0</v>
      </c>
      <c r="S16" s="53">
        <f>IF($F16=1,$O16*('BASIS - Financial data'!$H11-'BASIS - Financial data'!$D11)*(1+Q16),$O16*('BASIS - Financial data'!$I11-'BASIS - Financial data'!$F11))*(1+Q16)</f>
        <v>0</v>
      </c>
      <c r="T16" s="72">
        <f t="shared" si="5"/>
        <v>0</v>
      </c>
    </row>
    <row r="17" spans="1:28" x14ac:dyDescent="0.25">
      <c r="A17" s="53" t="s">
        <v>415</v>
      </c>
      <c r="B17" s="72" t="s">
        <v>406</v>
      </c>
      <c r="C17" s="72" t="s">
        <v>421</v>
      </c>
      <c r="D17" s="72" t="s">
        <v>1</v>
      </c>
      <c r="E17" s="53" t="s">
        <v>201</v>
      </c>
      <c r="F17" s="53">
        <v>1</v>
      </c>
      <c r="G17" s="79">
        <f>'BASIS - Accessiblity of plans'!P17</f>
        <v>0.19642857142857142</v>
      </c>
      <c r="H17" s="79">
        <f>'BASIS - Accessiblity of plans'!I17</f>
        <v>0.1111111111111111</v>
      </c>
      <c r="I17" s="72">
        <v>694</v>
      </c>
      <c r="J17" s="80">
        <f>I17*1.25</f>
        <v>867.5</v>
      </c>
      <c r="K17" s="81"/>
      <c r="L17" s="81">
        <f t="shared" si="2"/>
        <v>0</v>
      </c>
      <c r="M17" s="81">
        <v>0</v>
      </c>
      <c r="N17" s="72">
        <f t="shared" si="3"/>
        <v>0</v>
      </c>
      <c r="O17" s="72">
        <f t="shared" si="4"/>
        <v>0</v>
      </c>
      <c r="P17" s="72" t="str">
        <f t="shared" si="0"/>
        <v>TRUE</v>
      </c>
      <c r="Q17" s="53">
        <f>SUM('INPUT - Infra Projects'!AR3:AR40)</f>
        <v>0</v>
      </c>
      <c r="R17" s="72">
        <f>IF(F17=1,N17*('BASIS - Financial data'!E11-'BASIS - Financial data'!D11)*(1+Q17),N17*('BASIS - Financial data'!G11-'BASIS - Financial data'!F11))*(1+Q17)</f>
        <v>0</v>
      </c>
      <c r="S17" s="53">
        <f>IF($F17=1,$O17*('BASIS - Financial data'!$H11-'BASIS - Financial data'!$D11)*(1+Q17),$O17*('BASIS - Financial data'!$I11-'BASIS - Financial data'!$F11))*(1+Q17)</f>
        <v>0</v>
      </c>
      <c r="T17" s="72">
        <f t="shared" si="5"/>
        <v>0</v>
      </c>
      <c r="X17" s="3"/>
      <c r="Y17"/>
      <c r="AA17" s="3"/>
      <c r="AB17"/>
    </row>
    <row r="18" spans="1:28" x14ac:dyDescent="0.25">
      <c r="A18" s="72" t="s">
        <v>416</v>
      </c>
      <c r="B18" s="72" t="s">
        <v>399</v>
      </c>
      <c r="C18" s="72" t="s">
        <v>399</v>
      </c>
      <c r="D18" s="72" t="s">
        <v>1</v>
      </c>
      <c r="E18" s="53" t="s">
        <v>201</v>
      </c>
      <c r="F18" s="53">
        <v>1</v>
      </c>
      <c r="G18" s="79">
        <f>'BASIS - Accessiblity of plans'!P18</f>
        <v>0.17045454545454547</v>
      </c>
      <c r="H18" s="79">
        <f>'BASIS - Accessiblity of plans'!I18</f>
        <v>0.125</v>
      </c>
      <c r="I18" s="72">
        <v>250</v>
      </c>
      <c r="J18" s="74">
        <f t="shared" si="1"/>
        <v>312.5</v>
      </c>
      <c r="K18" s="81"/>
      <c r="L18" s="81">
        <f t="shared" si="2"/>
        <v>0</v>
      </c>
      <c r="M18" s="81">
        <v>0</v>
      </c>
      <c r="N18" s="72">
        <f t="shared" si="3"/>
        <v>0</v>
      </c>
      <c r="O18" s="72">
        <f t="shared" si="4"/>
        <v>0</v>
      </c>
      <c r="P18" s="72" t="str">
        <f t="shared" si="0"/>
        <v>TRUE</v>
      </c>
      <c r="Q18" s="53">
        <f>SUM('INPUT - Infra Projects'!AR3:AR40)</f>
        <v>0</v>
      </c>
      <c r="R18" s="53">
        <f>IF(F18=1,N18*('BASIS - Financial data'!E11-'BASIS - Financial data'!D11)*(1+Q18),N18*('BASIS - Financial data'!G11-'BASIS - Financial data'!F11))*(1+Q18)</f>
        <v>0</v>
      </c>
      <c r="S18" s="53">
        <f>IF($F18=1,$O18*('BASIS - Financial data'!$H11-'BASIS - Financial data'!$D11)*(1+Q18),$O18*('BASIS - Financial data'!$I11-'BASIS - Financial data'!$F11))*(1+Q18)</f>
        <v>0</v>
      </c>
      <c r="T18" s="72">
        <f t="shared" si="5"/>
        <v>0</v>
      </c>
      <c r="X18" s="3"/>
      <c r="Y18"/>
      <c r="AA18" s="3"/>
      <c r="AB18"/>
    </row>
    <row r="19" spans="1:28" x14ac:dyDescent="0.25">
      <c r="A19" s="72" t="s">
        <v>417</v>
      </c>
      <c r="B19" s="72" t="s">
        <v>408</v>
      </c>
      <c r="C19" s="72" t="s">
        <v>408</v>
      </c>
      <c r="D19" s="72" t="s">
        <v>3</v>
      </c>
      <c r="E19" s="72" t="s">
        <v>230</v>
      </c>
      <c r="F19" s="53">
        <v>1</v>
      </c>
      <c r="G19" s="79">
        <f>'BASIS - Accessiblity of plans'!P19</f>
        <v>0.16666666666666666</v>
      </c>
      <c r="H19" s="79">
        <f>'BASIS - Accessiblity of plans'!I19</f>
        <v>0.16666666666666666</v>
      </c>
      <c r="I19" s="72">
        <v>800</v>
      </c>
      <c r="J19" s="74">
        <f t="shared" si="1"/>
        <v>1000</v>
      </c>
      <c r="K19" s="81"/>
      <c r="L19" s="81">
        <f t="shared" si="2"/>
        <v>0</v>
      </c>
      <c r="M19" s="81">
        <v>0</v>
      </c>
      <c r="N19" s="72">
        <f t="shared" si="3"/>
        <v>0</v>
      </c>
      <c r="O19" s="72">
        <f t="shared" si="4"/>
        <v>0</v>
      </c>
      <c r="P19" s="72" t="str">
        <f t="shared" si="0"/>
        <v>TRUE</v>
      </c>
      <c r="Q19" s="53">
        <f>SUM('INPUT - Infra Projects'!AP3:AP40)</f>
        <v>0</v>
      </c>
      <c r="R19" s="53">
        <f>IF(F19=1,N19*('BASIS - Financial data'!E9-'BASIS - Financial data'!D9)*(1+Q19),N19*('BASIS - Financial data'!G9-'BASIS - Financial data'!F9))*(1+Q19)</f>
        <v>0</v>
      </c>
      <c r="S19" s="53">
        <f>IF($F19=1,$O19*('BASIS - Financial data'!$H9-'BASIS - Financial data'!$D9)*(1+Q19),$O19*('BASIS - Financial data'!$I9-'BASIS - Financial data'!$F9))*(1+Q19)</f>
        <v>0</v>
      </c>
      <c r="T19" s="53">
        <f t="shared" si="5"/>
        <v>0</v>
      </c>
      <c r="X19" s="3"/>
      <c r="Y19"/>
      <c r="AA19" s="3"/>
      <c r="AB19"/>
    </row>
    <row r="20" spans="1:28" x14ac:dyDescent="0.25">
      <c r="A20" s="72" t="s">
        <v>418</v>
      </c>
      <c r="B20" s="72" t="s">
        <v>409</v>
      </c>
      <c r="C20" s="72" t="s">
        <v>409</v>
      </c>
      <c r="D20" s="72" t="s">
        <v>3</v>
      </c>
      <c r="E20" s="72" t="s">
        <v>230</v>
      </c>
      <c r="F20" s="53">
        <v>1</v>
      </c>
      <c r="G20" s="79">
        <f>'BASIS - Accessiblity of plans'!P20</f>
        <v>1</v>
      </c>
      <c r="H20" s="79">
        <f>'BASIS - Accessiblity of plans'!I20</f>
        <v>0.25</v>
      </c>
      <c r="I20" s="72">
        <v>200</v>
      </c>
      <c r="J20" s="74">
        <f t="shared" si="1"/>
        <v>250</v>
      </c>
      <c r="K20" s="81"/>
      <c r="L20" s="81">
        <f t="shared" si="2"/>
        <v>0</v>
      </c>
      <c r="M20" s="81">
        <v>0</v>
      </c>
      <c r="N20" s="72">
        <f t="shared" si="3"/>
        <v>0</v>
      </c>
      <c r="O20" s="72">
        <f t="shared" si="4"/>
        <v>0</v>
      </c>
      <c r="P20" s="72" t="str">
        <f t="shared" si="0"/>
        <v>TRUE</v>
      </c>
      <c r="Q20" s="53">
        <f>SUM('INPUT - Infra Projects'!AP3:AP40)</f>
        <v>0</v>
      </c>
      <c r="R20" s="53">
        <f>IF(F20=1,N20*('BASIS - Financial data'!E9-'BASIS - Financial data'!D9)*(1+Q20),N20*('BASIS - Financial data'!G9-'BASIS - Financial data'!F9))*(1+Q20)</f>
        <v>0</v>
      </c>
      <c r="S20" s="53">
        <f>IF($F20=1,$O20*('BASIS - Financial data'!$H9-'BASIS - Financial data'!$D9)*(1+Q20),$O20*('BASIS - Financial data'!$I9-'BASIS - Financial data'!$F9))*(1+Q20)</f>
        <v>0</v>
      </c>
      <c r="T20" s="53">
        <f t="shared" si="5"/>
        <v>0</v>
      </c>
      <c r="AB20"/>
    </row>
    <row r="21" spans="1:28" x14ac:dyDescent="0.25">
      <c r="A21" s="72" t="s">
        <v>419</v>
      </c>
      <c r="B21" s="72" t="s">
        <v>410</v>
      </c>
      <c r="C21" s="72" t="s">
        <v>410</v>
      </c>
      <c r="D21" s="72" t="s">
        <v>3</v>
      </c>
      <c r="E21" s="72" t="s">
        <v>230</v>
      </c>
      <c r="F21" s="53">
        <v>1</v>
      </c>
      <c r="G21" s="79">
        <f>'BASIS - Accessiblity of plans'!P21</f>
        <v>1</v>
      </c>
      <c r="H21" s="79">
        <f>'BASIS - Accessiblity of plans'!I21</f>
        <v>0.33333333333333331</v>
      </c>
      <c r="I21" s="72">
        <v>200</v>
      </c>
      <c r="J21" s="74">
        <f t="shared" si="1"/>
        <v>250</v>
      </c>
      <c r="K21" s="81"/>
      <c r="L21" s="81">
        <f t="shared" si="2"/>
        <v>0</v>
      </c>
      <c r="M21" s="81">
        <v>0</v>
      </c>
      <c r="N21" s="72">
        <f t="shared" si="3"/>
        <v>0</v>
      </c>
      <c r="O21" s="72">
        <f t="shared" si="4"/>
        <v>0</v>
      </c>
      <c r="P21" s="72" t="str">
        <f t="shared" si="0"/>
        <v>TRUE</v>
      </c>
      <c r="Q21" s="53">
        <f>SUM('INPUT - Infra Projects'!AP3:AP40)</f>
        <v>0</v>
      </c>
      <c r="R21" s="53">
        <f>IF(F21=1,N21*('BASIS - Financial data'!E9-'BASIS - Financial data'!D9)*(1+Q21),N21*('BASIS - Financial data'!G9-'BASIS - Financial data'!F9))*(1+Q21)</f>
        <v>0</v>
      </c>
      <c r="S21" s="53">
        <f>IF($F21=1,$O21*('BASIS - Financial data'!$H9-'BASIS - Financial data'!$D9)*(1+Q21),$O21*('BASIS - Financial data'!$I9-'BASIS - Financial data'!$F9))*(1+Q21)</f>
        <v>0</v>
      </c>
      <c r="T21" s="53">
        <f t="shared" si="5"/>
        <v>0</v>
      </c>
      <c r="AB21"/>
    </row>
    <row r="22" spans="1:28" x14ac:dyDescent="0.25">
      <c r="O22"/>
      <c r="W22" s="3"/>
      <c r="Y22"/>
      <c r="Z22" s="3"/>
      <c r="AB22"/>
    </row>
    <row r="23" spans="1:28" x14ac:dyDescent="0.25">
      <c r="O23"/>
      <c r="W23" s="3"/>
      <c r="Y23"/>
      <c r="Z23" s="3"/>
      <c r="AB23"/>
    </row>
    <row r="24" spans="1:28" x14ac:dyDescent="0.25">
      <c r="O24"/>
      <c r="W24" s="3"/>
      <c r="Y24"/>
      <c r="Z24" s="3"/>
      <c r="AB24"/>
    </row>
    <row r="25" spans="1:28" x14ac:dyDescent="0.25">
      <c r="B25" t="s">
        <v>459</v>
      </c>
      <c r="O25"/>
      <c r="W25" s="3"/>
      <c r="Y25"/>
      <c r="Z25" s="3"/>
      <c r="AB25"/>
    </row>
    <row r="26" spans="1:28" x14ac:dyDescent="0.25">
      <c r="B26" t="s">
        <v>422</v>
      </c>
      <c r="O26"/>
      <c r="W26" s="3"/>
      <c r="Y26"/>
      <c r="Z26" s="3"/>
      <c r="AB26"/>
    </row>
    <row r="27" spans="1:28" x14ac:dyDescent="0.25">
      <c r="O27"/>
      <c r="W27" s="3"/>
      <c r="Y27"/>
      <c r="Z27" s="3"/>
      <c r="AB27"/>
    </row>
    <row r="31" spans="1:28" x14ac:dyDescent="0.25">
      <c r="A31">
        <v>0</v>
      </c>
    </row>
    <row r="32" spans="1:28" x14ac:dyDescent="0.25">
      <c r="A32">
        <v>10</v>
      </c>
    </row>
    <row r="33" spans="1:1" x14ac:dyDescent="0.25">
      <c r="A33">
        <v>20</v>
      </c>
    </row>
    <row r="34" spans="1:1" x14ac:dyDescent="0.25">
      <c r="A34">
        <v>30</v>
      </c>
    </row>
    <row r="35" spans="1:1" x14ac:dyDescent="0.25">
      <c r="A35">
        <v>40</v>
      </c>
    </row>
    <row r="36" spans="1:1" x14ac:dyDescent="0.25">
      <c r="A36">
        <v>50</v>
      </c>
    </row>
    <row r="37" spans="1:1" x14ac:dyDescent="0.25">
      <c r="A37">
        <v>60</v>
      </c>
    </row>
    <row r="38" spans="1:1" x14ac:dyDescent="0.25">
      <c r="A38">
        <v>70</v>
      </c>
    </row>
    <row r="39" spans="1:1" x14ac:dyDescent="0.25">
      <c r="A39">
        <v>80</v>
      </c>
    </row>
    <row r="40" spans="1:1" x14ac:dyDescent="0.25">
      <c r="A40">
        <v>90</v>
      </c>
    </row>
    <row r="41" spans="1:1" x14ac:dyDescent="0.25">
      <c r="A41">
        <v>100</v>
      </c>
    </row>
  </sheetData>
  <dataValidations count="2">
    <dataValidation type="list" allowBlank="1" showInputMessage="1" showErrorMessage="1" sqref="M16:M21 M4:M14">
      <formula1>$A$31:$A$36</formula1>
    </dataValidation>
    <dataValidation type="list" allowBlank="1" showInputMessage="1" showErrorMessage="1" sqref="M3 M15 K3:K21">
      <formula1>$A$31:$A$41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BB45"/>
  <sheetViews>
    <sheetView tabSelected="1" zoomScale="85" zoomScaleNormal="85" workbookViewId="0">
      <pane xSplit="2" topLeftCell="C1" activePane="topRight" state="frozen"/>
      <selection activeCell="K8" sqref="K8"/>
      <selection pane="topRight" activeCell="M32" sqref="M32"/>
    </sheetView>
  </sheetViews>
  <sheetFormatPr defaultRowHeight="15" x14ac:dyDescent="0.25"/>
  <cols>
    <col min="2" max="2" width="68" customWidth="1"/>
    <col min="3" max="3" width="38.140625" customWidth="1"/>
    <col min="4" max="4" width="38.140625" style="72" customWidth="1"/>
    <col min="5" max="5" width="10.7109375" bestFit="1" customWidth="1"/>
    <col min="6" max="7" width="11.28515625" customWidth="1"/>
    <col min="8" max="8" width="20.140625" bestFit="1" customWidth="1"/>
    <col min="9" max="9" width="10.28515625" style="7" customWidth="1"/>
    <col min="10" max="10" width="10.28515625" style="17" customWidth="1"/>
    <col min="11" max="11" width="25.140625" customWidth="1"/>
    <col min="17" max="17" width="20.7109375" customWidth="1"/>
    <col min="18" max="18" width="7.5703125" style="42" bestFit="1" customWidth="1"/>
    <col min="19" max="25" width="10.28515625" style="46" customWidth="1"/>
    <col min="26" max="26" width="10.28515625" customWidth="1"/>
    <col min="28" max="28" width="13.42578125" customWidth="1"/>
    <col min="29" max="32" width="16.42578125" customWidth="1"/>
    <col min="33" max="33" width="13.42578125" customWidth="1"/>
    <col min="34" max="37" width="16.42578125" customWidth="1"/>
    <col min="41" max="41" width="15.85546875" bestFit="1" customWidth="1"/>
  </cols>
  <sheetData>
    <row r="1" spans="1:54" x14ac:dyDescent="0.25">
      <c r="A1" s="1" t="s">
        <v>171</v>
      </c>
      <c r="B1" s="65" t="s">
        <v>0</v>
      </c>
      <c r="C1" s="65" t="s">
        <v>349</v>
      </c>
      <c r="D1" s="77" t="s">
        <v>407</v>
      </c>
      <c r="E1" s="30" t="s">
        <v>194</v>
      </c>
      <c r="F1" s="66" t="s">
        <v>182</v>
      </c>
      <c r="G1" s="60"/>
      <c r="H1" s="60"/>
      <c r="I1" s="27" t="s">
        <v>181</v>
      </c>
      <c r="J1" s="43"/>
      <c r="K1" s="43"/>
      <c r="L1" s="43"/>
      <c r="M1" s="27" t="s">
        <v>180</v>
      </c>
      <c r="N1" s="27"/>
      <c r="O1" s="27"/>
      <c r="P1" s="27"/>
      <c r="Q1" s="27"/>
      <c r="R1" s="41" t="s">
        <v>237</v>
      </c>
      <c r="S1" s="40" t="s">
        <v>239</v>
      </c>
      <c r="T1" s="40"/>
      <c r="U1" s="40"/>
      <c r="V1" s="40"/>
      <c r="W1" s="40"/>
      <c r="X1" s="40"/>
      <c r="Y1" s="40"/>
      <c r="AB1" s="64" t="s">
        <v>179</v>
      </c>
      <c r="AC1" s="64"/>
      <c r="AD1" s="64"/>
      <c r="AE1" s="64"/>
      <c r="AF1" s="64"/>
      <c r="AG1" s="64" t="s">
        <v>178</v>
      </c>
      <c r="AH1" s="64"/>
      <c r="AI1" s="64"/>
      <c r="AJ1" s="64"/>
      <c r="AK1" s="64"/>
      <c r="AL1" s="1" t="s">
        <v>312</v>
      </c>
      <c r="AN1" s="26" t="s">
        <v>323</v>
      </c>
      <c r="AS1" t="s">
        <v>324</v>
      </c>
      <c r="AX1" t="s">
        <v>325</v>
      </c>
    </row>
    <row r="2" spans="1:54" x14ac:dyDescent="0.25">
      <c r="B2" s="65"/>
      <c r="C2" s="65"/>
      <c r="D2" s="77"/>
      <c r="E2" s="30"/>
      <c r="F2" s="26" t="s">
        <v>177</v>
      </c>
      <c r="G2" s="26" t="s">
        <v>35</v>
      </c>
      <c r="H2" s="26" t="s">
        <v>176</v>
      </c>
      <c r="I2" s="29" t="s">
        <v>175</v>
      </c>
      <c r="J2" s="28" t="s">
        <v>174</v>
      </c>
      <c r="K2" s="26" t="s">
        <v>173</v>
      </c>
      <c r="L2" s="26" t="s">
        <v>172</v>
      </c>
      <c r="M2" s="64" t="s">
        <v>233</v>
      </c>
      <c r="N2" s="64"/>
      <c r="O2" s="64"/>
      <c r="P2" s="64"/>
      <c r="Q2" s="26" t="s">
        <v>234</v>
      </c>
      <c r="R2" s="42" t="s">
        <v>238</v>
      </c>
      <c r="S2" s="44" t="s">
        <v>26</v>
      </c>
      <c r="T2" s="44" t="s">
        <v>39</v>
      </c>
      <c r="U2" s="44" t="s">
        <v>3</v>
      </c>
      <c r="V2" s="44" t="s">
        <v>4</v>
      </c>
      <c r="W2" s="44" t="s">
        <v>1</v>
      </c>
      <c r="X2" s="44" t="s">
        <v>115</v>
      </c>
      <c r="Y2" s="44" t="s">
        <v>79</v>
      </c>
      <c r="Z2" t="s">
        <v>240</v>
      </c>
      <c r="AA2" s="27" t="s">
        <v>35</v>
      </c>
      <c r="AB2" s="26" t="s">
        <v>170</v>
      </c>
      <c r="AC2" s="26" t="s">
        <v>169</v>
      </c>
      <c r="AD2" s="26" t="s">
        <v>168</v>
      </c>
      <c r="AE2" s="26" t="s">
        <v>167</v>
      </c>
      <c r="AF2" s="26" t="s">
        <v>166</v>
      </c>
      <c r="AG2" s="26" t="s">
        <v>170</v>
      </c>
      <c r="AH2" s="26" t="s">
        <v>169</v>
      </c>
      <c r="AI2" s="26" t="s">
        <v>168</v>
      </c>
      <c r="AJ2" s="26" t="s">
        <v>167</v>
      </c>
      <c r="AK2" s="26" t="s">
        <v>166</v>
      </c>
      <c r="AL2" s="26" t="s">
        <v>311</v>
      </c>
      <c r="AN2" s="26" t="s">
        <v>26</v>
      </c>
      <c r="AO2" s="26" t="s">
        <v>39</v>
      </c>
      <c r="AP2" s="26" t="s">
        <v>3</v>
      </c>
      <c r="AQ2" s="26" t="s">
        <v>4</v>
      </c>
      <c r="AR2" s="26" t="s">
        <v>1</v>
      </c>
      <c r="AS2" s="26" t="s">
        <v>26</v>
      </c>
      <c r="AT2" s="26" t="s">
        <v>39</v>
      </c>
      <c r="AU2" s="26" t="s">
        <v>3</v>
      </c>
      <c r="AV2" s="26" t="s">
        <v>4</v>
      </c>
      <c r="AW2" s="26" t="s">
        <v>1</v>
      </c>
      <c r="AX2" s="26" t="s">
        <v>26</v>
      </c>
      <c r="AY2" s="26" t="s">
        <v>39</v>
      </c>
      <c r="AZ2" s="26" t="s">
        <v>3</v>
      </c>
      <c r="BA2" s="26" t="s">
        <v>4</v>
      </c>
      <c r="BB2" s="26" t="s">
        <v>1</v>
      </c>
    </row>
    <row r="3" spans="1:54" x14ac:dyDescent="0.25">
      <c r="A3">
        <v>1</v>
      </c>
      <c r="B3" s="3" t="s">
        <v>165</v>
      </c>
      <c r="C3" s="3" t="s">
        <v>350</v>
      </c>
      <c r="D3" s="53" t="s">
        <v>423</v>
      </c>
      <c r="E3" s="3" t="s">
        <v>164</v>
      </c>
      <c r="F3" s="3" t="s">
        <v>159</v>
      </c>
      <c r="G3" s="3" t="s">
        <v>57</v>
      </c>
      <c r="H3" s="3" t="s">
        <v>163</v>
      </c>
      <c r="I3" s="23">
        <v>2</v>
      </c>
      <c r="J3" s="18" t="s">
        <v>63</v>
      </c>
      <c r="K3" s="3" t="s">
        <v>162</v>
      </c>
      <c r="L3" s="3">
        <v>1</v>
      </c>
      <c r="M3" s="3" t="s">
        <v>230</v>
      </c>
      <c r="O3" s="3"/>
      <c r="P3" s="3"/>
      <c r="R3" s="42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t="str">
        <f>IF(SUM(S3:Y3)=I3,"TRUE","FALSE")</f>
        <v>FALSE</v>
      </c>
      <c r="AA3" s="3" t="s">
        <v>336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1</v>
      </c>
      <c r="AH3" s="3">
        <v>0</v>
      </c>
      <c r="AI3" s="3">
        <v>1</v>
      </c>
      <c r="AJ3" s="3">
        <v>1</v>
      </c>
      <c r="AK3" s="3">
        <v>0</v>
      </c>
      <c r="AL3" s="3">
        <v>0.01</v>
      </c>
      <c r="AM3">
        <f>AL3*0.01</f>
        <v>1E-4</v>
      </c>
      <c r="AN3">
        <f>R3*AM3*(AB3+AG3)</f>
        <v>0</v>
      </c>
      <c r="AO3">
        <f>S3*$AM3*(AC3+AH3)</f>
        <v>0</v>
      </c>
      <c r="AP3">
        <f>T3*$AM3*(AD3+AI3)</f>
        <v>0</v>
      </c>
      <c r="AQ3">
        <f>U3*$AM3*(AE3+AJ3)</f>
        <v>0</v>
      </c>
      <c r="AR3">
        <f>V3*$AM3*(AF3+AK3)</f>
        <v>0</v>
      </c>
      <c r="AS3">
        <f>$R3*AG3*$AM3</f>
        <v>0</v>
      </c>
      <c r="AT3">
        <f>$R3*AH3*$AM3</f>
        <v>0</v>
      </c>
      <c r="AU3">
        <f>$R3*AI3*$AM3</f>
        <v>0</v>
      </c>
      <c r="AV3">
        <f>$R3*AJ3*$AM3</f>
        <v>0</v>
      </c>
      <c r="AW3">
        <f>$R3*AK3*$AM3</f>
        <v>0</v>
      </c>
      <c r="AX3">
        <f>$R3*AB3*$AM3</f>
        <v>0</v>
      </c>
      <c r="AY3">
        <f>$R3*AC3*$AM3</f>
        <v>0</v>
      </c>
      <c r="AZ3">
        <f>$R3*AD3*$AM3</f>
        <v>0</v>
      </c>
      <c r="BA3">
        <f>$R3*AE3*$AM3</f>
        <v>0</v>
      </c>
      <c r="BB3">
        <f>$R3*AF3*$AM3</f>
        <v>0</v>
      </c>
    </row>
    <row r="4" spans="1:54" x14ac:dyDescent="0.25">
      <c r="A4">
        <v>2</v>
      </c>
      <c r="B4" s="3" t="s">
        <v>161</v>
      </c>
      <c r="C4" s="3" t="s">
        <v>351</v>
      </c>
      <c r="D4" s="53" t="s">
        <v>424</v>
      </c>
      <c r="E4" s="3" t="s">
        <v>160</v>
      </c>
      <c r="F4" s="3" t="s">
        <v>159</v>
      </c>
      <c r="G4" s="3" t="s">
        <v>57</v>
      </c>
      <c r="H4" s="3" t="s">
        <v>158</v>
      </c>
      <c r="I4" s="23">
        <v>35.700000000000003</v>
      </c>
      <c r="J4" s="18" t="s">
        <v>63</v>
      </c>
      <c r="K4" s="3" t="s">
        <v>157</v>
      </c>
      <c r="L4" s="3">
        <v>1</v>
      </c>
      <c r="M4" s="3" t="s">
        <v>203</v>
      </c>
      <c r="N4" s="3"/>
      <c r="O4" s="3"/>
      <c r="P4" s="3"/>
      <c r="R4" s="42">
        <v>0</v>
      </c>
      <c r="S4" s="45">
        <v>0</v>
      </c>
      <c r="T4" s="45">
        <v>0</v>
      </c>
      <c r="U4" s="45">
        <v>0</v>
      </c>
      <c r="V4" s="45">
        <v>0</v>
      </c>
      <c r="W4" s="45">
        <v>0</v>
      </c>
      <c r="X4" s="45">
        <v>0</v>
      </c>
      <c r="Y4" s="45">
        <v>0</v>
      </c>
      <c r="Z4" t="str">
        <f t="shared" ref="Z4:Z40" si="0">IF(SUM(S4:Y4)=I4,"TRUE","FALSE")</f>
        <v>FALSE</v>
      </c>
      <c r="AA4" s="3" t="s">
        <v>336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1</v>
      </c>
      <c r="AK4" s="3">
        <v>1</v>
      </c>
      <c r="AL4" s="3">
        <v>0.01</v>
      </c>
      <c r="AM4">
        <f t="shared" ref="AM4:AM40" si="1">AL4*0.01</f>
        <v>1E-4</v>
      </c>
      <c r="AN4">
        <f t="shared" ref="AN4:AN39" si="2">R4*AM4*(AB4+AG4)</f>
        <v>0</v>
      </c>
      <c r="AO4">
        <f t="shared" ref="AO4:AO40" si="3">S4*$AM4*(AC4+AH4)</f>
        <v>0</v>
      </c>
      <c r="AP4">
        <f t="shared" ref="AP4:AP40" si="4">T4*$AM4*(AD4+AI4)</f>
        <v>0</v>
      </c>
      <c r="AQ4">
        <f t="shared" ref="AQ4:AQ40" si="5">U4*$AM4*(AE4+AJ4)</f>
        <v>0</v>
      </c>
      <c r="AR4">
        <f t="shared" ref="AR4:AR40" si="6">V4*$AM4*(AF4+AK4)</f>
        <v>0</v>
      </c>
      <c r="AS4">
        <f t="shared" ref="AS4:AS40" si="7">$R4*AG4*$AM4</f>
        <v>0</v>
      </c>
      <c r="AT4">
        <f t="shared" ref="AT4:AT40" si="8">$R4*AH4*$AM4</f>
        <v>0</v>
      </c>
      <c r="AU4">
        <f t="shared" ref="AU4:AU40" si="9">$R4*AI4*$AM4</f>
        <v>0</v>
      </c>
      <c r="AV4">
        <f t="shared" ref="AV4:AV40" si="10">$R4*AJ4*$AM4</f>
        <v>0</v>
      </c>
      <c r="AW4">
        <f t="shared" ref="AW4:AW40" si="11">$R4*AK4*$AM4</f>
        <v>0</v>
      </c>
      <c r="AX4">
        <f t="shared" ref="AX4:AX40" si="12">$R4*AB4*$AM4</f>
        <v>0</v>
      </c>
      <c r="AY4">
        <f t="shared" ref="AY4:AY40" si="13">$R4*AC4*$AM4</f>
        <v>0</v>
      </c>
      <c r="AZ4">
        <f t="shared" ref="AZ4:AZ40" si="14">$R4*AD4*$AM4</f>
        <v>0</v>
      </c>
      <c r="BA4">
        <f t="shared" ref="BA4:BA40" si="15">$R4*AE4*$AM4</f>
        <v>0</v>
      </c>
      <c r="BB4">
        <f t="shared" ref="BB4:BB40" si="16">$R4*AF4*$AM4</f>
        <v>0</v>
      </c>
    </row>
    <row r="5" spans="1:54" x14ac:dyDescent="0.25">
      <c r="A5">
        <v>3</v>
      </c>
      <c r="B5" s="3" t="s">
        <v>156</v>
      </c>
      <c r="C5" s="3" t="s">
        <v>352</v>
      </c>
      <c r="D5" s="53" t="s">
        <v>425</v>
      </c>
      <c r="E5" s="3" t="s">
        <v>155</v>
      </c>
      <c r="F5" s="3" t="s">
        <v>154</v>
      </c>
      <c r="G5" s="3" t="s">
        <v>57</v>
      </c>
      <c r="H5" s="3" t="s">
        <v>83</v>
      </c>
      <c r="I5" s="84">
        <v>20</v>
      </c>
      <c r="J5" s="24" t="s">
        <v>63</v>
      </c>
      <c r="K5" s="3" t="s">
        <v>153</v>
      </c>
      <c r="L5" s="3">
        <v>1</v>
      </c>
      <c r="M5" s="3" t="s">
        <v>201</v>
      </c>
      <c r="N5" s="3"/>
      <c r="O5" s="3"/>
      <c r="P5" s="3"/>
      <c r="Q5" s="3" t="s">
        <v>202</v>
      </c>
      <c r="R5" s="42">
        <v>0</v>
      </c>
      <c r="S5" s="45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t="str">
        <f t="shared" si="0"/>
        <v>FALSE</v>
      </c>
      <c r="AA5" s="3" t="s">
        <v>61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1</v>
      </c>
      <c r="AH5" s="3">
        <v>0</v>
      </c>
      <c r="AI5" s="3">
        <v>0</v>
      </c>
      <c r="AJ5" s="3">
        <v>0</v>
      </c>
      <c r="AK5" s="3">
        <v>1</v>
      </c>
      <c r="AL5" s="3">
        <v>0.1</v>
      </c>
      <c r="AM5">
        <f t="shared" si="1"/>
        <v>1E-3</v>
      </c>
      <c r="AN5">
        <f t="shared" si="2"/>
        <v>0</v>
      </c>
      <c r="AO5">
        <f t="shared" si="3"/>
        <v>0</v>
      </c>
      <c r="AP5">
        <f t="shared" si="4"/>
        <v>0</v>
      </c>
      <c r="AQ5">
        <f t="shared" si="5"/>
        <v>0</v>
      </c>
      <c r="AR5">
        <f t="shared" si="6"/>
        <v>0</v>
      </c>
      <c r="AS5">
        <f t="shared" si="7"/>
        <v>0</v>
      </c>
      <c r="AT5">
        <f t="shared" si="8"/>
        <v>0</v>
      </c>
      <c r="AU5">
        <f t="shared" si="9"/>
        <v>0</v>
      </c>
      <c r="AV5">
        <f t="shared" si="10"/>
        <v>0</v>
      </c>
      <c r="AW5">
        <f t="shared" si="11"/>
        <v>0</v>
      </c>
      <c r="AX5">
        <f t="shared" si="12"/>
        <v>0</v>
      </c>
      <c r="AY5">
        <f t="shared" si="13"/>
        <v>0</v>
      </c>
      <c r="AZ5">
        <f t="shared" si="14"/>
        <v>0</v>
      </c>
      <c r="BA5">
        <f t="shared" si="15"/>
        <v>0</v>
      </c>
      <c r="BB5">
        <f t="shared" si="16"/>
        <v>0</v>
      </c>
    </row>
    <row r="6" spans="1:54" x14ac:dyDescent="0.25">
      <c r="A6">
        <v>4</v>
      </c>
      <c r="B6" s="3" t="s">
        <v>152</v>
      </c>
      <c r="C6" s="3" t="s">
        <v>353</v>
      </c>
      <c r="D6" s="53" t="s">
        <v>426</v>
      </c>
      <c r="E6" s="3" t="s">
        <v>151</v>
      </c>
      <c r="F6" s="3" t="s">
        <v>150</v>
      </c>
      <c r="G6" s="3" t="s">
        <v>57</v>
      </c>
      <c r="H6" s="3" t="s">
        <v>4</v>
      </c>
      <c r="I6" s="23">
        <v>33</v>
      </c>
      <c r="J6" s="18" t="s">
        <v>63</v>
      </c>
      <c r="K6" s="3" t="s">
        <v>149</v>
      </c>
      <c r="L6" s="3">
        <v>1</v>
      </c>
      <c r="M6" s="3" t="s">
        <v>203</v>
      </c>
      <c r="N6" s="3"/>
      <c r="O6" s="3"/>
      <c r="P6" s="3"/>
      <c r="Q6" s="3"/>
      <c r="R6" s="42">
        <v>0</v>
      </c>
      <c r="S6" s="45">
        <v>0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t="str">
        <f t="shared" si="0"/>
        <v>FALSE</v>
      </c>
      <c r="AA6" s="3" t="s">
        <v>61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1</v>
      </c>
      <c r="AK6" s="3">
        <v>0</v>
      </c>
      <c r="AL6" s="3">
        <v>0.02</v>
      </c>
      <c r="AM6">
        <f t="shared" si="1"/>
        <v>2.0000000000000001E-4</v>
      </c>
      <c r="AN6">
        <f t="shared" si="2"/>
        <v>0</v>
      </c>
      <c r="AO6">
        <f t="shared" si="3"/>
        <v>0</v>
      </c>
      <c r="AP6">
        <f t="shared" si="4"/>
        <v>0</v>
      </c>
      <c r="AQ6">
        <f t="shared" si="5"/>
        <v>0</v>
      </c>
      <c r="AR6">
        <f t="shared" si="6"/>
        <v>0</v>
      </c>
      <c r="AS6">
        <f t="shared" si="7"/>
        <v>0</v>
      </c>
      <c r="AT6">
        <f t="shared" si="8"/>
        <v>0</v>
      </c>
      <c r="AU6">
        <f t="shared" si="9"/>
        <v>0</v>
      </c>
      <c r="AV6">
        <f t="shared" si="10"/>
        <v>0</v>
      </c>
      <c r="AW6">
        <f t="shared" si="11"/>
        <v>0</v>
      </c>
      <c r="AX6">
        <f t="shared" si="12"/>
        <v>0</v>
      </c>
      <c r="AY6">
        <f t="shared" si="13"/>
        <v>0</v>
      </c>
      <c r="AZ6">
        <f t="shared" si="14"/>
        <v>0</v>
      </c>
      <c r="BA6">
        <f t="shared" si="15"/>
        <v>0</v>
      </c>
      <c r="BB6">
        <f t="shared" si="16"/>
        <v>0</v>
      </c>
    </row>
    <row r="7" spans="1:54" x14ac:dyDescent="0.25">
      <c r="A7">
        <v>5</v>
      </c>
      <c r="B7" s="3" t="s">
        <v>148</v>
      </c>
      <c r="C7" s="3" t="s">
        <v>354</v>
      </c>
      <c r="D7" s="53" t="s">
        <v>427</v>
      </c>
      <c r="E7" s="3" t="s">
        <v>147</v>
      </c>
      <c r="F7" s="3" t="s">
        <v>73</v>
      </c>
      <c r="G7" s="3" t="s">
        <v>57</v>
      </c>
      <c r="H7" s="3" t="s">
        <v>4</v>
      </c>
      <c r="I7" s="23">
        <v>21</v>
      </c>
      <c r="J7" s="18" t="s">
        <v>63</v>
      </c>
      <c r="K7" s="3" t="s">
        <v>146</v>
      </c>
      <c r="L7" s="3">
        <v>1</v>
      </c>
      <c r="M7" s="3" t="s">
        <v>231</v>
      </c>
      <c r="N7" s="3"/>
      <c r="O7" s="3"/>
      <c r="P7" s="3"/>
      <c r="Q7" s="3"/>
      <c r="R7" s="42">
        <v>0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t="str">
        <f t="shared" si="0"/>
        <v>FALSE</v>
      </c>
      <c r="AA7" s="3" t="s">
        <v>61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1</v>
      </c>
      <c r="AH7" s="3">
        <v>0</v>
      </c>
      <c r="AI7" s="3">
        <v>0</v>
      </c>
      <c r="AJ7" s="3">
        <v>1</v>
      </c>
      <c r="AK7" s="3">
        <v>0</v>
      </c>
      <c r="AL7" s="3">
        <v>0.05</v>
      </c>
      <c r="AM7">
        <f t="shared" si="1"/>
        <v>5.0000000000000001E-4</v>
      </c>
      <c r="AN7">
        <f t="shared" si="2"/>
        <v>0</v>
      </c>
      <c r="AO7">
        <f t="shared" si="3"/>
        <v>0</v>
      </c>
      <c r="AP7">
        <f t="shared" si="4"/>
        <v>0</v>
      </c>
      <c r="AQ7">
        <f t="shared" si="5"/>
        <v>0</v>
      </c>
      <c r="AR7">
        <f t="shared" si="6"/>
        <v>0</v>
      </c>
      <c r="AS7">
        <f t="shared" si="7"/>
        <v>0</v>
      </c>
      <c r="AT7">
        <f t="shared" si="8"/>
        <v>0</v>
      </c>
      <c r="AU7">
        <f t="shared" si="9"/>
        <v>0</v>
      </c>
      <c r="AV7">
        <f t="shared" si="10"/>
        <v>0</v>
      </c>
      <c r="AW7">
        <f t="shared" si="11"/>
        <v>0</v>
      </c>
      <c r="AX7">
        <f t="shared" si="12"/>
        <v>0</v>
      </c>
      <c r="AY7">
        <f t="shared" si="13"/>
        <v>0</v>
      </c>
      <c r="AZ7">
        <f t="shared" si="14"/>
        <v>0</v>
      </c>
      <c r="BA7">
        <f t="shared" si="15"/>
        <v>0</v>
      </c>
      <c r="BB7">
        <f t="shared" si="16"/>
        <v>0</v>
      </c>
    </row>
    <row r="8" spans="1:54" x14ac:dyDescent="0.25">
      <c r="A8">
        <v>6</v>
      </c>
      <c r="B8" s="3" t="s">
        <v>145</v>
      </c>
      <c r="C8" s="3" t="s">
        <v>355</v>
      </c>
      <c r="D8" s="53" t="s">
        <v>428</v>
      </c>
      <c r="E8" s="3" t="s">
        <v>144</v>
      </c>
      <c r="F8" s="3" t="s">
        <v>93</v>
      </c>
      <c r="G8" s="3" t="s">
        <v>57</v>
      </c>
      <c r="H8" s="3" t="s">
        <v>26</v>
      </c>
      <c r="I8" s="23">
        <v>116</v>
      </c>
      <c r="J8" s="18" t="s">
        <v>63</v>
      </c>
      <c r="K8" s="3" t="s">
        <v>62</v>
      </c>
      <c r="L8" s="3">
        <v>3</v>
      </c>
      <c r="M8" s="3" t="s">
        <v>231</v>
      </c>
      <c r="N8" s="3"/>
      <c r="O8" s="3"/>
      <c r="P8" s="3"/>
      <c r="Q8" s="3" t="s">
        <v>202</v>
      </c>
      <c r="R8" s="42">
        <v>0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t="str">
        <f t="shared" si="0"/>
        <v>FALSE</v>
      </c>
      <c r="AA8" s="3" t="s">
        <v>335</v>
      </c>
      <c r="AB8" s="3">
        <v>1</v>
      </c>
      <c r="AC8" s="3">
        <v>1</v>
      </c>
      <c r="AD8" s="3">
        <v>1</v>
      </c>
      <c r="AE8" s="3">
        <v>1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0.05</v>
      </c>
      <c r="AM8">
        <f t="shared" si="1"/>
        <v>5.0000000000000001E-4</v>
      </c>
      <c r="AN8">
        <f t="shared" si="2"/>
        <v>0</v>
      </c>
      <c r="AO8">
        <f t="shared" si="3"/>
        <v>0</v>
      </c>
      <c r="AP8">
        <f t="shared" si="4"/>
        <v>0</v>
      </c>
      <c r="AQ8">
        <f t="shared" si="5"/>
        <v>0</v>
      </c>
      <c r="AR8">
        <f t="shared" si="6"/>
        <v>0</v>
      </c>
      <c r="AS8">
        <f t="shared" si="7"/>
        <v>0</v>
      </c>
      <c r="AT8">
        <f t="shared" si="8"/>
        <v>0</v>
      </c>
      <c r="AU8">
        <f t="shared" si="9"/>
        <v>0</v>
      </c>
      <c r="AV8">
        <f t="shared" si="10"/>
        <v>0</v>
      </c>
      <c r="AW8">
        <f t="shared" si="11"/>
        <v>0</v>
      </c>
      <c r="AX8">
        <f t="shared" si="12"/>
        <v>0</v>
      </c>
      <c r="AY8">
        <f t="shared" si="13"/>
        <v>0</v>
      </c>
      <c r="AZ8">
        <f t="shared" si="14"/>
        <v>0</v>
      </c>
      <c r="BA8">
        <f t="shared" si="15"/>
        <v>0</v>
      </c>
      <c r="BB8">
        <f t="shared" si="16"/>
        <v>0</v>
      </c>
    </row>
    <row r="9" spans="1:54" x14ac:dyDescent="0.25">
      <c r="A9">
        <v>7</v>
      </c>
      <c r="B9" s="3" t="s">
        <v>195</v>
      </c>
      <c r="C9" s="3" t="s">
        <v>356</v>
      </c>
      <c r="D9" s="53" t="s">
        <v>430</v>
      </c>
      <c r="E9" s="3" t="s">
        <v>143</v>
      </c>
      <c r="F9" s="3" t="s">
        <v>93</v>
      </c>
      <c r="G9" s="3" t="s">
        <v>57</v>
      </c>
      <c r="H9" s="3" t="s">
        <v>196</v>
      </c>
      <c r="I9" s="23">
        <v>100</v>
      </c>
      <c r="J9" s="18" t="s">
        <v>63</v>
      </c>
      <c r="K9" s="3" t="s">
        <v>62</v>
      </c>
      <c r="L9" s="3">
        <v>3</v>
      </c>
      <c r="M9" s="3" t="s">
        <v>230</v>
      </c>
      <c r="N9" s="3"/>
      <c r="O9" s="3"/>
      <c r="P9" s="3"/>
      <c r="Q9" s="3" t="s">
        <v>202</v>
      </c>
      <c r="R9" s="42">
        <v>0</v>
      </c>
      <c r="S9" s="45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t="str">
        <f t="shared" si="0"/>
        <v>FALSE</v>
      </c>
      <c r="AA9" s="3" t="s">
        <v>335</v>
      </c>
      <c r="AB9" s="3">
        <v>0</v>
      </c>
      <c r="AC9" s="3">
        <v>0</v>
      </c>
      <c r="AD9" s="3">
        <v>1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0.05</v>
      </c>
      <c r="AM9">
        <f t="shared" si="1"/>
        <v>5.0000000000000001E-4</v>
      </c>
      <c r="AN9">
        <f t="shared" si="2"/>
        <v>0</v>
      </c>
      <c r="AO9">
        <f t="shared" si="3"/>
        <v>0</v>
      </c>
      <c r="AP9">
        <f t="shared" si="4"/>
        <v>0</v>
      </c>
      <c r="AQ9">
        <f t="shared" si="5"/>
        <v>0</v>
      </c>
      <c r="AR9">
        <f t="shared" si="6"/>
        <v>0</v>
      </c>
      <c r="AS9">
        <f t="shared" si="7"/>
        <v>0</v>
      </c>
      <c r="AT9">
        <f t="shared" si="8"/>
        <v>0</v>
      </c>
      <c r="AU9">
        <f t="shared" si="9"/>
        <v>0</v>
      </c>
      <c r="AV9">
        <f t="shared" si="10"/>
        <v>0</v>
      </c>
      <c r="AW9">
        <f t="shared" si="11"/>
        <v>0</v>
      </c>
      <c r="AX9">
        <f t="shared" si="12"/>
        <v>0</v>
      </c>
      <c r="AY9">
        <f t="shared" si="13"/>
        <v>0</v>
      </c>
      <c r="AZ9">
        <f t="shared" si="14"/>
        <v>0</v>
      </c>
      <c r="BA9">
        <f t="shared" si="15"/>
        <v>0</v>
      </c>
      <c r="BB9">
        <f t="shared" si="16"/>
        <v>0</v>
      </c>
    </row>
    <row r="10" spans="1:54" x14ac:dyDescent="0.25">
      <c r="A10">
        <v>8</v>
      </c>
      <c r="B10" s="3" t="s">
        <v>197</v>
      </c>
      <c r="C10" s="3" t="s">
        <v>357</v>
      </c>
      <c r="D10" s="53" t="s">
        <v>431</v>
      </c>
      <c r="E10" s="3" t="s">
        <v>143</v>
      </c>
      <c r="F10" s="3" t="s">
        <v>93</v>
      </c>
      <c r="G10" s="3" t="s">
        <v>57</v>
      </c>
      <c r="H10" s="3" t="s">
        <v>196</v>
      </c>
      <c r="I10" s="23">
        <v>100</v>
      </c>
      <c r="J10" s="18" t="s">
        <v>63</v>
      </c>
      <c r="K10" s="3" t="s">
        <v>62</v>
      </c>
      <c r="L10" s="3">
        <v>3</v>
      </c>
      <c r="M10" s="3" t="s">
        <v>230</v>
      </c>
      <c r="N10" s="3"/>
      <c r="O10" s="3"/>
      <c r="P10" s="3"/>
      <c r="Q10" s="3" t="s">
        <v>202</v>
      </c>
      <c r="R10" s="42">
        <v>0</v>
      </c>
      <c r="S10" s="45">
        <v>0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t="str">
        <f t="shared" si="0"/>
        <v>FALSE</v>
      </c>
      <c r="AA10" s="3" t="s">
        <v>335</v>
      </c>
      <c r="AB10" s="3">
        <v>0</v>
      </c>
      <c r="AC10" s="3">
        <v>0</v>
      </c>
      <c r="AD10" s="3">
        <v>1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0.05</v>
      </c>
      <c r="AM10">
        <f t="shared" si="1"/>
        <v>5.0000000000000001E-4</v>
      </c>
      <c r="AN10">
        <f t="shared" si="2"/>
        <v>0</v>
      </c>
      <c r="AO10">
        <f t="shared" si="3"/>
        <v>0</v>
      </c>
      <c r="AP10">
        <f t="shared" si="4"/>
        <v>0</v>
      </c>
      <c r="AQ10">
        <f t="shared" si="5"/>
        <v>0</v>
      </c>
      <c r="AR10">
        <f t="shared" si="6"/>
        <v>0</v>
      </c>
      <c r="AS10">
        <f t="shared" si="7"/>
        <v>0</v>
      </c>
      <c r="AT10">
        <f t="shared" si="8"/>
        <v>0</v>
      </c>
      <c r="AU10">
        <f t="shared" si="9"/>
        <v>0</v>
      </c>
      <c r="AV10">
        <f t="shared" si="10"/>
        <v>0</v>
      </c>
      <c r="AW10">
        <f t="shared" si="11"/>
        <v>0</v>
      </c>
      <c r="AX10">
        <f t="shared" si="12"/>
        <v>0</v>
      </c>
      <c r="AY10">
        <f t="shared" si="13"/>
        <v>0</v>
      </c>
      <c r="AZ10">
        <f t="shared" si="14"/>
        <v>0</v>
      </c>
      <c r="BA10">
        <f t="shared" si="15"/>
        <v>0</v>
      </c>
      <c r="BB10">
        <f t="shared" si="16"/>
        <v>0</v>
      </c>
    </row>
    <row r="11" spans="1:54" x14ac:dyDescent="0.25">
      <c r="A11">
        <v>9</v>
      </c>
      <c r="B11" s="3" t="s">
        <v>142</v>
      </c>
      <c r="C11" s="3" t="s">
        <v>358</v>
      </c>
      <c r="D11" s="53" t="s">
        <v>432</v>
      </c>
      <c r="E11" s="3" t="s">
        <v>141</v>
      </c>
      <c r="F11" s="3" t="s">
        <v>93</v>
      </c>
      <c r="G11" s="3" t="s">
        <v>57</v>
      </c>
      <c r="H11" s="3" t="s">
        <v>140</v>
      </c>
      <c r="I11" s="23">
        <v>45</v>
      </c>
      <c r="J11" s="18" t="s">
        <v>63</v>
      </c>
      <c r="K11" s="3" t="s">
        <v>62</v>
      </c>
      <c r="L11" s="3">
        <v>0.5</v>
      </c>
      <c r="M11" s="3" t="s">
        <v>201</v>
      </c>
      <c r="N11" s="3"/>
      <c r="O11" s="3"/>
      <c r="P11" s="3"/>
      <c r="Q11" s="3" t="s">
        <v>202</v>
      </c>
      <c r="R11" s="42">
        <v>0</v>
      </c>
      <c r="S11" s="45">
        <v>0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5">
        <v>0</v>
      </c>
      <c r="Z11" t="str">
        <f t="shared" si="0"/>
        <v>FALSE</v>
      </c>
      <c r="AA11" s="3" t="s">
        <v>335</v>
      </c>
      <c r="AB11" s="3">
        <v>1</v>
      </c>
      <c r="AC11" s="3">
        <v>0</v>
      </c>
      <c r="AD11" s="3">
        <v>0</v>
      </c>
      <c r="AE11" s="3">
        <v>0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0.02</v>
      </c>
      <c r="AM11">
        <f t="shared" si="1"/>
        <v>2.0000000000000001E-4</v>
      </c>
      <c r="AN11">
        <f t="shared" si="2"/>
        <v>0</v>
      </c>
      <c r="AO11">
        <f t="shared" si="3"/>
        <v>0</v>
      </c>
      <c r="AP11">
        <f t="shared" si="4"/>
        <v>0</v>
      </c>
      <c r="AQ11">
        <f t="shared" si="5"/>
        <v>0</v>
      </c>
      <c r="AR11">
        <f t="shared" si="6"/>
        <v>0</v>
      </c>
      <c r="AS11">
        <f t="shared" si="7"/>
        <v>0</v>
      </c>
      <c r="AT11">
        <f t="shared" si="8"/>
        <v>0</v>
      </c>
      <c r="AU11">
        <f t="shared" si="9"/>
        <v>0</v>
      </c>
      <c r="AV11">
        <f t="shared" si="10"/>
        <v>0</v>
      </c>
      <c r="AW11">
        <f t="shared" si="11"/>
        <v>0</v>
      </c>
      <c r="AX11">
        <f t="shared" si="12"/>
        <v>0</v>
      </c>
      <c r="AY11">
        <f t="shared" si="13"/>
        <v>0</v>
      </c>
      <c r="AZ11">
        <f t="shared" si="14"/>
        <v>0</v>
      </c>
      <c r="BA11">
        <f t="shared" si="15"/>
        <v>0</v>
      </c>
      <c r="BB11">
        <f t="shared" si="16"/>
        <v>0</v>
      </c>
    </row>
    <row r="12" spans="1:54" x14ac:dyDescent="0.25">
      <c r="A12">
        <v>10</v>
      </c>
      <c r="B12" s="3" t="s">
        <v>139</v>
      </c>
      <c r="C12" s="3" t="s">
        <v>359</v>
      </c>
      <c r="D12" s="53" t="s">
        <v>433</v>
      </c>
      <c r="E12" s="3" t="s">
        <v>138</v>
      </c>
      <c r="F12" s="3" t="s">
        <v>93</v>
      </c>
      <c r="G12" s="3" t="s">
        <v>57</v>
      </c>
      <c r="H12" s="3" t="s">
        <v>39</v>
      </c>
      <c r="I12" s="23" t="s">
        <v>137</v>
      </c>
      <c r="J12" s="18" t="s">
        <v>63</v>
      </c>
      <c r="K12" s="3" t="s">
        <v>136</v>
      </c>
      <c r="L12" s="3">
        <v>1</v>
      </c>
      <c r="M12" s="3" t="s">
        <v>231</v>
      </c>
      <c r="N12" s="3"/>
      <c r="O12" s="3"/>
      <c r="P12" s="3"/>
      <c r="Q12" s="3"/>
      <c r="R12" s="42">
        <v>0</v>
      </c>
      <c r="S12" s="45">
        <v>0</v>
      </c>
      <c r="T12" s="45">
        <v>0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t="str">
        <f t="shared" si="0"/>
        <v>FALSE</v>
      </c>
      <c r="AA12" s="3" t="s">
        <v>335</v>
      </c>
      <c r="AB12" s="3">
        <v>0</v>
      </c>
      <c r="AC12" s="3">
        <v>1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0.05</v>
      </c>
      <c r="AM12">
        <f t="shared" si="1"/>
        <v>5.0000000000000001E-4</v>
      </c>
      <c r="AN12">
        <f t="shared" si="2"/>
        <v>0</v>
      </c>
      <c r="AO12">
        <f t="shared" si="3"/>
        <v>0</v>
      </c>
      <c r="AP12">
        <f t="shared" si="4"/>
        <v>0</v>
      </c>
      <c r="AQ12">
        <f t="shared" si="5"/>
        <v>0</v>
      </c>
      <c r="AR12">
        <f t="shared" si="6"/>
        <v>0</v>
      </c>
      <c r="AS12">
        <f t="shared" si="7"/>
        <v>0</v>
      </c>
      <c r="AT12">
        <f t="shared" si="8"/>
        <v>0</v>
      </c>
      <c r="AU12">
        <f t="shared" si="9"/>
        <v>0</v>
      </c>
      <c r="AV12">
        <f t="shared" si="10"/>
        <v>0</v>
      </c>
      <c r="AW12">
        <f t="shared" si="11"/>
        <v>0</v>
      </c>
      <c r="AX12">
        <f t="shared" si="12"/>
        <v>0</v>
      </c>
      <c r="AY12">
        <f t="shared" si="13"/>
        <v>0</v>
      </c>
      <c r="AZ12">
        <f t="shared" si="14"/>
        <v>0</v>
      </c>
      <c r="BA12">
        <f t="shared" si="15"/>
        <v>0</v>
      </c>
      <c r="BB12">
        <f t="shared" si="16"/>
        <v>0</v>
      </c>
    </row>
    <row r="13" spans="1:54" x14ac:dyDescent="0.25">
      <c r="A13">
        <v>11</v>
      </c>
      <c r="B13" s="3" t="s">
        <v>135</v>
      </c>
      <c r="C13" s="3" t="s">
        <v>360</v>
      </c>
      <c r="D13" s="53" t="s">
        <v>434</v>
      </c>
      <c r="E13" s="3" t="s">
        <v>134</v>
      </c>
      <c r="F13" s="3" t="s">
        <v>93</v>
      </c>
      <c r="G13" s="3" t="s">
        <v>57</v>
      </c>
      <c r="H13" s="3" t="s">
        <v>3</v>
      </c>
      <c r="I13" s="23">
        <v>31</v>
      </c>
      <c r="J13" s="18" t="s">
        <v>63</v>
      </c>
      <c r="K13" s="3" t="s">
        <v>124</v>
      </c>
      <c r="L13" s="3">
        <v>1</v>
      </c>
      <c r="M13" s="3" t="s">
        <v>230</v>
      </c>
      <c r="N13" s="3"/>
      <c r="O13" s="3"/>
      <c r="P13" s="3"/>
      <c r="Q13" s="3"/>
      <c r="R13" s="42">
        <v>0</v>
      </c>
      <c r="S13" s="45">
        <v>0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t="str">
        <f t="shared" si="0"/>
        <v>FALSE</v>
      </c>
      <c r="AA13" s="3" t="s">
        <v>335</v>
      </c>
      <c r="AB13" s="3">
        <v>0</v>
      </c>
      <c r="AC13" s="3">
        <v>0</v>
      </c>
      <c r="AD13" s="3">
        <v>1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0.02</v>
      </c>
      <c r="AM13">
        <f t="shared" si="1"/>
        <v>2.0000000000000001E-4</v>
      </c>
      <c r="AN13">
        <f t="shared" si="2"/>
        <v>0</v>
      </c>
      <c r="AO13">
        <f t="shared" si="3"/>
        <v>0</v>
      </c>
      <c r="AP13">
        <f t="shared" si="4"/>
        <v>0</v>
      </c>
      <c r="AQ13">
        <f t="shared" si="5"/>
        <v>0</v>
      </c>
      <c r="AR13">
        <f t="shared" si="6"/>
        <v>0</v>
      </c>
      <c r="AS13">
        <f t="shared" si="7"/>
        <v>0</v>
      </c>
      <c r="AT13">
        <f t="shared" si="8"/>
        <v>0</v>
      </c>
      <c r="AU13">
        <f t="shared" si="9"/>
        <v>0</v>
      </c>
      <c r="AV13">
        <f t="shared" si="10"/>
        <v>0</v>
      </c>
      <c r="AW13">
        <f t="shared" si="11"/>
        <v>0</v>
      </c>
      <c r="AX13">
        <f t="shared" si="12"/>
        <v>0</v>
      </c>
      <c r="AY13">
        <f t="shared" si="13"/>
        <v>0</v>
      </c>
      <c r="AZ13">
        <f t="shared" si="14"/>
        <v>0</v>
      </c>
      <c r="BA13">
        <f t="shared" si="15"/>
        <v>0</v>
      </c>
      <c r="BB13">
        <f t="shared" si="16"/>
        <v>0</v>
      </c>
    </row>
    <row r="14" spans="1:54" x14ac:dyDescent="0.25">
      <c r="A14">
        <v>12</v>
      </c>
      <c r="B14" s="3" t="s">
        <v>133</v>
      </c>
      <c r="C14" s="3" t="s">
        <v>361</v>
      </c>
      <c r="D14" s="53" t="s">
        <v>435</v>
      </c>
      <c r="E14" s="3" t="s">
        <v>132</v>
      </c>
      <c r="F14" s="3" t="s">
        <v>93</v>
      </c>
      <c r="G14" s="3" t="s">
        <v>57</v>
      </c>
      <c r="H14" s="3" t="s">
        <v>3</v>
      </c>
      <c r="I14" s="23">
        <v>30</v>
      </c>
      <c r="J14" s="18" t="s">
        <v>63</v>
      </c>
      <c r="K14" s="3" t="s">
        <v>79</v>
      </c>
      <c r="L14" s="3">
        <v>1</v>
      </c>
      <c r="M14" s="3" t="s">
        <v>230</v>
      </c>
      <c r="N14" s="3"/>
      <c r="O14" s="3"/>
      <c r="P14" s="3"/>
      <c r="Q14" s="3" t="s">
        <v>202</v>
      </c>
      <c r="R14" s="42"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t="str">
        <f t="shared" si="0"/>
        <v>FALSE</v>
      </c>
      <c r="AA14" s="3" t="s">
        <v>335</v>
      </c>
      <c r="AB14" s="3">
        <v>0</v>
      </c>
      <c r="AC14" s="3">
        <v>0</v>
      </c>
      <c r="AD14" s="3">
        <v>1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0.05</v>
      </c>
      <c r="AM14">
        <f t="shared" si="1"/>
        <v>5.0000000000000001E-4</v>
      </c>
      <c r="AN14">
        <f t="shared" si="2"/>
        <v>0</v>
      </c>
      <c r="AO14">
        <f t="shared" si="3"/>
        <v>0</v>
      </c>
      <c r="AP14">
        <f t="shared" si="4"/>
        <v>0</v>
      </c>
      <c r="AQ14">
        <f t="shared" si="5"/>
        <v>0</v>
      </c>
      <c r="AR14">
        <f t="shared" si="6"/>
        <v>0</v>
      </c>
      <c r="AS14">
        <f t="shared" si="7"/>
        <v>0</v>
      </c>
      <c r="AT14">
        <f t="shared" si="8"/>
        <v>0</v>
      </c>
      <c r="AU14">
        <f t="shared" si="9"/>
        <v>0</v>
      </c>
      <c r="AV14">
        <f t="shared" si="10"/>
        <v>0</v>
      </c>
      <c r="AW14">
        <f t="shared" si="11"/>
        <v>0</v>
      </c>
      <c r="AX14">
        <f t="shared" si="12"/>
        <v>0</v>
      </c>
      <c r="AY14">
        <f t="shared" si="13"/>
        <v>0</v>
      </c>
      <c r="AZ14">
        <f t="shared" si="14"/>
        <v>0</v>
      </c>
      <c r="BA14">
        <f t="shared" si="15"/>
        <v>0</v>
      </c>
      <c r="BB14">
        <f t="shared" si="16"/>
        <v>0</v>
      </c>
    </row>
    <row r="15" spans="1:54" x14ac:dyDescent="0.25">
      <c r="A15">
        <v>13</v>
      </c>
      <c r="B15" s="3" t="s">
        <v>131</v>
      </c>
      <c r="C15" s="3" t="s">
        <v>362</v>
      </c>
      <c r="D15" s="53" t="s">
        <v>436</v>
      </c>
      <c r="E15" s="3" t="s">
        <v>130</v>
      </c>
      <c r="F15" s="3" t="s">
        <v>93</v>
      </c>
      <c r="G15" s="3" t="s">
        <v>57</v>
      </c>
      <c r="H15" s="3" t="s">
        <v>4</v>
      </c>
      <c r="I15" s="23" t="s">
        <v>129</v>
      </c>
      <c r="J15" s="18" t="s">
        <v>72</v>
      </c>
      <c r="K15" s="3" t="s">
        <v>128</v>
      </c>
      <c r="L15" s="3">
        <v>1</v>
      </c>
      <c r="M15" s="3" t="s">
        <v>231</v>
      </c>
      <c r="N15" s="3"/>
      <c r="O15" s="3"/>
      <c r="P15" s="3"/>
      <c r="Q15" s="3"/>
      <c r="R15" s="42">
        <v>0</v>
      </c>
      <c r="S15" s="45">
        <v>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t="str">
        <f t="shared" si="0"/>
        <v>FALSE</v>
      </c>
      <c r="AA15" s="3" t="s">
        <v>335</v>
      </c>
      <c r="AB15" s="3">
        <v>0</v>
      </c>
      <c r="AC15" s="3">
        <v>1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0.1</v>
      </c>
      <c r="AM15">
        <f t="shared" si="1"/>
        <v>1E-3</v>
      </c>
      <c r="AN15">
        <f t="shared" si="2"/>
        <v>0</v>
      </c>
      <c r="AO15">
        <f t="shared" si="3"/>
        <v>0</v>
      </c>
      <c r="AP15">
        <f t="shared" si="4"/>
        <v>0</v>
      </c>
      <c r="AQ15">
        <f t="shared" si="5"/>
        <v>0</v>
      </c>
      <c r="AR15">
        <f t="shared" si="6"/>
        <v>0</v>
      </c>
      <c r="AS15">
        <f t="shared" si="7"/>
        <v>0</v>
      </c>
      <c r="AT15">
        <f t="shared" si="8"/>
        <v>0</v>
      </c>
      <c r="AU15">
        <f t="shared" si="9"/>
        <v>0</v>
      </c>
      <c r="AV15">
        <f t="shared" si="10"/>
        <v>0</v>
      </c>
      <c r="AW15">
        <f t="shared" si="11"/>
        <v>0</v>
      </c>
      <c r="AX15">
        <f t="shared" si="12"/>
        <v>0</v>
      </c>
      <c r="AY15">
        <f t="shared" si="13"/>
        <v>0</v>
      </c>
      <c r="AZ15">
        <f t="shared" si="14"/>
        <v>0</v>
      </c>
      <c r="BA15">
        <f t="shared" si="15"/>
        <v>0</v>
      </c>
      <c r="BB15">
        <f t="shared" si="16"/>
        <v>0</v>
      </c>
    </row>
    <row r="16" spans="1:54" x14ac:dyDescent="0.25">
      <c r="A16">
        <v>14</v>
      </c>
      <c r="B16" s="3" t="s">
        <v>126</v>
      </c>
      <c r="C16" s="3" t="s">
        <v>363</v>
      </c>
      <c r="D16" s="53" t="s">
        <v>437</v>
      </c>
      <c r="E16" s="3" t="s">
        <v>127</v>
      </c>
      <c r="F16" s="3" t="s">
        <v>93</v>
      </c>
      <c r="G16" s="3" t="s">
        <v>57</v>
      </c>
      <c r="H16" s="3" t="s">
        <v>4</v>
      </c>
      <c r="I16" s="23">
        <v>1.6</v>
      </c>
      <c r="J16" s="18" t="s">
        <v>72</v>
      </c>
      <c r="K16" s="3" t="s">
        <v>119</v>
      </c>
      <c r="L16" s="3">
        <v>0.5</v>
      </c>
      <c r="M16" s="3" t="s">
        <v>203</v>
      </c>
      <c r="N16" s="3"/>
      <c r="O16" s="3"/>
      <c r="P16" s="3"/>
      <c r="Q16" s="3"/>
      <c r="R16" s="42">
        <v>0</v>
      </c>
      <c r="S16" s="45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t="str">
        <f t="shared" si="0"/>
        <v>FALSE</v>
      </c>
      <c r="AA16" s="3" t="s">
        <v>335</v>
      </c>
      <c r="AB16" s="3">
        <v>0</v>
      </c>
      <c r="AC16" s="3">
        <v>0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0.01</v>
      </c>
      <c r="AM16">
        <f t="shared" si="1"/>
        <v>1E-4</v>
      </c>
      <c r="AN16">
        <f t="shared" si="2"/>
        <v>0</v>
      </c>
      <c r="AO16">
        <f t="shared" si="3"/>
        <v>0</v>
      </c>
      <c r="AP16">
        <f t="shared" si="4"/>
        <v>0</v>
      </c>
      <c r="AQ16">
        <f t="shared" si="5"/>
        <v>0</v>
      </c>
      <c r="AR16">
        <f t="shared" si="6"/>
        <v>0</v>
      </c>
      <c r="AS16">
        <f t="shared" si="7"/>
        <v>0</v>
      </c>
      <c r="AT16">
        <f t="shared" si="8"/>
        <v>0</v>
      </c>
      <c r="AU16">
        <f t="shared" si="9"/>
        <v>0</v>
      </c>
      <c r="AV16">
        <f t="shared" si="10"/>
        <v>0</v>
      </c>
      <c r="AW16">
        <f t="shared" si="11"/>
        <v>0</v>
      </c>
      <c r="AX16">
        <f t="shared" si="12"/>
        <v>0</v>
      </c>
      <c r="AY16">
        <f t="shared" si="13"/>
        <v>0</v>
      </c>
      <c r="AZ16">
        <f t="shared" si="14"/>
        <v>0</v>
      </c>
      <c r="BA16">
        <f t="shared" si="15"/>
        <v>0</v>
      </c>
      <c r="BB16">
        <f t="shared" si="16"/>
        <v>0</v>
      </c>
    </row>
    <row r="17" spans="1:54" x14ac:dyDescent="0.25">
      <c r="A17">
        <v>15</v>
      </c>
      <c r="B17" s="3" t="s">
        <v>126</v>
      </c>
      <c r="C17" s="3" t="s">
        <v>364</v>
      </c>
      <c r="D17" s="53" t="s">
        <v>438</v>
      </c>
      <c r="E17" s="3" t="s">
        <v>125</v>
      </c>
      <c r="F17" s="3" t="s">
        <v>93</v>
      </c>
      <c r="G17" s="3" t="s">
        <v>57</v>
      </c>
      <c r="H17" s="3" t="s">
        <v>3</v>
      </c>
      <c r="I17" s="23">
        <v>1.6</v>
      </c>
      <c r="J17" s="18" t="s">
        <v>72</v>
      </c>
      <c r="K17" s="3" t="s">
        <v>124</v>
      </c>
      <c r="L17" s="3">
        <v>0.5</v>
      </c>
      <c r="M17" s="3" t="s">
        <v>230</v>
      </c>
      <c r="N17" s="3"/>
      <c r="O17" s="3"/>
      <c r="P17" s="3"/>
      <c r="Q17" s="3"/>
      <c r="R17" s="42">
        <v>0</v>
      </c>
      <c r="S17" s="45">
        <v>0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t="str">
        <f t="shared" si="0"/>
        <v>FALSE</v>
      </c>
      <c r="AA17" s="3" t="s">
        <v>335</v>
      </c>
      <c r="AB17" s="3">
        <v>0</v>
      </c>
      <c r="AC17" s="3">
        <v>0</v>
      </c>
      <c r="AD17" s="3">
        <v>1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0.01</v>
      </c>
      <c r="AM17">
        <f t="shared" si="1"/>
        <v>1E-4</v>
      </c>
      <c r="AN17">
        <f t="shared" si="2"/>
        <v>0</v>
      </c>
      <c r="AO17">
        <f t="shared" si="3"/>
        <v>0</v>
      </c>
      <c r="AP17">
        <f t="shared" si="4"/>
        <v>0</v>
      </c>
      <c r="AQ17">
        <f t="shared" si="5"/>
        <v>0</v>
      </c>
      <c r="AR17">
        <f t="shared" si="6"/>
        <v>0</v>
      </c>
      <c r="AS17">
        <f t="shared" si="7"/>
        <v>0</v>
      </c>
      <c r="AT17">
        <f t="shared" si="8"/>
        <v>0</v>
      </c>
      <c r="AU17">
        <f t="shared" si="9"/>
        <v>0</v>
      </c>
      <c r="AV17">
        <f t="shared" si="10"/>
        <v>0</v>
      </c>
      <c r="AW17">
        <f t="shared" si="11"/>
        <v>0</v>
      </c>
      <c r="AX17">
        <f t="shared" si="12"/>
        <v>0</v>
      </c>
      <c r="AY17">
        <f t="shared" si="13"/>
        <v>0</v>
      </c>
      <c r="AZ17">
        <f t="shared" si="14"/>
        <v>0</v>
      </c>
      <c r="BA17">
        <f t="shared" si="15"/>
        <v>0</v>
      </c>
      <c r="BB17">
        <f t="shared" si="16"/>
        <v>0</v>
      </c>
    </row>
    <row r="18" spans="1:54" x14ac:dyDescent="0.25">
      <c r="A18">
        <v>16</v>
      </c>
      <c r="B18" s="3" t="s">
        <v>123</v>
      </c>
      <c r="C18" s="3" t="s">
        <v>365</v>
      </c>
      <c r="D18" s="53" t="s">
        <v>439</v>
      </c>
      <c r="E18" s="3" t="s">
        <v>122</v>
      </c>
      <c r="F18" s="3" t="s">
        <v>93</v>
      </c>
      <c r="G18" s="3" t="s">
        <v>57</v>
      </c>
      <c r="H18" s="3" t="s">
        <v>4</v>
      </c>
      <c r="I18" s="23">
        <v>98</v>
      </c>
      <c r="J18" s="18" t="s">
        <v>55</v>
      </c>
      <c r="K18" s="3" t="s">
        <v>79</v>
      </c>
      <c r="L18" s="3">
        <v>3</v>
      </c>
      <c r="M18" s="3" t="s">
        <v>203</v>
      </c>
      <c r="N18" s="3"/>
      <c r="O18" s="3"/>
      <c r="P18" s="3"/>
      <c r="Q18" s="3" t="s">
        <v>202</v>
      </c>
      <c r="R18" s="42">
        <v>0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t="str">
        <f t="shared" si="0"/>
        <v>FALSE</v>
      </c>
      <c r="AA18" s="3" t="s">
        <v>335</v>
      </c>
      <c r="AB18" s="3">
        <v>0</v>
      </c>
      <c r="AC18" s="3">
        <v>0</v>
      </c>
      <c r="AD18" s="3">
        <v>1</v>
      </c>
      <c r="AE18" s="3">
        <v>1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0.1</v>
      </c>
      <c r="AM18">
        <f t="shared" si="1"/>
        <v>1E-3</v>
      </c>
      <c r="AN18">
        <f t="shared" si="2"/>
        <v>0</v>
      </c>
      <c r="AO18">
        <f t="shared" si="3"/>
        <v>0</v>
      </c>
      <c r="AP18">
        <f t="shared" si="4"/>
        <v>0</v>
      </c>
      <c r="AQ18">
        <f t="shared" si="5"/>
        <v>0</v>
      </c>
      <c r="AR18">
        <f t="shared" si="6"/>
        <v>0</v>
      </c>
      <c r="AS18">
        <f t="shared" si="7"/>
        <v>0</v>
      </c>
      <c r="AT18">
        <f t="shared" si="8"/>
        <v>0</v>
      </c>
      <c r="AU18">
        <f t="shared" si="9"/>
        <v>0</v>
      </c>
      <c r="AV18">
        <f t="shared" si="10"/>
        <v>0</v>
      </c>
      <c r="AW18">
        <f t="shared" si="11"/>
        <v>0</v>
      </c>
      <c r="AX18">
        <f t="shared" si="12"/>
        <v>0</v>
      </c>
      <c r="AY18">
        <f t="shared" si="13"/>
        <v>0</v>
      </c>
      <c r="AZ18">
        <f t="shared" si="14"/>
        <v>0</v>
      </c>
      <c r="BA18">
        <f t="shared" si="15"/>
        <v>0</v>
      </c>
      <c r="BB18">
        <f t="shared" si="16"/>
        <v>0</v>
      </c>
    </row>
    <row r="19" spans="1:54" x14ac:dyDescent="0.25">
      <c r="A19">
        <v>17</v>
      </c>
      <c r="B19" s="3" t="s">
        <v>121</v>
      </c>
      <c r="C19" s="3" t="s">
        <v>366</v>
      </c>
      <c r="D19" s="53" t="s">
        <v>440</v>
      </c>
      <c r="E19" s="3" t="s">
        <v>120</v>
      </c>
      <c r="F19" s="3" t="s">
        <v>93</v>
      </c>
      <c r="G19" s="3" t="s">
        <v>57</v>
      </c>
      <c r="H19" s="3" t="s">
        <v>4</v>
      </c>
      <c r="I19" s="23">
        <v>11</v>
      </c>
      <c r="J19" s="18" t="s">
        <v>63</v>
      </c>
      <c r="K19" s="3" t="s">
        <v>119</v>
      </c>
      <c r="L19" s="3">
        <v>1</v>
      </c>
      <c r="M19" s="3" t="s">
        <v>203</v>
      </c>
      <c r="N19" s="3"/>
      <c r="O19" s="3"/>
      <c r="P19" s="3"/>
      <c r="Q19" s="3"/>
      <c r="R19" s="42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t="str">
        <f t="shared" si="0"/>
        <v>FALSE</v>
      </c>
      <c r="AA19" s="3" t="s">
        <v>335</v>
      </c>
      <c r="AB19" s="3">
        <v>0</v>
      </c>
      <c r="AC19" s="3">
        <v>0</v>
      </c>
      <c r="AD19" s="3">
        <v>0</v>
      </c>
      <c r="AE19" s="3">
        <v>1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0.05</v>
      </c>
      <c r="AM19">
        <f t="shared" si="1"/>
        <v>5.0000000000000001E-4</v>
      </c>
      <c r="AN19">
        <f t="shared" si="2"/>
        <v>0</v>
      </c>
      <c r="AO19">
        <f t="shared" si="3"/>
        <v>0</v>
      </c>
      <c r="AP19">
        <f t="shared" si="4"/>
        <v>0</v>
      </c>
      <c r="AQ19">
        <f t="shared" si="5"/>
        <v>0</v>
      </c>
      <c r="AR19">
        <f t="shared" si="6"/>
        <v>0</v>
      </c>
      <c r="AS19">
        <f t="shared" si="7"/>
        <v>0</v>
      </c>
      <c r="AT19">
        <f t="shared" si="8"/>
        <v>0</v>
      </c>
      <c r="AU19">
        <f t="shared" si="9"/>
        <v>0</v>
      </c>
      <c r="AV19">
        <f t="shared" si="10"/>
        <v>0</v>
      </c>
      <c r="AW19">
        <f t="shared" si="11"/>
        <v>0</v>
      </c>
      <c r="AX19">
        <f t="shared" si="12"/>
        <v>0</v>
      </c>
      <c r="AY19">
        <f t="shared" si="13"/>
        <v>0</v>
      </c>
      <c r="AZ19">
        <f t="shared" si="14"/>
        <v>0</v>
      </c>
      <c r="BA19">
        <f t="shared" si="15"/>
        <v>0</v>
      </c>
      <c r="BB19">
        <f t="shared" si="16"/>
        <v>0</v>
      </c>
    </row>
    <row r="20" spans="1:54" x14ac:dyDescent="0.25">
      <c r="A20">
        <v>18</v>
      </c>
      <c r="B20" s="3" t="s">
        <v>118</v>
      </c>
      <c r="C20" s="3" t="s">
        <v>305</v>
      </c>
      <c r="D20" s="53" t="s">
        <v>441</v>
      </c>
      <c r="E20" s="3" t="s">
        <v>117</v>
      </c>
      <c r="F20" s="3" t="s">
        <v>93</v>
      </c>
      <c r="G20" s="3" t="s">
        <v>57</v>
      </c>
      <c r="H20" s="3" t="s">
        <v>40</v>
      </c>
      <c r="I20" s="23" t="s">
        <v>116</v>
      </c>
      <c r="J20" s="18" t="s">
        <v>63</v>
      </c>
      <c r="K20" s="3" t="s">
        <v>115</v>
      </c>
      <c r="L20" s="3">
        <v>1</v>
      </c>
      <c r="M20" s="3" t="s">
        <v>231</v>
      </c>
      <c r="N20" s="3"/>
      <c r="O20" s="3"/>
      <c r="P20" s="3"/>
      <c r="Q20" s="3" t="s">
        <v>202</v>
      </c>
      <c r="R20" s="42">
        <v>0</v>
      </c>
      <c r="S20" s="45">
        <v>0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t="str">
        <f t="shared" si="0"/>
        <v>FALSE</v>
      </c>
      <c r="AA20" s="3" t="s">
        <v>335</v>
      </c>
      <c r="AB20" s="3">
        <v>0</v>
      </c>
      <c r="AC20" s="3">
        <v>1</v>
      </c>
      <c r="AD20" s="3">
        <v>1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0.1</v>
      </c>
      <c r="AM20">
        <f t="shared" si="1"/>
        <v>1E-3</v>
      </c>
      <c r="AN20">
        <f t="shared" si="2"/>
        <v>0</v>
      </c>
      <c r="AO20">
        <f t="shared" si="3"/>
        <v>0</v>
      </c>
      <c r="AP20">
        <f t="shared" si="4"/>
        <v>0</v>
      </c>
      <c r="AQ20">
        <f t="shared" si="5"/>
        <v>0</v>
      </c>
      <c r="AR20">
        <f t="shared" si="6"/>
        <v>0</v>
      </c>
      <c r="AS20">
        <f t="shared" si="7"/>
        <v>0</v>
      </c>
      <c r="AT20">
        <f t="shared" si="8"/>
        <v>0</v>
      </c>
      <c r="AU20">
        <f t="shared" si="9"/>
        <v>0</v>
      </c>
      <c r="AV20">
        <f t="shared" si="10"/>
        <v>0</v>
      </c>
      <c r="AW20">
        <f t="shared" si="11"/>
        <v>0</v>
      </c>
      <c r="AX20">
        <f t="shared" si="12"/>
        <v>0</v>
      </c>
      <c r="AY20">
        <f t="shared" si="13"/>
        <v>0</v>
      </c>
      <c r="AZ20">
        <f t="shared" si="14"/>
        <v>0</v>
      </c>
      <c r="BA20">
        <f t="shared" si="15"/>
        <v>0</v>
      </c>
      <c r="BB20">
        <f t="shared" si="16"/>
        <v>0</v>
      </c>
    </row>
    <row r="21" spans="1:54" x14ac:dyDescent="0.25">
      <c r="A21">
        <v>19</v>
      </c>
      <c r="B21" s="3" t="s">
        <v>114</v>
      </c>
      <c r="C21" s="3" t="s">
        <v>367</v>
      </c>
      <c r="D21" s="53" t="s">
        <v>442</v>
      </c>
      <c r="E21" s="3" t="s">
        <v>113</v>
      </c>
      <c r="F21" s="3" t="s">
        <v>93</v>
      </c>
      <c r="G21" s="3" t="s">
        <v>57</v>
      </c>
      <c r="H21" s="3" t="s">
        <v>1</v>
      </c>
      <c r="I21" s="23">
        <v>49</v>
      </c>
      <c r="J21" s="18" t="s">
        <v>63</v>
      </c>
      <c r="K21" s="3" t="s">
        <v>79</v>
      </c>
      <c r="L21" s="3">
        <v>3</v>
      </c>
      <c r="M21" s="3" t="s">
        <v>201</v>
      </c>
      <c r="N21" s="3"/>
      <c r="O21" s="3"/>
      <c r="P21" s="3"/>
      <c r="Q21" s="3" t="s">
        <v>202</v>
      </c>
      <c r="R21" s="42">
        <v>0</v>
      </c>
      <c r="S21" s="45">
        <v>0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t="str">
        <f t="shared" si="0"/>
        <v>FALSE</v>
      </c>
      <c r="AA21" s="3" t="s">
        <v>335</v>
      </c>
      <c r="AB21" s="3">
        <v>1</v>
      </c>
      <c r="AC21" s="3">
        <v>0</v>
      </c>
      <c r="AD21" s="3">
        <v>0</v>
      </c>
      <c r="AE21" s="3">
        <v>0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0.1</v>
      </c>
      <c r="AM21">
        <f t="shared" si="1"/>
        <v>1E-3</v>
      </c>
      <c r="AN21">
        <f t="shared" si="2"/>
        <v>0</v>
      </c>
      <c r="AO21">
        <f t="shared" si="3"/>
        <v>0</v>
      </c>
      <c r="AP21">
        <f t="shared" si="4"/>
        <v>0</v>
      </c>
      <c r="AQ21">
        <f t="shared" si="5"/>
        <v>0</v>
      </c>
      <c r="AR21">
        <f t="shared" si="6"/>
        <v>0</v>
      </c>
      <c r="AS21">
        <f t="shared" si="7"/>
        <v>0</v>
      </c>
      <c r="AT21">
        <f t="shared" si="8"/>
        <v>0</v>
      </c>
      <c r="AU21">
        <f t="shared" si="9"/>
        <v>0</v>
      </c>
      <c r="AV21">
        <f t="shared" si="10"/>
        <v>0</v>
      </c>
      <c r="AW21">
        <f t="shared" si="11"/>
        <v>0</v>
      </c>
      <c r="AX21">
        <f t="shared" si="12"/>
        <v>0</v>
      </c>
      <c r="AY21">
        <f t="shared" si="13"/>
        <v>0</v>
      </c>
      <c r="AZ21">
        <f t="shared" si="14"/>
        <v>0</v>
      </c>
      <c r="BA21">
        <f t="shared" si="15"/>
        <v>0</v>
      </c>
      <c r="BB21">
        <f t="shared" si="16"/>
        <v>0</v>
      </c>
    </row>
    <row r="22" spans="1:54" x14ac:dyDescent="0.25">
      <c r="A22">
        <v>20</v>
      </c>
      <c r="B22" s="19" t="s">
        <v>112</v>
      </c>
      <c r="C22" s="19" t="s">
        <v>368</v>
      </c>
      <c r="D22" s="53" t="s">
        <v>443</v>
      </c>
      <c r="E22" s="3" t="s">
        <v>111</v>
      </c>
      <c r="F22" s="19" t="s">
        <v>93</v>
      </c>
      <c r="G22" s="3" t="s">
        <v>57</v>
      </c>
      <c r="H22" s="19" t="s">
        <v>1</v>
      </c>
      <c r="I22" s="25">
        <v>291</v>
      </c>
      <c r="J22" s="24" t="s">
        <v>63</v>
      </c>
      <c r="K22" s="19" t="s">
        <v>79</v>
      </c>
      <c r="L22" s="19">
        <v>3</v>
      </c>
      <c r="M22" s="19" t="s">
        <v>229</v>
      </c>
      <c r="N22" s="19"/>
      <c r="O22" s="19"/>
      <c r="P22" s="19"/>
      <c r="Q22" s="19" t="s">
        <v>202</v>
      </c>
      <c r="R22" s="42">
        <v>0</v>
      </c>
      <c r="S22" s="45">
        <v>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t="str">
        <f t="shared" si="0"/>
        <v>FALSE</v>
      </c>
      <c r="AA22" s="3" t="s">
        <v>335</v>
      </c>
      <c r="AB22" s="19">
        <v>1</v>
      </c>
      <c r="AC22" s="19">
        <v>0</v>
      </c>
      <c r="AD22" s="19">
        <v>0</v>
      </c>
      <c r="AE22" s="19">
        <v>0</v>
      </c>
      <c r="AF22" s="19">
        <v>1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0.1</v>
      </c>
      <c r="AM22">
        <f t="shared" si="1"/>
        <v>1E-3</v>
      </c>
      <c r="AN22">
        <f t="shared" si="2"/>
        <v>0</v>
      </c>
      <c r="AO22">
        <f t="shared" si="3"/>
        <v>0</v>
      </c>
      <c r="AP22">
        <f t="shared" si="4"/>
        <v>0</v>
      </c>
      <c r="AQ22">
        <f t="shared" si="5"/>
        <v>0</v>
      </c>
      <c r="AR22">
        <f t="shared" si="6"/>
        <v>0</v>
      </c>
      <c r="AS22">
        <f t="shared" si="7"/>
        <v>0</v>
      </c>
      <c r="AT22">
        <f t="shared" si="8"/>
        <v>0</v>
      </c>
      <c r="AU22">
        <f t="shared" si="9"/>
        <v>0</v>
      </c>
      <c r="AV22">
        <f t="shared" si="10"/>
        <v>0</v>
      </c>
      <c r="AW22">
        <f t="shared" si="11"/>
        <v>0</v>
      </c>
      <c r="AX22">
        <f t="shared" si="12"/>
        <v>0</v>
      </c>
      <c r="AY22">
        <f t="shared" si="13"/>
        <v>0</v>
      </c>
      <c r="AZ22">
        <f t="shared" si="14"/>
        <v>0</v>
      </c>
      <c r="BA22">
        <f t="shared" si="15"/>
        <v>0</v>
      </c>
      <c r="BB22">
        <f t="shared" si="16"/>
        <v>0</v>
      </c>
    </row>
    <row r="23" spans="1:54" x14ac:dyDescent="0.25">
      <c r="A23">
        <v>21</v>
      </c>
      <c r="B23" s="3" t="s">
        <v>110</v>
      </c>
      <c r="C23" s="19" t="s">
        <v>369</v>
      </c>
      <c r="D23" s="53" t="s">
        <v>444</v>
      </c>
      <c r="E23" s="3" t="s">
        <v>109</v>
      </c>
      <c r="F23" s="3" t="s">
        <v>93</v>
      </c>
      <c r="G23" s="3" t="s">
        <v>57</v>
      </c>
      <c r="H23" s="3" t="s">
        <v>1</v>
      </c>
      <c r="I23" s="23">
        <v>1.5</v>
      </c>
      <c r="J23" s="18" t="s">
        <v>63</v>
      </c>
      <c r="K23" s="3" t="s">
        <v>97</v>
      </c>
      <c r="L23" s="3">
        <v>1</v>
      </c>
      <c r="M23" s="19" t="s">
        <v>229</v>
      </c>
      <c r="N23" s="19"/>
      <c r="O23" s="19"/>
      <c r="P23" s="3"/>
      <c r="Q23" s="3"/>
      <c r="R23" s="42">
        <v>0</v>
      </c>
      <c r="S23" s="45">
        <v>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t="str">
        <f t="shared" si="0"/>
        <v>FALSE</v>
      </c>
      <c r="AA23" s="3" t="s">
        <v>335</v>
      </c>
      <c r="AB23" s="3">
        <v>0</v>
      </c>
      <c r="AC23" s="19">
        <v>0</v>
      </c>
      <c r="AD23" s="19">
        <v>0</v>
      </c>
      <c r="AE23" s="19">
        <v>0</v>
      </c>
      <c r="AF23" s="19">
        <v>1</v>
      </c>
      <c r="AG23" s="3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-0.05</v>
      </c>
      <c r="AM23">
        <f t="shared" si="1"/>
        <v>-5.0000000000000001E-4</v>
      </c>
      <c r="AN23">
        <f t="shared" si="2"/>
        <v>0</v>
      </c>
      <c r="AO23">
        <f t="shared" si="3"/>
        <v>0</v>
      </c>
      <c r="AP23">
        <f t="shared" si="4"/>
        <v>0</v>
      </c>
      <c r="AQ23">
        <f t="shared" si="5"/>
        <v>0</v>
      </c>
      <c r="AR23">
        <f t="shared" si="6"/>
        <v>0</v>
      </c>
      <c r="AS23">
        <f t="shared" si="7"/>
        <v>0</v>
      </c>
      <c r="AT23">
        <f t="shared" si="8"/>
        <v>0</v>
      </c>
      <c r="AU23">
        <f t="shared" si="9"/>
        <v>0</v>
      </c>
      <c r="AV23">
        <f t="shared" si="10"/>
        <v>0</v>
      </c>
      <c r="AW23">
        <f t="shared" si="11"/>
        <v>0</v>
      </c>
      <c r="AX23">
        <f t="shared" si="12"/>
        <v>0</v>
      </c>
      <c r="AY23">
        <f t="shared" si="13"/>
        <v>0</v>
      </c>
      <c r="AZ23">
        <f t="shared" si="14"/>
        <v>0</v>
      </c>
      <c r="BA23">
        <f t="shared" si="15"/>
        <v>0</v>
      </c>
      <c r="BB23">
        <f t="shared" si="16"/>
        <v>0</v>
      </c>
    </row>
    <row r="24" spans="1:54" x14ac:dyDescent="0.25">
      <c r="A24">
        <v>22</v>
      </c>
      <c r="B24" s="3" t="s">
        <v>108</v>
      </c>
      <c r="C24" s="19" t="s">
        <v>370</v>
      </c>
      <c r="D24" s="53" t="s">
        <v>445</v>
      </c>
      <c r="E24" s="3" t="s">
        <v>107</v>
      </c>
      <c r="F24" s="3" t="s">
        <v>93</v>
      </c>
      <c r="G24" s="3" t="s">
        <v>57</v>
      </c>
      <c r="H24" s="3" t="s">
        <v>1</v>
      </c>
      <c r="I24" s="23">
        <v>9.5</v>
      </c>
      <c r="J24" s="18" t="s">
        <v>63</v>
      </c>
      <c r="K24" s="3" t="s">
        <v>97</v>
      </c>
      <c r="L24" s="3">
        <v>1</v>
      </c>
      <c r="M24" s="19" t="s">
        <v>201</v>
      </c>
      <c r="N24" s="19"/>
      <c r="O24" s="19"/>
      <c r="P24" s="3"/>
      <c r="Q24" s="3"/>
      <c r="R24" s="42">
        <v>0</v>
      </c>
      <c r="S24" s="45">
        <v>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t="str">
        <f t="shared" si="0"/>
        <v>FALSE</v>
      </c>
      <c r="AA24" s="3" t="s">
        <v>335</v>
      </c>
      <c r="AB24" s="3">
        <v>0</v>
      </c>
      <c r="AC24" s="19">
        <v>0</v>
      </c>
      <c r="AD24" s="19">
        <v>0</v>
      </c>
      <c r="AE24" s="19">
        <v>0</v>
      </c>
      <c r="AF24" s="19">
        <v>1</v>
      </c>
      <c r="AG24" s="3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0.1</v>
      </c>
      <c r="AM24">
        <f t="shared" si="1"/>
        <v>1E-3</v>
      </c>
      <c r="AN24">
        <f t="shared" si="2"/>
        <v>0</v>
      </c>
      <c r="AO24">
        <f t="shared" si="3"/>
        <v>0</v>
      </c>
      <c r="AP24">
        <f t="shared" si="4"/>
        <v>0</v>
      </c>
      <c r="AQ24">
        <f t="shared" si="5"/>
        <v>0</v>
      </c>
      <c r="AR24">
        <f t="shared" si="6"/>
        <v>0</v>
      </c>
      <c r="AS24">
        <f t="shared" si="7"/>
        <v>0</v>
      </c>
      <c r="AT24">
        <f t="shared" si="8"/>
        <v>0</v>
      </c>
      <c r="AU24">
        <f t="shared" si="9"/>
        <v>0</v>
      </c>
      <c r="AV24">
        <f t="shared" si="10"/>
        <v>0</v>
      </c>
      <c r="AW24">
        <f t="shared" si="11"/>
        <v>0</v>
      </c>
      <c r="AX24">
        <f t="shared" si="12"/>
        <v>0</v>
      </c>
      <c r="AY24">
        <f t="shared" si="13"/>
        <v>0</v>
      </c>
      <c r="AZ24">
        <f t="shared" si="14"/>
        <v>0</v>
      </c>
      <c r="BA24">
        <f t="shared" si="15"/>
        <v>0</v>
      </c>
      <c r="BB24">
        <f t="shared" si="16"/>
        <v>0</v>
      </c>
    </row>
    <row r="25" spans="1:54" x14ac:dyDescent="0.25">
      <c r="A25">
        <v>23</v>
      </c>
      <c r="B25" s="3" t="s">
        <v>106</v>
      </c>
      <c r="C25" s="19" t="s">
        <v>371</v>
      </c>
      <c r="D25" s="53" t="s">
        <v>446</v>
      </c>
      <c r="E25" s="3" t="s">
        <v>105</v>
      </c>
      <c r="F25" s="3" t="s">
        <v>93</v>
      </c>
      <c r="G25" s="3" t="s">
        <v>57</v>
      </c>
      <c r="H25" s="3" t="s">
        <v>1</v>
      </c>
      <c r="I25" s="23">
        <v>4</v>
      </c>
      <c r="J25" s="18" t="s">
        <v>63</v>
      </c>
      <c r="K25" s="3" t="s">
        <v>79</v>
      </c>
      <c r="L25" s="3">
        <v>1</v>
      </c>
      <c r="M25" s="19" t="s">
        <v>229</v>
      </c>
      <c r="N25" s="19"/>
      <c r="O25" s="19"/>
      <c r="P25" s="3"/>
      <c r="Q25" s="3" t="s">
        <v>232</v>
      </c>
      <c r="R25" s="42">
        <v>0</v>
      </c>
      <c r="S25" s="45">
        <v>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t="str">
        <f t="shared" si="0"/>
        <v>FALSE</v>
      </c>
      <c r="AA25" s="3" t="s">
        <v>335</v>
      </c>
      <c r="AB25" s="3">
        <v>0</v>
      </c>
      <c r="AC25" s="19">
        <v>0</v>
      </c>
      <c r="AD25" s="19">
        <v>0</v>
      </c>
      <c r="AE25" s="19">
        <v>0</v>
      </c>
      <c r="AF25" s="19">
        <v>1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-0.05</v>
      </c>
      <c r="AM25">
        <f t="shared" si="1"/>
        <v>-5.0000000000000001E-4</v>
      </c>
      <c r="AN25">
        <f t="shared" si="2"/>
        <v>0</v>
      </c>
      <c r="AO25">
        <f t="shared" si="3"/>
        <v>0</v>
      </c>
      <c r="AP25">
        <f t="shared" si="4"/>
        <v>0</v>
      </c>
      <c r="AQ25">
        <f t="shared" si="5"/>
        <v>0</v>
      </c>
      <c r="AR25">
        <f t="shared" si="6"/>
        <v>0</v>
      </c>
      <c r="AS25">
        <f t="shared" si="7"/>
        <v>0</v>
      </c>
      <c r="AT25">
        <f t="shared" si="8"/>
        <v>0</v>
      </c>
      <c r="AU25">
        <f t="shared" si="9"/>
        <v>0</v>
      </c>
      <c r="AV25">
        <f t="shared" si="10"/>
        <v>0</v>
      </c>
      <c r="AW25">
        <f t="shared" si="11"/>
        <v>0</v>
      </c>
      <c r="AX25">
        <f t="shared" si="12"/>
        <v>0</v>
      </c>
      <c r="AY25">
        <f t="shared" si="13"/>
        <v>0</v>
      </c>
      <c r="AZ25">
        <f t="shared" si="14"/>
        <v>0</v>
      </c>
      <c r="BA25">
        <f t="shared" si="15"/>
        <v>0</v>
      </c>
      <c r="BB25">
        <f t="shared" si="16"/>
        <v>0</v>
      </c>
    </row>
    <row r="26" spans="1:54" x14ac:dyDescent="0.25">
      <c r="A26">
        <v>24</v>
      </c>
      <c r="B26" s="3" t="s">
        <v>104</v>
      </c>
      <c r="C26" s="19" t="s">
        <v>372</v>
      </c>
      <c r="D26" s="53" t="s">
        <v>447</v>
      </c>
      <c r="E26" s="3" t="s">
        <v>103</v>
      </c>
      <c r="F26" s="3" t="s">
        <v>93</v>
      </c>
      <c r="G26" s="3" t="s">
        <v>57</v>
      </c>
      <c r="H26" s="3" t="s">
        <v>1</v>
      </c>
      <c r="I26" s="23">
        <v>144</v>
      </c>
      <c r="J26" s="18" t="s">
        <v>63</v>
      </c>
      <c r="K26" s="3" t="s">
        <v>79</v>
      </c>
      <c r="L26" s="3">
        <v>3</v>
      </c>
      <c r="M26" s="19" t="s">
        <v>229</v>
      </c>
      <c r="N26" s="19"/>
      <c r="O26" s="19"/>
      <c r="P26" s="19"/>
      <c r="Q26" s="3" t="s">
        <v>202</v>
      </c>
      <c r="R26" s="42"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t="str">
        <f t="shared" si="0"/>
        <v>FALSE</v>
      </c>
      <c r="AA26" s="3" t="s">
        <v>335</v>
      </c>
      <c r="AB26" s="3">
        <v>1</v>
      </c>
      <c r="AC26" s="19">
        <v>0</v>
      </c>
      <c r="AD26" s="19">
        <v>1</v>
      </c>
      <c r="AE26" s="19">
        <v>1</v>
      </c>
      <c r="AF26" s="19">
        <v>1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0.1</v>
      </c>
      <c r="AM26">
        <f t="shared" si="1"/>
        <v>1E-3</v>
      </c>
      <c r="AN26">
        <f t="shared" si="2"/>
        <v>0</v>
      </c>
      <c r="AO26">
        <f t="shared" si="3"/>
        <v>0</v>
      </c>
      <c r="AP26">
        <f t="shared" si="4"/>
        <v>0</v>
      </c>
      <c r="AQ26">
        <f t="shared" si="5"/>
        <v>0</v>
      </c>
      <c r="AR26">
        <f t="shared" si="6"/>
        <v>0</v>
      </c>
      <c r="AS26">
        <f t="shared" si="7"/>
        <v>0</v>
      </c>
      <c r="AT26">
        <f t="shared" si="8"/>
        <v>0</v>
      </c>
      <c r="AU26">
        <f t="shared" si="9"/>
        <v>0</v>
      </c>
      <c r="AV26">
        <f t="shared" si="10"/>
        <v>0</v>
      </c>
      <c r="AW26">
        <f t="shared" si="11"/>
        <v>0</v>
      </c>
      <c r="AX26">
        <f t="shared" si="12"/>
        <v>0</v>
      </c>
      <c r="AY26">
        <f t="shared" si="13"/>
        <v>0</v>
      </c>
      <c r="AZ26">
        <f t="shared" si="14"/>
        <v>0</v>
      </c>
      <c r="BA26">
        <f t="shared" si="15"/>
        <v>0</v>
      </c>
      <c r="BB26">
        <f t="shared" si="16"/>
        <v>0</v>
      </c>
    </row>
    <row r="27" spans="1:54" x14ac:dyDescent="0.25">
      <c r="A27">
        <v>25</v>
      </c>
      <c r="B27" s="3" t="s">
        <v>102</v>
      </c>
      <c r="C27" s="19" t="s">
        <v>373</v>
      </c>
      <c r="D27" s="53" t="s">
        <v>448</v>
      </c>
      <c r="E27" s="3" t="s">
        <v>101</v>
      </c>
      <c r="F27" s="3" t="s">
        <v>93</v>
      </c>
      <c r="G27" s="3" t="s">
        <v>57</v>
      </c>
      <c r="H27" s="3" t="s">
        <v>1</v>
      </c>
      <c r="I27" s="23">
        <v>16.5</v>
      </c>
      <c r="J27" s="18" t="s">
        <v>63</v>
      </c>
      <c r="K27" s="3" t="s">
        <v>79</v>
      </c>
      <c r="L27" s="3">
        <v>3</v>
      </c>
      <c r="M27" s="19" t="s">
        <v>229</v>
      </c>
      <c r="N27" s="19"/>
      <c r="O27" s="19"/>
      <c r="P27" s="3"/>
      <c r="Q27" s="3" t="s">
        <v>202</v>
      </c>
      <c r="R27" s="42"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t="str">
        <f t="shared" si="0"/>
        <v>FALSE</v>
      </c>
      <c r="AA27" s="3" t="s">
        <v>335</v>
      </c>
      <c r="AB27" s="3">
        <v>0</v>
      </c>
      <c r="AC27" s="19">
        <v>0</v>
      </c>
      <c r="AD27" s="19">
        <v>0</v>
      </c>
      <c r="AE27" s="19">
        <v>0</v>
      </c>
      <c r="AF27" s="19">
        <v>1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0.05</v>
      </c>
      <c r="AM27">
        <f t="shared" si="1"/>
        <v>5.0000000000000001E-4</v>
      </c>
      <c r="AN27">
        <f t="shared" si="2"/>
        <v>0</v>
      </c>
      <c r="AO27">
        <f t="shared" si="3"/>
        <v>0</v>
      </c>
      <c r="AP27">
        <f t="shared" si="4"/>
        <v>0</v>
      </c>
      <c r="AQ27">
        <f t="shared" si="5"/>
        <v>0</v>
      </c>
      <c r="AR27">
        <f t="shared" si="6"/>
        <v>0</v>
      </c>
      <c r="AS27">
        <f t="shared" si="7"/>
        <v>0</v>
      </c>
      <c r="AT27">
        <f t="shared" si="8"/>
        <v>0</v>
      </c>
      <c r="AU27">
        <f t="shared" si="9"/>
        <v>0</v>
      </c>
      <c r="AV27">
        <f t="shared" si="10"/>
        <v>0</v>
      </c>
      <c r="AW27">
        <f t="shared" si="11"/>
        <v>0</v>
      </c>
      <c r="AX27">
        <f t="shared" si="12"/>
        <v>0</v>
      </c>
      <c r="AY27">
        <f t="shared" si="13"/>
        <v>0</v>
      </c>
      <c r="AZ27">
        <f t="shared" si="14"/>
        <v>0</v>
      </c>
      <c r="BA27">
        <f t="shared" si="15"/>
        <v>0</v>
      </c>
      <c r="BB27">
        <f t="shared" si="16"/>
        <v>0</v>
      </c>
    </row>
    <row r="28" spans="1:54" x14ac:dyDescent="0.25">
      <c r="A28">
        <v>26</v>
      </c>
      <c r="B28" s="3" t="s">
        <v>100</v>
      </c>
      <c r="C28" s="19" t="s">
        <v>100</v>
      </c>
      <c r="D28" s="53" t="s">
        <v>449</v>
      </c>
      <c r="E28" s="3" t="s">
        <v>99</v>
      </c>
      <c r="F28" s="3" t="s">
        <v>93</v>
      </c>
      <c r="G28" s="3" t="s">
        <v>57</v>
      </c>
      <c r="H28" s="3" t="s">
        <v>1</v>
      </c>
      <c r="I28" s="23" t="s">
        <v>98</v>
      </c>
      <c r="J28" s="18" t="s">
        <v>63</v>
      </c>
      <c r="K28" s="3" t="s">
        <v>97</v>
      </c>
      <c r="L28" s="19">
        <v>1</v>
      </c>
      <c r="M28" s="19" t="s">
        <v>229</v>
      </c>
      <c r="N28" s="19"/>
      <c r="O28" s="19"/>
      <c r="P28" s="19"/>
      <c r="Q28" s="19"/>
      <c r="R28" s="42">
        <v>0</v>
      </c>
      <c r="S28" s="45">
        <v>0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t="str">
        <f t="shared" si="0"/>
        <v>FALSE</v>
      </c>
      <c r="AA28" s="3" t="s">
        <v>335</v>
      </c>
      <c r="AB28" s="19">
        <v>0</v>
      </c>
      <c r="AC28" s="19">
        <v>0</v>
      </c>
      <c r="AD28" s="19">
        <v>0</v>
      </c>
      <c r="AE28" s="19">
        <v>0</v>
      </c>
      <c r="AF28" s="19">
        <v>1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0.01</v>
      </c>
      <c r="AM28">
        <f t="shared" si="1"/>
        <v>1E-4</v>
      </c>
      <c r="AN28">
        <f t="shared" si="2"/>
        <v>0</v>
      </c>
      <c r="AO28">
        <f t="shared" si="3"/>
        <v>0</v>
      </c>
      <c r="AP28">
        <f t="shared" si="4"/>
        <v>0</v>
      </c>
      <c r="AQ28">
        <f t="shared" si="5"/>
        <v>0</v>
      </c>
      <c r="AR28">
        <f t="shared" si="6"/>
        <v>0</v>
      </c>
      <c r="AS28">
        <f t="shared" si="7"/>
        <v>0</v>
      </c>
      <c r="AT28">
        <f t="shared" si="8"/>
        <v>0</v>
      </c>
      <c r="AU28">
        <f t="shared" si="9"/>
        <v>0</v>
      </c>
      <c r="AV28">
        <f t="shared" si="10"/>
        <v>0</v>
      </c>
      <c r="AW28">
        <f t="shared" si="11"/>
        <v>0</v>
      </c>
      <c r="AX28">
        <f t="shared" si="12"/>
        <v>0</v>
      </c>
      <c r="AY28">
        <f t="shared" si="13"/>
        <v>0</v>
      </c>
      <c r="AZ28">
        <f t="shared" si="14"/>
        <v>0</v>
      </c>
      <c r="BA28">
        <f t="shared" si="15"/>
        <v>0</v>
      </c>
      <c r="BB28">
        <f t="shared" si="16"/>
        <v>0</v>
      </c>
    </row>
    <row r="29" spans="1:54" x14ac:dyDescent="0.25">
      <c r="A29">
        <v>27</v>
      </c>
      <c r="B29" s="3" t="s">
        <v>96</v>
      </c>
      <c r="C29" s="19" t="s">
        <v>374</v>
      </c>
      <c r="D29" s="53" t="s">
        <v>450</v>
      </c>
      <c r="E29" s="3" t="s">
        <v>95</v>
      </c>
      <c r="F29" s="3" t="s">
        <v>93</v>
      </c>
      <c r="G29" s="3" t="s">
        <v>57</v>
      </c>
      <c r="H29" s="3" t="s">
        <v>94</v>
      </c>
      <c r="I29" s="23">
        <v>66.5</v>
      </c>
      <c r="J29" s="18" t="s">
        <v>63</v>
      </c>
      <c r="K29" s="3" t="s">
        <v>79</v>
      </c>
      <c r="L29" s="3">
        <v>1</v>
      </c>
      <c r="M29" s="19" t="s">
        <v>203</v>
      </c>
      <c r="N29" s="19"/>
      <c r="O29" s="19"/>
      <c r="P29" s="3"/>
      <c r="Q29" s="19" t="s">
        <v>202</v>
      </c>
      <c r="R29" s="42">
        <v>0</v>
      </c>
      <c r="S29" s="45">
        <v>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t="str">
        <f t="shared" si="0"/>
        <v>FALSE</v>
      </c>
      <c r="AA29" s="3" t="s">
        <v>335</v>
      </c>
      <c r="AB29" s="19">
        <v>1</v>
      </c>
      <c r="AC29" s="19">
        <v>0</v>
      </c>
      <c r="AD29" s="19">
        <v>1</v>
      </c>
      <c r="AE29" s="19">
        <v>1</v>
      </c>
      <c r="AF29" s="19">
        <v>1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0.05</v>
      </c>
      <c r="AM29">
        <f t="shared" si="1"/>
        <v>5.0000000000000001E-4</v>
      </c>
      <c r="AN29">
        <f t="shared" si="2"/>
        <v>0</v>
      </c>
      <c r="AO29">
        <f t="shared" si="3"/>
        <v>0</v>
      </c>
      <c r="AP29">
        <f t="shared" si="4"/>
        <v>0</v>
      </c>
      <c r="AQ29">
        <f t="shared" si="5"/>
        <v>0</v>
      </c>
      <c r="AR29">
        <f t="shared" si="6"/>
        <v>0</v>
      </c>
      <c r="AS29">
        <f t="shared" si="7"/>
        <v>0</v>
      </c>
      <c r="AT29">
        <f t="shared" si="8"/>
        <v>0</v>
      </c>
      <c r="AU29">
        <f t="shared" si="9"/>
        <v>0</v>
      </c>
      <c r="AV29">
        <f t="shared" si="10"/>
        <v>0</v>
      </c>
      <c r="AW29">
        <f t="shared" si="11"/>
        <v>0</v>
      </c>
      <c r="AX29">
        <f t="shared" si="12"/>
        <v>0</v>
      </c>
      <c r="AY29">
        <f t="shared" si="13"/>
        <v>0</v>
      </c>
      <c r="AZ29">
        <f t="shared" si="14"/>
        <v>0</v>
      </c>
      <c r="BA29">
        <f t="shared" si="15"/>
        <v>0</v>
      </c>
      <c r="BB29">
        <f t="shared" si="16"/>
        <v>0</v>
      </c>
    </row>
    <row r="30" spans="1:54" x14ac:dyDescent="0.25">
      <c r="A30">
        <v>28</v>
      </c>
      <c r="B30" s="3" t="s">
        <v>92</v>
      </c>
      <c r="C30" s="19" t="s">
        <v>375</v>
      </c>
      <c r="D30" s="53" t="s">
        <v>451</v>
      </c>
      <c r="E30" s="3" t="s">
        <v>91</v>
      </c>
      <c r="F30" s="3" t="s">
        <v>65</v>
      </c>
      <c r="G30" s="3" t="s">
        <v>57</v>
      </c>
      <c r="H30" s="3" t="s">
        <v>3</v>
      </c>
      <c r="I30" s="23" t="s">
        <v>90</v>
      </c>
      <c r="J30" s="18" t="s">
        <v>63</v>
      </c>
      <c r="K30" s="3" t="s">
        <v>79</v>
      </c>
      <c r="L30" s="3">
        <v>1</v>
      </c>
      <c r="M30" s="19" t="s">
        <v>230</v>
      </c>
      <c r="N30" s="19"/>
      <c r="O30" s="19"/>
      <c r="P30" s="3"/>
      <c r="Q30" s="19" t="s">
        <v>202</v>
      </c>
      <c r="R30" s="42">
        <v>0</v>
      </c>
      <c r="S30" s="45">
        <v>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t="str">
        <f t="shared" si="0"/>
        <v>FALSE</v>
      </c>
      <c r="AA30" s="3" t="s">
        <v>61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1</v>
      </c>
      <c r="AJ30" s="19">
        <v>0</v>
      </c>
      <c r="AK30" s="19">
        <v>0</v>
      </c>
      <c r="AL30" s="19">
        <v>0.05</v>
      </c>
      <c r="AM30">
        <f t="shared" si="1"/>
        <v>5.0000000000000001E-4</v>
      </c>
      <c r="AN30">
        <f t="shared" si="2"/>
        <v>0</v>
      </c>
      <c r="AO30">
        <f t="shared" si="3"/>
        <v>0</v>
      </c>
      <c r="AP30">
        <f t="shared" si="4"/>
        <v>0</v>
      </c>
      <c r="AQ30">
        <f t="shared" si="5"/>
        <v>0</v>
      </c>
      <c r="AR30">
        <f t="shared" si="6"/>
        <v>0</v>
      </c>
      <c r="AS30">
        <f t="shared" si="7"/>
        <v>0</v>
      </c>
      <c r="AT30">
        <f t="shared" si="8"/>
        <v>0</v>
      </c>
      <c r="AU30">
        <f t="shared" si="9"/>
        <v>0</v>
      </c>
      <c r="AV30">
        <f t="shared" si="10"/>
        <v>0</v>
      </c>
      <c r="AW30">
        <f t="shared" si="11"/>
        <v>0</v>
      </c>
      <c r="AX30">
        <f t="shared" si="12"/>
        <v>0</v>
      </c>
      <c r="AY30">
        <f t="shared" si="13"/>
        <v>0</v>
      </c>
      <c r="AZ30">
        <f t="shared" si="14"/>
        <v>0</v>
      </c>
      <c r="BA30">
        <f t="shared" si="15"/>
        <v>0</v>
      </c>
      <c r="BB30">
        <f t="shared" si="16"/>
        <v>0</v>
      </c>
    </row>
    <row r="31" spans="1:54" x14ac:dyDescent="0.25">
      <c r="A31">
        <v>29</v>
      </c>
      <c r="B31" s="3" t="s">
        <v>89</v>
      </c>
      <c r="C31" s="19" t="s">
        <v>376</v>
      </c>
      <c r="D31" s="53" t="s">
        <v>452</v>
      </c>
      <c r="E31" s="3" t="s">
        <v>88</v>
      </c>
      <c r="F31" s="3" t="s">
        <v>65</v>
      </c>
      <c r="G31" s="3" t="s">
        <v>57</v>
      </c>
      <c r="H31" s="3" t="s">
        <v>3</v>
      </c>
      <c r="I31" s="23">
        <v>0.4</v>
      </c>
      <c r="J31" s="18" t="s">
        <v>72</v>
      </c>
      <c r="K31" s="3" t="s">
        <v>79</v>
      </c>
      <c r="L31" s="3">
        <v>0.5</v>
      </c>
      <c r="M31" s="19" t="s">
        <v>230</v>
      </c>
      <c r="N31" s="19"/>
      <c r="O31" s="19"/>
      <c r="P31" s="3"/>
      <c r="Q31" s="19" t="s">
        <v>232</v>
      </c>
      <c r="R31" s="42"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t="str">
        <f t="shared" si="0"/>
        <v>FALSE</v>
      </c>
      <c r="AA31" s="3" t="s">
        <v>61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1</v>
      </c>
      <c r="AJ31" s="19">
        <v>1</v>
      </c>
      <c r="AK31" s="19">
        <v>0</v>
      </c>
      <c r="AL31" s="19">
        <v>0.02</v>
      </c>
      <c r="AM31">
        <f t="shared" si="1"/>
        <v>2.0000000000000001E-4</v>
      </c>
      <c r="AN31">
        <f t="shared" si="2"/>
        <v>0</v>
      </c>
      <c r="AO31">
        <f t="shared" si="3"/>
        <v>0</v>
      </c>
      <c r="AP31">
        <f t="shared" si="4"/>
        <v>0</v>
      </c>
      <c r="AQ31">
        <f t="shared" si="5"/>
        <v>0</v>
      </c>
      <c r="AR31">
        <f t="shared" si="6"/>
        <v>0</v>
      </c>
      <c r="AS31">
        <f t="shared" si="7"/>
        <v>0</v>
      </c>
      <c r="AT31">
        <f t="shared" si="8"/>
        <v>0</v>
      </c>
      <c r="AU31">
        <f t="shared" si="9"/>
        <v>0</v>
      </c>
      <c r="AV31">
        <f t="shared" si="10"/>
        <v>0</v>
      </c>
      <c r="AW31">
        <f t="shared" si="11"/>
        <v>0</v>
      </c>
      <c r="AX31">
        <f t="shared" si="12"/>
        <v>0</v>
      </c>
      <c r="AY31">
        <f t="shared" si="13"/>
        <v>0</v>
      </c>
      <c r="AZ31">
        <f t="shared" si="14"/>
        <v>0</v>
      </c>
      <c r="BA31">
        <f t="shared" si="15"/>
        <v>0</v>
      </c>
      <c r="BB31">
        <f t="shared" si="16"/>
        <v>0</v>
      </c>
    </row>
    <row r="32" spans="1:54" x14ac:dyDescent="0.25">
      <c r="A32">
        <v>30</v>
      </c>
      <c r="B32" s="3" t="s">
        <v>87</v>
      </c>
      <c r="C32" s="19" t="s">
        <v>378</v>
      </c>
      <c r="D32" s="53" t="s">
        <v>454</v>
      </c>
      <c r="E32" s="3" t="s">
        <v>86</v>
      </c>
      <c r="F32" s="3" t="s">
        <v>65</v>
      </c>
      <c r="G32" s="3" t="s">
        <v>64</v>
      </c>
      <c r="H32" s="3" t="s">
        <v>1</v>
      </c>
      <c r="I32" s="22">
        <v>0.8</v>
      </c>
      <c r="J32" s="18" t="s">
        <v>72</v>
      </c>
      <c r="K32" s="3" t="s">
        <v>79</v>
      </c>
      <c r="L32" s="3">
        <v>0.5</v>
      </c>
      <c r="M32" s="53" t="s">
        <v>229</v>
      </c>
      <c r="N32" s="19"/>
      <c r="O32" s="19"/>
      <c r="P32" s="3"/>
      <c r="Q32" s="19" t="s">
        <v>232</v>
      </c>
      <c r="R32" s="42">
        <v>0</v>
      </c>
      <c r="S32" s="45">
        <v>0</v>
      </c>
      <c r="T32" s="45">
        <v>0</v>
      </c>
      <c r="U32" s="45">
        <v>0</v>
      </c>
      <c r="V32" s="45">
        <v>0</v>
      </c>
      <c r="W32" s="45">
        <v>0</v>
      </c>
      <c r="X32" s="45">
        <v>0</v>
      </c>
      <c r="Y32" s="45">
        <v>0</v>
      </c>
      <c r="Z32" t="str">
        <f t="shared" si="0"/>
        <v>FALSE</v>
      </c>
      <c r="AA32" s="3" t="s">
        <v>61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1</v>
      </c>
      <c r="AJ32" s="19">
        <v>1</v>
      </c>
      <c r="AK32" s="19">
        <v>1</v>
      </c>
      <c r="AL32" s="19">
        <v>0.02</v>
      </c>
      <c r="AM32">
        <f t="shared" si="1"/>
        <v>2.0000000000000001E-4</v>
      </c>
      <c r="AN32">
        <f t="shared" si="2"/>
        <v>0</v>
      </c>
      <c r="AO32">
        <f t="shared" si="3"/>
        <v>0</v>
      </c>
      <c r="AP32">
        <f t="shared" si="4"/>
        <v>0</v>
      </c>
      <c r="AQ32">
        <f t="shared" si="5"/>
        <v>0</v>
      </c>
      <c r="AR32">
        <f t="shared" si="6"/>
        <v>0</v>
      </c>
      <c r="AS32">
        <f t="shared" si="7"/>
        <v>0</v>
      </c>
      <c r="AT32">
        <f t="shared" si="8"/>
        <v>0</v>
      </c>
      <c r="AU32">
        <f t="shared" si="9"/>
        <v>0</v>
      </c>
      <c r="AV32">
        <f t="shared" si="10"/>
        <v>0</v>
      </c>
      <c r="AW32">
        <f t="shared" si="11"/>
        <v>0</v>
      </c>
      <c r="AX32">
        <f t="shared" si="12"/>
        <v>0</v>
      </c>
      <c r="AY32">
        <f t="shared" si="13"/>
        <v>0</v>
      </c>
      <c r="AZ32">
        <f t="shared" si="14"/>
        <v>0</v>
      </c>
      <c r="BA32">
        <f t="shared" si="15"/>
        <v>0</v>
      </c>
      <c r="BB32">
        <f t="shared" si="16"/>
        <v>0</v>
      </c>
    </row>
    <row r="33" spans="1:54" s="2" customFormat="1" x14ac:dyDescent="0.25">
      <c r="A33" s="2">
        <v>31</v>
      </c>
      <c r="B33" s="2" t="s">
        <v>85</v>
      </c>
      <c r="C33" s="2" t="s">
        <v>379</v>
      </c>
      <c r="D33" s="75"/>
      <c r="E33" s="2" t="s">
        <v>84</v>
      </c>
      <c r="F33" s="2" t="s">
        <v>65</v>
      </c>
      <c r="G33" s="2" t="s">
        <v>64</v>
      </c>
      <c r="H33" s="2" t="s">
        <v>83</v>
      </c>
      <c r="I33" s="10"/>
      <c r="J33" s="36" t="s">
        <v>55</v>
      </c>
      <c r="K33" s="2" t="s">
        <v>62</v>
      </c>
      <c r="L33" s="2">
        <v>0.5</v>
      </c>
      <c r="Q33" s="2" t="s">
        <v>232</v>
      </c>
      <c r="R33" s="42">
        <v>0</v>
      </c>
      <c r="S33" s="45">
        <v>0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t="str">
        <f t="shared" si="0"/>
        <v>TRUE</v>
      </c>
      <c r="AA33" s="2" t="s">
        <v>61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1</v>
      </c>
      <c r="AH33" s="37">
        <v>0</v>
      </c>
      <c r="AI33" s="37">
        <v>0</v>
      </c>
      <c r="AJ33" s="37">
        <v>0</v>
      </c>
      <c r="AK33" s="37">
        <v>1</v>
      </c>
      <c r="AL33" s="2">
        <v>0.05</v>
      </c>
      <c r="AM33">
        <f t="shared" si="1"/>
        <v>5.0000000000000001E-4</v>
      </c>
      <c r="AN33">
        <f t="shared" si="2"/>
        <v>0</v>
      </c>
      <c r="AO33">
        <f t="shared" si="3"/>
        <v>0</v>
      </c>
      <c r="AP33">
        <f t="shared" si="4"/>
        <v>0</v>
      </c>
      <c r="AQ33">
        <f t="shared" si="5"/>
        <v>0</v>
      </c>
      <c r="AR33">
        <f t="shared" si="6"/>
        <v>0</v>
      </c>
      <c r="AS33">
        <f t="shared" si="7"/>
        <v>0</v>
      </c>
      <c r="AT33">
        <f t="shared" si="8"/>
        <v>0</v>
      </c>
      <c r="AU33">
        <f t="shared" si="9"/>
        <v>0</v>
      </c>
      <c r="AV33">
        <f t="shared" si="10"/>
        <v>0</v>
      </c>
      <c r="AW33">
        <f t="shared" si="11"/>
        <v>0</v>
      </c>
      <c r="AX33">
        <f t="shared" si="12"/>
        <v>0</v>
      </c>
      <c r="AY33">
        <f t="shared" si="13"/>
        <v>0</v>
      </c>
      <c r="AZ33">
        <f t="shared" si="14"/>
        <v>0</v>
      </c>
      <c r="BA33">
        <f t="shared" si="15"/>
        <v>0</v>
      </c>
      <c r="BB33">
        <f t="shared" si="16"/>
        <v>0</v>
      </c>
    </row>
    <row r="34" spans="1:54" x14ac:dyDescent="0.25">
      <c r="A34">
        <v>32</v>
      </c>
      <c r="B34" s="3" t="s">
        <v>82</v>
      </c>
      <c r="C34" s="19" t="s">
        <v>377</v>
      </c>
      <c r="D34" s="53" t="s">
        <v>453</v>
      </c>
      <c r="E34" s="3" t="s">
        <v>81</v>
      </c>
      <c r="F34" s="3" t="s">
        <v>80</v>
      </c>
      <c r="G34" s="3" t="s">
        <v>57</v>
      </c>
      <c r="H34" s="3" t="s">
        <v>4</v>
      </c>
      <c r="I34" s="15">
        <v>0.4</v>
      </c>
      <c r="J34" s="18" t="s">
        <v>72</v>
      </c>
      <c r="K34" s="3" t="s">
        <v>79</v>
      </c>
      <c r="L34" s="3">
        <v>0.5</v>
      </c>
      <c r="M34" s="19" t="s">
        <v>229</v>
      </c>
      <c r="N34" s="19"/>
      <c r="O34" s="19"/>
      <c r="P34" s="3"/>
      <c r="Q34" s="19" t="s">
        <v>232</v>
      </c>
      <c r="R34" s="42">
        <v>0</v>
      </c>
      <c r="S34" s="45">
        <v>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t="str">
        <f t="shared" si="0"/>
        <v>FALSE</v>
      </c>
      <c r="AA34" s="3" t="s">
        <v>61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19">
        <v>0</v>
      </c>
      <c r="AI34" s="19">
        <v>1</v>
      </c>
      <c r="AJ34" s="19">
        <v>1</v>
      </c>
      <c r="AK34" s="19">
        <v>0</v>
      </c>
      <c r="AL34" s="19">
        <v>0.02</v>
      </c>
      <c r="AM34">
        <f t="shared" si="1"/>
        <v>2.0000000000000001E-4</v>
      </c>
      <c r="AN34">
        <f t="shared" si="2"/>
        <v>0</v>
      </c>
      <c r="AO34">
        <f t="shared" si="3"/>
        <v>0</v>
      </c>
      <c r="AP34">
        <f t="shared" si="4"/>
        <v>0</v>
      </c>
      <c r="AQ34">
        <f t="shared" si="5"/>
        <v>0</v>
      </c>
      <c r="AR34">
        <f t="shared" si="6"/>
        <v>0</v>
      </c>
      <c r="AS34">
        <f t="shared" si="7"/>
        <v>0</v>
      </c>
      <c r="AT34">
        <f t="shared" si="8"/>
        <v>0</v>
      </c>
      <c r="AU34">
        <f t="shared" si="9"/>
        <v>0</v>
      </c>
      <c r="AV34">
        <f t="shared" si="10"/>
        <v>0</v>
      </c>
      <c r="AW34">
        <f t="shared" si="11"/>
        <v>0</v>
      </c>
      <c r="AX34">
        <f t="shared" si="12"/>
        <v>0</v>
      </c>
      <c r="AY34">
        <f t="shared" si="13"/>
        <v>0</v>
      </c>
      <c r="AZ34">
        <f t="shared" si="14"/>
        <v>0</v>
      </c>
      <c r="BA34">
        <f t="shared" si="15"/>
        <v>0</v>
      </c>
      <c r="BB34">
        <f t="shared" si="16"/>
        <v>0</v>
      </c>
    </row>
    <row r="35" spans="1:54" s="2" customFormat="1" x14ac:dyDescent="0.25">
      <c r="A35" s="2">
        <v>33</v>
      </c>
      <c r="B35" s="2" t="s">
        <v>78</v>
      </c>
      <c r="C35" s="2" t="s">
        <v>380</v>
      </c>
      <c r="D35" s="75"/>
      <c r="E35" s="2" t="s">
        <v>77</v>
      </c>
      <c r="F35" s="2" t="s">
        <v>65</v>
      </c>
      <c r="G35" s="2" t="s">
        <v>64</v>
      </c>
      <c r="H35" s="2" t="s">
        <v>76</v>
      </c>
      <c r="I35" s="10"/>
      <c r="J35" s="36" t="s">
        <v>72</v>
      </c>
      <c r="K35" s="2" t="s">
        <v>62</v>
      </c>
      <c r="L35" s="2">
        <v>0.5</v>
      </c>
      <c r="Q35" s="2" t="s">
        <v>232</v>
      </c>
      <c r="R35" s="42"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t="str">
        <f t="shared" si="0"/>
        <v>TRUE</v>
      </c>
      <c r="AA35" s="2" t="s">
        <v>61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0.1</v>
      </c>
      <c r="AM35">
        <f t="shared" si="1"/>
        <v>1E-3</v>
      </c>
      <c r="AN35">
        <f t="shared" si="2"/>
        <v>0</v>
      </c>
      <c r="AO35">
        <f t="shared" si="3"/>
        <v>0</v>
      </c>
      <c r="AP35">
        <f t="shared" si="4"/>
        <v>0</v>
      </c>
      <c r="AQ35">
        <f t="shared" si="5"/>
        <v>0</v>
      </c>
      <c r="AR35">
        <f t="shared" si="6"/>
        <v>0</v>
      </c>
      <c r="AS35">
        <f t="shared" si="7"/>
        <v>0</v>
      </c>
      <c r="AT35">
        <f t="shared" si="8"/>
        <v>0</v>
      </c>
      <c r="AU35">
        <f t="shared" si="9"/>
        <v>0</v>
      </c>
      <c r="AV35">
        <f t="shared" si="10"/>
        <v>0</v>
      </c>
      <c r="AW35">
        <f t="shared" si="11"/>
        <v>0</v>
      </c>
      <c r="AX35">
        <f t="shared" si="12"/>
        <v>0</v>
      </c>
      <c r="AY35">
        <f t="shared" si="13"/>
        <v>0</v>
      </c>
      <c r="AZ35">
        <f t="shared" si="14"/>
        <v>0</v>
      </c>
      <c r="BA35">
        <f t="shared" si="15"/>
        <v>0</v>
      </c>
      <c r="BB35">
        <f t="shared" si="16"/>
        <v>0</v>
      </c>
    </row>
    <row r="36" spans="1:54" s="2" customFormat="1" x14ac:dyDescent="0.25">
      <c r="A36" s="2">
        <v>34</v>
      </c>
      <c r="B36" s="2" t="s">
        <v>75</v>
      </c>
      <c r="C36" s="2" t="s">
        <v>381</v>
      </c>
      <c r="D36" s="75"/>
      <c r="E36" s="2" t="s">
        <v>74</v>
      </c>
      <c r="F36" s="2" t="s">
        <v>65</v>
      </c>
      <c r="G36" s="2" t="s">
        <v>64</v>
      </c>
      <c r="H36" s="2" t="s">
        <v>1</v>
      </c>
      <c r="I36" s="10"/>
      <c r="J36" s="36" t="s">
        <v>72</v>
      </c>
      <c r="K36" s="2" t="s">
        <v>62</v>
      </c>
      <c r="L36" s="2">
        <v>0.5</v>
      </c>
      <c r="M36" s="37" t="s">
        <v>201</v>
      </c>
      <c r="Q36" s="37" t="s">
        <v>232</v>
      </c>
      <c r="R36" s="42">
        <v>0</v>
      </c>
      <c r="S36" s="45">
        <v>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  <c r="Z36" t="str">
        <f t="shared" si="0"/>
        <v>TRUE</v>
      </c>
      <c r="AA36" s="2" t="s">
        <v>61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1</v>
      </c>
      <c r="AL36" s="2">
        <v>0.05</v>
      </c>
      <c r="AM36">
        <f t="shared" si="1"/>
        <v>5.0000000000000001E-4</v>
      </c>
      <c r="AN36">
        <f t="shared" si="2"/>
        <v>0</v>
      </c>
      <c r="AO36">
        <f t="shared" si="3"/>
        <v>0</v>
      </c>
      <c r="AP36">
        <f t="shared" si="4"/>
        <v>0</v>
      </c>
      <c r="AQ36">
        <f t="shared" si="5"/>
        <v>0</v>
      </c>
      <c r="AR36">
        <f t="shared" si="6"/>
        <v>0</v>
      </c>
      <c r="AS36">
        <f t="shared" si="7"/>
        <v>0</v>
      </c>
      <c r="AT36">
        <f t="shared" si="8"/>
        <v>0</v>
      </c>
      <c r="AU36">
        <f t="shared" si="9"/>
        <v>0</v>
      </c>
      <c r="AV36">
        <f t="shared" si="10"/>
        <v>0</v>
      </c>
      <c r="AW36">
        <f t="shared" si="11"/>
        <v>0</v>
      </c>
      <c r="AX36">
        <f t="shared" si="12"/>
        <v>0</v>
      </c>
      <c r="AY36">
        <f t="shared" si="13"/>
        <v>0</v>
      </c>
      <c r="AZ36">
        <f t="shared" si="14"/>
        <v>0</v>
      </c>
      <c r="BA36">
        <f t="shared" si="15"/>
        <v>0</v>
      </c>
      <c r="BB36">
        <f t="shared" si="16"/>
        <v>0</v>
      </c>
    </row>
    <row r="37" spans="1:54" x14ac:dyDescent="0.25">
      <c r="A37">
        <v>35</v>
      </c>
      <c r="B37" s="3" t="s">
        <v>71</v>
      </c>
      <c r="C37" t="s">
        <v>382</v>
      </c>
      <c r="D37" s="72" t="s">
        <v>455</v>
      </c>
      <c r="E37" s="3" t="s">
        <v>70</v>
      </c>
      <c r="F37" s="3" t="s">
        <v>65</v>
      </c>
      <c r="G37" s="3" t="s">
        <v>57</v>
      </c>
      <c r="H37" t="s">
        <v>1</v>
      </c>
      <c r="I37" s="7">
        <v>30</v>
      </c>
      <c r="J37" s="17" t="s">
        <v>55</v>
      </c>
      <c r="K37" s="3" t="s">
        <v>62</v>
      </c>
      <c r="L37" s="3">
        <v>3</v>
      </c>
      <c r="M37" t="s">
        <v>229</v>
      </c>
      <c r="N37" s="3"/>
      <c r="O37" s="3"/>
      <c r="P37" s="3"/>
      <c r="Q37" t="s">
        <v>202</v>
      </c>
      <c r="R37" s="42">
        <v>0</v>
      </c>
      <c r="S37" s="45">
        <v>0</v>
      </c>
      <c r="T37" s="45">
        <v>0</v>
      </c>
      <c r="U37" s="45">
        <v>0</v>
      </c>
      <c r="V37" s="45">
        <v>0</v>
      </c>
      <c r="W37" s="45">
        <v>0</v>
      </c>
      <c r="X37" s="45">
        <v>0</v>
      </c>
      <c r="Y37" s="45">
        <v>0</v>
      </c>
      <c r="Z37" t="str">
        <f t="shared" si="0"/>
        <v>FALSE</v>
      </c>
      <c r="AA37" s="3" t="s">
        <v>61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19">
        <v>0</v>
      </c>
      <c r="AI37" s="19">
        <v>0</v>
      </c>
      <c r="AJ37" s="19">
        <v>0</v>
      </c>
      <c r="AK37" s="19">
        <v>1</v>
      </c>
      <c r="AL37" s="2">
        <v>0.05</v>
      </c>
      <c r="AM37">
        <f t="shared" si="1"/>
        <v>5.0000000000000001E-4</v>
      </c>
      <c r="AN37">
        <f t="shared" si="2"/>
        <v>0</v>
      </c>
      <c r="AO37">
        <f t="shared" si="3"/>
        <v>0</v>
      </c>
      <c r="AP37">
        <f t="shared" si="4"/>
        <v>0</v>
      </c>
      <c r="AQ37">
        <f t="shared" si="5"/>
        <v>0</v>
      </c>
      <c r="AR37">
        <f t="shared" si="6"/>
        <v>0</v>
      </c>
      <c r="AS37">
        <f t="shared" si="7"/>
        <v>0</v>
      </c>
      <c r="AT37">
        <f t="shared" si="8"/>
        <v>0</v>
      </c>
      <c r="AU37">
        <f t="shared" si="9"/>
        <v>0</v>
      </c>
      <c r="AV37">
        <f t="shared" si="10"/>
        <v>0</v>
      </c>
      <c r="AW37">
        <f t="shared" si="11"/>
        <v>0</v>
      </c>
      <c r="AX37">
        <f t="shared" si="12"/>
        <v>0</v>
      </c>
      <c r="AY37">
        <f t="shared" si="13"/>
        <v>0</v>
      </c>
      <c r="AZ37">
        <f t="shared" si="14"/>
        <v>0</v>
      </c>
      <c r="BA37">
        <f t="shared" si="15"/>
        <v>0</v>
      </c>
      <c r="BB37">
        <f t="shared" si="16"/>
        <v>0</v>
      </c>
    </row>
    <row r="38" spans="1:54" x14ac:dyDescent="0.25">
      <c r="A38">
        <v>36</v>
      </c>
      <c r="B38" s="21" t="s">
        <v>69</v>
      </c>
      <c r="C38" s="21" t="s">
        <v>383</v>
      </c>
      <c r="D38" s="78" t="s">
        <v>456</v>
      </c>
      <c r="E38" s="3" t="s">
        <v>68</v>
      </c>
      <c r="F38" s="3" t="s">
        <v>65</v>
      </c>
      <c r="G38" s="3" t="s">
        <v>57</v>
      </c>
      <c r="H38" t="s">
        <v>3</v>
      </c>
      <c r="I38" s="20">
        <v>3.2</v>
      </c>
      <c r="J38" s="17" t="s">
        <v>63</v>
      </c>
      <c r="K38" s="3" t="s">
        <v>62</v>
      </c>
      <c r="L38" s="3">
        <v>1</v>
      </c>
      <c r="M38" s="3" t="s">
        <v>230</v>
      </c>
      <c r="N38" s="3"/>
      <c r="O38" s="3"/>
      <c r="P38" s="3"/>
      <c r="Q38" s="3" t="s">
        <v>232</v>
      </c>
      <c r="R38" s="42">
        <v>0</v>
      </c>
      <c r="S38" s="45">
        <v>0</v>
      </c>
      <c r="T38" s="45">
        <v>0</v>
      </c>
      <c r="U38" s="45">
        <v>0</v>
      </c>
      <c r="V38" s="45">
        <v>0</v>
      </c>
      <c r="W38" s="45">
        <v>0</v>
      </c>
      <c r="X38" s="45">
        <v>0</v>
      </c>
      <c r="Y38" s="45">
        <v>0</v>
      </c>
      <c r="Z38" t="str">
        <f t="shared" si="0"/>
        <v>FALSE</v>
      </c>
      <c r="AA38" s="3" t="s">
        <v>61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19">
        <v>0</v>
      </c>
      <c r="AI38" s="19">
        <v>1</v>
      </c>
      <c r="AJ38" s="19">
        <v>0</v>
      </c>
      <c r="AK38" s="19">
        <v>0</v>
      </c>
      <c r="AL38" s="2">
        <v>0.02</v>
      </c>
      <c r="AM38">
        <f t="shared" si="1"/>
        <v>2.0000000000000001E-4</v>
      </c>
      <c r="AN38">
        <f t="shared" si="2"/>
        <v>0</v>
      </c>
      <c r="AO38">
        <f t="shared" si="3"/>
        <v>0</v>
      </c>
      <c r="AP38">
        <f t="shared" si="4"/>
        <v>0</v>
      </c>
      <c r="AQ38">
        <f t="shared" si="5"/>
        <v>0</v>
      </c>
      <c r="AR38">
        <f t="shared" si="6"/>
        <v>0</v>
      </c>
      <c r="AS38">
        <f t="shared" si="7"/>
        <v>0</v>
      </c>
      <c r="AT38">
        <f t="shared" si="8"/>
        <v>0</v>
      </c>
      <c r="AU38">
        <f t="shared" si="9"/>
        <v>0</v>
      </c>
      <c r="AV38">
        <f t="shared" si="10"/>
        <v>0</v>
      </c>
      <c r="AW38">
        <f t="shared" si="11"/>
        <v>0</v>
      </c>
      <c r="AX38">
        <f t="shared" si="12"/>
        <v>0</v>
      </c>
      <c r="AY38">
        <f t="shared" si="13"/>
        <v>0</v>
      </c>
      <c r="AZ38">
        <f t="shared" si="14"/>
        <v>0</v>
      </c>
      <c r="BA38">
        <f t="shared" si="15"/>
        <v>0</v>
      </c>
      <c r="BB38">
        <f t="shared" si="16"/>
        <v>0</v>
      </c>
    </row>
    <row r="39" spans="1:54" x14ac:dyDescent="0.25">
      <c r="A39">
        <v>37</v>
      </c>
      <c r="B39" s="3" t="s">
        <v>67</v>
      </c>
      <c r="C39" t="s">
        <v>384</v>
      </c>
      <c r="D39" s="72" t="s">
        <v>457</v>
      </c>
      <c r="E39" s="3" t="s">
        <v>66</v>
      </c>
      <c r="F39" s="3" t="s">
        <v>65</v>
      </c>
      <c r="G39" s="3" t="s">
        <v>64</v>
      </c>
      <c r="H39" t="s">
        <v>3</v>
      </c>
      <c r="I39" s="20">
        <v>5.8</v>
      </c>
      <c r="J39" s="17" t="s">
        <v>63</v>
      </c>
      <c r="K39" s="3" t="s">
        <v>62</v>
      </c>
      <c r="L39" s="3">
        <v>0.5</v>
      </c>
      <c r="M39" s="3" t="s">
        <v>230</v>
      </c>
      <c r="N39" s="3"/>
      <c r="O39" s="3"/>
      <c r="P39" s="3"/>
      <c r="Q39" s="3" t="s">
        <v>232</v>
      </c>
      <c r="R39" s="42">
        <v>0</v>
      </c>
      <c r="S39" s="45">
        <v>0</v>
      </c>
      <c r="T39" s="45">
        <v>0</v>
      </c>
      <c r="U39" s="45">
        <v>0</v>
      </c>
      <c r="V39" s="45">
        <v>0</v>
      </c>
      <c r="W39" s="45">
        <v>0</v>
      </c>
      <c r="X39" s="45">
        <v>0</v>
      </c>
      <c r="Y39" s="45">
        <v>0</v>
      </c>
      <c r="Z39" t="str">
        <f t="shared" si="0"/>
        <v>FALSE</v>
      </c>
      <c r="AA39" s="3" t="s">
        <v>61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19">
        <v>0</v>
      </c>
      <c r="AI39" s="19">
        <v>1</v>
      </c>
      <c r="AJ39" s="19">
        <v>0</v>
      </c>
      <c r="AK39" s="19">
        <v>0</v>
      </c>
      <c r="AL39" s="2">
        <v>0.05</v>
      </c>
      <c r="AM39">
        <f t="shared" si="1"/>
        <v>5.0000000000000001E-4</v>
      </c>
      <c r="AN39">
        <f t="shared" si="2"/>
        <v>0</v>
      </c>
      <c r="AO39">
        <f t="shared" si="3"/>
        <v>0</v>
      </c>
      <c r="AP39">
        <f t="shared" si="4"/>
        <v>0</v>
      </c>
      <c r="AQ39">
        <f t="shared" si="5"/>
        <v>0</v>
      </c>
      <c r="AR39">
        <f t="shared" si="6"/>
        <v>0</v>
      </c>
      <c r="AS39">
        <f t="shared" si="7"/>
        <v>0</v>
      </c>
      <c r="AT39">
        <f t="shared" si="8"/>
        <v>0</v>
      </c>
      <c r="AU39">
        <f t="shared" si="9"/>
        <v>0</v>
      </c>
      <c r="AV39">
        <f t="shared" si="10"/>
        <v>0</v>
      </c>
      <c r="AW39">
        <f t="shared" si="11"/>
        <v>0</v>
      </c>
      <c r="AX39">
        <f t="shared" si="12"/>
        <v>0</v>
      </c>
      <c r="AY39">
        <f t="shared" si="13"/>
        <v>0</v>
      </c>
      <c r="AZ39">
        <f t="shared" si="14"/>
        <v>0</v>
      </c>
      <c r="BA39">
        <f t="shared" si="15"/>
        <v>0</v>
      </c>
      <c r="BB39">
        <f t="shared" si="16"/>
        <v>0</v>
      </c>
    </row>
    <row r="40" spans="1:54" x14ac:dyDescent="0.25">
      <c r="A40">
        <v>38</v>
      </c>
      <c r="B40" s="3" t="s">
        <v>60</v>
      </c>
      <c r="C40" s="3" t="s">
        <v>385</v>
      </c>
      <c r="D40" s="53" t="s">
        <v>458</v>
      </c>
      <c r="E40" s="3" t="s">
        <v>59</v>
      </c>
      <c r="F40" s="3" t="s">
        <v>58</v>
      </c>
      <c r="G40" s="3" t="s">
        <v>57</v>
      </c>
      <c r="H40" t="s">
        <v>56</v>
      </c>
      <c r="I40" s="20">
        <v>1000</v>
      </c>
      <c r="J40" s="17" t="s">
        <v>55</v>
      </c>
      <c r="K40" s="3" t="s">
        <v>54</v>
      </c>
      <c r="L40" s="3">
        <v>5</v>
      </c>
      <c r="M40" s="3" t="s">
        <v>201</v>
      </c>
      <c r="N40" s="3"/>
      <c r="O40" s="3"/>
      <c r="P40" s="3"/>
      <c r="Q40" s="3" t="s">
        <v>202</v>
      </c>
      <c r="R40" s="42">
        <v>0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5">
        <v>0</v>
      </c>
      <c r="Y40" s="45">
        <v>0</v>
      </c>
      <c r="Z40" t="str">
        <f t="shared" si="0"/>
        <v>FALSE</v>
      </c>
      <c r="AA40" s="3" t="s">
        <v>335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1</v>
      </c>
      <c r="AH40" s="19">
        <v>1</v>
      </c>
      <c r="AI40" s="19">
        <v>1</v>
      </c>
      <c r="AJ40" s="19">
        <v>1</v>
      </c>
      <c r="AK40" s="19">
        <v>1</v>
      </c>
      <c r="AL40" s="2">
        <v>0.1</v>
      </c>
      <c r="AM40">
        <f t="shared" si="1"/>
        <v>1E-3</v>
      </c>
      <c r="AN40">
        <f>R40*AM40*(AB40+AG40)</f>
        <v>0</v>
      </c>
      <c r="AO40">
        <f t="shared" si="3"/>
        <v>0</v>
      </c>
      <c r="AP40">
        <f t="shared" si="4"/>
        <v>0</v>
      </c>
      <c r="AQ40">
        <f t="shared" si="5"/>
        <v>0</v>
      </c>
      <c r="AR40">
        <f t="shared" si="6"/>
        <v>0</v>
      </c>
      <c r="AS40">
        <f t="shared" si="7"/>
        <v>0</v>
      </c>
      <c r="AT40">
        <f t="shared" si="8"/>
        <v>0</v>
      </c>
      <c r="AU40">
        <f t="shared" si="9"/>
        <v>0</v>
      </c>
      <c r="AV40">
        <f t="shared" si="10"/>
        <v>0</v>
      </c>
      <c r="AW40">
        <f t="shared" si="11"/>
        <v>0</v>
      </c>
      <c r="AX40">
        <f t="shared" si="12"/>
        <v>0</v>
      </c>
      <c r="AY40">
        <f t="shared" si="13"/>
        <v>0</v>
      </c>
      <c r="AZ40">
        <f t="shared" si="14"/>
        <v>0</v>
      </c>
      <c r="BA40">
        <f t="shared" si="15"/>
        <v>0</v>
      </c>
      <c r="BB40">
        <f t="shared" si="16"/>
        <v>0</v>
      </c>
    </row>
    <row r="41" spans="1:54" x14ac:dyDescent="0.25">
      <c r="I41" s="7">
        <f>SUM(I3:I40)</f>
        <v>2268.5</v>
      </c>
    </row>
    <row r="43" spans="1:54" x14ac:dyDescent="0.25">
      <c r="B43" s="3"/>
      <c r="C43" s="3"/>
      <c r="D43" s="53"/>
      <c r="E43" s="3"/>
      <c r="F43" s="3"/>
      <c r="G43" s="3"/>
      <c r="H43" s="3"/>
      <c r="I43" s="15"/>
      <c r="J43" s="18"/>
      <c r="K43" s="3"/>
      <c r="L43" s="3"/>
      <c r="M43" s="3"/>
      <c r="N43" s="3"/>
      <c r="O43" s="3"/>
      <c r="P43" s="3"/>
      <c r="Q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54" x14ac:dyDescent="0.25">
      <c r="B44" s="3"/>
      <c r="C44" s="3"/>
      <c r="D44" s="53"/>
      <c r="E44" s="3"/>
      <c r="F44" s="3"/>
      <c r="G44" s="3"/>
      <c r="H44" s="3"/>
      <c r="I44" s="15"/>
      <c r="J44" s="18"/>
      <c r="K44" s="3"/>
      <c r="L44" s="3"/>
      <c r="M44" s="3"/>
      <c r="N44" s="3"/>
      <c r="O44" s="3"/>
      <c r="P44" s="3"/>
      <c r="Q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54" x14ac:dyDescent="0.25">
      <c r="B45" s="3"/>
      <c r="C45" s="3"/>
      <c r="D45" s="53"/>
      <c r="E45" s="3"/>
      <c r="F45" s="3"/>
      <c r="G45" s="3"/>
      <c r="H45" s="3"/>
      <c r="I45" s="15"/>
      <c r="J45" s="18"/>
      <c r="K45" s="3"/>
      <c r="L45" s="3"/>
      <c r="M45" s="3"/>
      <c r="N45" s="3"/>
      <c r="O45" s="3"/>
      <c r="P45" s="3"/>
      <c r="Q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</sheetData>
  <mergeCells count="6">
    <mergeCell ref="AB1:AF1"/>
    <mergeCell ref="AG1:AK1"/>
    <mergeCell ref="B1:B2"/>
    <mergeCell ref="F1:H1"/>
    <mergeCell ref="M2:P2"/>
    <mergeCell ref="C1:C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43"/>
  <sheetViews>
    <sheetView topLeftCell="A7" workbookViewId="0">
      <pane xSplit="1" topLeftCell="B1" activePane="topRight" state="frozen"/>
      <selection pane="topRight" activeCell="C18" sqref="C18"/>
    </sheetView>
  </sheetViews>
  <sheetFormatPr defaultRowHeight="15" x14ac:dyDescent="0.25"/>
  <cols>
    <col min="2" max="2" width="34.42578125" customWidth="1"/>
    <col min="3" max="3" width="32.28515625" bestFit="1" customWidth="1"/>
    <col min="4" max="4" width="36.28515625" bestFit="1" customWidth="1"/>
    <col min="5" max="5" width="39" bestFit="1" customWidth="1"/>
    <col min="6" max="7" width="15.85546875" customWidth="1"/>
    <col min="8" max="8" width="13.28515625" bestFit="1" customWidth="1"/>
    <col min="9" max="17" width="13.28515625" customWidth="1"/>
    <col min="18" max="18" width="13.42578125" bestFit="1" customWidth="1"/>
    <col min="19" max="21" width="13.42578125" customWidth="1"/>
    <col min="22" max="22" width="13.28515625" customWidth="1"/>
    <col min="23" max="23" width="22.85546875" customWidth="1"/>
    <col min="24" max="24" width="18.85546875" bestFit="1" customWidth="1"/>
    <col min="25" max="25" width="17.5703125" bestFit="1" customWidth="1"/>
    <col min="26" max="26" width="10.5703125" bestFit="1" customWidth="1"/>
  </cols>
  <sheetData>
    <row r="1" spans="1:27" x14ac:dyDescent="0.25">
      <c r="A1" t="s">
        <v>171</v>
      </c>
      <c r="B1" s="1" t="s">
        <v>185</v>
      </c>
      <c r="C1" s="66" t="s">
        <v>219</v>
      </c>
      <c r="D1" s="66"/>
      <c r="E1" s="66"/>
      <c r="F1" s="66"/>
      <c r="G1" s="66"/>
      <c r="H1" s="66" t="s">
        <v>227</v>
      </c>
      <c r="I1" s="66"/>
      <c r="J1" s="66"/>
      <c r="K1" s="66"/>
      <c r="L1" s="66"/>
      <c r="M1" s="66"/>
      <c r="N1" s="66"/>
      <c r="O1" s="35"/>
      <c r="P1" s="35"/>
      <c r="Q1" s="35"/>
      <c r="R1" s="38" t="s">
        <v>228</v>
      </c>
      <c r="S1" s="38"/>
      <c r="T1" s="38"/>
      <c r="U1" s="39"/>
      <c r="V1" s="39"/>
      <c r="W1" s="1" t="s">
        <v>263</v>
      </c>
    </row>
    <row r="2" spans="1:27" x14ac:dyDescent="0.25">
      <c r="B2" s="1" t="s">
        <v>223</v>
      </c>
      <c r="W2" t="s">
        <v>264</v>
      </c>
      <c r="X2" t="s">
        <v>265</v>
      </c>
      <c r="Y2" t="s">
        <v>270</v>
      </c>
      <c r="Z2" t="s">
        <v>271</v>
      </c>
      <c r="AA2" t="s">
        <v>191</v>
      </c>
    </row>
    <row r="3" spans="1:27" x14ac:dyDescent="0.25">
      <c r="A3" t="s">
        <v>201</v>
      </c>
      <c r="B3" t="s">
        <v>220</v>
      </c>
      <c r="C3" t="s">
        <v>199</v>
      </c>
      <c r="D3" t="s">
        <v>26</v>
      </c>
      <c r="E3" t="s">
        <v>115</v>
      </c>
      <c r="H3">
        <v>3</v>
      </c>
      <c r="I3">
        <v>9</v>
      </c>
      <c r="J3">
        <v>19</v>
      </c>
      <c r="K3">
        <v>22</v>
      </c>
      <c r="L3">
        <v>34</v>
      </c>
      <c r="M3">
        <v>38</v>
      </c>
      <c r="R3" t="s">
        <v>212</v>
      </c>
      <c r="S3" t="s">
        <v>213</v>
      </c>
      <c r="T3" t="s">
        <v>215</v>
      </c>
      <c r="W3" s="2"/>
      <c r="X3" s="2"/>
      <c r="Y3" s="3" t="e">
        <f>'INPUT - Housing per plan '!T11+'INPUT - Housing per plan '!T12+'INPUT - Housing per plan '!#REF!</f>
        <v>#REF!</v>
      </c>
      <c r="Z3" s="7">
        <f>'INPUT - Infra Projects'!I4+'INPUT - Infra Projects'!I5+'INPUT - Infra Projects'!I11+'INPUT - Infra Projects'!I21+'INPUT - Infra Projects'!I24+'INPUT - Infra Projects'!I33+'INPUT - Infra Projects'!I35+'INPUT - Infra Projects'!I36+'INPUT - Infra Projects'!I40</f>
        <v>1159.2</v>
      </c>
      <c r="AA3" s="7" t="e">
        <f>Y3-Z3</f>
        <v>#REF!</v>
      </c>
    </row>
    <row r="4" spans="1:27" x14ac:dyDescent="0.25">
      <c r="A4" t="s">
        <v>229</v>
      </c>
      <c r="B4" t="s">
        <v>225</v>
      </c>
      <c r="C4" t="s">
        <v>199</v>
      </c>
      <c r="D4" t="s">
        <v>115</v>
      </c>
      <c r="H4">
        <v>20</v>
      </c>
      <c r="I4">
        <v>21</v>
      </c>
      <c r="J4">
        <v>23</v>
      </c>
      <c r="K4">
        <v>24</v>
      </c>
      <c r="L4">
        <v>25</v>
      </c>
      <c r="M4">
        <v>26</v>
      </c>
      <c r="N4">
        <v>35</v>
      </c>
      <c r="R4" t="s">
        <v>214</v>
      </c>
      <c r="S4" t="s">
        <v>216</v>
      </c>
      <c r="T4" t="s">
        <v>217</v>
      </c>
      <c r="W4" s="2"/>
      <c r="X4" s="2"/>
      <c r="Y4" s="3" t="e">
        <f>'INPUT - Housing per plan '!T13+'INPUT - Housing per plan '!T14+'INPUT - Housing per plan '!#REF!</f>
        <v>#REF!</v>
      </c>
      <c r="Z4" s="7">
        <f>'INPUT - Infra Projects'!I22+'INPUT - Infra Projects'!I23+'INPUT - Infra Projects'!I25+'INPUT - Infra Projects'!I26+'INPUT - Infra Projects'!I27+'INPUT - Infra Projects'!I28+'INPUT - Infra Projects'!I33+'INPUT - Infra Projects'!I35+'INPUT - Infra Projects'!I37</f>
        <v>488.5</v>
      </c>
      <c r="AA4" s="7" t="e">
        <f t="shared" ref="AA4:AA7" si="0">Y4-Z4</f>
        <v>#REF!</v>
      </c>
    </row>
    <row r="5" spans="1:27" x14ac:dyDescent="0.25">
      <c r="A5" t="s">
        <v>203</v>
      </c>
      <c r="B5" t="s">
        <v>221</v>
      </c>
      <c r="C5" t="s">
        <v>4</v>
      </c>
      <c r="D5" t="s">
        <v>115</v>
      </c>
      <c r="H5">
        <v>2</v>
      </c>
      <c r="I5">
        <v>4</v>
      </c>
      <c r="J5">
        <v>14</v>
      </c>
      <c r="K5">
        <v>16</v>
      </c>
      <c r="L5">
        <v>17</v>
      </c>
      <c r="M5">
        <v>27</v>
      </c>
      <c r="N5">
        <v>30</v>
      </c>
      <c r="O5">
        <v>32</v>
      </c>
      <c r="R5" t="s">
        <v>204</v>
      </c>
      <c r="S5" t="s">
        <v>205</v>
      </c>
      <c r="T5" t="s">
        <v>206</v>
      </c>
      <c r="U5" t="s">
        <v>207</v>
      </c>
      <c r="V5" t="s">
        <v>208</v>
      </c>
      <c r="W5" s="2"/>
      <c r="X5" s="2"/>
      <c r="Y5" s="3">
        <f>'INPUT - Housing per plan '!T4+'INPUT - Housing per plan '!T5+'INPUT - Housing per plan '!T6+'INPUT - Housing per plan '!T7+'INPUT - Housing per plan '!T8</f>
        <v>0</v>
      </c>
      <c r="Z5" s="7">
        <f>'INPUT - Infra Projects'!I3+'INPUT - Infra Projects'!I4+'INPUT - Infra Projects'!I6+'INPUT - Infra Projects'!I16+'INPUT - Infra Projects'!I18+'INPUT - Infra Projects'!I19+'INPUT - Infra Projects'!I26+'INPUT - Infra Projects'!I29+'INPUT - Infra Projects'!I32+'INPUT - Infra Projects'!I34+'INPUT - Infra Projects'!I35</f>
        <v>393</v>
      </c>
      <c r="AA5" s="7">
        <f t="shared" si="0"/>
        <v>-393</v>
      </c>
    </row>
    <row r="6" spans="1:27" x14ac:dyDescent="0.25">
      <c r="A6" t="s">
        <v>230</v>
      </c>
      <c r="B6" t="s">
        <v>3</v>
      </c>
      <c r="C6" t="s">
        <v>3</v>
      </c>
      <c r="D6" t="s">
        <v>115</v>
      </c>
      <c r="H6">
        <v>1</v>
      </c>
      <c r="I6">
        <v>7</v>
      </c>
      <c r="J6">
        <v>8</v>
      </c>
      <c r="K6">
        <v>11</v>
      </c>
      <c r="L6">
        <v>12</v>
      </c>
      <c r="M6">
        <v>15</v>
      </c>
      <c r="N6">
        <v>28</v>
      </c>
      <c r="O6">
        <v>29</v>
      </c>
      <c r="P6">
        <v>36</v>
      </c>
      <c r="Q6">
        <v>37</v>
      </c>
      <c r="R6" t="s">
        <v>200</v>
      </c>
      <c r="W6" s="2"/>
      <c r="X6" s="9"/>
      <c r="Y6" s="3">
        <f>'INPUT - Housing per plan '!T3</f>
        <v>0</v>
      </c>
      <c r="Z6" s="7">
        <f>'INPUT - Infra Projects'!I3+'INPUT - Infra Projects'!I9+'INPUT - Infra Projects'!I10+'INPUT - Infra Projects'!I13+'INPUT - Infra Projects'!I14+'INPUT - Infra Projects'!I17+'INPUT - Infra Projects'!I30+'INPUT - Infra Projects'!I31+'INPUT - Infra Projects'!I35+'INPUT - Infra Projects'!I38+'INPUT - Infra Projects'!I39</f>
        <v>284.89999999999998</v>
      </c>
      <c r="AA6" s="7">
        <f t="shared" si="0"/>
        <v>-284.89999999999998</v>
      </c>
    </row>
    <row r="7" spans="1:27" x14ac:dyDescent="0.25">
      <c r="A7" t="s">
        <v>231</v>
      </c>
      <c r="B7" t="s">
        <v>218</v>
      </c>
      <c r="C7" t="s">
        <v>39</v>
      </c>
      <c r="D7" t="s">
        <v>26</v>
      </c>
      <c r="E7" t="s">
        <v>4</v>
      </c>
      <c r="F7" t="s">
        <v>3</v>
      </c>
      <c r="G7" t="s">
        <v>115</v>
      </c>
      <c r="H7">
        <v>5</v>
      </c>
      <c r="I7">
        <v>6</v>
      </c>
      <c r="J7">
        <v>10</v>
      </c>
      <c r="K7">
        <v>13</v>
      </c>
      <c r="L7">
        <v>18</v>
      </c>
      <c r="R7" t="s">
        <v>209</v>
      </c>
      <c r="S7" t="s">
        <v>210</v>
      </c>
      <c r="T7" t="s">
        <v>211</v>
      </c>
      <c r="W7" s="2"/>
      <c r="X7" s="2"/>
      <c r="Y7" s="3" t="e">
        <f>'INPUT - Housing per plan '!T9+'INPUT - Housing per plan '!#REF!+'INPUT - Housing per plan '!T10</f>
        <v>#REF!</v>
      </c>
      <c r="Z7" s="7">
        <f>'INPUT - Infra Projects'!I7+'INPUT - Infra Projects'!I8+'INPUT - Infra Projects'!I12+'INPUT - Infra Projects'!I15+'INPUT - Infra Projects'!I20</f>
        <v>203</v>
      </c>
      <c r="AA7" s="7" t="e">
        <f t="shared" si="0"/>
        <v>#REF!</v>
      </c>
    </row>
    <row r="8" spans="1:27" x14ac:dyDescent="0.25">
      <c r="W8" s="3"/>
      <c r="X8" s="3"/>
      <c r="Y8" s="3"/>
    </row>
    <row r="9" spans="1:27" x14ac:dyDescent="0.25">
      <c r="B9" s="1" t="s">
        <v>224</v>
      </c>
      <c r="W9" s="3"/>
      <c r="X9" s="3"/>
      <c r="Y9" s="3"/>
    </row>
    <row r="10" spans="1:27" x14ac:dyDescent="0.25">
      <c r="A10" t="s">
        <v>202</v>
      </c>
      <c r="B10" s="67" t="s">
        <v>222</v>
      </c>
      <c r="C10" s="67" t="s">
        <v>115</v>
      </c>
      <c r="D10" s="68" t="s">
        <v>79</v>
      </c>
      <c r="E10" s="67"/>
      <c r="F10" s="67"/>
      <c r="G10" s="67"/>
      <c r="W10" s="3"/>
      <c r="X10" s="3"/>
      <c r="Y10" s="3"/>
    </row>
    <row r="11" spans="1:27" x14ac:dyDescent="0.25">
      <c r="B11" s="67"/>
      <c r="C11" s="67"/>
      <c r="D11" s="68"/>
      <c r="E11" s="67"/>
      <c r="F11" s="67"/>
      <c r="G11" s="67"/>
      <c r="W11" s="3"/>
      <c r="X11" s="3"/>
      <c r="Y11" s="3"/>
    </row>
    <row r="12" spans="1:27" x14ac:dyDescent="0.25">
      <c r="A12" t="s">
        <v>232</v>
      </c>
      <c r="B12" t="s">
        <v>226</v>
      </c>
      <c r="C12" t="s">
        <v>115</v>
      </c>
      <c r="D12" t="s">
        <v>79</v>
      </c>
      <c r="K12">
        <v>31</v>
      </c>
      <c r="M12">
        <v>33</v>
      </c>
      <c r="W12" s="3"/>
      <c r="X12" s="3"/>
      <c r="Y12" s="3"/>
    </row>
    <row r="14" spans="1:27" x14ac:dyDescent="0.25">
      <c r="A14" s="71" t="s">
        <v>390</v>
      </c>
      <c r="B14" t="s">
        <v>396</v>
      </c>
      <c r="C14" s="69" t="s">
        <v>391</v>
      </c>
      <c r="D14" s="70" t="s">
        <v>392</v>
      </c>
      <c r="E14" s="70"/>
      <c r="F14" s="70"/>
    </row>
    <row r="15" spans="1:27" x14ac:dyDescent="0.25">
      <c r="A15" s="71"/>
      <c r="C15" s="69"/>
      <c r="D15" s="1" t="s">
        <v>393</v>
      </c>
      <c r="E15" s="1" t="s">
        <v>395</v>
      </c>
      <c r="F15" s="1" t="s">
        <v>394</v>
      </c>
    </row>
    <row r="16" spans="1:27" x14ac:dyDescent="0.25">
      <c r="A16" s="68" t="s">
        <v>201</v>
      </c>
      <c r="B16" s="68" t="s">
        <v>220</v>
      </c>
      <c r="C16" t="s">
        <v>27</v>
      </c>
      <c r="D16" s="3" t="s">
        <v>358</v>
      </c>
      <c r="E16" t="s">
        <v>381</v>
      </c>
    </row>
    <row r="17" spans="1:6" x14ac:dyDescent="0.25">
      <c r="A17" s="68"/>
      <c r="B17" s="68"/>
      <c r="C17" t="s">
        <v>28</v>
      </c>
      <c r="D17" s="3" t="s">
        <v>367</v>
      </c>
      <c r="E17" s="3" t="s">
        <v>352</v>
      </c>
    </row>
    <row r="18" spans="1:6" x14ac:dyDescent="0.25">
      <c r="A18" s="68"/>
      <c r="B18" s="68"/>
      <c r="D18" s="72" t="s">
        <v>370</v>
      </c>
    </row>
    <row r="19" spans="1:6" x14ac:dyDescent="0.25">
      <c r="A19" s="68"/>
      <c r="B19" s="68"/>
      <c r="D19" t="s">
        <v>385</v>
      </c>
    </row>
    <row r="20" spans="1:6" x14ac:dyDescent="0.25">
      <c r="A20" s="68" t="s">
        <v>229</v>
      </c>
      <c r="B20" s="68" t="s">
        <v>225</v>
      </c>
      <c r="C20" t="s">
        <v>29</v>
      </c>
      <c r="D20" s="3" t="s">
        <v>367</v>
      </c>
      <c r="E20" t="s">
        <v>382</v>
      </c>
    </row>
    <row r="21" spans="1:6" x14ac:dyDescent="0.25">
      <c r="A21" s="68"/>
      <c r="B21" s="68"/>
      <c r="C21" t="s">
        <v>31</v>
      </c>
      <c r="D21" s="19" t="s">
        <v>368</v>
      </c>
      <c r="E21" s="53" t="s">
        <v>378</v>
      </c>
    </row>
    <row r="22" spans="1:6" x14ac:dyDescent="0.25">
      <c r="A22" s="68"/>
      <c r="B22" s="68"/>
      <c r="D22" s="19" t="s">
        <v>369</v>
      </c>
    </row>
    <row r="23" spans="1:6" x14ac:dyDescent="0.25">
      <c r="A23" s="68"/>
      <c r="B23" s="68"/>
      <c r="D23" s="19" t="s">
        <v>371</v>
      </c>
    </row>
    <row r="24" spans="1:6" x14ac:dyDescent="0.25">
      <c r="A24" s="68"/>
      <c r="B24" s="68"/>
      <c r="D24" s="19" t="s">
        <v>372</v>
      </c>
    </row>
    <row r="25" spans="1:6" x14ac:dyDescent="0.25">
      <c r="A25" s="68"/>
      <c r="B25" s="68"/>
      <c r="D25" s="19" t="s">
        <v>373</v>
      </c>
    </row>
    <row r="26" spans="1:6" x14ac:dyDescent="0.25">
      <c r="A26" s="68"/>
      <c r="B26" s="68"/>
      <c r="D26" s="19" t="s">
        <v>100</v>
      </c>
    </row>
    <row r="27" spans="1:6" x14ac:dyDescent="0.25">
      <c r="A27" s="67" t="s">
        <v>203</v>
      </c>
      <c r="B27" s="68" t="s">
        <v>221</v>
      </c>
      <c r="C27" t="s">
        <v>21</v>
      </c>
      <c r="D27" s="3" t="s">
        <v>353</v>
      </c>
      <c r="E27" s="19" t="s">
        <v>377</v>
      </c>
      <c r="F27" s="3" t="s">
        <v>351</v>
      </c>
    </row>
    <row r="28" spans="1:6" x14ac:dyDescent="0.25">
      <c r="A28" s="67"/>
      <c r="B28" s="68"/>
      <c r="C28" s="3" t="s">
        <v>22</v>
      </c>
      <c r="D28" s="3" t="s">
        <v>363</v>
      </c>
    </row>
    <row r="29" spans="1:6" x14ac:dyDescent="0.25">
      <c r="A29" s="67"/>
      <c r="B29" s="68"/>
      <c r="C29" t="s">
        <v>23</v>
      </c>
      <c r="D29" s="3" t="s">
        <v>365</v>
      </c>
    </row>
    <row r="30" spans="1:6" x14ac:dyDescent="0.25">
      <c r="A30" s="67"/>
      <c r="B30" s="68"/>
      <c r="C30" t="s">
        <v>24</v>
      </c>
      <c r="D30" s="3" t="s">
        <v>366</v>
      </c>
    </row>
    <row r="31" spans="1:6" x14ac:dyDescent="0.25">
      <c r="A31" s="67"/>
      <c r="B31" s="68"/>
      <c r="C31" t="s">
        <v>25</v>
      </c>
      <c r="D31" s="19" t="s">
        <v>374</v>
      </c>
    </row>
    <row r="32" spans="1:6" x14ac:dyDescent="0.25">
      <c r="A32" s="68" t="s">
        <v>230</v>
      </c>
      <c r="B32" s="68" t="s">
        <v>3</v>
      </c>
      <c r="C32" t="s">
        <v>18</v>
      </c>
      <c r="D32" s="3" t="s">
        <v>356</v>
      </c>
      <c r="E32" s="19" t="s">
        <v>375</v>
      </c>
      <c r="F32" s="3" t="s">
        <v>350</v>
      </c>
    </row>
    <row r="33" spans="1:5" x14ac:dyDescent="0.25">
      <c r="A33" s="68"/>
      <c r="B33" s="68"/>
      <c r="D33" s="3" t="s">
        <v>357</v>
      </c>
      <c r="E33" s="19" t="s">
        <v>376</v>
      </c>
    </row>
    <row r="34" spans="1:5" x14ac:dyDescent="0.25">
      <c r="A34" s="68"/>
      <c r="B34" s="68"/>
      <c r="D34" s="3" t="s">
        <v>360</v>
      </c>
      <c r="E34" s="21" t="s">
        <v>383</v>
      </c>
    </row>
    <row r="35" spans="1:5" x14ac:dyDescent="0.25">
      <c r="A35" s="68"/>
      <c r="B35" s="68"/>
      <c r="D35" s="3" t="s">
        <v>361</v>
      </c>
      <c r="E35" t="s">
        <v>384</v>
      </c>
    </row>
    <row r="36" spans="1:5" x14ac:dyDescent="0.25">
      <c r="A36" s="68"/>
      <c r="B36" s="68"/>
      <c r="D36" s="3" t="s">
        <v>364</v>
      </c>
    </row>
    <row r="37" spans="1:5" x14ac:dyDescent="0.25">
      <c r="A37" s="68" t="s">
        <v>231</v>
      </c>
      <c r="B37" s="68" t="s">
        <v>218</v>
      </c>
      <c r="C37" t="s">
        <v>11</v>
      </c>
      <c r="D37" s="3" t="s">
        <v>354</v>
      </c>
    </row>
    <row r="38" spans="1:5" x14ac:dyDescent="0.25">
      <c r="A38" s="68"/>
      <c r="B38" s="68"/>
      <c r="C38" s="3" t="s">
        <v>14</v>
      </c>
      <c r="D38" s="3" t="s">
        <v>355</v>
      </c>
    </row>
    <row r="39" spans="1:5" x14ac:dyDescent="0.25">
      <c r="A39" s="68"/>
      <c r="B39" s="68"/>
      <c r="C39" t="s">
        <v>17</v>
      </c>
      <c r="D39" s="3" t="s">
        <v>359</v>
      </c>
    </row>
    <row r="40" spans="1:5" x14ac:dyDescent="0.25">
      <c r="A40" s="68"/>
      <c r="B40" s="68"/>
      <c r="D40" s="3" t="s">
        <v>362</v>
      </c>
    </row>
    <row r="41" spans="1:5" x14ac:dyDescent="0.25">
      <c r="A41" s="68"/>
      <c r="B41" s="68"/>
      <c r="D41" s="53" t="s">
        <v>305</v>
      </c>
    </row>
    <row r="42" spans="1:5" x14ac:dyDescent="0.25">
      <c r="A42" s="68" t="s">
        <v>232</v>
      </c>
      <c r="B42" s="68" t="s">
        <v>226</v>
      </c>
      <c r="E42" t="s">
        <v>379</v>
      </c>
    </row>
    <row r="43" spans="1:5" x14ac:dyDescent="0.25">
      <c r="A43" s="68"/>
      <c r="B43" s="68"/>
      <c r="E43" t="s">
        <v>380</v>
      </c>
    </row>
  </sheetData>
  <mergeCells count="23">
    <mergeCell ref="B27:B31"/>
    <mergeCell ref="B32:B36"/>
    <mergeCell ref="B37:B41"/>
    <mergeCell ref="B42:B43"/>
    <mergeCell ref="A27:A31"/>
    <mergeCell ref="A32:A36"/>
    <mergeCell ref="A37:A41"/>
    <mergeCell ref="A42:A43"/>
    <mergeCell ref="C14:C15"/>
    <mergeCell ref="D14:F14"/>
    <mergeCell ref="A14:A15"/>
    <mergeCell ref="A16:A19"/>
    <mergeCell ref="A20:A26"/>
    <mergeCell ref="B16:B19"/>
    <mergeCell ref="B20:B26"/>
    <mergeCell ref="B10:B11"/>
    <mergeCell ref="H1:N1"/>
    <mergeCell ref="C1:G1"/>
    <mergeCell ref="C10:C11"/>
    <mergeCell ref="D10:D11"/>
    <mergeCell ref="E10:E11"/>
    <mergeCell ref="F10:F11"/>
    <mergeCell ref="G10:G1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8"/>
  <sheetViews>
    <sheetView workbookViewId="0">
      <selection activeCell="E30" sqref="E30"/>
    </sheetView>
  </sheetViews>
  <sheetFormatPr defaultRowHeight="15" x14ac:dyDescent="0.25"/>
  <cols>
    <col min="1" max="1" width="25" bestFit="1" customWidth="1"/>
    <col min="2" max="2" width="17.42578125" customWidth="1"/>
    <col min="3" max="3" width="18.42578125" bestFit="1" customWidth="1"/>
    <col min="4" max="4" width="15.140625" bestFit="1" customWidth="1"/>
  </cols>
  <sheetData>
    <row r="1" spans="1:5" x14ac:dyDescent="0.25">
      <c r="A1" s="1" t="s">
        <v>5</v>
      </c>
      <c r="B1" s="50" t="s">
        <v>236</v>
      </c>
      <c r="C1" s="1" t="s">
        <v>187</v>
      </c>
      <c r="D1" s="1" t="s">
        <v>188</v>
      </c>
      <c r="E1" s="1" t="s">
        <v>189</v>
      </c>
    </row>
    <row r="2" spans="1:5" s="2" customFormat="1" x14ac:dyDescent="0.25">
      <c r="A2" s="2" t="s">
        <v>26</v>
      </c>
      <c r="C2" s="2">
        <f>SUM('INPUT - Infra Projects'!AS3:AS40)</f>
        <v>0</v>
      </c>
      <c r="D2" s="2">
        <f>SUM('INPUT - Infra Projects'!AX3:AX40)</f>
        <v>0</v>
      </c>
      <c r="E2" s="2">
        <f>SUM(C2:D2)</f>
        <v>0</v>
      </c>
    </row>
    <row r="3" spans="1:5" x14ac:dyDescent="0.25">
      <c r="A3" t="s">
        <v>39</v>
      </c>
      <c r="B3" s="2"/>
      <c r="C3">
        <f>SUM('INPUT - Infra Projects'!AT3:AT40)</f>
        <v>0</v>
      </c>
      <c r="D3">
        <f>SUM('INPUT - Infra Projects'!AY3:AY40)</f>
        <v>0</v>
      </c>
      <c r="E3">
        <f t="shared" ref="E3:E6" si="0">SUM(C3:D3)</f>
        <v>0</v>
      </c>
    </row>
    <row r="4" spans="1:5" x14ac:dyDescent="0.25">
      <c r="A4" t="s">
        <v>3</v>
      </c>
      <c r="B4" s="2"/>
      <c r="C4">
        <f>SUM('INPUT - Infra Projects'!AU3:AU40)</f>
        <v>0</v>
      </c>
      <c r="D4">
        <f>SUM('INPUT - Infra Projects'!AZ3:AZ40)</f>
        <v>0</v>
      </c>
      <c r="E4">
        <f t="shared" si="0"/>
        <v>0</v>
      </c>
    </row>
    <row r="5" spans="1:5" x14ac:dyDescent="0.25">
      <c r="A5" t="s">
        <v>4</v>
      </c>
      <c r="B5" s="2"/>
      <c r="C5">
        <f>SUM('INPUT - Infra Projects'!AV3:AV40)</f>
        <v>0</v>
      </c>
      <c r="D5">
        <f>SUM('INPUT - Infra Projects'!BA3:BA40)</f>
        <v>0</v>
      </c>
      <c r="E5">
        <f t="shared" si="0"/>
        <v>0</v>
      </c>
    </row>
    <row r="6" spans="1:5" x14ac:dyDescent="0.25">
      <c r="A6" t="s">
        <v>1</v>
      </c>
      <c r="B6" s="2"/>
      <c r="C6">
        <f>SUM('INPUT - Infra Projects'!AW3:AW40)</f>
        <v>0</v>
      </c>
      <c r="D6">
        <f>SUM('INPUT - Infra Projects'!BB3:BB40)</f>
        <v>0</v>
      </c>
      <c r="E6">
        <f t="shared" si="0"/>
        <v>0</v>
      </c>
    </row>
    <row r="7" spans="1:5" x14ac:dyDescent="0.25">
      <c r="A7" t="s">
        <v>186</v>
      </c>
      <c r="B7" s="2"/>
      <c r="C7">
        <f>SUM(C2:C6)/5</f>
        <v>0</v>
      </c>
      <c r="D7">
        <f t="shared" ref="D7:E7" si="1">SUM(D2:D6)/5</f>
        <v>0</v>
      </c>
      <c r="E7">
        <f t="shared" si="1"/>
        <v>0</v>
      </c>
    </row>
    <row r="9" spans="1:5" x14ac:dyDescent="0.25">
      <c r="B9" t="s">
        <v>347</v>
      </c>
      <c r="C9" s="1" t="s">
        <v>333</v>
      </c>
      <c r="D9" s="1" t="s">
        <v>334</v>
      </c>
      <c r="E9" s="1" t="s">
        <v>159</v>
      </c>
    </row>
    <row r="10" spans="1:5" x14ac:dyDescent="0.25">
      <c r="A10" t="s">
        <v>326</v>
      </c>
      <c r="B10" s="58">
        <v>0</v>
      </c>
      <c r="C10" s="58">
        <f>(SUMIFS('INPUT - Infra Projects'!AM3:AM40,'INPUT - Infra Projects'!S3:S40,"1",'INPUT - Infra Projects'!AA3:AA40,"CAR",'INPUT - Infra Projects'!M3:M40,"p1"))/(SUMIFS('INPUT - Infra Projects'!AM3:AM40,'INPUT - Infra Projects'!AA3:AA40,"CAR",'INPUT - Infra Projects'!M3:M40,"p1"))*100</f>
        <v>0</v>
      </c>
      <c r="D10" s="58">
        <f>SUMIFS('INPUT - Infra Projects'!AM3:AM40,'INPUT - Infra Projects'!S3:S40,"1",'INPUT - Infra Projects'!AA3:AA40,"PT",'INPUT - Infra Projects'!M3:M40,"p1")</f>
        <v>0</v>
      </c>
      <c r="E10" s="58" t="e">
        <f>(SUMIFS('INPUT - Infra Projects'!$AM$3:$AM$40,'INPUT - Infra Projects'!$S$3:$S$40,"1",'INPUT - Infra Projects'!$AA$3:$AA$40,"BIC",'INPUT - Infra Projects'!$M$3:$M$40,"p1"))/(SUMIFS('INPUT - Infra Projects'!$AM$3:$AM$40,'INPUT - Infra Projects'!$AA$3:$AA$40,"BIC",'INPUT - Infra Projects'!$M$3:$M$40,"p1"))*100</f>
        <v>#DIV/0!</v>
      </c>
    </row>
    <row r="11" spans="1:5" x14ac:dyDescent="0.25">
      <c r="A11" t="s">
        <v>327</v>
      </c>
      <c r="B11" s="58">
        <v>0</v>
      </c>
      <c r="C11" s="58">
        <f>SUMIFS('INPUT - Infra Projects'!AM3:AM40,'INPUT - Infra Projects'!S3:S40,"1",'INPUT - Infra Projects'!AA3:AA40,"CAR",'INPUT - Infra Projects'!M3:M40,"p2")/SUMIFS('INPUT - Infra Projects'!AM3:AM40,'INPUT - Infra Projects'!AA3:AA40,"CAR",'INPUT - Infra Projects'!M3:M40,"p2")*100</f>
        <v>0</v>
      </c>
      <c r="D11" s="58">
        <f>(SUMIFS('INPUT - Infra Projects'!$AM$3:$AM$40,'INPUT - Infra Projects'!$S$3:$S$40,"1",'INPUT - Infra Projects'!$AA$3:$AA$40,"PT",'INPUT - Infra Projects'!$M$3:$M$40,"p2"))/(SUMIFS('INPUT - Infra Projects'!$AM$3:$AM$40,'INPUT - Infra Projects'!$AA$3:$AA$40,"PT",'INPUT - Infra Projects'!$M$3:$M$40,"p2"))*100</f>
        <v>0</v>
      </c>
      <c r="E11" s="58" t="e">
        <f>(SUMIFS('INPUT - Infra Projects'!$AM$3:$AM$40,'INPUT - Infra Projects'!$S$3:$S$40,"1",'INPUT - Infra Projects'!$AA$3:$AA$40,"BIC",'INPUT - Infra Projects'!$M$3:$M$40,"p2"))/(SUMIFS('INPUT - Infra Projects'!$AM$3:$AM$40,'INPUT - Infra Projects'!$AA$3:$AA$40,"BIC",'INPUT - Infra Projects'!$M$3:$M$40,"p2"))*100</f>
        <v>#DIV/0!</v>
      </c>
    </row>
    <row r="12" spans="1:5" x14ac:dyDescent="0.25">
      <c r="A12" t="s">
        <v>328</v>
      </c>
      <c r="B12" s="58">
        <v>0</v>
      </c>
      <c r="C12" s="58">
        <f>SUMIFS('INPUT - Infra Projects'!AM3:AM40,'INPUT - Infra Projects'!S3:S40,"1",'INPUT - Infra Projects'!AA3:AA40,"CAR",'INPUT - Infra Projects'!M3:M40,"p3")/SUMIFS('INPUT - Infra Projects'!AM3:AM40,'INPUT - Infra Projects'!AA3:AA40,"CAR",'INPUT - Infra Projects'!M3:M40,"p3")*100</f>
        <v>0</v>
      </c>
      <c r="D12" s="58">
        <f>(SUMIFS('INPUT - Infra Projects'!$AM$3:$AM$40,'INPUT - Infra Projects'!$S$3:$S$40,"1",'INPUT - Infra Projects'!$AA$3:$AA$40,"PT",'INPUT - Infra Projects'!$M$3:$M$40,"p3"))/(SUMIFS('INPUT - Infra Projects'!$AM$3:$AM$40,'INPUT - Infra Projects'!$AA$3:$AA$40,"PT",'INPUT - Infra Projects'!$M$3:$M$40,"p3"))*100</f>
        <v>0</v>
      </c>
      <c r="E12" s="58">
        <f>(SUMIFS('INPUT - Infra Projects'!$AM$3:$AM$40,'INPUT - Infra Projects'!$S$3:$S$40,"1",'INPUT - Infra Projects'!$AA$3:$AA$40,"BIC",'INPUT - Infra Projects'!$M$3:$M$40,"p3"))/(SUMIFS('INPUT - Infra Projects'!$AM$3:$AM$40,'INPUT - Infra Projects'!$AA$3:$AA$40,"BIC",'INPUT - Infra Projects'!$M$3:$M$40,"p3"))*100</f>
        <v>0</v>
      </c>
    </row>
    <row r="13" spans="1:5" x14ac:dyDescent="0.25">
      <c r="A13" t="s">
        <v>329</v>
      </c>
      <c r="B13" s="58">
        <v>0</v>
      </c>
      <c r="C13" s="58">
        <f>(SUMIFS('INPUT - Infra Projects'!AM3:AM40,'INPUT - Infra Projects'!S3:S40,"1",'INPUT - Infra Projects'!AA3:AA40,"CAR",'INPUT - Infra Projects'!M3:M40,"p4"))/(SUMIFS('INPUT - Infra Projects'!AM3:AM40,'INPUT - Infra Projects'!AA3:AA40,"CAR",'INPUT - Infra Projects'!M3:M40,"p4"))*100</f>
        <v>0</v>
      </c>
      <c r="D13" s="58">
        <f>(SUMIFS('INPUT - Infra Projects'!$AM$3:$AM$40,'INPUT - Infra Projects'!$S$3:$S$40,"1",'INPUT - Infra Projects'!$AA$3:$AA$40,"PT",'INPUT - Infra Projects'!$M$3:$M$40,"p4"))/(SUMIFS('INPUT - Infra Projects'!$AM$3:$AM$40,'INPUT - Infra Projects'!$AA$3:$AA$40,"PT",'INPUT - Infra Projects'!$M$3:$M$40,"p4"))*100</f>
        <v>0</v>
      </c>
      <c r="E13" s="58">
        <f>(SUMIFS('INPUT - Infra Projects'!$AM$3:$AM$40,'INPUT - Infra Projects'!$S$3:$S$40,"1",'INPUT - Infra Projects'!$AA$3:$AA$40,"BIC",'INPUT - Infra Projects'!$M$3:$M$40,"p4"))/(SUMIFS('INPUT - Infra Projects'!$AM$3:$AM$40,'INPUT - Infra Projects'!$AA$3:$AA$40,"BIC",'INPUT - Infra Projects'!$M$3:$M$40,"p4"))*100</f>
        <v>0</v>
      </c>
    </row>
    <row r="14" spans="1:5" x14ac:dyDescent="0.25">
      <c r="A14" t="s">
        <v>330</v>
      </c>
      <c r="B14" s="58">
        <v>0</v>
      </c>
      <c r="C14" s="58">
        <f>(SUMIFS('INPUT - Infra Projects'!AM3:AM40,'INPUT - Infra Projects'!S3:S40,"1",'INPUT - Infra Projects'!AA3:AA40,"CAR",'INPUT - Infra Projects'!M3:M40,"p5"))/(SUMIFS('INPUT - Infra Projects'!AM3:AM40,'INPUT - Infra Projects'!AA3:AA40,"CAR",'INPUT - Infra Projects'!M3:M40,"p5"))*100</f>
        <v>0</v>
      </c>
      <c r="D14" s="58">
        <f>(SUMIFS('INPUT - Infra Projects'!$AM$3:$AM$40,'INPUT - Infra Projects'!$S$3:$S$40,"1",'INPUT - Infra Projects'!$AA$3:$AA$40,"PT",'INPUT - Infra Projects'!$M$3:$M$40,"p5"))/(SUMIFS('INPUT - Infra Projects'!$AM$3:$AM$40,'INPUT - Infra Projects'!$AA$3:$AA$40,"PT",'INPUT - Infra Projects'!$M$3:$M$40,"p5"))*100</f>
        <v>0</v>
      </c>
      <c r="E14" s="58" t="e">
        <f>(SUMIFS('INPUT - Infra Projects'!$AM$3:$AM$40,'INPUT - Infra Projects'!$S$3:$S$40,"1",'INPUT - Infra Projects'!$AA$3:$AA$40,"BIC",'INPUT - Infra Projects'!$M$3:$M$40,"p5"))/(SUMIFS('INPUT - Infra Projects'!$AM$3:$AM$40,'INPUT - Infra Projects'!$AA$3:$AA$40,"BIC",'INPUT - Infra Projects'!$M$3:$M$40,"p5"))*100</f>
        <v>#DIV/0!</v>
      </c>
    </row>
    <row r="15" spans="1:5" x14ac:dyDescent="0.25">
      <c r="A15" t="s">
        <v>331</v>
      </c>
      <c r="B15" s="58">
        <v>0</v>
      </c>
      <c r="C15" s="58" t="e">
        <f>(SUMIFS('INPUT - Infra Projects'!AM3:AM40,'INPUT - Infra Projects'!S3:S40,"1",'INPUT - Infra Projects'!AA3:AA40,"CAR",'INPUT - Infra Projects'!M3:M40,"p6"))/(SUMIFS('INPUT - Infra Projects'!AM3:AM40,'INPUT - Infra Projects'!AA3:AA40,"CAR",'INPUT - Infra Projects'!M3:M40,"p6"))*100</f>
        <v>#DIV/0!</v>
      </c>
      <c r="D15" s="58" t="e">
        <f>(SUMIFS('INPUT - Infra Projects'!$AM$3:$AM$40,'INPUT - Infra Projects'!$S$3:$S$40,"1",'INPUT - Infra Projects'!$AA$3:$AA$40,"PT",'INPUT - Infra Projects'!$M$3:$M$40,"p6"))/(SUMIFS('INPUT - Infra Projects'!$AM$3:$AM$40,'INPUT - Infra Projects'!$AA$3:$AA$40,"PT",'INPUT - Infra Projects'!$M$3:$M$40,"p6"))*100</f>
        <v>#DIV/0!</v>
      </c>
      <c r="E15" s="58" t="e">
        <f>(SUMIFS('INPUT - Infra Projects'!$AM$3:$AM$40,'INPUT - Infra Projects'!$S$3:$S$40,"1",'INPUT - Infra Projects'!$AA$3:$AA$40,"BIC",'INPUT - Infra Projects'!$M$3:$M$40,"p6"))/(SUMIFS('INPUT - Infra Projects'!$AM$3:$AM$40,'INPUT - Infra Projects'!$AA$3:$AA$40,"BIC",'INPUT - Infra Projects'!$M$3:$M$40,"p6"))*100</f>
        <v>#DIV/0!</v>
      </c>
    </row>
    <row r="16" spans="1:5" x14ac:dyDescent="0.25">
      <c r="A16" t="s">
        <v>332</v>
      </c>
      <c r="B16" s="58">
        <v>0</v>
      </c>
      <c r="C16" s="58" t="e">
        <f>(SUMIFS('INPUT - Infra Projects'!AM3:AM40,'INPUT - Infra Projects'!S3:S40,"1",'INPUT - Infra Projects'!AA3:AA40,"CAR",'INPUT - Infra Projects'!M3:M40,"p7"))/(SUMIFS('INPUT - Infra Projects'!AM3:AM40,'INPUT - Infra Projects'!AA3:AA40,"CAR",'INPUT - Infra Projects'!M3:M40,"p7"))*100</f>
        <v>#DIV/0!</v>
      </c>
      <c r="D16" s="58" t="e">
        <f>(SUMIFS('INPUT - Infra Projects'!$AM$3:$AM$40,'INPUT - Infra Projects'!$S$3:$S$40,"1",'INPUT - Infra Projects'!$AA$3:$AA$40,"PT",'INPUT - Infra Projects'!$M$3:$M$40,"p7"))/(SUMIFS('INPUT - Infra Projects'!$AM$3:$AM$40,'INPUT - Infra Projects'!$AA$3:$AA$40,"PT",'INPUT - Infra Projects'!$M$3:$M$40,"p7"))*100</f>
        <v>#DIV/0!</v>
      </c>
      <c r="E16" s="58" t="e">
        <f>(SUMIFS('INPUT - Infra Projects'!$AM$3:$AM$40,'INPUT - Infra Projects'!$S$3:$S$40,"1",'INPUT - Infra Projects'!$AA$3:$AA$40,"BIC",'INPUT - Infra Projects'!$M$3:$M$40,"p7"))/(SUMIFS('INPUT - Infra Projects'!$AM$3:$AM$40,'INPUT - Infra Projects'!$AA$3:$AA$40,"BIC",'INPUT - Infra Projects'!$M$3:$M$40,"p7"))*100</f>
        <v>#DIV/0!</v>
      </c>
    </row>
    <row r="18" spans="1:5" x14ac:dyDescent="0.25">
      <c r="A18" t="s">
        <v>13</v>
      </c>
      <c r="B18" s="58">
        <v>0</v>
      </c>
      <c r="C18" s="4">
        <f>(SUMIFS('INPUT - Infra Projects'!AM3:AM40,'INPUT - Infra Projects'!S3:S40,"1",'INPUT - Infra Projects'!AA3:AA40,"CAR"))/(SUMIF('INPUT - Infra Projects'!AA3:AA40,"CAR",'INPUT - Infra Projects'!AM3:AM40))*100</f>
        <v>0</v>
      </c>
      <c r="D18" s="4">
        <f>(SUMIFS('INPUT - Infra Projects'!AM3:AM40,'INPUT - Infra Projects'!S3:S40,"1",'INPUT - Infra Projects'!AA3:AA40,"PT"))/(SUMIF('INPUT - Infra Projects'!AA3:AA40,"PT",'INPUT - Infra Projects'!AM3:AM40))*100</f>
        <v>0</v>
      </c>
      <c r="E18" s="4">
        <f>(SUMIFS('INPUT - Infra Projects'!AM3:AM40,'INPUT - Infra Projects'!S3:S40,"1",'INPUT - Infra Projects'!AA3:AA40,"BIC"))/(SUMIF('INPUT - Infra Projects'!AA3:AA40,"BIC",'INPUT - Infra Projects'!AM3:AM40))*100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BASIS - Financial data</vt:lpstr>
      <vt:lpstr>BASIS - Housing per period</vt:lpstr>
      <vt:lpstr>BASIS - Accessiblity of plans</vt:lpstr>
      <vt:lpstr>BASIS - Plans per municipality</vt:lpstr>
      <vt:lpstr>BASIS - Housing demand</vt:lpstr>
      <vt:lpstr>INPUT - Housing per plan </vt:lpstr>
      <vt:lpstr>INPUT - Infra Projects</vt:lpstr>
      <vt:lpstr>Packages</vt:lpstr>
      <vt:lpstr>Indicator 1 Accessibility</vt:lpstr>
      <vt:lpstr>Indicator 2 Market balance</vt:lpstr>
      <vt:lpstr>Indicator 3 Finances</vt:lpstr>
      <vt:lpstr>Indicator 4 Spatial Goals</vt:lpstr>
      <vt:lpstr>Indicator 5 Sustainability</vt:lpstr>
      <vt:lpstr>Sheet1</vt:lpstr>
      <vt:lpstr>Reserve Revenue (NOT USED)</vt:lpstr>
      <vt:lpstr>Housing plans (NO USE)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</dc:creator>
  <cp:lastModifiedBy>Lenferink</cp:lastModifiedBy>
  <dcterms:created xsi:type="dcterms:W3CDTF">2018-06-21T09:33:50Z</dcterms:created>
  <dcterms:modified xsi:type="dcterms:W3CDTF">2018-10-08T15:56:04Z</dcterms:modified>
</cp:coreProperties>
</file>