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6CE5731-DC8F-4502-9B90-AD1639A6B3FC}" xr6:coauthVersionLast="47" xr6:coauthVersionMax="47" xr10:uidLastSave="{00000000-0000-0000-0000-000000000000}"/>
  <bookViews>
    <workbookView xWindow="-110" yWindow="-110" windowWidth="19420" windowHeight="10300" xr2:uid="{1EFCCFDC-4C1F-4276-A8DA-1D5A4EEBA52A}"/>
  </bookViews>
  <sheets>
    <sheet name="Valuation 5Y" sheetId="3" r:id="rId1"/>
    <sheet name="Planilha4" sheetId="4" r:id="rId2"/>
  </sheets>
  <definedNames>
    <definedName name="_xlchart.v1.0" hidden="1">Planilha4!$A$2:$A$15</definedName>
    <definedName name="_xlchart.v1.1" hidden="1">Planilha4!$B$1</definedName>
    <definedName name="_xlchart.v1.10" hidden="1">Planilha4!$F$2:$F$15</definedName>
    <definedName name="_xlchart.v1.11" hidden="1">Planilha4!$G$1</definedName>
    <definedName name="_xlchart.v1.12" hidden="1">Planilha4!$G$2:$G$15</definedName>
    <definedName name="_xlchart.v1.13" hidden="1">Planilha4!$H$1</definedName>
    <definedName name="_xlchart.v1.14" hidden="1">Planilha4!$H$2:$H$15</definedName>
    <definedName name="_xlchart.v1.2" hidden="1">Planilha4!$B$2:$B$15</definedName>
    <definedName name="_xlchart.v1.3" hidden="1">Planilha4!$C$1</definedName>
    <definedName name="_xlchart.v1.4" hidden="1">Planilha4!$C$2:$C$15</definedName>
    <definedName name="_xlchart.v1.5" hidden="1">Planilha4!$D$1</definedName>
    <definedName name="_xlchart.v1.6" hidden="1">Planilha4!$D$2:$D$15</definedName>
    <definedName name="_xlchart.v1.7" hidden="1">Planilha4!$E$1</definedName>
    <definedName name="_xlchart.v1.8" hidden="1">Planilha4!$E$2:$E$15</definedName>
    <definedName name="_xlchart.v1.9" hidden="1">Planilha4!$F$1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Q10" i="3"/>
  <c r="P9" i="3"/>
  <c r="P10" i="3" s="1"/>
  <c r="Q9" i="3"/>
  <c r="M9" i="3"/>
  <c r="M10" i="3" s="1"/>
  <c r="O9" i="3"/>
  <c r="O10" i="3" s="1"/>
  <c r="L9" i="3"/>
  <c r="L15" i="3" s="1"/>
  <c r="K9" i="3"/>
  <c r="K15" i="3" s="1"/>
  <c r="C17" i="3"/>
  <c r="D17" i="3"/>
  <c r="E17" i="3"/>
  <c r="F17" i="3"/>
  <c r="G17" i="3"/>
  <c r="H17" i="3"/>
  <c r="B17" i="3"/>
  <c r="C16" i="3"/>
  <c r="D16" i="3"/>
  <c r="E16" i="3"/>
  <c r="F16" i="3"/>
  <c r="G16" i="3"/>
  <c r="H16" i="3"/>
  <c r="B16" i="3"/>
  <c r="C14" i="3"/>
  <c r="D14" i="3"/>
  <c r="E14" i="3"/>
  <c r="F14" i="3"/>
  <c r="G14" i="3"/>
  <c r="H14" i="3"/>
  <c r="B28" i="3" s="1"/>
  <c r="B14" i="3"/>
  <c r="G5" i="4"/>
  <c r="G6" i="4"/>
  <c r="G8" i="4" s="1"/>
  <c r="G10" i="4" s="1"/>
  <c r="H4" i="4"/>
  <c r="G4" i="4"/>
  <c r="H3" i="4"/>
  <c r="G3" i="4"/>
  <c r="H2" i="4"/>
  <c r="G2" i="4"/>
  <c r="P15" i="3" l="1"/>
  <c r="K10" i="3"/>
  <c r="O15" i="3"/>
  <c r="L10" i="3"/>
  <c r="M15" i="3"/>
  <c r="G11" i="4"/>
  <c r="G12" i="4" s="1"/>
  <c r="H5" i="4" l="1"/>
  <c r="H6" i="4"/>
  <c r="H8" i="4" s="1"/>
  <c r="H10" i="4" s="1"/>
  <c r="H11" i="4" l="1"/>
  <c r="H12" i="4"/>
  <c r="N9" i="3"/>
  <c r="N10" i="3" l="1"/>
  <c r="N15" i="3"/>
</calcChain>
</file>

<file path=xl/sharedStrings.xml><?xml version="1.0" encoding="utf-8"?>
<sst xmlns="http://schemas.openxmlformats.org/spreadsheetml/2006/main" count="68" uniqueCount="57">
  <si>
    <t>The VC Method to Valuation</t>
  </si>
  <si>
    <t>Insert assumptions below to derive the start-up valuation and VC ownership</t>
  </si>
  <si>
    <t>Step 1. Estimate the Investment Needed</t>
  </si>
  <si>
    <t>Insert the estimated investment needed for the start-up</t>
  </si>
  <si>
    <t>Series A:</t>
  </si>
  <si>
    <t>Step 2. Forecast Startup Financials</t>
  </si>
  <si>
    <t>Insert the start-up's projected revenue, EBITDA and net income ramp</t>
  </si>
  <si>
    <t>Revenue</t>
  </si>
  <si>
    <t>EBITDA</t>
  </si>
  <si>
    <t>Net Income</t>
  </si>
  <si>
    <t>Step 3. Determine the Timing of Exit</t>
  </si>
  <si>
    <t>Select the year the company will be sold or IPO</t>
  </si>
  <si>
    <t>Exit Year:</t>
  </si>
  <si>
    <t>Step 4. Calculate Multiple at Exit</t>
  </si>
  <si>
    <t>Select the projected multiple in the exit year to calculate the exit value</t>
  </si>
  <si>
    <t>Denominator</t>
  </si>
  <si>
    <t>Multiple</t>
  </si>
  <si>
    <t>Exit Value</t>
  </si>
  <si>
    <t>Step 5. Discount to PV at the Desired Rate of Return</t>
  </si>
  <si>
    <t>Insert the VC firm's desired rate of return</t>
  </si>
  <si>
    <t>Rate of Return:</t>
  </si>
  <si>
    <t>Step 6. Determine Valuation and Desired Ownership Stake</t>
  </si>
  <si>
    <t>Post-Money</t>
  </si>
  <si>
    <t>Pre-Money</t>
  </si>
  <si>
    <t>aka an 8 on 19 round</t>
  </si>
  <si>
    <t>VC Ownership</t>
  </si>
  <si>
    <t>Operations Coastings</t>
  </si>
  <si>
    <t>Year 1</t>
  </si>
  <si>
    <t>Year 2</t>
  </si>
  <si>
    <t>Year 3</t>
  </si>
  <si>
    <t>Year 4</t>
  </si>
  <si>
    <t>Year 5</t>
  </si>
  <si>
    <t>Produto(ticket médio)</t>
  </si>
  <si>
    <t xml:space="preserve">Quantidade </t>
  </si>
  <si>
    <t>EBIT</t>
  </si>
  <si>
    <t>Revanue</t>
  </si>
  <si>
    <t>Revenue from the operations</t>
  </si>
  <si>
    <t>Other revenue</t>
  </si>
  <si>
    <t>(-) Custo dos Produtos Vendidos (CPV/COGS)</t>
  </si>
  <si>
    <t>(=) Lucro Bruto</t>
  </si>
  <si>
    <t>Ano 1</t>
  </si>
  <si>
    <t>Ano 2</t>
  </si>
  <si>
    <t>Ano 3</t>
  </si>
  <si>
    <t>Ano 4</t>
  </si>
  <si>
    <t>Ano 5</t>
  </si>
  <si>
    <t>(-) CPV (30% da Receita)</t>
  </si>
  <si>
    <t>Lucro Bruto</t>
  </si>
  <si>
    <t>OPEX (R$100k + 10% Receita)</t>
  </si>
  <si>
    <t>(-) Depreciação/Amortização</t>
  </si>
  <si>
    <t>(-) Despesas Financeiras</t>
  </si>
  <si>
    <t>LAIR</t>
  </si>
  <si>
    <t>(-) Imposto de Renda (IR)</t>
  </si>
  <si>
    <t>Ano 6</t>
  </si>
  <si>
    <t>Ano 7</t>
  </si>
  <si>
    <t>Year 6</t>
  </si>
  <si>
    <t>Year 7</t>
  </si>
  <si>
    <t>Geração de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</si>
</sst>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6" formatCode="_(&quot;$&quot;* #,##0.00_);_(&quot;$&quot;* \(#,##0.00\);_(&quot;$&quot;* &quot;-&quot;??_);_(@_)"/>
    <numFmt numFmtId="167" formatCode="&quot;$&quot;#,##0&quot;M&quot;"/>
    <numFmt numFmtId="168" formatCode="#,##0.0&quot;x&quot;"/>
    <numFmt numFmtId="169" formatCode="&quot;$&quot;#,##0.0_);\(&quot;$&quot;#,##0.0\)"/>
    <numFmt numFmtId="170" formatCode="0.0%"/>
    <numFmt numFmtId="171" formatCode="&quot;Year&quot;\ 0"/>
    <numFmt numFmtId="172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72" fontId="6" fillId="0" borderId="0" xfId="0" applyNumberFormat="1" applyFont="1"/>
    <xf numFmtId="167" fontId="3" fillId="0" borderId="0" xfId="0" applyNumberFormat="1" applyFont="1"/>
    <xf numFmtId="0" fontId="2" fillId="0" borderId="0" xfId="0" applyFont="1"/>
    <xf numFmtId="9" fontId="6" fillId="0" borderId="0" xfId="2" applyFont="1" applyFill="1" applyBorder="1"/>
    <xf numFmtId="0" fontId="3" fillId="0" borderId="0" xfId="0" applyFont="1"/>
    <xf numFmtId="0" fontId="7" fillId="0" borderId="0" xfId="0" applyFont="1"/>
    <xf numFmtId="1" fontId="6" fillId="0" borderId="0" xfId="0" applyNumberFormat="1" applyFont="1" applyAlignment="1">
      <alignment horizontal="right"/>
    </xf>
    <xf numFmtId="168" fontId="6" fillId="0" borderId="0" xfId="0" applyNumberFormat="1" applyFont="1"/>
    <xf numFmtId="169" fontId="3" fillId="0" borderId="0" xfId="3" applyNumberFormat="1" applyFont="1" applyFill="1" applyBorder="1"/>
    <xf numFmtId="169" fontId="3" fillId="0" borderId="0" xfId="0" applyNumberFormat="1" applyFont="1"/>
    <xf numFmtId="1" fontId="4" fillId="0" borderId="0" xfId="1" applyNumberFormat="1" applyFont="1" applyFill="1" applyBorder="1"/>
    <xf numFmtId="0" fontId="4" fillId="0" borderId="0" xfId="0" applyFont="1"/>
    <xf numFmtId="170" fontId="3" fillId="0" borderId="0" xfId="2" applyNumberFormat="1" applyFont="1" applyFill="1" applyBorder="1"/>
    <xf numFmtId="171" fontId="7" fillId="0" borderId="0" xfId="0" applyNumberFormat="1" applyFont="1"/>
    <xf numFmtId="167" fontId="6" fillId="0" borderId="0" xfId="0" applyNumberFormat="1" applyFont="1" applyAlignment="1">
      <alignment horizontal="right"/>
    </xf>
    <xf numFmtId="0" fontId="2" fillId="0" borderId="2" xfId="0" applyFont="1" applyBorder="1"/>
    <xf numFmtId="0" fontId="5" fillId="0" borderId="2" xfId="0" applyFont="1" applyBorder="1"/>
    <xf numFmtId="0" fontId="2" fillId="0" borderId="3" xfId="0" applyFont="1" applyBorder="1"/>
    <xf numFmtId="0" fontId="3" fillId="0" borderId="3" xfId="0" applyFont="1" applyBorder="1"/>
    <xf numFmtId="164" fontId="6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0" fillId="0" borderId="4" xfId="0" applyBorder="1"/>
    <xf numFmtId="172" fontId="0" fillId="0" borderId="0" xfId="0" applyNumberFormat="1"/>
    <xf numFmtId="10" fontId="6" fillId="0" borderId="0" xfId="0" applyNumberFormat="1" applyFont="1"/>
    <xf numFmtId="6" fontId="0" fillId="0" borderId="0" xfId="0" applyNumberFormat="1"/>
    <xf numFmtId="6" fontId="9" fillId="0" borderId="5" xfId="0" applyNumberFormat="1" applyFont="1" applyBorder="1" applyAlignment="1">
      <alignment horizontal="right" wrapText="1"/>
    </xf>
    <xf numFmtId="6" fontId="9" fillId="0" borderId="0" xfId="0" applyNumberFormat="1" applyFont="1" applyAlignment="1">
      <alignment horizontal="right" wrapText="1"/>
    </xf>
    <xf numFmtId="172" fontId="0" fillId="0" borderId="1" xfId="0" applyNumberFormat="1" applyBorder="1"/>
    <xf numFmtId="0" fontId="2" fillId="0" borderId="7" xfId="0" applyFont="1" applyBorder="1"/>
    <xf numFmtId="0" fontId="5" fillId="0" borderId="7" xfId="0" applyFont="1" applyBorder="1"/>
    <xf numFmtId="0" fontId="9" fillId="2" borderId="5" xfId="0" applyFont="1" applyFill="1" applyBorder="1" applyAlignment="1">
      <alignment wrapText="1"/>
    </xf>
    <xf numFmtId="0" fontId="9" fillId="2" borderId="6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6" fontId="9" fillId="4" borderId="5" xfId="0" applyNumberFormat="1" applyFont="1" applyFill="1" applyBorder="1" applyAlignment="1">
      <alignment horizontal="right" wrapText="1"/>
    </xf>
    <xf numFmtId="6" fontId="0" fillId="4" borderId="0" xfId="0" applyNumberFormat="1" applyFill="1"/>
    <xf numFmtId="6" fontId="9" fillId="4" borderId="6" xfId="0" applyNumberFormat="1" applyFont="1" applyFill="1" applyBorder="1" applyAlignment="1">
      <alignment horizontal="right" wrapText="1"/>
    </xf>
    <xf numFmtId="164" fontId="0" fillId="4" borderId="0" xfId="0" applyNumberFormat="1" applyFill="1"/>
    <xf numFmtId="8" fontId="0" fillId="4" borderId="0" xfId="0" applyNumberFormat="1" applyFill="1"/>
  </cellXfs>
  <cellStyles count="4">
    <cellStyle name="Moeda 2" xfId="3" xr:uid="{9A30DA83-49BF-4E7F-AF94-25A2AB1E0BEF}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802501157943489E-2"/>
          <c:y val="0.10569913423983011"/>
          <c:w val="0.86560928856027697"/>
          <c:h val="0.83336264630262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'Valuation 5Y'!$A$14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'Valuation 5Y'!$B$13:$H$13</c:f>
              <c:numCache>
                <c:formatCode>"Year"\ 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'Valuation 5Y'!$B$14:$H$14</c:f>
              <c:numCache>
                <c:formatCode>"R$"\ #,##0.00</c:formatCode>
                <c:ptCount val="7"/>
                <c:pt idx="0">
                  <c:v>150000</c:v>
                </c:pt>
                <c:pt idx="1">
                  <c:v>200000</c:v>
                </c:pt>
                <c:pt idx="2">
                  <c:v>890006</c:v>
                </c:pt>
                <c:pt idx="3">
                  <c:v>4935039</c:v>
                </c:pt>
                <c:pt idx="4">
                  <c:v>24716456</c:v>
                </c:pt>
                <c:pt idx="5">
                  <c:v>61791140</c:v>
                </c:pt>
                <c:pt idx="6">
                  <c:v>117403166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C-47D6-9FCD-BCDEF65827E2}"/>
            </c:ext>
          </c:extLst>
        </c:ser>
        <c:ser>
          <c:idx val="1"/>
          <c:order val="1"/>
          <c:tx>
            <c:strRef>
              <c:f>'Valuation 5Y'!$A$15</c:f>
              <c:strCache>
                <c:ptCount val="1"/>
                <c:pt idx="0">
                  <c:v>(-) Custo dos Produtos Vendidos (CPV/COGS)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'Valuation 5Y'!$B$13:$H$13</c:f>
              <c:numCache>
                <c:formatCode>"Year"\ 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'Valuation 5Y'!$B$15:$H$15</c:f>
              <c:numCache>
                <c:formatCode>0.00%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0.17499999999999999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C-47D6-9FCD-BCDEF65827E2}"/>
            </c:ext>
          </c:extLst>
        </c:ser>
        <c:ser>
          <c:idx val="2"/>
          <c:order val="2"/>
          <c:tx>
            <c:strRef>
              <c:f>'Valuation 5Y'!$A$16</c:f>
              <c:strCache>
                <c:ptCount val="1"/>
                <c:pt idx="0">
                  <c:v>(=) Lucro Bruto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'Valuation 5Y'!$B$13:$H$13</c:f>
              <c:numCache>
                <c:formatCode>"Year"\ 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'Valuation 5Y'!$B$16:$H$16</c:f>
              <c:numCache>
                <c:formatCode>"R$"#,##0_);[Red]\("R$"#,##0\)</c:formatCode>
                <c:ptCount val="7"/>
                <c:pt idx="0">
                  <c:v>105000</c:v>
                </c:pt>
                <c:pt idx="1">
                  <c:v>140000</c:v>
                </c:pt>
                <c:pt idx="2">
                  <c:v>623004</c:v>
                </c:pt>
                <c:pt idx="3">
                  <c:v>3454527</c:v>
                </c:pt>
                <c:pt idx="4">
                  <c:v>17301519</c:v>
                </c:pt>
                <c:pt idx="5">
                  <c:v>43253798</c:v>
                </c:pt>
                <c:pt idx="6">
                  <c:v>82182216.200000003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C-47D6-9FCD-BCDEF65827E2}"/>
            </c:ext>
          </c:extLst>
        </c:ser>
        <c:ser>
          <c:idx val="3"/>
          <c:order val="3"/>
          <c:tx>
            <c:strRef>
              <c:f>'Valuation 5Y'!$A$17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372549019607842E-3"/>
                  <c:y val="-2.01077227707096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0C-47D6-9FCD-BCDEF6582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'Valuation 5Y'!$B$13:$H$13</c:f>
              <c:numCache>
                <c:formatCode>"Year"\ 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'Valuation 5Y'!$B$17:$H$17</c:f>
              <c:numCache>
                <c:formatCode>"R$"\ #,##0.00</c:formatCode>
                <c:ptCount val="7"/>
                <c:pt idx="0">
                  <c:v>-10000</c:v>
                </c:pt>
                <c:pt idx="1">
                  <c:v>20000</c:v>
                </c:pt>
                <c:pt idx="2">
                  <c:v>434003</c:v>
                </c:pt>
                <c:pt idx="3">
                  <c:v>2861023</c:v>
                </c:pt>
                <c:pt idx="4">
                  <c:v>14729873</c:v>
                </c:pt>
                <c:pt idx="5">
                  <c:v>27884763.199999999</c:v>
                </c:pt>
                <c:pt idx="6">
                  <c:v>55600422.180000007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C-47D6-9FCD-BCDEF65827E2}"/>
            </c:ext>
          </c:extLst>
        </c:ser>
        <c:ser>
          <c:idx val="4"/>
          <c:order val="4"/>
          <c:tx>
            <c:strRef>
              <c:f>'Valuation 5Y'!$A$18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556E-3"/>
                  <c:y val="-3.77019801950805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0C-47D6-9FCD-BCDEF6582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'Valuation 5Y'!$B$13:$H$13</c:f>
              <c:numCache>
                <c:formatCode>"Year"\ 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'Valuation 5Y'!$B$18:$H$18</c:f>
              <c:numCache>
                <c:formatCode>"R$"#,##0_);[Red]\("R$"#,##0\)</c:formatCode>
                <c:ptCount val="7"/>
                <c:pt idx="0">
                  <c:v>-15000</c:v>
                </c:pt>
                <c:pt idx="1">
                  <c:v>15000</c:v>
                </c:pt>
                <c:pt idx="2">
                  <c:v>321752</c:v>
                </c:pt>
                <c:pt idx="3">
                  <c:v>2142017</c:v>
                </c:pt>
                <c:pt idx="4">
                  <c:v>11043655</c:v>
                </c:pt>
                <c:pt idx="5">
                  <c:v>18363572.399999999</c:v>
                </c:pt>
                <c:pt idx="6">
                  <c:v>39600316.635000005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C-47D6-9FCD-BCDEF65827E2}"/>
            </c:ext>
          </c:extLst>
        </c:ser>
        <c:ser>
          <c:idx val="6"/>
          <c:order val="6"/>
          <c:tx>
            <c:strRef>
              <c:f>'Valuation 5Y'!$A$20</c:f>
              <c:strCache>
                <c:ptCount val="1"/>
                <c:pt idx="0">
                  <c:v>Step 3. Determine the Timing of Exit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'Valuation 5Y'!$B$13:$H$13</c:f>
              <c:numCache>
                <c:formatCode>"Year"\ 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'Valuation 5Y'!$B$20:$H$20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150C-47D6-9FCD-BCDEF6582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4550256"/>
        <c:axId val="56454665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'Valuation 5Y'!$A$19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'Valuation 5Y'!$B$13:$H$13</c15:sqref>
                        </c15:formulaRef>
                      </c:ext>
                    </c:extLst>
                    <c:numCache>
                      <c:formatCode>"Year"\ 0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'Valuation 5Y'!$B$19:$H$19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50C-47D6-9FCD-BCDEF65827E2}"/>
                  </c:ext>
                </c:extLst>
              </c15:ser>
            </c15:filteredBarSeries>
          </c:ext>
        </c:extLst>
      </c:barChart>
      <c:catAx>
        <c:axId val="5645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546656"/>
        <c:crosses val="autoZero"/>
        <c:auto val="1"/>
        <c:lblAlgn val="ctr"/>
        <c:lblOffset val="100"/>
        <c:noMultiLvlLbl val="0"/>
      </c:catAx>
      <c:valAx>
        <c:axId val="5645466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64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862683341052959E-2"/>
          <c:y val="5.9141839599349669E-2"/>
          <c:w val="0.55013529118311433"/>
          <c:h val="4.1909239083141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DRE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46163950436428003"/>
          <c:y val="2.1634615384615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Ano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Planilha4!$B$2:$B$15</c15:sqref>
                  </c15:fullRef>
                </c:ext>
              </c:extLst>
              <c:f>Planilha4!$B$2:$B$12</c:f>
              <c:numCache>
                <c:formatCode>"R$"#,##0_);[Red]\("R$"#,##0\)</c:formatCode>
                <c:ptCount val="11"/>
                <c:pt idx="0">
                  <c:v>150000</c:v>
                </c:pt>
                <c:pt idx="1">
                  <c:v>45000</c:v>
                </c:pt>
                <c:pt idx="2">
                  <c:v>105000</c:v>
                </c:pt>
                <c:pt idx="3">
                  <c:v>115000</c:v>
                </c:pt>
                <c:pt idx="4">
                  <c:v>-10000</c:v>
                </c:pt>
                <c:pt idx="5">
                  <c:v>5000</c:v>
                </c:pt>
                <c:pt idx="6">
                  <c:v>-15000</c:v>
                </c:pt>
                <c:pt idx="7">
                  <c:v>55000</c:v>
                </c:pt>
                <c:pt idx="8">
                  <c:v>-15000</c:v>
                </c:pt>
                <c:pt idx="9">
                  <c:v>0</c:v>
                </c:pt>
                <c:pt idx="10">
                  <c:v>-15000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B-4800-91AA-18D1DB79329D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Ano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Planilha4!$C$2:$C$15</c15:sqref>
                  </c15:fullRef>
                </c:ext>
              </c:extLst>
              <c:f>Planilha4!$C$2:$C$12</c:f>
              <c:numCache>
                <c:formatCode>"R$"#,##0_);[Red]\("R$"#,##0\)</c:formatCode>
                <c:ptCount val="11"/>
                <c:pt idx="0">
                  <c:v>200000</c:v>
                </c:pt>
                <c:pt idx="1">
                  <c:v>60000</c:v>
                </c:pt>
                <c:pt idx="2">
                  <c:v>140000</c:v>
                </c:pt>
                <c:pt idx="3">
                  <c:v>120000</c:v>
                </c:pt>
                <c:pt idx="4">
                  <c:v>20000</c:v>
                </c:pt>
                <c:pt idx="5">
                  <c:v>25000</c:v>
                </c:pt>
                <c:pt idx="6">
                  <c:v>15000</c:v>
                </c:pt>
                <c:pt idx="7">
                  <c:v>70000</c:v>
                </c:pt>
                <c:pt idx="8">
                  <c:v>15000</c:v>
                </c:pt>
                <c:pt idx="9">
                  <c:v>0</c:v>
                </c:pt>
                <c:pt idx="1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B-4800-91AA-18D1DB79329D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Ano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Planilha4!$D$2:$D$15</c15:sqref>
                  </c15:fullRef>
                </c:ext>
              </c:extLst>
              <c:f>Planilha4!$D$2:$D$12</c:f>
              <c:numCache>
                <c:formatCode>"R$"#,##0_);[Red]\("R$"#,##0\)</c:formatCode>
                <c:ptCount val="11"/>
                <c:pt idx="0">
                  <c:v>890006</c:v>
                </c:pt>
                <c:pt idx="1">
                  <c:v>267002</c:v>
                </c:pt>
                <c:pt idx="2">
                  <c:v>623004</c:v>
                </c:pt>
                <c:pt idx="3">
                  <c:v>189001</c:v>
                </c:pt>
                <c:pt idx="4">
                  <c:v>434003</c:v>
                </c:pt>
                <c:pt idx="5">
                  <c:v>55000</c:v>
                </c:pt>
                <c:pt idx="6">
                  <c:v>429003</c:v>
                </c:pt>
                <c:pt idx="7">
                  <c:v>125000</c:v>
                </c:pt>
                <c:pt idx="8">
                  <c:v>429003</c:v>
                </c:pt>
                <c:pt idx="9">
                  <c:v>107251</c:v>
                </c:pt>
                <c:pt idx="10">
                  <c:v>321752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B-4800-91AA-18D1DB79329D}"/>
            </c:ext>
          </c:extLst>
        </c:ser>
        <c:ser>
          <c:idx val="3"/>
          <c:order val="3"/>
          <c:tx>
            <c:strRef>
              <c:f>Planilha4!$E$1</c:f>
              <c:strCache>
                <c:ptCount val="1"/>
                <c:pt idx="0">
                  <c:v>Ano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Planilha4!$E$2:$E$15</c15:sqref>
                  </c15:fullRef>
                </c:ext>
              </c:extLst>
              <c:f>Planilha4!$E$2:$E$12</c:f>
              <c:numCache>
                <c:formatCode>"R$"#,##0_);[Red]\("R$"#,##0\)</c:formatCode>
                <c:ptCount val="11"/>
                <c:pt idx="0">
                  <c:v>4935039</c:v>
                </c:pt>
                <c:pt idx="1">
                  <c:v>1480512</c:v>
                </c:pt>
                <c:pt idx="2">
                  <c:v>3454527</c:v>
                </c:pt>
                <c:pt idx="3">
                  <c:v>593504</c:v>
                </c:pt>
                <c:pt idx="4">
                  <c:v>2861023</c:v>
                </c:pt>
                <c:pt idx="5">
                  <c:v>90000</c:v>
                </c:pt>
                <c:pt idx="6">
                  <c:v>2856023</c:v>
                </c:pt>
                <c:pt idx="7">
                  <c:v>450000</c:v>
                </c:pt>
                <c:pt idx="8">
                  <c:v>2856023</c:v>
                </c:pt>
                <c:pt idx="9">
                  <c:v>714006</c:v>
                </c:pt>
                <c:pt idx="10">
                  <c:v>2142017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B-4800-91AA-18D1DB79329D}"/>
            </c:ext>
          </c:extLst>
        </c:ser>
        <c:ser>
          <c:idx val="4"/>
          <c:order val="4"/>
          <c:tx>
            <c:strRef>
              <c:f>Planilha4!$F$1</c:f>
              <c:strCache>
                <c:ptCount val="1"/>
                <c:pt idx="0">
                  <c:v>Ano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Planilha4!$F$2:$F$15</c15:sqref>
                  </c15:fullRef>
                </c:ext>
              </c:extLst>
              <c:f>Planilha4!$F$2:$F$12</c:f>
              <c:numCache>
                <c:formatCode>"R$"#,##0_);[Red]\("R$"#,##0\)</c:formatCode>
                <c:ptCount val="11"/>
                <c:pt idx="0">
                  <c:v>24716456</c:v>
                </c:pt>
                <c:pt idx="1">
                  <c:v>7414937</c:v>
                </c:pt>
                <c:pt idx="2">
                  <c:v>17301519</c:v>
                </c:pt>
                <c:pt idx="3">
                  <c:v>2571646</c:v>
                </c:pt>
                <c:pt idx="4">
                  <c:v>14729873</c:v>
                </c:pt>
                <c:pt idx="5">
                  <c:v>120000</c:v>
                </c:pt>
                <c:pt idx="6">
                  <c:v>14724873</c:v>
                </c:pt>
                <c:pt idx="7">
                  <c:v>3500000</c:v>
                </c:pt>
                <c:pt idx="8">
                  <c:v>14724873</c:v>
                </c:pt>
                <c:pt idx="9">
                  <c:v>3681218</c:v>
                </c:pt>
                <c:pt idx="10">
                  <c:v>11043655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B-4800-91AA-18D1DB79329D}"/>
            </c:ext>
          </c:extLst>
        </c:ser>
        <c:ser>
          <c:idx val="5"/>
          <c:order val="5"/>
          <c:tx>
            <c:strRef>
              <c:f>Planilha4!$G$1</c:f>
              <c:strCache>
                <c:ptCount val="1"/>
                <c:pt idx="0">
                  <c:v>Ano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Planilha4!$G$2:$G$15</c15:sqref>
                  </c15:fullRef>
                </c:ext>
              </c:extLst>
              <c:f>Planilha4!$G$2:$G$12</c:f>
              <c:numCache>
                <c:formatCode>"R$"#,##0_);[Red]\("R$"#,##0\)</c:formatCode>
                <c:ptCount val="11"/>
                <c:pt idx="0">
                  <c:v>61791140</c:v>
                </c:pt>
                <c:pt idx="1">
                  <c:v>18537342</c:v>
                </c:pt>
                <c:pt idx="2">
                  <c:v>43253798</c:v>
                </c:pt>
                <c:pt idx="3">
                  <c:v>15369034.800000001</c:v>
                </c:pt>
                <c:pt idx="4">
                  <c:v>27884763.199999999</c:v>
                </c:pt>
                <c:pt idx="5">
                  <c:v>400000</c:v>
                </c:pt>
                <c:pt idx="6">
                  <c:v>27484763.199999999</c:v>
                </c:pt>
                <c:pt idx="7" formatCode="&quot;R$&quot;\ #,##0.00">
                  <c:v>3000000</c:v>
                </c:pt>
                <c:pt idx="8" formatCode="&quot;R$&quot;#,##0.00_);[Red]\(&quot;R$&quot;#,##0.00\)">
                  <c:v>24484763.199999999</c:v>
                </c:pt>
                <c:pt idx="9" formatCode="&quot;R$&quot;#,##0.00_);[Red]\(&quot;R$&quot;#,##0.00\)">
                  <c:v>6121190.7999999998</c:v>
                </c:pt>
                <c:pt idx="10" formatCode="&quot;R$&quot;#,##0.00_);[Red]\(&quot;R$&quot;#,##0.00\)">
                  <c:v>18363572.399999999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7B-4800-91AA-18D1DB79329D}"/>
            </c:ext>
          </c:extLst>
        </c:ser>
        <c:ser>
          <c:idx val="6"/>
          <c:order val="6"/>
          <c:tx>
            <c:strRef>
              <c:f>Planilha4!$H$1</c:f>
              <c:strCache>
                <c:ptCount val="1"/>
                <c:pt idx="0">
                  <c:v>Ano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Planilha4!$A$2:$A$15</c15:sqref>
                  </c15:fullRef>
                </c:ext>
              </c:extLst>
              <c:f>Planilha4!$A$2:$A$12</c:f>
              <c:strCache>
                <c:ptCount val="11"/>
                <c:pt idx="0">
                  <c:v>Revenue</c:v>
                </c:pt>
                <c:pt idx="1">
                  <c:v>(-) CPV (30% da Receita)</c:v>
                </c:pt>
                <c:pt idx="2">
                  <c:v>Lucro Bruto</c:v>
                </c:pt>
                <c:pt idx="3">
                  <c:v>OPEX (R$100k + 10% Receita)</c:v>
                </c:pt>
                <c:pt idx="4">
                  <c:v>EBITDA</c:v>
                </c:pt>
                <c:pt idx="5">
                  <c:v>(-) Depreciação/Amortização</c:v>
                </c:pt>
                <c:pt idx="6">
                  <c:v>EBIT</c:v>
                </c:pt>
                <c:pt idx="7">
                  <c:v>(-) Despesas Financeiras</c:v>
                </c:pt>
                <c:pt idx="8">
                  <c:v>LAIR</c:v>
                </c:pt>
                <c:pt idx="9">
                  <c:v>(-) Imposto de Renda (IR)</c:v>
                </c:pt>
                <c:pt idx="10">
                  <c:v>Net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Planilha4!$H$2:$H$15</c15:sqref>
                  </c15:fullRef>
                </c:ext>
              </c:extLst>
              <c:f>Planilha4!$H$2:$H$12</c:f>
              <c:numCache>
                <c:formatCode>"R$"#,##0_);[Red]\("R$"#,##0\)</c:formatCode>
                <c:ptCount val="11"/>
                <c:pt idx="0">
                  <c:v>117403166</c:v>
                </c:pt>
                <c:pt idx="1">
                  <c:v>35220949.799999997</c:v>
                </c:pt>
                <c:pt idx="2">
                  <c:v>82182216.200000003</c:v>
                </c:pt>
                <c:pt idx="3">
                  <c:v>26581794.02</c:v>
                </c:pt>
                <c:pt idx="4">
                  <c:v>55600422.180000007</c:v>
                </c:pt>
                <c:pt idx="5">
                  <c:v>300000</c:v>
                </c:pt>
                <c:pt idx="6">
                  <c:v>55300422.180000007</c:v>
                </c:pt>
                <c:pt idx="7" formatCode="&quot;R$&quot;\ #,##0.00">
                  <c:v>2500000</c:v>
                </c:pt>
                <c:pt idx="8" formatCode="&quot;R$&quot;#,##0.00_);[Red]\(&quot;R$&quot;#,##0.00\)">
                  <c:v>52800422.180000007</c:v>
                </c:pt>
                <c:pt idx="9" formatCode="&quot;R$&quot;#,##0.00_);[Red]\(&quot;R$&quot;#,##0.00\)">
                  <c:v>13200105.545000002</c:v>
                </c:pt>
                <c:pt idx="10" formatCode="&quot;R$&quot;#,##0.00_);[Red]\(&quot;R$&quot;#,##0.00\)">
                  <c:v>39600316.635000005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7B-4800-91AA-18D1DB793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1548984"/>
        <c:axId val="661555824"/>
      </c:barChart>
      <c:catAx>
        <c:axId val="6615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555824"/>
        <c:crosses val="autoZero"/>
        <c:auto val="1"/>
        <c:lblAlgn val="ctr"/>
        <c:lblOffset val="100"/>
        <c:noMultiLvlLbl val="0"/>
      </c:catAx>
      <c:valAx>
        <c:axId val="6615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_);[Red]\(&quot;R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54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957036</xdr:colOff>
      <xdr:row>25</xdr:row>
      <xdr:rowOff>95251</xdr:rowOff>
    </xdr:from>
    <xdr:to>
      <xdr:col>19</xdr:col>
      <xdr:colOff>347739</xdr:colOff>
      <xdr:row>53</xdr:row>
      <xdr:rowOff>72572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CA9DE6-9834-0050-2F4A-9B3AFCBE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139700</xdr:rowOff>
    </xdr:from>
    <xdr:to>
      <xdr:col>21</xdr:col>
      <xdr:colOff>368300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DE8A4D-288E-0F47-3D4D-05B5D4F35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7589-9CBA-4F7E-9A98-B19C0F3F016C}">
  <sheetPr codeName="Planilha1"/>
  <dimension ref="A3:Q37"/>
  <sheetViews>
    <sheetView tabSelected="1" topLeftCell="J3" zoomScale="90" zoomScaleNormal="90" workbookViewId="0">
      <selection activeCell="N10" sqref="N10"/>
    </sheetView>
  </sheetViews>
  <sheetFormatPr defaultRowHeight="14.5" x14ac:dyDescent="0.35"/>
  <cols>
    <col min="2" max="2" width="14.90625" bestFit="1" customWidth="1"/>
    <col min="3" max="3" width="11.36328125" bestFit="1" customWidth="1"/>
    <col min="4" max="4" width="12.7265625" bestFit="1" customWidth="1"/>
    <col min="5" max="5" width="17.453125" customWidth="1"/>
    <col min="6" max="7" width="16.453125" customWidth="1"/>
    <col min="8" max="8" width="14.90625" bestFit="1" customWidth="1"/>
    <col min="10" max="10" width="27.7265625" customWidth="1"/>
    <col min="11" max="11" width="16.90625" customWidth="1"/>
    <col min="12" max="12" width="22.7265625" customWidth="1"/>
    <col min="13" max="13" width="14.36328125" bestFit="1" customWidth="1"/>
    <col min="14" max="14" width="21.90625" customWidth="1"/>
    <col min="15" max="15" width="25.54296875" customWidth="1"/>
    <col min="16" max="16" width="18.26953125" customWidth="1"/>
    <col min="17" max="17" width="22.90625" customWidth="1"/>
  </cols>
  <sheetData>
    <row r="3" spans="1:17" x14ac:dyDescent="0.35">
      <c r="A3" s="20" t="s">
        <v>0</v>
      </c>
      <c r="B3" s="21"/>
      <c r="C3" s="21"/>
      <c r="D3" s="21"/>
      <c r="E3" s="21"/>
      <c r="F3" s="21"/>
      <c r="G3" s="21"/>
      <c r="H3" s="21"/>
      <c r="J3" s="23"/>
      <c r="K3" s="23" t="s">
        <v>27</v>
      </c>
      <c r="L3" s="23" t="s">
        <v>28</v>
      </c>
      <c r="M3" s="23" t="s">
        <v>29</v>
      </c>
      <c r="N3" s="23" t="s">
        <v>30</v>
      </c>
      <c r="O3" s="23" t="s">
        <v>31</v>
      </c>
      <c r="P3" s="23" t="s">
        <v>54</v>
      </c>
      <c r="Q3" s="23" t="s">
        <v>55</v>
      </c>
    </row>
    <row r="4" spans="1:17" x14ac:dyDescent="0.35">
      <c r="A4" s="14" t="s">
        <v>1</v>
      </c>
      <c r="K4" s="24"/>
      <c r="L4" s="24"/>
      <c r="M4" s="23"/>
      <c r="N4" s="23"/>
      <c r="O4" s="23"/>
      <c r="P4" s="23"/>
      <c r="Q4" s="23"/>
    </row>
    <row r="5" spans="1:17" x14ac:dyDescent="0.35">
      <c r="A5" s="14"/>
      <c r="J5" s="23"/>
      <c r="K5" s="23"/>
      <c r="L5" s="23"/>
      <c r="M5" s="23"/>
      <c r="N5" s="23"/>
      <c r="O5" s="23"/>
      <c r="P5" s="23"/>
      <c r="Q5" s="23"/>
    </row>
    <row r="6" spans="1:17" x14ac:dyDescent="0.35">
      <c r="A6" s="18" t="s">
        <v>2</v>
      </c>
      <c r="B6" s="19"/>
      <c r="C6" s="18"/>
      <c r="D6" s="18"/>
      <c r="E6" s="18"/>
      <c r="F6" s="18"/>
      <c r="G6" s="18"/>
      <c r="H6" s="18"/>
      <c r="J6" s="23" t="s">
        <v>32</v>
      </c>
      <c r="K6" s="23">
        <v>600</v>
      </c>
      <c r="L6" s="23">
        <v>600</v>
      </c>
      <c r="M6" s="23">
        <v>600</v>
      </c>
      <c r="N6" s="31">
        <v>600</v>
      </c>
      <c r="O6" s="23">
        <v>600</v>
      </c>
      <c r="P6" s="23">
        <v>600</v>
      </c>
      <c r="Q6" s="23">
        <v>600</v>
      </c>
    </row>
    <row r="7" spans="1:17" x14ac:dyDescent="0.35">
      <c r="A7" s="14" t="s">
        <v>3</v>
      </c>
      <c r="J7" s="23" t="s">
        <v>33</v>
      </c>
      <c r="K7" s="23">
        <v>300</v>
      </c>
      <c r="L7" s="23">
        <v>333</v>
      </c>
      <c r="M7" s="23">
        <v>739</v>
      </c>
      <c r="N7" s="23">
        <v>8225</v>
      </c>
      <c r="O7" s="23">
        <v>41194094</v>
      </c>
      <c r="P7" s="23">
        <v>102985.24</v>
      </c>
      <c r="Q7" s="23">
        <v>195672</v>
      </c>
    </row>
    <row r="8" spans="1:17" x14ac:dyDescent="0.35">
      <c r="A8" s="7" t="s">
        <v>4</v>
      </c>
      <c r="B8" s="3">
        <v>330000</v>
      </c>
      <c r="J8" s="23"/>
      <c r="K8" s="23"/>
      <c r="L8" s="23"/>
      <c r="M8" s="23"/>
      <c r="N8" s="23"/>
      <c r="O8" s="23"/>
      <c r="P8" s="23"/>
      <c r="Q8" s="23"/>
    </row>
    <row r="9" spans="1:17" x14ac:dyDescent="0.35">
      <c r="B9" s="4"/>
      <c r="J9" s="25" t="s">
        <v>56</v>
      </c>
      <c r="K9" s="26">
        <f>K7*K6</f>
        <v>180000</v>
      </c>
      <c r="L9" s="26">
        <f>L7*L6</f>
        <v>199800</v>
      </c>
      <c r="M9" s="26">
        <f>M7*M6</f>
        <v>443400</v>
      </c>
      <c r="N9" s="26">
        <f>N7*N6</f>
        <v>4935000</v>
      </c>
      <c r="O9" s="26">
        <f>O7*O6</f>
        <v>24716456400</v>
      </c>
      <c r="P9" s="26">
        <f>P7*P6</f>
        <v>61791144</v>
      </c>
      <c r="Q9" s="26">
        <f>Q7*Q6</f>
        <v>117403200</v>
      </c>
    </row>
    <row r="10" spans="1:17" ht="15" thickBot="1" x14ac:dyDescent="0.4">
      <c r="A10" s="32" t="s">
        <v>5</v>
      </c>
      <c r="B10" s="33"/>
      <c r="C10" s="32"/>
      <c r="D10" s="32"/>
      <c r="E10" s="32"/>
      <c r="F10" s="32"/>
      <c r="G10" s="32"/>
      <c r="H10" s="32"/>
      <c r="J10" s="23" t="s">
        <v>26</v>
      </c>
      <c r="K10" s="31">
        <f>K9*0.35</f>
        <v>62999.999999999993</v>
      </c>
      <c r="L10" s="31">
        <f t="shared" ref="L10:Q10" si="0">L9*0.35</f>
        <v>69930</v>
      </c>
      <c r="M10" s="31">
        <f>M9*0.25</f>
        <v>110850</v>
      </c>
      <c r="N10" s="31">
        <f>N9*0.25</f>
        <v>1233750</v>
      </c>
      <c r="O10" s="31">
        <f>O9*0.25</f>
        <v>6179114100</v>
      </c>
      <c r="P10" s="31">
        <f>P9*0.2</f>
        <v>12358228.800000001</v>
      </c>
      <c r="Q10" s="31">
        <f>Q9*0.2</f>
        <v>23480640</v>
      </c>
    </row>
    <row r="11" spans="1:17" x14ac:dyDescent="0.35">
      <c r="A11" s="14" t="s">
        <v>6</v>
      </c>
      <c r="B11" s="8"/>
      <c r="J11" s="25"/>
      <c r="K11" s="26"/>
      <c r="L11" s="26"/>
      <c r="M11" s="26"/>
      <c r="N11" s="26"/>
      <c r="O11" s="26"/>
    </row>
    <row r="12" spans="1:17" x14ac:dyDescent="0.35">
      <c r="A12" s="14"/>
      <c r="B12" s="8"/>
    </row>
    <row r="13" spans="1:17" x14ac:dyDescent="0.35">
      <c r="B13" s="16">
        <v>1</v>
      </c>
      <c r="C13" s="16">
        <v>2</v>
      </c>
      <c r="D13" s="16">
        <v>3</v>
      </c>
      <c r="E13" s="16">
        <v>4</v>
      </c>
      <c r="F13" s="16">
        <v>5</v>
      </c>
      <c r="G13" s="16">
        <v>6</v>
      </c>
      <c r="H13" s="16">
        <v>7</v>
      </c>
    </row>
    <row r="14" spans="1:17" x14ac:dyDescent="0.35">
      <c r="A14" s="2" t="s">
        <v>7</v>
      </c>
      <c r="B14" s="22">
        <f>Planilha4!B2</f>
        <v>150000</v>
      </c>
      <c r="C14" s="22">
        <f>Planilha4!C2</f>
        <v>200000</v>
      </c>
      <c r="D14" s="22">
        <f>Planilha4!D2</f>
        <v>890006</v>
      </c>
      <c r="E14" s="22">
        <f>Planilha4!E2</f>
        <v>4935039</v>
      </c>
      <c r="F14" s="22">
        <f>Planilha4!F2</f>
        <v>24716456</v>
      </c>
      <c r="G14" s="22">
        <f>Planilha4!G2</f>
        <v>61791140</v>
      </c>
      <c r="H14" s="22">
        <f>Planilha4!H2</f>
        <v>117403166</v>
      </c>
      <c r="I14" s="1"/>
      <c r="J14" s="23" t="s">
        <v>35</v>
      </c>
      <c r="K14" s="23" t="s">
        <v>27</v>
      </c>
      <c r="L14" s="23" t="s">
        <v>28</v>
      </c>
      <c r="M14" s="23" t="s">
        <v>29</v>
      </c>
      <c r="N14" s="23" t="s">
        <v>30</v>
      </c>
      <c r="O14" s="23" t="s">
        <v>31</v>
      </c>
      <c r="P14" s="23" t="s">
        <v>54</v>
      </c>
      <c r="Q14" s="23" t="s">
        <v>55</v>
      </c>
    </row>
    <row r="15" spans="1:17" x14ac:dyDescent="0.35">
      <c r="A15" t="s">
        <v>38</v>
      </c>
      <c r="B15" s="27">
        <v>0.25</v>
      </c>
      <c r="C15" s="27">
        <v>0.2</v>
      </c>
      <c r="D15" s="27">
        <v>0.2</v>
      </c>
      <c r="E15" s="27">
        <v>0.17499999999999999</v>
      </c>
      <c r="F15" s="27">
        <v>0.15</v>
      </c>
      <c r="G15" s="27">
        <v>0.15</v>
      </c>
      <c r="H15" s="27">
        <v>0.15</v>
      </c>
      <c r="I15" s="1"/>
      <c r="J15" s="23" t="s">
        <v>36</v>
      </c>
      <c r="K15" s="31">
        <f>K9</f>
        <v>180000</v>
      </c>
      <c r="L15" s="31">
        <f t="shared" ref="L15:Q15" si="1">L9</f>
        <v>199800</v>
      </c>
      <c r="M15" s="31">
        <f t="shared" si="1"/>
        <v>443400</v>
      </c>
      <c r="N15" s="31">
        <f t="shared" si="1"/>
        <v>4935000</v>
      </c>
      <c r="O15" s="31">
        <f t="shared" si="1"/>
        <v>24716456400</v>
      </c>
      <c r="P15" s="31">
        <f t="shared" si="1"/>
        <v>61791144</v>
      </c>
      <c r="Q15" s="31">
        <f t="shared" si="1"/>
        <v>117403200</v>
      </c>
    </row>
    <row r="16" spans="1:17" x14ac:dyDescent="0.35">
      <c r="A16" t="s">
        <v>39</v>
      </c>
      <c r="B16" s="28">
        <f>Planilha4!B4</f>
        <v>105000</v>
      </c>
      <c r="C16" s="28">
        <f>Planilha4!C4</f>
        <v>140000</v>
      </c>
      <c r="D16" s="28">
        <f>Planilha4!D4</f>
        <v>623004</v>
      </c>
      <c r="E16" s="28">
        <f>Planilha4!E4</f>
        <v>3454527</v>
      </c>
      <c r="F16" s="28">
        <f>Planilha4!F4</f>
        <v>17301519</v>
      </c>
      <c r="G16" s="28">
        <f>Planilha4!G4</f>
        <v>43253798</v>
      </c>
      <c r="H16" s="28">
        <f>Planilha4!H4</f>
        <v>82182216.200000003</v>
      </c>
      <c r="I16" s="1"/>
      <c r="J16" s="23" t="s">
        <v>37</v>
      </c>
      <c r="K16" s="23"/>
      <c r="L16" s="23"/>
      <c r="M16" s="23"/>
      <c r="N16" s="23"/>
      <c r="O16" s="23"/>
      <c r="P16" s="23"/>
      <c r="Q16" s="23"/>
    </row>
    <row r="17" spans="1:17" ht="15" thickBot="1" x14ac:dyDescent="0.4">
      <c r="A17" s="2" t="s">
        <v>8</v>
      </c>
      <c r="B17" s="22">
        <f>Planilha4!B6</f>
        <v>-10000</v>
      </c>
      <c r="C17" s="22">
        <f>Planilha4!C6</f>
        <v>20000</v>
      </c>
      <c r="D17" s="22">
        <f>Planilha4!D6</f>
        <v>434003</v>
      </c>
      <c r="E17" s="22">
        <f>Planilha4!E6</f>
        <v>2861023</v>
      </c>
      <c r="F17" s="22">
        <f>Planilha4!F6</f>
        <v>14729873</v>
      </c>
      <c r="G17" s="22">
        <f>Planilha4!G6</f>
        <v>27884763.199999999</v>
      </c>
      <c r="H17" s="22">
        <f>Planilha4!H6</f>
        <v>55600422.180000007</v>
      </c>
      <c r="I17" s="1"/>
      <c r="J17" s="23"/>
      <c r="K17" s="23"/>
      <c r="L17" s="23"/>
      <c r="M17" s="23"/>
      <c r="N17" s="23"/>
      <c r="O17" s="23"/>
      <c r="P17" s="23"/>
      <c r="Q17" s="23"/>
    </row>
    <row r="18" spans="1:17" ht="15" thickBot="1" x14ac:dyDescent="0.4">
      <c r="A18" s="2" t="s">
        <v>9</v>
      </c>
      <c r="B18" s="29">
        <v>-15000</v>
      </c>
      <c r="C18" s="29">
        <v>15000</v>
      </c>
      <c r="D18" s="29">
        <v>321752</v>
      </c>
      <c r="E18" s="29">
        <v>2142017</v>
      </c>
      <c r="F18" s="29">
        <v>11043655</v>
      </c>
      <c r="G18" s="30">
        <v>18363572.399999999</v>
      </c>
      <c r="H18" s="30">
        <v>39600316.635000005</v>
      </c>
      <c r="I18" s="1"/>
      <c r="J18" s="23"/>
      <c r="K18" s="23"/>
      <c r="L18" s="23"/>
      <c r="M18" s="23"/>
      <c r="N18" s="23"/>
      <c r="O18" s="23"/>
      <c r="P18" s="23"/>
      <c r="Q18" s="23"/>
    </row>
    <row r="19" spans="1:17" x14ac:dyDescent="0.35">
      <c r="A19" s="14"/>
      <c r="J19" s="23"/>
      <c r="K19" s="23"/>
      <c r="L19" s="23"/>
      <c r="M19" s="23"/>
      <c r="N19" s="23"/>
      <c r="O19" s="23"/>
      <c r="P19" s="23"/>
      <c r="Q19" s="23"/>
    </row>
    <row r="20" spans="1:17" x14ac:dyDescent="0.35">
      <c r="A20" s="18" t="s">
        <v>10</v>
      </c>
      <c r="B20" s="18"/>
      <c r="C20" s="18"/>
      <c r="D20" s="18"/>
      <c r="E20" s="18"/>
      <c r="F20" s="18"/>
      <c r="G20" s="18"/>
      <c r="H20" s="18"/>
      <c r="J20" s="23"/>
      <c r="K20" s="23"/>
      <c r="L20" s="23"/>
      <c r="M20" s="23"/>
      <c r="N20" s="23"/>
      <c r="O20" s="23"/>
      <c r="P20" s="23"/>
      <c r="Q20" s="23"/>
    </row>
    <row r="21" spans="1:17" x14ac:dyDescent="0.35">
      <c r="A21" s="14" t="s">
        <v>11</v>
      </c>
      <c r="J21" s="23"/>
      <c r="K21" s="23"/>
      <c r="L21" s="23"/>
      <c r="M21" s="23"/>
      <c r="N21" s="23"/>
      <c r="O21" s="23"/>
      <c r="P21" s="23"/>
      <c r="Q21" s="23"/>
    </row>
    <row r="22" spans="1:17" x14ac:dyDescent="0.35">
      <c r="A22" s="7" t="s">
        <v>12</v>
      </c>
      <c r="B22" s="9">
        <v>7</v>
      </c>
      <c r="J22" s="23"/>
      <c r="K22" s="23"/>
      <c r="L22" s="23"/>
      <c r="M22" s="23"/>
      <c r="N22" s="23"/>
      <c r="O22" s="23"/>
      <c r="P22" s="23"/>
      <c r="Q22" s="23"/>
    </row>
    <row r="23" spans="1:17" x14ac:dyDescent="0.35">
      <c r="J23" s="23"/>
      <c r="K23" s="23"/>
      <c r="L23" s="23"/>
      <c r="M23" s="23"/>
      <c r="N23" s="23"/>
      <c r="O23" s="23"/>
      <c r="P23" s="23"/>
      <c r="Q23" s="23"/>
    </row>
    <row r="24" spans="1:17" x14ac:dyDescent="0.35">
      <c r="A24" s="18" t="s">
        <v>13</v>
      </c>
      <c r="B24" s="18"/>
      <c r="C24" s="18"/>
      <c r="D24" s="18"/>
      <c r="E24" s="18"/>
      <c r="F24" s="18"/>
      <c r="G24" s="18"/>
      <c r="H24" s="18"/>
      <c r="J24" s="23"/>
      <c r="K24" s="23"/>
      <c r="L24" s="23"/>
      <c r="M24" s="23"/>
      <c r="N24" s="23"/>
      <c r="O24" s="23"/>
      <c r="P24" s="23"/>
      <c r="Q24" s="23"/>
    </row>
    <row r="25" spans="1:17" x14ac:dyDescent="0.35">
      <c r="A25" s="14" t="s">
        <v>14</v>
      </c>
      <c r="J25" s="23"/>
      <c r="K25" s="23"/>
      <c r="L25" s="23"/>
      <c r="M25" s="23"/>
      <c r="N25" s="23"/>
      <c r="O25" s="23"/>
      <c r="P25" s="23"/>
      <c r="Q25" s="23"/>
    </row>
    <row r="26" spans="1:17" x14ac:dyDescent="0.35">
      <c r="A26" s="7" t="s">
        <v>15</v>
      </c>
      <c r="B26" s="17" t="s">
        <v>9</v>
      </c>
    </row>
    <row r="27" spans="1:17" x14ac:dyDescent="0.35">
      <c r="A27" s="7" t="s">
        <v>16</v>
      </c>
      <c r="B27" s="10">
        <v>10</v>
      </c>
    </row>
    <row r="28" spans="1:17" x14ac:dyDescent="0.35">
      <c r="A28" s="7" t="s">
        <v>17</v>
      </c>
      <c r="B28" s="2">
        <f>H14</f>
        <v>117403166</v>
      </c>
    </row>
    <row r="30" spans="1:17" x14ac:dyDescent="0.35">
      <c r="A30" s="18" t="s">
        <v>18</v>
      </c>
      <c r="B30" s="18"/>
      <c r="C30" s="18"/>
      <c r="D30" s="18"/>
      <c r="E30" s="18"/>
      <c r="F30" s="18"/>
      <c r="G30" s="18"/>
      <c r="H30" s="18"/>
    </row>
    <row r="31" spans="1:17" x14ac:dyDescent="0.35">
      <c r="A31" s="14" t="s">
        <v>19</v>
      </c>
      <c r="B31" s="5"/>
      <c r="C31" s="5"/>
      <c r="D31" s="5"/>
      <c r="E31" s="5"/>
      <c r="F31" s="5"/>
      <c r="G31" s="5"/>
      <c r="H31" s="5"/>
    </row>
    <row r="32" spans="1:17" x14ac:dyDescent="0.35">
      <c r="A32" s="7" t="s">
        <v>20</v>
      </c>
      <c r="B32" s="6">
        <v>0.3</v>
      </c>
    </row>
    <row r="33" spans="1:8" x14ac:dyDescent="0.35">
      <c r="B33" s="6"/>
    </row>
    <row r="34" spans="1:8" x14ac:dyDescent="0.35">
      <c r="A34" s="18" t="s">
        <v>21</v>
      </c>
      <c r="B34" s="18"/>
      <c r="C34" s="18"/>
      <c r="D34" s="18"/>
      <c r="E34" s="18"/>
      <c r="F34" s="18"/>
      <c r="G34" s="18"/>
      <c r="H34" s="18"/>
    </row>
    <row r="35" spans="1:8" x14ac:dyDescent="0.35">
      <c r="A35" s="7" t="s">
        <v>22</v>
      </c>
      <c r="B35" s="11">
        <v>26.932907434290431</v>
      </c>
    </row>
    <row r="36" spans="1:8" x14ac:dyDescent="0.35">
      <c r="A36" s="7" t="s">
        <v>23</v>
      </c>
      <c r="B36" s="12">
        <v>18.932907434290431</v>
      </c>
      <c r="C36" s="13" t="s">
        <v>24</v>
      </c>
    </row>
    <row r="37" spans="1:8" x14ac:dyDescent="0.35">
      <c r="A37" s="7" t="s">
        <v>25</v>
      </c>
      <c r="B37" s="15">
        <v>0.29703440000000009</v>
      </c>
    </row>
  </sheetData>
  <phoneticPr fontId="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8BB3-756A-4716-BB53-7E6E77A037F5}">
  <sheetPr codeName="Planilha2"/>
  <dimension ref="A1:H12"/>
  <sheetViews>
    <sheetView zoomScale="70" zoomScaleNormal="70" workbookViewId="0">
      <selection activeCell="E2" sqref="E2"/>
    </sheetView>
  </sheetViews>
  <sheetFormatPr defaultRowHeight="14.5" x14ac:dyDescent="0.35"/>
  <cols>
    <col min="1" max="1" width="14.7265625" customWidth="1"/>
    <col min="2" max="2" width="31.1796875" customWidth="1"/>
    <col min="3" max="3" width="20.90625" customWidth="1"/>
    <col min="4" max="4" width="22.7265625" customWidth="1"/>
    <col min="5" max="5" width="27.1796875" customWidth="1"/>
    <col min="6" max="6" width="29.453125" customWidth="1"/>
    <col min="7" max="7" width="25.54296875" customWidth="1"/>
    <col min="8" max="8" width="26.26953125" customWidth="1"/>
  </cols>
  <sheetData>
    <row r="1" spans="1:8" ht="15" thickBot="1" x14ac:dyDescent="0.4">
      <c r="A1" s="34"/>
      <c r="B1" s="34" t="s">
        <v>40</v>
      </c>
      <c r="C1" s="34" t="s">
        <v>41</v>
      </c>
      <c r="D1" s="34" t="s">
        <v>42</v>
      </c>
      <c r="E1" s="34" t="s">
        <v>43</v>
      </c>
      <c r="F1" s="34" t="s">
        <v>44</v>
      </c>
      <c r="G1" s="35" t="s">
        <v>52</v>
      </c>
      <c r="H1" s="35" t="s">
        <v>53</v>
      </c>
    </row>
    <row r="2" spans="1:8" ht="15" thickBot="1" x14ac:dyDescent="0.4">
      <c r="A2" s="36" t="s">
        <v>7</v>
      </c>
      <c r="B2" s="37">
        <v>150000</v>
      </c>
      <c r="C2" s="37">
        <v>200000</v>
      </c>
      <c r="D2" s="37">
        <v>890006</v>
      </c>
      <c r="E2" s="37">
        <v>4935039</v>
      </c>
      <c r="F2" s="37">
        <v>24716456</v>
      </c>
      <c r="G2" s="38">
        <f>(F2*2.5)</f>
        <v>61791140</v>
      </c>
      <c r="H2" s="38">
        <f>(G2*1.9)</f>
        <v>117403166</v>
      </c>
    </row>
    <row r="3" spans="1:8" ht="39" thickBot="1" x14ac:dyDescent="0.4">
      <c r="A3" s="36" t="s">
        <v>45</v>
      </c>
      <c r="B3" s="37">
        <v>45000</v>
      </c>
      <c r="C3" s="37">
        <v>60000</v>
      </c>
      <c r="D3" s="37">
        <v>267002</v>
      </c>
      <c r="E3" s="37">
        <v>1480512</v>
      </c>
      <c r="F3" s="37">
        <v>7414937</v>
      </c>
      <c r="G3" s="38">
        <f>G2*0.3</f>
        <v>18537342</v>
      </c>
      <c r="H3" s="38">
        <f>H2*0.3</f>
        <v>35220949.799999997</v>
      </c>
    </row>
    <row r="4" spans="1:8" ht="26.5" thickBot="1" x14ac:dyDescent="0.4">
      <c r="A4" s="36" t="s">
        <v>46</v>
      </c>
      <c r="B4" s="37">
        <v>105000</v>
      </c>
      <c r="C4" s="37">
        <v>140000</v>
      </c>
      <c r="D4" s="37">
        <v>623004</v>
      </c>
      <c r="E4" s="37">
        <v>3454527</v>
      </c>
      <c r="F4" s="37">
        <v>17301519</v>
      </c>
      <c r="G4" s="38">
        <f>G2-G3</f>
        <v>43253798</v>
      </c>
      <c r="H4" s="38">
        <f>H2-H3</f>
        <v>82182216.200000003</v>
      </c>
    </row>
    <row r="5" spans="1:8" ht="51.5" thickBot="1" x14ac:dyDescent="0.4">
      <c r="A5" s="36" t="s">
        <v>47</v>
      </c>
      <c r="B5" s="37">
        <v>115000</v>
      </c>
      <c r="C5" s="37">
        <v>120000</v>
      </c>
      <c r="D5" s="37">
        <v>189001</v>
      </c>
      <c r="E5" s="37">
        <v>593504</v>
      </c>
      <c r="F5" s="37">
        <v>2571646</v>
      </c>
      <c r="G5" s="38">
        <f>F12+(G4*0.1)</f>
        <v>15369034.800000001</v>
      </c>
      <c r="H5" s="38">
        <f>G12+H4*0.1</f>
        <v>26581794.02</v>
      </c>
    </row>
    <row r="6" spans="1:8" ht="24" customHeight="1" thickBot="1" x14ac:dyDescent="0.4">
      <c r="A6" s="36" t="s">
        <v>8</v>
      </c>
      <c r="B6" s="37">
        <v>-10000</v>
      </c>
      <c r="C6" s="37">
        <v>20000</v>
      </c>
      <c r="D6" s="37">
        <v>434003</v>
      </c>
      <c r="E6" s="37">
        <v>2861023</v>
      </c>
      <c r="F6" s="37">
        <v>14729873</v>
      </c>
      <c r="G6" s="38">
        <f>G4-G5</f>
        <v>27884763.199999999</v>
      </c>
      <c r="H6" s="38">
        <f>H4-H5</f>
        <v>55600422.180000007</v>
      </c>
    </row>
    <row r="7" spans="1:8" ht="51.5" thickBot="1" x14ac:dyDescent="0.4">
      <c r="A7" s="36" t="s">
        <v>48</v>
      </c>
      <c r="B7" s="37">
        <v>5000</v>
      </c>
      <c r="C7" s="37">
        <v>25000</v>
      </c>
      <c r="D7" s="37">
        <v>55000</v>
      </c>
      <c r="E7" s="37">
        <v>90000</v>
      </c>
      <c r="F7" s="37">
        <v>120000</v>
      </c>
      <c r="G7" s="39">
        <v>400000</v>
      </c>
      <c r="H7" s="39">
        <v>300000</v>
      </c>
    </row>
    <row r="8" spans="1:8" ht="15" thickBot="1" x14ac:dyDescent="0.4">
      <c r="A8" s="36" t="s">
        <v>34</v>
      </c>
      <c r="B8" s="37">
        <v>-15000</v>
      </c>
      <c r="C8" s="37">
        <v>15000</v>
      </c>
      <c r="D8" s="37">
        <v>429003</v>
      </c>
      <c r="E8" s="37">
        <v>2856023</v>
      </c>
      <c r="F8" s="37">
        <v>14724873</v>
      </c>
      <c r="G8" s="38">
        <f>G6-G7</f>
        <v>27484763.199999999</v>
      </c>
      <c r="H8" s="38">
        <f>H6-H7</f>
        <v>55300422.180000007</v>
      </c>
    </row>
    <row r="9" spans="1:8" ht="16" customHeight="1" thickBot="1" x14ac:dyDescent="0.4">
      <c r="A9" s="36" t="s">
        <v>49</v>
      </c>
      <c r="B9" s="37">
        <v>55000</v>
      </c>
      <c r="C9" s="37">
        <v>70000</v>
      </c>
      <c r="D9" s="37">
        <v>125000</v>
      </c>
      <c r="E9" s="37">
        <v>450000</v>
      </c>
      <c r="F9" s="37">
        <v>3500000</v>
      </c>
      <c r="G9" s="40">
        <v>3000000</v>
      </c>
      <c r="H9" s="40">
        <v>2500000</v>
      </c>
    </row>
    <row r="10" spans="1:8" ht="15" thickBot="1" x14ac:dyDescent="0.4">
      <c r="A10" s="36" t="s">
        <v>50</v>
      </c>
      <c r="B10" s="37">
        <v>-15000</v>
      </c>
      <c r="C10" s="37">
        <v>15000</v>
      </c>
      <c r="D10" s="37">
        <v>429003</v>
      </c>
      <c r="E10" s="37">
        <v>2856023</v>
      </c>
      <c r="F10" s="37">
        <v>14724873</v>
      </c>
      <c r="G10" s="41">
        <f>G8-G9</f>
        <v>24484763.199999999</v>
      </c>
      <c r="H10" s="41">
        <f>H8-H9</f>
        <v>52800422.180000007</v>
      </c>
    </row>
    <row r="11" spans="1:8" ht="26.5" customHeight="1" thickBot="1" x14ac:dyDescent="0.4">
      <c r="A11" s="36" t="s">
        <v>51</v>
      </c>
      <c r="B11" s="37">
        <v>0</v>
      </c>
      <c r="C11" s="37">
        <v>0</v>
      </c>
      <c r="D11" s="37">
        <v>107251</v>
      </c>
      <c r="E11" s="37">
        <v>714006</v>
      </c>
      <c r="F11" s="37">
        <v>3681218</v>
      </c>
      <c r="G11" s="41">
        <f>(G10*0.25)</f>
        <v>6121190.7999999998</v>
      </c>
      <c r="H11" s="41">
        <f>(H10*0.25)</f>
        <v>13200105.545000002</v>
      </c>
    </row>
    <row r="12" spans="1:8" ht="26.5" thickBot="1" x14ac:dyDescent="0.4">
      <c r="A12" s="36" t="s">
        <v>9</v>
      </c>
      <c r="B12" s="37">
        <v>-15000</v>
      </c>
      <c r="C12" s="37">
        <v>15000</v>
      </c>
      <c r="D12" s="37">
        <v>321752</v>
      </c>
      <c r="E12" s="37">
        <v>2142017</v>
      </c>
      <c r="F12" s="37">
        <v>11043655</v>
      </c>
      <c r="G12" s="41">
        <f>(G10-G11)</f>
        <v>18363572.399999999</v>
      </c>
      <c r="H12" s="41">
        <f>(H10-H11)</f>
        <v>39600316.635000005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G z l W j U 8 5 c C m A A A A 9 g A A A B I A H A B D b 2 5 m a W c v U G F j a 2 F n Z S 5 4 b W w g o h g A K K A U A A A A A A A A A A A A A A A A A A A A A A A A A A A A h Y 9 B D o I w F E S v Q r q n p W D U k E 9 J d C u J 0 c S 4 b U q F R i i E F s v d X H g k r y B G U X c u Z + Z N M n O / 3 i A d 6 s q 7 y M 6 o R i e I 4 g B 5 U o s m V 7 p I U G 9 P / h K l D L Z c n H k h v R H W J h 6 M S l B p b R s T 4 p z D L s J N V 5 A w C C g 5 Z p u 9 K G X N f a W N 5 V p I 9 G n l / 1 u I w e E 1 h o W Y z i J M F 3 M c A J l M y J T + A u G 4 9 5 n + m L D u K 9 t 3 k r X W X + 2 A T B L I + w N 7 A F B L A w Q U A A I A C A C 8 b O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z l W i i K R 7 g O A A A A E Q A A A B M A H A B G b 3 J t d W x h c y 9 T Z W N 0 a W 9 u M S 5 t I K I Y A C i g F A A A A A A A A A A A A A A A A A A A A A A A A A A A A C t O T S 7 J z M 9 T C I b Q h t Y A U E s B A i 0 A F A A C A A g A v G z l W j U 8 5 c C m A A A A 9 g A A A B I A A A A A A A A A A A A A A A A A A A A A A E N v b m Z p Z y 9 Q Y W N r Y W d l L n h t b F B L A Q I t A B Q A A g A I A L x s 5 V o P y u m r p A A A A O k A A A A T A A A A A A A A A A A A A A A A A P I A A A B b Q 2 9 u d G V u d F 9 U e X B l c 1 0 u e G 1 s U E s B A i 0 A F A A C A A g A v G z l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9 P d Y m G f d J L g c p P x t J W F P 4 A A A A A A g A A A A A A E G Y A A A A B A A A g A A A A z m Z f 6 L e C T O 7 q 8 s V O / j N u l l R K 9 L O U 7 R b q L c 6 t e u F J z 7 c A A A A A D o A A A A A C A A A g A A A A L B 6 c V G e S 9 q Y y q Z N 6 D p V U 0 N u P Y 6 0 N y N n q i i q 2 t 8 s W n c 1 Q A A A A w Q a a h 2 x 9 d J 5 p g s F d O / U s S C 1 O 6 j i / A N W J O g + o / b b M x C d J u A B q N b u 8 o 0 f B / p y b 8 n e D o Y j s k / S T w Q t x d d e a e 7 b T E I g N C z U U J l H i C z W t l z e 1 3 R d A A A A A y I 5 A p 9 J 9 r j n j u i o v k D 6 B W Z S c g d g 1 3 T m S o s V o y 2 9 E I M c B 9 U 2 H 5 M h w X H F q T 7 X A R f R D o P A a 6 T W z f o a E u T S o V m 2 A B w = = < / D a t a M a s h u p > 
</file>

<file path=customXml/itemProps1.xml><?xml version="1.0" encoding="utf-8"?>
<ds:datastoreItem xmlns:ds="http://schemas.openxmlformats.org/officeDocument/2006/customXml" ds:itemID="{2A916E0C-F0E0-46C9-81E2-94C0012B11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Valuation 5Y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Cavalheiro</dc:creator>
  <cp:lastModifiedBy>Gustavo Cavalheiro</cp:lastModifiedBy>
  <dcterms:created xsi:type="dcterms:W3CDTF">2025-07-05T13:15:52Z</dcterms:created>
  <dcterms:modified xsi:type="dcterms:W3CDTF">2025-07-05T18:42:56Z</dcterms:modified>
</cp:coreProperties>
</file>