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ouglas\1 semestre 2013\Engenharia de Software\Scrum\"/>
    </mc:Choice>
  </mc:AlternateContent>
  <bookViews>
    <workbookView xWindow="0" yWindow="0" windowWidth="20490" windowHeight="7755" activeTab="5"/>
  </bookViews>
  <sheets>
    <sheet name="Scrum" sheetId="6" r:id="rId1"/>
    <sheet name="Product Info" sheetId="1" r:id="rId2"/>
    <sheet name="Release Plan" sheetId="2" r:id="rId3"/>
    <sheet name="Product Backlog" sheetId="3" r:id="rId4"/>
    <sheet name="Bugs" sheetId="10" r:id="rId5"/>
    <sheet name="Sprint 1" sheetId="4" r:id="rId6"/>
  </sheets>
  <definedNames>
    <definedName name="ActualVelocity">SprintPlan[Realized]</definedName>
    <definedName name="_xlnm.Print_Area" localSheetId="4">Bugs!$A$1:$O$13</definedName>
    <definedName name="_xlnm.Print_Area" localSheetId="3">'Product Backlog'!$A$1:$L$14</definedName>
    <definedName name="_xlnm.Print_Area" localSheetId="1">'Product Info'!$A$1:$B$17</definedName>
    <definedName name="_xlnm.Print_Area" localSheetId="2">'Release Plan'!$A$1:$N$18</definedName>
    <definedName name="_xlnm.Print_Area" localSheetId="5">'Sprint 1'!$A$1:$R$28</definedName>
    <definedName name="PlannedVelocity">SprintPlan[Points]</definedName>
    <definedName name="Releases">ReleasePlan[Release]</definedName>
    <definedName name="Sprints">SprintPlan[Sprint]</definedName>
  </definedNames>
  <calcPr calcId="152511"/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1" i="2"/>
  <c r="K11" i="2" l="1"/>
  <c r="E12" i="2"/>
  <c r="E13" i="2"/>
  <c r="E14" i="2"/>
  <c r="E15" i="2"/>
  <c r="E16" i="2"/>
  <c r="E11" i="2"/>
  <c r="C9" i="4"/>
  <c r="K12" i="2" l="1"/>
  <c r="C8" i="4"/>
  <c r="C10" i="4" s="1"/>
  <c r="E5" i="2"/>
  <c r="E6" i="2"/>
  <c r="C4" i="2"/>
  <c r="C5" i="2"/>
  <c r="C6" i="2"/>
  <c r="B4" i="2"/>
  <c r="B12" i="2"/>
  <c r="D11" i="2"/>
  <c r="D6" i="4" l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B5" i="2"/>
  <c r="B6" i="2" s="1"/>
  <c r="B13" i="2"/>
  <c r="B14" i="2" s="1"/>
  <c r="D12" i="2"/>
  <c r="D4" i="2"/>
  <c r="E4" i="2"/>
  <c r="D5" i="2" l="1"/>
  <c r="D13" i="2"/>
  <c r="D14" i="2"/>
  <c r="B15" i="2"/>
  <c r="D6" i="2" l="1"/>
  <c r="B16" i="2"/>
  <c r="D15" i="2"/>
  <c r="D16" i="2" l="1"/>
</calcChain>
</file>

<file path=xl/sharedStrings.xml><?xml version="1.0" encoding="utf-8"?>
<sst xmlns="http://schemas.openxmlformats.org/spreadsheetml/2006/main" count="105" uniqueCount="79">
  <si>
    <t>Product Vision</t>
  </si>
  <si>
    <t>Definition of Done</t>
  </si>
  <si>
    <t>Release Plan</t>
  </si>
  <si>
    <t>Release</t>
  </si>
  <si>
    <t>Start</t>
  </si>
  <si>
    <t>Days</t>
  </si>
  <si>
    <t>End</t>
  </si>
  <si>
    <t>Status</t>
  </si>
  <si>
    <t>Release Date</t>
  </si>
  <si>
    <t>In progress</t>
  </si>
  <si>
    <t>Sprint Plan</t>
  </si>
  <si>
    <t>Sprint</t>
  </si>
  <si>
    <t>Product Backlog</t>
  </si>
  <si>
    <t>Story</t>
  </si>
  <si>
    <t>Priority</t>
  </si>
  <si>
    <t>Acceptance Criteria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</si>
  <si>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</si>
  <si>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</si>
  <si>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</si>
  <si>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</si>
  <si>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</si>
  <si>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</si>
  <si>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</si>
  <si>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</si>
  <si>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</si>
  <si>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</si>
  <si>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</si>
  <si>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</si>
  <si>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</si>
  <si>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</si>
  <si>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Ideal Trend</t>
  </si>
  <si>
    <t>14</t>
  </si>
  <si>
    <t>• Builds without errors or warnings</t>
  </si>
  <si>
    <t>• Release notes updated</t>
  </si>
  <si>
    <t>• Documentation updated</t>
  </si>
  <si>
    <t>• Unit tests written and passing</t>
  </si>
  <si>
    <t>• No must-fix defects</t>
  </si>
  <si>
    <t>• Exploratory testing done</t>
  </si>
  <si>
    <t>• Full regression testing done and passing</t>
  </si>
  <si>
    <t>• Release notes complete</t>
  </si>
  <si>
    <t>• Documentation complete (anything extra, e.g. integration between tools)</t>
  </si>
  <si>
    <t>• Accepted by customer</t>
  </si>
  <si>
    <t>• Acceptance tests defined and passing (automated where practical)</t>
  </si>
  <si>
    <t>• Story tasks complete</t>
  </si>
  <si>
    <t>• Nonfunctional requirements satisfied</t>
  </si>
  <si>
    <t>• Acceptance criteria satisfied</t>
  </si>
  <si>
    <t>• Code and documentation checked in and merged to main branch</t>
  </si>
  <si>
    <t>• Code and documentation branched from main to release branch</t>
  </si>
  <si>
    <t>Points Completed</t>
  </si>
  <si>
    <t>N/A</t>
  </si>
  <si>
    <t>• All stories for the release completed</t>
  </si>
  <si>
    <t>• Deployed to users</t>
  </si>
  <si>
    <t>Total points:</t>
  </si>
  <si>
    <t>Actual Trend</t>
  </si>
  <si>
    <t>Bugs</t>
  </si>
  <si>
    <t>Severity</t>
  </si>
  <si>
    <t>Title</t>
  </si>
  <si>
    <t>Description</t>
  </si>
  <si>
    <t>Sprint days:</t>
  </si>
  <si>
    <t>Points per day:</t>
  </si>
  <si>
    <t>Actual Average</t>
  </si>
  <si>
    <t>Realized</t>
  </si>
  <si>
    <t>Points</t>
  </si>
  <si>
    <t>Example bug</t>
  </si>
  <si>
    <t>Delete this example</t>
  </si>
  <si>
    <t>• Example acceptance criteria</t>
  </si>
  <si>
    <t>3 - Medium</t>
  </si>
  <si>
    <t>Put the product vision here.</t>
  </si>
  <si>
    <t>Story 1</t>
  </si>
  <si>
    <t>Description one</t>
  </si>
  <si>
    <t>• Criteria 1
• Criteria 2</t>
  </si>
  <si>
    <t>Story 2</t>
  </si>
  <si>
    <t>Description two</t>
  </si>
  <si>
    <t>• Criteria 1
• Criteria 2
• Criteria 3</t>
  </si>
  <si>
    <t>Done</t>
  </si>
  <si>
    <t>Story 3</t>
  </si>
  <si>
    <t>Description three</t>
  </si>
  <si>
    <t>• Criteria 1</t>
  </si>
  <si>
    <t>Goal:  This is the goal for the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</si>
</sst>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0"/>
      <color theme="1"/>
      <name val="Frutiger LT Std 45 Light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/>
    </xf>
    <xf numFmtId="0" fontId="4" fillId="3" borderId="2" xfId="0" applyFont="1" applyFill="1" applyBorder="1"/>
    <xf numFmtId="0" fontId="3" fillId="3" borderId="4" xfId="0" applyFont="1" applyFill="1" applyBorder="1" applyAlignment="1" applyProtection="1">
      <alignment horizontal="center"/>
    </xf>
    <xf numFmtId="0" fontId="6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/>
    <xf numFmtId="0" fontId="2" fillId="0" borderId="0" xfId="0" applyFont="1"/>
    <xf numFmtId="2" fontId="1" fillId="3" borderId="0" xfId="0" applyNumberFormat="1" applyFont="1" applyFill="1" applyAlignment="1">
      <alignment horizontal="center"/>
    </xf>
    <xf numFmtId="0" fontId="3" fillId="3" borderId="9" xfId="0" applyFont="1" applyFill="1" applyBorder="1"/>
    <xf numFmtId="0" fontId="3" fillId="3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8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0" fontId="5" fillId="2" borderId="3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/>
    <xf numFmtId="0" fontId="2" fillId="0" borderId="0" xfId="0" applyFont="1"/>
  </cellXfs>
  <cellStyles count="1"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249977111117893"/>
        </patternFill>
      </fill>
    </dxf>
    <dxf>
      <font>
        <strike val="0"/>
        <color theme="0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ill>
        <patternFill>
          <bgColor theme="6" tint="0.39994506668294322"/>
        </patternFill>
      </fill>
    </dxf>
    <dxf>
      <fill>
        <patternFill>
          <bgColor rgb="FFFDFFC5"/>
        </patternFill>
      </fill>
    </dxf>
    <dxf>
      <fill>
        <patternFill patternType="solid">
          <fgColor rgb="FFFF0000"/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ill>
        <patternFill>
          <bgColor theme="6" tint="0.39994506668294322"/>
        </patternFill>
      </fill>
    </dxf>
    <dxf>
      <fill>
        <patternFill>
          <bgColor rgb="FFFDFFC5"/>
        </patternFill>
      </fill>
    </dxf>
    <dxf>
      <fill>
        <patternFill patternType="lightDown">
          <fgColor rgb="FFFF0000"/>
          <bgColor theme="0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ill>
        <patternFill>
          <bgColor theme="6" tint="0.39994506668294322"/>
        </patternFill>
      </fill>
    </dxf>
    <dxf>
      <fill>
        <patternFill>
          <bgColor rgb="FFFDFFC5"/>
        </patternFill>
      </fill>
    </dxf>
    <dxf>
      <fill>
        <patternFill>
          <bgColor rgb="FFFDFFC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DFFC5"/>
      <color rgb="FFF1FFAB"/>
      <color rgb="FFF9FFA7"/>
      <color rgb="FFF6FF85"/>
      <color rgb="FFF7FFAB"/>
      <color rgb="FFF3FF7D"/>
      <color rgb="FFDDF4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Development Velocity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invertIfNegative val="0"/>
          <c:cat>
            <c:numRef>
              <c:f>'Release Plan'!$A$11:$A$16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'Release Plan'!$E$11:$E$16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Realized</c:v>
          </c:tx>
          <c:invertIfNegative val="0"/>
          <c:cat>
            <c:numRef>
              <c:f>'Release Plan'!$A$11:$A$16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'Release Plan'!$H$11:$H$16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26560"/>
        <c:axId val="194827120"/>
      </c:barChart>
      <c:scatterChart>
        <c:scatterStyle val="smoothMarker"/>
        <c:varyColors val="0"/>
        <c:ser>
          <c:idx val="2"/>
          <c:order val="2"/>
          <c:tx>
            <c:v>Average Realized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'Release Plan'!$J$11:$J$12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'Release Plan'!$K$11:$K$12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8240"/>
        <c:axId val="194827680"/>
      </c:scatterChart>
      <c:catAx>
        <c:axId val="1948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27120"/>
        <c:crosses val="autoZero"/>
        <c:auto val="1"/>
        <c:lblAlgn val="ctr"/>
        <c:lblOffset val="100"/>
        <c:noMultiLvlLbl val="0"/>
      </c:catAx>
      <c:valAx>
        <c:axId val="194827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26560"/>
        <c:crosses val="autoZero"/>
        <c:crossBetween val="between"/>
      </c:valAx>
      <c:valAx>
        <c:axId val="1948276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4828240"/>
        <c:crosses val="max"/>
        <c:crossBetween val="midCat"/>
      </c:valAx>
      <c:valAx>
        <c:axId val="194828240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94827680"/>
        <c:crosses val="max"/>
        <c:crossBetween val="midCat"/>
      </c:valAx>
      <c:spPr>
        <a:ln>
          <a:noFill/>
        </a:ln>
      </c:spPr>
    </c:plotArea>
    <c:legend>
      <c:legendPos val="b"/>
      <c:layout/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Points Completed</c:v>
          </c:tx>
          <c:invertIfNegative val="0"/>
          <c:cat>
            <c:strRef>
              <c:f>'Sprint 1'!$D$3:$R$3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'Sprint 1'!$D$4:$R$4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84768"/>
        <c:axId val="196385328"/>
      </c:barChart>
      <c:lineChart>
        <c:grouping val="standard"/>
        <c:varyColors val="0"/>
        <c:ser>
          <c:idx val="1"/>
          <c:order val="1"/>
          <c:tx>
            <c:v>Actual Trend</c:v>
          </c:tx>
          <c:marker>
            <c:symbol val="circle"/>
            <c:size val="7"/>
          </c:marker>
          <c:cat>
            <c:strRef>
              <c:f>'Sprint 1'!$D$3:$R$3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'Sprint 1'!$D$6:$R$6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Ideal Trend</c:v>
          </c:tx>
          <c:marker>
            <c:symbol val="none"/>
          </c:marker>
          <c:cat>
            <c:strRef>
              <c:f>'Sprint 1'!$D$3:$R$3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'Sprint 1'!$D$5:$R$5</c:f>
              <c:numCache>
                <c:formatCode>0.00</c:formatCode>
                <c:ptCount val="15"/>
                <c:pt idx="0" formatCode="General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4768"/>
        <c:axId val="196385328"/>
      </c:lineChart>
      <c:catAx>
        <c:axId val="1963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385328"/>
        <c:crosses val="autoZero"/>
        <c:auto val="1"/>
        <c:lblAlgn val="ctr"/>
        <c:lblOffset val="100"/>
        <c:noMultiLvlLbl val="0"/>
      </c:catAx>
      <c:valAx>
        <c:axId val="196385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6384768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600248</xdr:colOff>
      <xdr:row>5</xdr:row>
      <xdr:rowOff>0</xdr:rowOff>
    </xdr:from>
    <xdr:to>
      <xdr:col>13</xdr:col>
      <xdr:colOff>350693</xdr:colOff>
      <xdr:row>31</xdr:row>
      <xdr:rowOff>44033</xdr:rowOff>
    </xdr:to>
    <xdr:pic>
      <xdr:nvPicPr>
        <xdr:cNvPr id="2" name="Picture 1" descr="http://swansegarconsulting.com/wp-content/uploads/2012/01/scrum-framework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248" y="809625"/>
          <a:ext cx="8046720" cy="4254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14</xdr:col>
      <xdr:colOff>0</xdr:colOff>
      <xdr:row>17</xdr:row>
      <xdr:rowOff>19050</xdr:rowOff>
    </xdr:to>
    <xdr:graphicFrame macro="">
      <xdr:nvGraphicFramePr>
        <xdr:cNvPr id="3" name="Sprints Veloc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0</xdr:colOff>
      <xdr:row>27</xdr:row>
      <xdr:rowOff>95250</xdr:rowOff>
    </xdr:to>
    <xdr:graphicFrame macro="">
      <xdr:nvGraphicFramePr>
        <xdr:cNvPr id="2" name="Sprint 1 Burndow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ReleasePlan" displayName="ReleasePlan" ref="A3:G6" totalsRowShown="0" headerRowDxfId="76" dataDxfId="75">
  <tableColumns count="7">
    <tableColumn id="1" name="Release" dataDxfId="74"/>
    <tableColumn id="2" name="Start" dataDxfId="73">
      <calculatedColumnFormula>B11</calculatedColumnFormula>
    </tableColumn>
    <tableColumn id="3" name="Days" dataDxfId="72">
      <calculatedColumnFormula>SUMIF(SprintPlan[Release],ReleasePlan[[#This Row],[Release]],SprintPlan[Days])</calculatedColumnFormula>
    </tableColumn>
    <tableColumn id="4" name="End" dataDxfId="71">
      <calculatedColumnFormula>IF(ReleasePlan[[#This Row],[Days]]=0,ReleasePlan[[#This Row],[Start]],ReleasePlan[[#This Row],[Start]]+ReleasePlan[[#This Row],[Days]]-1)</calculatedColumnFormula>
    </tableColumn>
    <tableColumn id="5" name="Points" dataDxfId="70">
      <calculatedColumnFormula>SUMIF(SprintPlan[Release],ReleasePlan[[#This Row],[Release]],SprintPlan[Points])</calculatedColumnFormula>
    </tableColumn>
    <tableColumn id="6" name="Status" dataDxfId="69">
      <calculatedColumnFormula>IF(AND(TODAY()&gt;=ReleasePlan[[#This Row],[Start]], TODAY()&lt;ReleasePlan[[#This Row],[End]]),"In progress",IF(TODAY()&gt;=ReleasePlan[[#This Row],[End]],"Done",""))</calculatedColumnFormula>
    </tableColumn>
    <tableColumn id="7" name="Release Date" dataDxfId="68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3" name="SprintPlan" displayName="SprintPlan" ref="A10:H16" headerRowDxfId="67" dataDxfId="66" totalsRowDxfId="65">
  <tableColumns count="8">
    <tableColumn id="1" name="Sprint" totalsRowLabel="Total" dataDxfId="64" totalsRowDxfId="63"/>
    <tableColumn id="2" name="Start" dataDxfId="62"/>
    <tableColumn id="3" name="Days" dataDxfId="61" totalsRowDxfId="60"/>
    <tableColumn id="4" name="End" dataDxfId="59">
      <calculatedColumnFormula>IF(SprintPlan[[#This Row],[Days]]=0,SprintPlan[[#This Row],[Start]],SprintPlan[[#This Row],[Start]]+SprintPlan[[#This Row],[Days]]-1)</calculatedColumnFormula>
    </tableColumn>
    <tableColumn id="5" name="Points" totalsRowFunction="average" dataDxfId="58" totalsRowDxfId="57">
      <calculatedColumnFormula>SUMIF(ProductBacklog[Sprint],SprintPlan[[#This Row],[Sprint]],ProductBacklog[Points])+SUMIF(BugList[Sprint],SprintPlan[[#This Row],[Sprint]],BugList[Points])</calculatedColumnFormula>
    </tableColumn>
    <tableColumn id="6" name="Status" dataDxfId="56" totalsRowDxfId="55">
      <calculatedColumnFormula>IF(AND(TODAY()&gt;=SprintPlan[[#This Row],[Start]], TODAY()&lt;SprintPlan[[#This Row],[End]]),"In progress",IF(TODAY()&gt;=SprintPlan[[#This Row],[End]],"Done",""))</calculatedColumnFormula>
    </tableColumn>
    <tableColumn id="7" name="Release" dataDxfId="54" totalsRowDxfId="53"/>
    <tableColumn id="9" name="Realized" dataDxfId="52" totalsRowDxfId="51">
      <calculatedColumnFormula>IF(SprintPlan[[#This Row],[Status]]&lt;&gt;"Done","",SUMIFS(ProductBacklog[Points],ProductBacklog[Sprint],SprintPlan[[#This Row],[Sprint]],ProductBacklog[Status],"Done")+SUMIFS(BugList[Points],BugList[Sprint],SprintPlan[[#This Row],[Sprint]],BugList[Status],"Done"))</calculatedColumnFormula>
    </tableColumn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id="4" name="ProductBacklog" displayName="ProductBacklog" ref="A3:G6" headerRowDxfId="46" dataDxfId="45">
  <autoFilter ref="A3:G6">
    <filterColumn colId="0" hiddenButton="1"/>
    <filterColumn colId="1" hiddenButton="1"/>
    <filterColumn colId="2" hiddenButton="1"/>
  </autoFilter>
  <sortState ref="A4:M12">
    <sortCondition ref="F3:F12"/>
  </sortState>
  <tableColumns count="7">
    <tableColumn id="1" name="Story" totalsRowLabel="Total" dataDxfId="44" totalsRowDxfId="43"/>
    <tableColumn id="8" name="Description" dataDxfId="42" totalsRowDxfId="41"/>
    <tableColumn id="7" name="Acceptance Criteria" dataDxfId="40" totalsRowDxfId="39"/>
    <tableColumn id="5" name="Priority" dataDxfId="38" totalsRowDxfId="37"/>
    <tableColumn id="3" name="Points" totalsRowFunction="average" dataDxfId="36" totalsRowDxfId="35"/>
    <tableColumn id="4" name="Sprint" dataDxfId="34" totalsRowDxfId="33"/>
    <tableColumn id="2" name="Status" dataDxfId="32" totalsRowDxfId="31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id="9" name="BugList" displayName="BugList" ref="A3:H10" totalsRowShown="0" headerRowDxfId="27" dataDxfId="26">
  <autoFilter ref="A3:H10">
    <filterColumn colId="0" hiddenButton="1"/>
    <filterColumn colId="1" hiddenButton="1"/>
    <filterColumn colId="2" hiddenButton="1"/>
  </autoFilter>
  <sortState ref="A4:O12">
    <sortCondition ref="G3:G12"/>
  </sortState>
  <tableColumns count="8">
    <tableColumn id="1" name="Title" dataDxfId="25"/>
    <tableColumn id="8" name="Description" dataDxfId="24"/>
    <tableColumn id="7" name="Acceptance Criteria" dataDxfId="23"/>
    <tableColumn id="9" name="Severity" dataDxfId="22"/>
    <tableColumn id="5" name="Priority" dataDxfId="21"/>
    <tableColumn id="3" name="Points" dataDxfId="20"/>
    <tableColumn id="4" name="Sprint" dataDxfId="19"/>
    <tableColumn id="2" name="Status" dataDxfId="18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5" name="Sprint1" displayName="Sprint1" ref="D3:R6" totalsRowShown="0" headerRowDxfId="16" dataDxfId="15">
  <tableColumns count="15">
    <tableColumn id="2" name="0" dataDxfId="14"/>
    <tableColumn id="3" name="1" dataDxfId="13"/>
    <tableColumn id="4" name="2" dataDxfId="12"/>
    <tableColumn id="5" name="3" dataDxfId="11"/>
    <tableColumn id="6" name="4" dataDxfId="10"/>
    <tableColumn id="7" name="5" dataDxfId="9"/>
    <tableColumn id="8" name="6" dataDxfId="8"/>
    <tableColumn id="9" name="7" dataDxfId="7"/>
    <tableColumn id="10" name="8" dataDxfId="6"/>
    <tableColumn id="11" name="9" dataDxfId="5"/>
    <tableColumn id="12" name="10" dataDxfId="4"/>
    <tableColumn id="13" name="11" dataDxfId="3"/>
    <tableColumn id="14" name="12" dataDxfId="2"/>
    <tableColumn id="15" name="13" dataDxfId="1"/>
    <tableColumn id="16" name="14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"/>
  <sheetViews>
    <sheetView showGridLines="0" zoomScaleNormal="100" workbookViewId="0">
      <selection activeCell="A4" sqref="A4"/>
    </sheetView>
  </sheetViews>
  <sheetFormatPr defaultRowHeight="12.75"/>
  <cols>
    <col min="1" max="16384" width="9.140625" style="11"/>
  </cols>
  <sheetData/>
  <sheetProtection sheet="1" objects="1" scenarios="1"/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B17"/>
  <sheetViews>
    <sheetView showGridLines="0" topLeftCell="A4" zoomScaleNormal="100" workbookViewId="0">
      <selection activeCell="B15" sqref="B15"/>
    </sheetView>
  </sheetViews>
  <sheetFormatPr defaultRowHeight="12.75"/>
  <cols>
    <col min="1" max="2" width="65.7109375" style="2" customWidth="1"/>
    <col min="3" max="16384" width="9.140625" style="2"/>
  </cols>
  <sheetData>
    <row r="1" spans="1:2" ht="18">
      <c r="A1" s="1" t="s">
        <v>0</v>
      </c>
    </row>
    <row r="3" spans="1:2">
      <c r="A3" s="3" t="s">
        <v>67</v>
      </c>
    </row>
    <row r="5" spans="1:2" ht="18">
      <c r="A5" s="10" t="s">
        <v>1</v>
      </c>
      <c r="B5" s="11"/>
    </row>
    <row r="6" spans="1:2">
      <c r="A6" s="11"/>
      <c r="B6" s="11"/>
    </row>
    <row r="7" spans="1:2" ht="15.75">
      <c r="A7" s="19" t="s">
        <v>13</v>
      </c>
      <c r="B7" s="19" t="s">
        <v>3</v>
      </c>
    </row>
    <row r="8" spans="1:2">
      <c r="A8" s="20" t="s">
        <v>43</v>
      </c>
      <c r="B8" s="20" t="s">
        <v>50</v>
      </c>
    </row>
    <row r="9" spans="1:2">
      <c r="A9" s="21" t="s">
        <v>35</v>
      </c>
      <c r="B9" s="22" t="s">
        <v>38</v>
      </c>
    </row>
    <row r="10" spans="1:2">
      <c r="A10" s="21" t="s">
        <v>42</v>
      </c>
      <c r="B10" s="22" t="s">
        <v>37</v>
      </c>
    </row>
    <row r="11" spans="1:2">
      <c r="A11" s="21" t="s">
        <v>32</v>
      </c>
      <c r="B11" s="22" t="s">
        <v>36</v>
      </c>
    </row>
    <row r="12" spans="1:2">
      <c r="A12" s="21" t="s">
        <v>36</v>
      </c>
      <c r="B12" s="20" t="s">
        <v>39</v>
      </c>
    </row>
    <row r="13" spans="1:2">
      <c r="A13" s="21" t="s">
        <v>33</v>
      </c>
      <c r="B13" s="20" t="s">
        <v>40</v>
      </c>
    </row>
    <row r="14" spans="1:2">
      <c r="A14" s="20" t="s">
        <v>34</v>
      </c>
      <c r="B14" s="20" t="s">
        <v>47</v>
      </c>
    </row>
    <row r="15" spans="1:2">
      <c r="A15" s="21" t="s">
        <v>46</v>
      </c>
      <c r="B15" s="20" t="s">
        <v>41</v>
      </c>
    </row>
    <row r="16" spans="1:2">
      <c r="A16" s="21" t="s">
        <v>45</v>
      </c>
      <c r="B16" s="20" t="s">
        <v>51</v>
      </c>
    </row>
    <row r="17" spans="1:2">
      <c r="A17" s="21" t="s">
        <v>44</v>
      </c>
      <c r="B17" s="20"/>
    </row>
  </sheetData>
  <sheetProtection sheet="1" objects="1" scenarios="1"/>
  <pageMargins left="0.25" right="0.25" top="0.75" bottom="0.75" header="0.3" footer="0.3"/>
  <pageSetup scale="70" orientation="landscape" horizontalDpi="300" verticalDpi="300" r:id="rId1"/>
  <colBreaks count="1" manualBreakCount="1">
    <brk id="2" max="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A1:N40"/>
  <sheetViews>
    <sheetView showGridLines="0" zoomScaleNormal="100" workbookViewId="0">
      <selection activeCell="F13" sqref="F13"/>
    </sheetView>
  </sheetViews>
  <sheetFormatPr defaultRowHeight="12.75"/>
  <cols>
    <col min="1" max="1" width="8.5703125" style="11" bestFit="1" customWidth="1"/>
    <col min="2" max="2" width="9.140625" style="11" bestFit="1" customWidth="1"/>
    <col min="3" max="3" width="5.28515625" style="11" bestFit="1" customWidth="1"/>
    <col min="4" max="4" width="9.140625" style="11" bestFit="1" customWidth="1"/>
    <col min="5" max="5" width="6.5703125" style="11" bestFit="1" customWidth="1"/>
    <col min="6" max="6" width="10.140625" style="11" bestFit="1" customWidth="1"/>
    <col min="7" max="7" width="13.140625" style="11" bestFit="1" customWidth="1"/>
    <col min="8" max="8" width="9" style="11" hidden="1" customWidth="1"/>
    <col min="9" max="14" width="11.42578125" style="11" customWidth="1"/>
    <col min="15" max="15" width="12" style="11" customWidth="1"/>
    <col min="16" max="17" width="11.28515625" style="11" customWidth="1"/>
    <col min="18" max="18" width="11.42578125" style="11" customWidth="1"/>
    <col min="19" max="19" width="7" style="11" customWidth="1"/>
    <col min="20" max="20" width="14.5703125" style="11" customWidth="1"/>
    <col min="21" max="21" width="11.42578125" style="11" customWidth="1"/>
    <col min="22" max="22" width="12" style="11" customWidth="1"/>
    <col min="23" max="23" width="14.5703125" style="11" customWidth="1"/>
    <col min="24" max="24" width="11.42578125" style="11" customWidth="1"/>
    <col min="25" max="25" width="12" style="11" customWidth="1"/>
    <col min="26" max="26" width="14.5703125" style="11" customWidth="1"/>
    <col min="27" max="27" width="11.42578125" style="11" customWidth="1"/>
    <col min="28" max="28" width="12" style="11" customWidth="1"/>
    <col min="29" max="29" width="14.5703125" style="11" customWidth="1"/>
    <col min="30" max="30" width="11.28515625" style="11" customWidth="1"/>
    <col min="31" max="31" width="18.42578125" style="11" bestFit="1" customWidth="1"/>
    <col min="32" max="16384" width="9.140625" style="11"/>
  </cols>
  <sheetData>
    <row r="1" spans="1:14" ht="18">
      <c r="A1" s="61" t="s">
        <v>2</v>
      </c>
      <c r="B1" s="61"/>
    </row>
    <row r="3" spans="1:14">
      <c r="A3" s="6" t="s">
        <v>3</v>
      </c>
      <c r="B3" s="6" t="s">
        <v>4</v>
      </c>
      <c r="C3" s="6" t="s">
        <v>5</v>
      </c>
      <c r="D3" s="6" t="s">
        <v>6</v>
      </c>
      <c r="E3" s="6" t="s">
        <v>62</v>
      </c>
      <c r="F3" s="6" t="s">
        <v>7</v>
      </c>
      <c r="G3" s="6" t="s">
        <v>8</v>
      </c>
    </row>
    <row r="4" spans="1:14">
      <c r="A4" s="7">
        <v>2</v>
      </c>
      <c r="B4" s="9">
        <f t="shared" ref="B4" si="0">B11</f>
        <v>41302</v>
      </c>
      <c r="C4" s="8">
        <f>SUMIF(SprintPlan[Release],ReleasePlan[[#This Row],[Release]],SprintPlan[Days])</f>
        <v>42</v>
      </c>
      <c r="D4" s="9">
        <f>IF(ReleasePlan[[#This Row],[Days]]=0,ReleasePlan[[#This Row],[Start]],ReleasePlan[[#This Row],[Start]]+ReleasePlan[[#This Row],[Days]]-1)</f>
        <v>41343</v>
      </c>
      <c r="E4" s="8">
        <f>SUMIF(SprintPlan[Release],ReleasePlan[[#This Row],[Release]],SprintPlan[Points])</f>
        <v>20</v>
      </c>
      <c r="F4" s="26" t="s">
        <v>9</v>
      </c>
      <c r="G4" s="28"/>
    </row>
    <row r="5" spans="1:14">
      <c r="A5" s="7">
        <v>2.1</v>
      </c>
      <c r="B5" s="9">
        <f>B4+C4</f>
        <v>41344</v>
      </c>
      <c r="C5" s="8">
        <f>SUMIF(SprintPlan[Release],ReleasePlan[[#This Row],[Release]],SprintPlan[Days])</f>
        <v>0</v>
      </c>
      <c r="D5" s="9">
        <f>IF(ReleasePlan[[#This Row],[Days]]=0,ReleasePlan[[#This Row],[Start]],ReleasePlan[[#This Row],[Start]]+ReleasePlan[[#This Row],[Days]]-1)</f>
        <v>41344</v>
      </c>
      <c r="E5" s="8">
        <f>SUMIF(SprintPlan[Release],ReleasePlan[[#This Row],[Release]],SprintPlan[Points])</f>
        <v>0</v>
      </c>
      <c r="F5" s="26"/>
      <c r="G5" s="28"/>
    </row>
    <row r="6" spans="1:14">
      <c r="A6" s="7">
        <v>2.2000000000000002</v>
      </c>
      <c r="B6" s="9">
        <f>B5+C5</f>
        <v>41344</v>
      </c>
      <c r="C6" s="8">
        <f>SUMIF(SprintPlan[Release],ReleasePlan[[#This Row],[Release]],SprintPlan[Days])</f>
        <v>0</v>
      </c>
      <c r="D6" s="9">
        <f>IF(ReleasePlan[[#This Row],[Days]]=0,ReleasePlan[[#This Row],[Start]],ReleasePlan[[#This Row],[Start]]+ReleasePlan[[#This Row],[Days]]-1)</f>
        <v>41344</v>
      </c>
      <c r="E6" s="8">
        <f>SUMIF(SprintPlan[Release],ReleasePlan[[#This Row],[Release]],SprintPlan[Points])</f>
        <v>0</v>
      </c>
      <c r="F6" s="26"/>
      <c r="G6" s="28"/>
    </row>
    <row r="7" spans="1:14">
      <c r="A7" s="7"/>
    </row>
    <row r="8" spans="1:14" ht="18">
      <c r="A8" s="61" t="s">
        <v>10</v>
      </c>
      <c r="B8" s="61"/>
    </row>
    <row r="10" spans="1:14" ht="13.5" thickBot="1">
      <c r="A10" s="6" t="s">
        <v>11</v>
      </c>
      <c r="B10" s="6" t="s">
        <v>4</v>
      </c>
      <c r="C10" s="6" t="s">
        <v>5</v>
      </c>
      <c r="D10" s="6" t="s">
        <v>6</v>
      </c>
      <c r="E10" s="6" t="s">
        <v>62</v>
      </c>
      <c r="F10" s="6" t="s">
        <v>7</v>
      </c>
      <c r="G10" s="6" t="s">
        <v>3</v>
      </c>
      <c r="H10" s="23" t="s">
        <v>61</v>
      </c>
      <c r="J10" s="58" t="s">
        <v>60</v>
      </c>
    </row>
    <row r="11" spans="1:14">
      <c r="A11" s="8">
        <v>1</v>
      </c>
      <c r="B11" s="9">
        <v>41302</v>
      </c>
      <c r="C11" s="8">
        <v>14</v>
      </c>
      <c r="D11" s="9">
        <f>IF(SprintPlan[[#This Row],[Days]]=0,SprintPlan[[#This Row],[Start]],SprintPlan[[#This Row],[Start]]+SprintPlan[[#This Row],[Days]]-1)</f>
        <v>41315</v>
      </c>
      <c r="E11" s="8">
        <f>SUMIF(ProductBacklog[Sprint],SprintPlan[[#This Row],[Sprint]],ProductBacklog[Points])+SUMIF(BugList[Sprint],SprintPlan[[#This Row],[Sprint]],BugList[Points])</f>
        <v>7</v>
      </c>
      <c r="F11" s="26" t="s">
        <v>74</v>
      </c>
      <c r="G11" s="27">
        <v>2</v>
      </c>
      <c r="H11" s="24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>7</v>
      </c>
      <c r="J11" s="58">
        <v>0</v>
      </c>
      <c r="K11" s="58">
        <f>IF(COUNT(SprintPlan[Realized])=0,0,AVERAGE((SprintPlan[Realized])))</f>
        <v>6</v>
      </c>
    </row>
    <row r="12" spans="1:14">
      <c r="A12" s="8">
        <v>2</v>
      </c>
      <c r="B12" s="9">
        <f>B11+C11</f>
        <v>41316</v>
      </c>
      <c r="C12" s="8">
        <v>14</v>
      </c>
      <c r="D12" s="9">
        <f>IF(SprintPlan[[#This Row],[Days]]=0,SprintPlan[[#This Row],[Start]],SprintPlan[[#This Row],[Start]]+SprintPlan[[#This Row],[Days]]-1)</f>
        <v>41329</v>
      </c>
      <c r="E12" s="8">
        <f>SUMIF(ProductBacklog[Sprint],SprintPlan[[#This Row],[Sprint]],ProductBacklog[Points])+SUMIF(BugList[Sprint],SprintPlan[[#This Row],[Sprint]],BugList[Points])</f>
        <v>5</v>
      </c>
      <c r="F12" s="26" t="s">
        <v>74</v>
      </c>
      <c r="G12" s="27">
        <v>2</v>
      </c>
      <c r="H12" s="24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>5</v>
      </c>
      <c r="J12" s="59">
        <v>1</v>
      </c>
      <c r="K12" s="58">
        <f>K11</f>
        <v>6</v>
      </c>
      <c r="L12" s="31"/>
      <c r="M12" s="31"/>
      <c r="N12" s="31"/>
    </row>
    <row r="13" spans="1:14">
      <c r="A13" s="8">
        <v>3</v>
      </c>
      <c r="B13" s="9">
        <f t="shared" ref="B13:B16" si="1">B12+C12</f>
        <v>41330</v>
      </c>
      <c r="C13" s="8">
        <v>14</v>
      </c>
      <c r="D13" s="9">
        <f>IF(SprintPlan[[#This Row],[Days]]=0,SprintPlan[[#This Row],[Start]],SprintPlan[[#This Row],[Start]]+SprintPlan[[#This Row],[Days]]-1)</f>
        <v>41343</v>
      </c>
      <c r="E13" s="8">
        <f>SUMIF(ProductBacklog[Sprint],SprintPlan[[#This Row],[Sprint]],ProductBacklog[Points])+SUMIF(BugList[Sprint],SprintPlan[[#This Row],[Sprint]],BugList[Points])</f>
        <v>8</v>
      </c>
      <c r="F13" s="26" t="s">
        <v>9</v>
      </c>
      <c r="G13" s="27">
        <v>2</v>
      </c>
      <c r="H13" s="24" t="str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/>
      </c>
      <c r="J13" s="31"/>
      <c r="K13" s="31"/>
      <c r="L13" s="31"/>
      <c r="M13" s="60"/>
      <c r="N13" s="31"/>
    </row>
    <row r="14" spans="1:14">
      <c r="A14" s="8">
        <v>4</v>
      </c>
      <c r="B14" s="9">
        <f t="shared" si="1"/>
        <v>41344</v>
      </c>
      <c r="C14" s="8">
        <v>14</v>
      </c>
      <c r="D14" s="9">
        <f>IF(SprintPlan[[#This Row],[Days]]=0,SprintPlan[[#This Row],[Start]],SprintPlan[[#This Row],[Start]]+SprintPlan[[#This Row],[Days]]-1)</f>
        <v>41357</v>
      </c>
      <c r="E14" s="8">
        <f>SUMIF(ProductBacklog[Sprint],SprintPlan[[#This Row],[Sprint]],ProductBacklog[Points])+SUMIF(BugList[Sprint],SprintPlan[[#This Row],[Sprint]],BugList[Points])</f>
        <v>0</v>
      </c>
      <c r="F14" s="26"/>
      <c r="G14" s="27"/>
      <c r="H14" s="24" t="str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/>
      </c>
      <c r="J14" s="31"/>
      <c r="K14" s="31"/>
      <c r="L14" s="31"/>
      <c r="M14" s="31"/>
      <c r="N14" s="31"/>
    </row>
    <row r="15" spans="1:14">
      <c r="A15" s="8">
        <v>5</v>
      </c>
      <c r="B15" s="9">
        <f t="shared" si="1"/>
        <v>41358</v>
      </c>
      <c r="C15" s="8">
        <v>14</v>
      </c>
      <c r="D15" s="9">
        <f>IF(SprintPlan[[#This Row],[Days]]=0,SprintPlan[[#This Row],[Start]],SprintPlan[[#This Row],[Start]]+SprintPlan[[#This Row],[Days]]-1)</f>
        <v>41371</v>
      </c>
      <c r="E15" s="8">
        <f>SUMIF(ProductBacklog[Sprint],SprintPlan[[#This Row],[Sprint]],ProductBacklog[Points])+SUMIF(BugList[Sprint],SprintPlan[[#This Row],[Sprint]],BugList[Points])</f>
        <v>0</v>
      </c>
      <c r="F15" s="26"/>
      <c r="G15" s="27"/>
      <c r="H15" s="24" t="str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/>
      </c>
      <c r="J15" s="31"/>
      <c r="K15" s="31"/>
      <c r="L15" s="31"/>
      <c r="M15" s="31"/>
      <c r="N15" s="31"/>
    </row>
    <row r="16" spans="1:14">
      <c r="A16" s="8">
        <v>6</v>
      </c>
      <c r="B16" s="9">
        <f t="shared" si="1"/>
        <v>41372</v>
      </c>
      <c r="C16" s="8">
        <v>14</v>
      </c>
      <c r="D16" s="9">
        <f>IF(SprintPlan[[#This Row],[Days]]=0,SprintPlan[[#This Row],[Start]],SprintPlan[[#This Row],[Start]]+SprintPlan[[#This Row],[Days]]-1)</f>
        <v>41385</v>
      </c>
      <c r="E16" s="8">
        <f>SUMIF(ProductBacklog[Sprint],SprintPlan[[#This Row],[Sprint]],ProductBacklog[Points])+SUMIF(BugList[Sprint],SprintPlan[[#This Row],[Sprint]],BugList[Points])</f>
        <v>0</v>
      </c>
      <c r="F16" s="26"/>
      <c r="G16" s="27"/>
      <c r="H16" s="24" t="str">
        <f>IF(SprintPlan[[#This Row],[Status]]&lt;&gt;"Done","",SUMIFS(ProductBacklog[Points],ProductBacklog[Sprint],SprintPlan[[#This Row],[Sprint]],ProductBacklog[Status],"Done")+SUMIFS(BugList[Points],BugList[Sprint],SprintPlan[[#This Row],[Sprint]],BugList[Status],"Done"))</f>
        <v/>
      </c>
      <c r="J16" s="31"/>
      <c r="K16" s="31"/>
      <c r="L16" s="31"/>
      <c r="M16" s="31"/>
      <c r="N16" s="31"/>
    </row>
    <row r="17" spans="1:14">
      <c r="A17" s="8"/>
      <c r="B17" s="9"/>
      <c r="C17" s="8"/>
      <c r="D17" s="9"/>
      <c r="E17" s="30"/>
      <c r="F17" s="8"/>
      <c r="G17" s="7"/>
      <c r="J17" s="31"/>
      <c r="K17" s="31"/>
      <c r="L17" s="31"/>
      <c r="M17" s="31"/>
      <c r="N17" s="31"/>
    </row>
    <row r="18" spans="1:14">
      <c r="A18" s="29"/>
      <c r="B18" s="29"/>
      <c r="C18" s="29"/>
      <c r="J18" s="31"/>
      <c r="K18" s="31"/>
      <c r="L18" s="31"/>
      <c r="M18" s="31"/>
      <c r="N18" s="31"/>
    </row>
    <row r="19" spans="1:14">
      <c r="A19" s="25"/>
      <c r="B19" s="25"/>
      <c r="C19" s="25"/>
      <c r="J19" s="31"/>
      <c r="K19" s="31"/>
      <c r="L19" s="31"/>
      <c r="M19" s="31"/>
      <c r="N19" s="31"/>
    </row>
    <row r="20" spans="1:14">
      <c r="A20" s="25"/>
      <c r="B20" s="25"/>
      <c r="C20" s="25"/>
      <c r="J20" s="31"/>
      <c r="K20" s="31"/>
      <c r="L20" s="31"/>
      <c r="M20" s="31"/>
      <c r="N20" s="31"/>
    </row>
    <row r="21" spans="1:14">
      <c r="A21" s="25"/>
      <c r="B21" s="25"/>
      <c r="C21" s="25"/>
      <c r="J21" s="31"/>
      <c r="K21" s="31"/>
      <c r="L21" s="31"/>
      <c r="M21" s="31"/>
      <c r="N21" s="31"/>
    </row>
    <row r="22" spans="1:14">
      <c r="A22" s="25"/>
      <c r="B22" s="25"/>
      <c r="C22" s="25"/>
      <c r="J22" s="31"/>
      <c r="K22" s="31"/>
      <c r="L22" s="31"/>
      <c r="M22" s="31"/>
      <c r="N22" s="31"/>
    </row>
    <row r="23" spans="1:14">
      <c r="A23" s="25"/>
      <c r="B23" s="25"/>
      <c r="C23" s="25"/>
      <c r="J23" s="31"/>
      <c r="K23" s="31"/>
      <c r="L23" s="31"/>
      <c r="M23" s="31"/>
      <c r="N23" s="31"/>
    </row>
    <row r="24" spans="1:14">
      <c r="A24" s="25"/>
      <c r="B24" s="25"/>
      <c r="C24" s="25"/>
      <c r="J24" s="31"/>
      <c r="K24" s="31"/>
      <c r="L24" s="31"/>
      <c r="M24" s="31"/>
      <c r="N24" s="31"/>
    </row>
    <row r="25" spans="1:14">
      <c r="J25" s="31"/>
      <c r="K25" s="31"/>
      <c r="L25" s="31"/>
      <c r="M25" s="31"/>
      <c r="N25" s="31"/>
    </row>
    <row r="26" spans="1:14">
      <c r="J26" s="31"/>
      <c r="K26" s="31"/>
      <c r="L26" s="31"/>
      <c r="M26" s="31"/>
      <c r="N26" s="31"/>
    </row>
    <row r="27" spans="1:14">
      <c r="J27" s="31"/>
      <c r="K27" s="31"/>
      <c r="L27" s="31"/>
      <c r="M27" s="31"/>
      <c r="N27" s="31"/>
    </row>
    <row r="28" spans="1:14">
      <c r="J28" s="31"/>
      <c r="K28" s="31"/>
      <c r="L28" s="31"/>
      <c r="M28" s="31"/>
      <c r="N28" s="31"/>
    </row>
    <row r="29" spans="1:14">
      <c r="J29" s="31"/>
      <c r="K29" s="31"/>
      <c r="L29" s="31"/>
      <c r="M29" s="31"/>
      <c r="N29" s="31"/>
    </row>
    <row r="30" spans="1:14">
      <c r="J30" s="31"/>
      <c r="K30" s="31"/>
      <c r="L30" s="31"/>
      <c r="M30" s="31"/>
      <c r="N30" s="31"/>
    </row>
    <row r="31" spans="1:14">
      <c r="J31" s="31"/>
      <c r="K31" s="31"/>
      <c r="L31" s="31"/>
      <c r="M31" s="31"/>
      <c r="N31" s="31"/>
    </row>
    <row r="32" spans="1:14">
      <c r="J32" s="31"/>
      <c r="K32" s="31"/>
      <c r="L32" s="31"/>
      <c r="M32" s="31"/>
      <c r="N32" s="31"/>
    </row>
    <row r="33" spans="10:14">
      <c r="J33" s="31"/>
      <c r="K33" s="31"/>
      <c r="L33" s="31"/>
      <c r="M33" s="31"/>
      <c r="N33" s="31"/>
    </row>
    <row r="34" spans="10:14">
      <c r="J34" s="31"/>
      <c r="K34" s="31"/>
      <c r="L34" s="31"/>
      <c r="M34" s="31"/>
      <c r="N34" s="31"/>
    </row>
    <row r="35" spans="10:14">
      <c r="J35" s="31"/>
      <c r="K35" s="31"/>
      <c r="L35" s="31"/>
      <c r="M35" s="31"/>
      <c r="N35" s="31"/>
    </row>
    <row r="36" spans="10:14">
      <c r="J36" s="31"/>
      <c r="K36" s="31"/>
      <c r="L36" s="31"/>
      <c r="M36" s="31"/>
      <c r="N36" s="31"/>
    </row>
    <row r="37" spans="10:14">
      <c r="J37" s="31"/>
      <c r="K37" s="31"/>
      <c r="L37" s="31"/>
      <c r="M37" s="31"/>
      <c r="N37" s="31"/>
    </row>
    <row r="38" spans="10:14">
      <c r="J38" s="31"/>
      <c r="K38" s="31"/>
      <c r="L38" s="31"/>
      <c r="M38" s="31"/>
      <c r="N38" s="31"/>
    </row>
    <row r="39" spans="10:14">
      <c r="J39" s="31"/>
      <c r="K39" s="31"/>
      <c r="L39" s="31"/>
      <c r="M39" s="31"/>
      <c r="N39" s="31"/>
    </row>
    <row r="40" spans="10:14">
      <c r="J40" s="31"/>
      <c r="K40" s="31"/>
      <c r="L40" s="31"/>
      <c r="M40" s="31"/>
      <c r="N40" s="31"/>
    </row>
  </sheetData>
  <sheetProtection sheet="1" objects="1" scenarios="1"/>
  <mergeCells count="2">
    <mergeCell ref="A1:B1"/>
    <mergeCell ref="A8:B8"/>
  </mergeCells>
  <conditionalFormatting sqref="A4:G6">
    <cfRule type="expression" dxfId="80" priority="5">
      <formula>$F4="Done"</formula>
    </cfRule>
  </conditionalFormatting>
  <conditionalFormatting sqref="A4:G4 F5:F6">
    <cfRule type="expression" dxfId="79" priority="4">
      <formula>$F4="In progress"</formula>
    </cfRule>
  </conditionalFormatting>
  <conditionalFormatting sqref="A11:H16">
    <cfRule type="expression" dxfId="78" priority="2">
      <formula>$F11="In progress"</formula>
    </cfRule>
    <cfRule type="expression" dxfId="77" priority="3">
      <formula>$F11="Done"</formula>
    </cfRule>
  </conditionalFormatting>
  <dataValidations count="3">
    <dataValidation type="list" allowBlank="1" showInputMessage="1" showErrorMessage="1" sqref="G11:G16">
      <formula1>Releases</formula1>
    </dataValidation>
    <dataValidation type="list" allowBlank="1" showInputMessage="1" showErrorMessage="1" sqref="F11:F16 F4:F6">
      <formula1>"In progress,Done"</formula1>
    </dataValidation>
    <dataValidation type="whole" operator="greaterThanOrEqual" allowBlank="1" showInputMessage="1" showErrorMessage="1" sqref="C11:C16">
      <formula1>1</formula1>
    </dataValidation>
  </dataValidations>
  <pageMargins left="0.25" right="0.25" top="0.75" bottom="0.75" header="0.3" footer="0.3"/>
  <pageSetup orientation="landscape" horizontalDpi="300" verticalDpi="300" r:id="rId1"/>
  <rowBreaks count="1" manualBreakCount="1">
    <brk id="18" max="13" man="1"/>
  </rowBreak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K6"/>
  <sheetViews>
    <sheetView showGridLines="0" zoomScaleNormal="100" workbookViewId="0">
      <pane ySplit="3" topLeftCell="A4" activePane="bottomLeft" state="frozen"/>
      <selection pane="bottomLeft" activeCell="G6" sqref="G6"/>
    </sheetView>
  </sheetViews>
  <sheetFormatPr defaultRowHeight="12.75"/>
  <cols>
    <col min="1" max="1" width="45.7109375" style="5" customWidth="1"/>
    <col min="2" max="2" width="57.7109375" bestFit="1" customWidth="1"/>
    <col min="3" max="3" width="60.7109375" style="5" customWidth="1"/>
    <col min="4" max="4" width="12.140625" style="5" customWidth="1"/>
    <col min="5" max="5" width="11.140625" style="5" bestFit="1" customWidth="1"/>
    <col min="6" max="6" width="11" bestFit="1" customWidth="1"/>
    <col min="7" max="7" width="11.140625" style="5" customWidth="1"/>
    <col min="9" max="9" width="11" style="5" customWidth="1"/>
    <col min="12" max="12" width="61.28515625" style="5" customWidth="1"/>
    <col min="13" max="16384" width="9.140625" style="5"/>
  </cols>
  <sheetData>
    <row r="1" spans="1:11" ht="18">
      <c r="A1" s="4" t="s">
        <v>12</v>
      </c>
      <c r="B1" s="5"/>
      <c r="F1" s="5"/>
      <c r="H1" s="5"/>
      <c r="J1" s="5"/>
      <c r="K1" s="5"/>
    </row>
    <row r="2" spans="1:11">
      <c r="B2" s="5"/>
      <c r="F2" s="5"/>
      <c r="H2" s="5"/>
      <c r="J2" s="5"/>
      <c r="K2" s="5"/>
    </row>
    <row r="3" spans="1:11">
      <c r="A3" s="16" t="s">
        <v>13</v>
      </c>
      <c r="B3" s="17" t="s">
        <v>57</v>
      </c>
      <c r="C3" s="17" t="s">
        <v>15</v>
      </c>
      <c r="D3" s="14" t="s">
        <v>14</v>
      </c>
      <c r="E3" s="14" t="s">
        <v>62</v>
      </c>
      <c r="F3" s="14" t="s">
        <v>11</v>
      </c>
      <c r="G3" s="14" t="s">
        <v>7</v>
      </c>
      <c r="H3" s="5"/>
      <c r="J3" s="5"/>
      <c r="K3" s="5"/>
    </row>
    <row r="4" spans="1:11" ht="25.5">
      <c r="A4" s="15" t="s">
        <v>68</v>
      </c>
      <c r="B4" s="13" t="s">
        <v>69</v>
      </c>
      <c r="C4" s="13" t="s">
        <v>70</v>
      </c>
      <c r="D4" s="12">
        <v>1</v>
      </c>
      <c r="E4" s="12">
        <v>5</v>
      </c>
      <c r="F4" s="12">
        <v>1</v>
      </c>
      <c r="G4" s="12" t="s">
        <v>74</v>
      </c>
      <c r="H4" s="5"/>
      <c r="J4" s="5"/>
      <c r="K4" s="5"/>
    </row>
    <row r="5" spans="1:11" ht="38.25">
      <c r="A5" s="15" t="s">
        <v>71</v>
      </c>
      <c r="B5" s="13" t="s">
        <v>72</v>
      </c>
      <c r="C5" s="13" t="s">
        <v>73</v>
      </c>
      <c r="D5" s="12">
        <v>1</v>
      </c>
      <c r="E5" s="12">
        <v>5</v>
      </c>
      <c r="F5" s="12">
        <v>2</v>
      </c>
      <c r="G5" s="12" t="s">
        <v>74</v>
      </c>
      <c r="H5" s="5"/>
      <c r="J5" s="5"/>
      <c r="K5" s="5"/>
    </row>
    <row r="6" spans="1:11">
      <c r="A6" s="51" t="s">
        <v>75</v>
      </c>
      <c r="B6" s="55" t="s">
        <v>76</v>
      </c>
      <c r="C6" s="55" t="s">
        <v>77</v>
      </c>
      <c r="D6" s="53">
        <v>2</v>
      </c>
      <c r="E6" s="53">
        <v>8</v>
      </c>
      <c r="F6" s="53">
        <v>3</v>
      </c>
      <c r="G6" s="53" t="s">
        <v>9</v>
      </c>
    </row>
  </sheetData>
  <conditionalFormatting sqref="A4:G6">
    <cfRule type="expression" dxfId="50" priority="1">
      <formula>$G4="Blocked"</formula>
    </cfRule>
    <cfRule type="expression" dxfId="49" priority="8">
      <formula>$G4="Removed"</formula>
    </cfRule>
    <cfRule type="expression" dxfId="48" priority="9">
      <formula>$G4="In progress"</formula>
    </cfRule>
    <cfRule type="expression" dxfId="47" priority="10">
      <formula>$G4="Done"</formula>
    </cfRule>
  </conditionalFormatting>
  <dataValidations count="4">
    <dataValidation type="list" allowBlank="1" showInputMessage="1" showErrorMessage="1" sqref="D4:D6">
      <formula1>"1,2,3,4,5,6,7,8,9,10"</formula1>
    </dataValidation>
    <dataValidation type="list" allowBlank="1" showInputMessage="1" showErrorMessage="1" sqref="G4:G6">
      <formula1>"In progress,Done,Removed,Blocked"</formula1>
    </dataValidation>
    <dataValidation type="list" allowBlank="1" showInputMessage="1" showErrorMessage="1" sqref="F4:F6">
      <formula1>Sprints</formula1>
    </dataValidation>
    <dataValidation type="list" allowBlank="1" showInputMessage="1" showErrorMessage="1" sqref="E4:E6">
      <formula1>"0,1,2,3,5,8,13,20,40,100"</formula1>
    </dataValidation>
  </dataValidations>
  <pageMargins left="0.25" right="0.25" top="0.75" bottom="0.75" header="0.3" footer="0.3"/>
  <pageSetup scale="57" orientation="landscape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FA58A2CB-2C51-45FA-96DB-3BEEE10AD1EC}">
            <x14:iconSet custom="1">
              <x14:cfvo type="percent">
                <xm:f>0</xm:f>
              </x14:cfvo>
              <x14:cfvo type="num">
                <xm:f>8</xm:f>
              </x14:cfvo>
              <x14:cfvo type="num" gte="0">
                <xm:f>13</xm:f>
              </x14:cfvo>
              <x14:cfIcon iconSet="3Flags" iconId="2"/>
              <x14:cfIcon iconSet="3Flags" iconId="1"/>
              <x14:cfIcon iconSet="3Flags" iconId="0"/>
            </x14:iconSet>
          </x14:cfRule>
          <xm:sqref>E4:E6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0.39997558519241921"/>
  </sheetPr>
  <dimension ref="A1:N10"/>
  <sheetViews>
    <sheetView showGridLines="0" zoomScaleNormal="100" workbookViewId="0">
      <pane ySplit="3" topLeftCell="A4" activePane="bottomLeft" state="frozen"/>
      <selection pane="bottomLeft" activeCell="B51" sqref="B51"/>
    </sheetView>
  </sheetViews>
  <sheetFormatPr defaultRowHeight="12.75"/>
  <cols>
    <col min="1" max="1" width="45.7109375" style="11" customWidth="1"/>
    <col min="2" max="2" width="57.7109375" style="11" customWidth="1"/>
    <col min="3" max="3" width="60.7109375" customWidth="1"/>
    <col min="4" max="4" width="13" style="11" bestFit="1" customWidth="1"/>
    <col min="5" max="5" width="12.140625" style="11" customWidth="1"/>
    <col min="6" max="6" width="11.140625" bestFit="1" customWidth="1"/>
    <col min="7" max="7" width="11" bestFit="1" customWidth="1"/>
    <col min="8" max="8" width="11.140625" style="11" customWidth="1"/>
    <col min="10" max="10" width="11.140625" style="11" customWidth="1"/>
    <col min="11" max="11" width="11" style="11" customWidth="1"/>
    <col min="15" max="15" width="61.28515625" style="11" customWidth="1"/>
    <col min="16" max="16384" width="9.140625" style="11"/>
  </cols>
  <sheetData>
    <row r="1" spans="1:14" ht="18">
      <c r="A1" s="32" t="s">
        <v>54</v>
      </c>
      <c r="C1" s="11"/>
      <c r="F1" s="11"/>
      <c r="G1" s="11"/>
      <c r="I1" s="11"/>
      <c r="L1" s="11"/>
      <c r="M1" s="11"/>
      <c r="N1" s="11"/>
    </row>
    <row r="2" spans="1:14">
      <c r="C2" s="11"/>
      <c r="F2" s="11"/>
      <c r="G2" s="11"/>
      <c r="I2" s="11"/>
      <c r="L2" s="11"/>
      <c r="M2" s="11"/>
      <c r="N2" s="11"/>
    </row>
    <row r="3" spans="1:14">
      <c r="A3" s="16" t="s">
        <v>56</v>
      </c>
      <c r="B3" s="17" t="s">
        <v>57</v>
      </c>
      <c r="C3" s="17" t="s">
        <v>15</v>
      </c>
      <c r="D3" s="14" t="s">
        <v>55</v>
      </c>
      <c r="E3" s="14" t="s">
        <v>14</v>
      </c>
      <c r="F3" s="14" t="s">
        <v>62</v>
      </c>
      <c r="G3" s="14" t="s">
        <v>11</v>
      </c>
      <c r="H3" s="14" t="s">
        <v>7</v>
      </c>
      <c r="I3" s="11"/>
      <c r="L3" s="11"/>
      <c r="M3" s="11"/>
      <c r="N3" s="11"/>
    </row>
    <row r="4" spans="1:14">
      <c r="A4" s="15" t="s">
        <v>63</v>
      </c>
      <c r="B4" s="13" t="s">
        <v>64</v>
      </c>
      <c r="C4" s="13" t="s">
        <v>65</v>
      </c>
      <c r="D4" s="12" t="s">
        <v>66</v>
      </c>
      <c r="E4" s="12">
        <v>1</v>
      </c>
      <c r="F4" s="12">
        <v>2</v>
      </c>
      <c r="G4" s="12">
        <v>1</v>
      </c>
      <c r="H4" s="12" t="s">
        <v>74</v>
      </c>
      <c r="I4" s="11"/>
      <c r="L4" s="11"/>
      <c r="M4" s="11"/>
      <c r="N4" s="11"/>
    </row>
    <row r="5" spans="1:14">
      <c r="A5" s="51"/>
      <c r="B5" s="57"/>
      <c r="C5" s="55"/>
      <c r="D5" s="53"/>
      <c r="E5" s="53"/>
      <c r="F5" s="53"/>
      <c r="G5" s="53"/>
      <c r="H5" s="53"/>
      <c r="I5" s="11"/>
      <c r="L5" s="11"/>
      <c r="M5" s="11"/>
      <c r="N5" s="11"/>
    </row>
    <row r="6" spans="1:14">
      <c r="A6" s="52"/>
      <c r="B6" s="57"/>
      <c r="C6" s="56"/>
      <c r="D6" s="54"/>
      <c r="E6" s="54"/>
      <c r="F6" s="54"/>
      <c r="G6" s="54"/>
      <c r="H6" s="54"/>
      <c r="I6" s="11"/>
      <c r="L6" s="11"/>
      <c r="M6" s="11"/>
      <c r="N6" s="11"/>
    </row>
    <row r="7" spans="1:14">
      <c r="A7" s="52"/>
      <c r="B7" s="57"/>
      <c r="C7" s="56"/>
      <c r="D7" s="54"/>
      <c r="E7" s="54"/>
      <c r="F7" s="54"/>
      <c r="G7" s="54"/>
      <c r="H7" s="54"/>
      <c r="I7" s="11"/>
      <c r="L7" s="11"/>
      <c r="M7" s="11"/>
      <c r="N7" s="11"/>
    </row>
    <row r="8" spans="1:14">
      <c r="A8" s="52"/>
      <c r="B8" s="57"/>
      <c r="C8" s="56"/>
      <c r="D8" s="54"/>
      <c r="E8" s="54"/>
      <c r="F8" s="54"/>
      <c r="G8" s="54"/>
      <c r="H8" s="54"/>
      <c r="I8" s="11"/>
      <c r="L8" s="11"/>
      <c r="M8" s="11"/>
      <c r="N8" s="11"/>
    </row>
    <row r="9" spans="1:14">
      <c r="A9" s="52"/>
      <c r="B9" s="57"/>
      <c r="C9" s="56"/>
      <c r="D9" s="54"/>
      <c r="E9" s="54"/>
      <c r="F9" s="54"/>
      <c r="G9" s="54"/>
      <c r="H9" s="54"/>
      <c r="I9" s="11"/>
      <c r="L9" s="11"/>
      <c r="M9" s="11"/>
      <c r="N9" s="11"/>
    </row>
    <row r="10" spans="1:14">
      <c r="A10" s="52"/>
      <c r="B10" s="57"/>
      <c r="C10" s="56"/>
      <c r="D10" s="54"/>
      <c r="E10" s="54"/>
      <c r="F10" s="54"/>
      <c r="G10" s="54"/>
      <c r="H10" s="54"/>
      <c r="I10" s="11"/>
      <c r="L10" s="11"/>
      <c r="M10" s="11"/>
      <c r="N10" s="11"/>
    </row>
  </sheetData>
  <conditionalFormatting sqref="A4:H10">
    <cfRule type="expression" dxfId="30" priority="2">
      <formula>$H4="Removed"</formula>
    </cfRule>
    <cfRule type="expression" dxfId="29" priority="3">
      <formula>$H4="In progress"</formula>
    </cfRule>
    <cfRule type="expression" dxfId="28" priority="4">
      <formula>$H4="Done"</formula>
    </cfRule>
  </conditionalFormatting>
  <dataValidations count="5">
    <dataValidation type="list" allowBlank="1" showInputMessage="1" showErrorMessage="1" sqref="F4:F10">
      <formula1>"0,1,2,3,5,8,13,20,40,100"</formula1>
    </dataValidation>
    <dataValidation type="list" allowBlank="1" showInputMessage="1" showErrorMessage="1" sqref="G4:G10">
      <formula1>Sprints</formula1>
    </dataValidation>
    <dataValidation type="list" allowBlank="1" showInputMessage="1" showErrorMessage="1" sqref="H4:H10">
      <formula1>"In progress,Done"</formula1>
    </dataValidation>
    <dataValidation type="list" allowBlank="1" showInputMessage="1" showErrorMessage="1" sqref="E4:E10">
      <formula1>"1,2,3,4,5,6,7,8,9,10"</formula1>
    </dataValidation>
    <dataValidation type="list" allowBlank="1" showInputMessage="1" showErrorMessage="1" sqref="D4:D10">
      <formula1>"1 - Critical,2 - High,3 - Medium,4 - Low"</formula1>
    </dataValidation>
  </dataValidations>
  <pageMargins left="0.25" right="0.25" top="0.75" bottom="0.75" header="0.3" footer="0.3"/>
  <pageSetup scale="57" orientation="landscape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9A386AC-D268-4091-9EED-1E372D9E4D05}">
            <x14:iconSet custom="1">
              <x14:cfvo type="percent">
                <xm:f>0</xm:f>
              </x14:cfvo>
              <x14:cfvo type="num">
                <xm:f>8</xm:f>
              </x14:cfvo>
              <x14:cfvo type="num" gte="0">
                <xm:f>13</xm:f>
              </x14:cfvo>
              <x14:cfIcon iconSet="3Flags" iconId="2"/>
              <x14:cfIcon iconSet="3Flags" iconId="1"/>
              <x14:cfIcon iconSet="3Flags" iconId="0"/>
            </x14:iconSet>
          </x14:cfRule>
          <xm:sqref>F4:F10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DFFC5"/>
  </sheetPr>
  <dimension ref="A1:R10"/>
  <sheetViews>
    <sheetView showGridLines="0" tabSelected="1" zoomScaleNormal="100" workbookViewId="0">
      <selection activeCell="U18" sqref="U18"/>
    </sheetView>
  </sheetViews>
  <sheetFormatPr defaultRowHeight="12.75"/>
  <cols>
    <col min="1" max="1" width="8.7109375" style="11" customWidth="1"/>
    <col min="2" max="2" width="5.5703125" style="11" customWidth="1"/>
    <col min="3" max="3" width="5.5703125" style="11" bestFit="1" customWidth="1"/>
    <col min="4" max="18" width="5.5703125" style="11" customWidth="1"/>
    <col min="19" max="16384" width="9.140625" style="11"/>
  </cols>
  <sheetData>
    <row r="1" spans="1:18" ht="18">
      <c r="A1" s="39" t="s">
        <v>11</v>
      </c>
      <c r="B1" s="39">
        <v>1</v>
      </c>
      <c r="D1" s="38" t="s">
        <v>78</v>
      </c>
    </row>
    <row r="3" spans="1:18" ht="13.5" thickBot="1">
      <c r="A3" s="40" t="s">
        <v>5</v>
      </c>
      <c r="B3" s="41"/>
      <c r="C3" s="44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31</v>
      </c>
    </row>
    <row r="4" spans="1:18" ht="13.5" thickBot="1">
      <c r="A4" s="48" t="s">
        <v>48</v>
      </c>
      <c r="B4" s="49"/>
      <c r="C4" s="50"/>
      <c r="D4" s="35" t="s">
        <v>49</v>
      </c>
      <c r="E4" s="36">
        <v>1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6">
        <v>1</v>
      </c>
      <c r="L4" s="36">
        <v>0</v>
      </c>
      <c r="M4" s="36">
        <v>0</v>
      </c>
      <c r="N4" s="36">
        <v>1</v>
      </c>
      <c r="O4" s="36">
        <v>0</v>
      </c>
      <c r="P4" s="37">
        <v>0</v>
      </c>
      <c r="Q4" s="36">
        <v>1</v>
      </c>
      <c r="R4" s="36">
        <v>1</v>
      </c>
    </row>
    <row r="5" spans="1:18" ht="13.5" hidden="1" thickBot="1">
      <c r="A5" s="46" t="s">
        <v>30</v>
      </c>
      <c r="B5" s="47"/>
      <c r="C5" s="34"/>
      <c r="D5" s="6">
        <f>C8</f>
        <v>7</v>
      </c>
      <c r="E5" s="33">
        <f>Sprint1[[#This Row],[0]]-$C$10</f>
        <v>6.5</v>
      </c>
      <c r="F5" s="33">
        <f>Sprint1[[#This Row],[1]]-$C$10</f>
        <v>6</v>
      </c>
      <c r="G5" s="33">
        <f>Sprint1[[#This Row],[2]]-$C$10</f>
        <v>5.5</v>
      </c>
      <c r="H5" s="33">
        <f>Sprint1[[#This Row],[3]]-$C$10</f>
        <v>5</v>
      </c>
      <c r="I5" s="33">
        <f>Sprint1[[#This Row],[4]]-$C$10</f>
        <v>4.5</v>
      </c>
      <c r="J5" s="33">
        <f>Sprint1[[#This Row],[5]]-$C$10</f>
        <v>4</v>
      </c>
      <c r="K5" s="33">
        <f>Sprint1[[#This Row],[6]]-$C$10</f>
        <v>3.5</v>
      </c>
      <c r="L5" s="33">
        <f>Sprint1[[#This Row],[7]]-$C$10</f>
        <v>3</v>
      </c>
      <c r="M5" s="33">
        <f>Sprint1[[#This Row],[8]]-$C$10</f>
        <v>2.5</v>
      </c>
      <c r="N5" s="33">
        <f>Sprint1[[#This Row],[9]]-$C$10</f>
        <v>2</v>
      </c>
      <c r="O5" s="33">
        <f>Sprint1[[#This Row],[10]]-$C$10</f>
        <v>1.5</v>
      </c>
      <c r="P5" s="33">
        <f>Sprint1[[#This Row],[11]]-$C$10</f>
        <v>1</v>
      </c>
      <c r="Q5" s="33">
        <f>Sprint1[[#This Row],[12]]-$C$10</f>
        <v>0.5</v>
      </c>
      <c r="R5" s="33">
        <v>0</v>
      </c>
    </row>
    <row r="6" spans="1:18">
      <c r="A6" s="42" t="s">
        <v>53</v>
      </c>
      <c r="B6" s="43"/>
      <c r="C6" s="45"/>
      <c r="D6" s="18">
        <f>C8</f>
        <v>7</v>
      </c>
      <c r="E6" s="18">
        <f>IF(OR(E4="",Sprint1[[#This Row],[0]]=""),NA(),Sprint1[[#This Row],[0]]-E4)</f>
        <v>6</v>
      </c>
      <c r="F6" s="18">
        <f>IF(OR(F4="",Sprint1[[#This Row],[1]]=""),NA(),Sprint1[[#This Row],[1]]-F4)</f>
        <v>6</v>
      </c>
      <c r="G6" s="18">
        <f>IF(OR(G4="",Sprint1[[#This Row],[2]]=""),NA(),Sprint1[[#This Row],[2]]-G4)</f>
        <v>6</v>
      </c>
      <c r="H6" s="18">
        <f>IF(OR(H4="",Sprint1[[#This Row],[3]]=""),NA(),Sprint1[[#This Row],[3]]-H4)</f>
        <v>5</v>
      </c>
      <c r="I6" s="18">
        <f>IF(OR(I4="",Sprint1[[#This Row],[4]]=""),NA(),Sprint1[[#This Row],[4]]-I4)</f>
        <v>5</v>
      </c>
      <c r="J6" s="18">
        <f>IF(OR(J4="",Sprint1[[#This Row],[5]]=""),NA(),Sprint1[[#This Row],[5]]-J4)</f>
        <v>4</v>
      </c>
      <c r="K6" s="18">
        <f>IF(OR(K4="",Sprint1[[#This Row],[6]]=""),NA(),Sprint1[[#This Row],[6]]-K4)</f>
        <v>3</v>
      </c>
      <c r="L6" s="18">
        <f>IF(OR(L4="",Sprint1[[#This Row],[7]]=""),NA(),Sprint1[[#This Row],[7]]-L4)</f>
        <v>3</v>
      </c>
      <c r="M6" s="18">
        <f>IF(OR(M4="",Sprint1[[#This Row],[8]]=""),NA(),Sprint1[[#This Row],[8]]-M4)</f>
        <v>3</v>
      </c>
      <c r="N6" s="18">
        <f>IF(OR(N4="",Sprint1[[#This Row],[9]]=""),NA(),Sprint1[[#This Row],[9]]-N4)</f>
        <v>2</v>
      </c>
      <c r="O6" s="18">
        <f>IF(OR(O4="",Sprint1[[#This Row],[10]]=""),NA(),Sprint1[[#This Row],[10]]-O4)</f>
        <v>2</v>
      </c>
      <c r="P6" s="18">
        <f>IF(OR(P4="",Sprint1[[#This Row],[11]]=""),NA(),Sprint1[[#This Row],[11]]-P4)</f>
        <v>2</v>
      </c>
      <c r="Q6" s="18">
        <f>IF(OR(Q4="",Sprint1[[#This Row],[12]]=""),NA(),Sprint1[[#This Row],[12]]-Q4)</f>
        <v>1</v>
      </c>
      <c r="R6" s="18">
        <f>IF(OR(R4="",Sprint1[[#This Row],[13]]=""),NA(),Sprint1[[#This Row],[13]]-R4)</f>
        <v>0</v>
      </c>
    </row>
    <row r="8" spans="1:18">
      <c r="A8" s="11" t="s">
        <v>52</v>
      </c>
      <c r="C8" s="11">
        <f>SUMIF(SprintPlan[Sprint],B1,SprintPlan[Points])</f>
        <v>7</v>
      </c>
    </row>
    <row r="9" spans="1:18">
      <c r="A9" s="11" t="s">
        <v>58</v>
      </c>
      <c r="C9" s="11">
        <f>SUMIF(SprintPlan[Sprint],B1,SprintPlan[Days])</f>
        <v>14</v>
      </c>
    </row>
    <row r="10" spans="1:18">
      <c r="A10" s="11" t="s">
        <v>59</v>
      </c>
      <c r="C10" s="11">
        <f>C8/C9</f>
        <v>0.5</v>
      </c>
    </row>
  </sheetData>
  <sheetProtection sheet="1" objects="1" scenarios="1"/>
  <conditionalFormatting sqref="E6:R6">
    <cfRule type="expression" dxfId="17" priority="1">
      <formula>ISNA(E6)</formula>
    </cfRule>
  </conditionalFormatting>
  <dataValidations count="1">
    <dataValidation type="whole" operator="greaterThanOrEqual" allowBlank="1" showDropDown="1" showInputMessage="1" showErrorMessage="1" sqref="E4:R4">
      <formula1>0</formula1>
    </dataValidation>
  </dataValidations>
  <pageMargins left="0.25" right="0.25" top="0.75" bottom="0.75" header="0.3" footer="0.3"/>
  <pageSetup scale="92" orientation="landscape" horizontalDpi="300" verticalDpi="300" r:id="rId1"/>
  <rowBreaks count="1" manualBreakCount="1">
    <brk id="28" max="18" man="1"/>
  </rowBreaks>
  <colBreaks count="1" manualBreakCount="1">
    <brk id="18" max="27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Scrum</vt:lpstr>
      <vt:lpstr>Product Info</vt:lpstr>
      <vt:lpstr>Release Plan</vt:lpstr>
      <vt:lpstr>Product Backlog</vt:lpstr>
      <vt:lpstr>Bugs</vt:lpstr>
      <vt:lpstr>Sprint 1</vt:lpstr>
      <vt:lpstr>ActualVelocity</vt:lpstr>
      <vt:lpstr>Bugs!Area_de_impressao</vt:lpstr>
      <vt:lpstr>'Product Backlog'!Area_de_impressao</vt:lpstr>
      <vt:lpstr>'Product Info'!Area_de_impressao</vt:lpstr>
      <vt:lpstr>'Release Plan'!Area_de_impressao</vt:lpstr>
      <vt:lpstr>'Sprint 1'!Area_de_impressao</vt:lpstr>
      <vt:lpstr>PlannedVelocity</vt:lpstr>
      <vt:lpstr>Releases</vt:lpstr>
      <vt:lpstr>Sprints</vt:lpstr>
    </vt:vector>
  </TitlesOfParts>
  <Company>Blueback Reservoir 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Phetteplace</dc:creator>
  <cp:lastModifiedBy>Douglas</cp:lastModifiedBy>
  <cp:lastPrinted>2013-01-11T20:44:53Z</cp:lastPrinted>
  <dcterms:created xsi:type="dcterms:W3CDTF">2013-01-09T21:26:30Z</dcterms:created>
  <dcterms:modified xsi:type="dcterms:W3CDTF">2013-08-03T04:28:46Z</dcterms:modified>
</cp:coreProperties>
</file>