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çamento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Preço c/ Taxa</t>
      </text>
    </comment>
    <comment authorId="0" ref="N3">
      <text>
        <t xml:space="preserve">https://support.google.com/docs/answer/3093281
https://support.google.com/docs/thread/85212860/a-fun%C3%A7%C3%A3o-googlefinance-indexbvmf-ibov-n%C3%A3o-retorna-valores-dentro-da-planilha-do-gloogle?hl=pt-BR
</t>
      </text>
    </comment>
    <comment authorId="0" ref="C42">
      <text>
        <t xml:space="preserve">https://veja.abril.com.br/coluna/mundialista/chile-e-colombia-propostas-radicais-da-nova-esquerda-antecipam-futuro/</t>
      </text>
    </comment>
  </commentList>
</comments>
</file>

<file path=xl/sharedStrings.xml><?xml version="1.0" encoding="utf-8"?>
<sst xmlns="http://schemas.openxmlformats.org/spreadsheetml/2006/main" count="190" uniqueCount="182">
  <si>
    <t xml:space="preserve"> </t>
  </si>
  <si>
    <t>IFIX:</t>
  </si>
  <si>
    <t>IBOV:</t>
  </si>
  <si>
    <t>Código</t>
  </si>
  <si>
    <t>Data</t>
  </si>
  <si>
    <t>Descrição</t>
  </si>
  <si>
    <t>Qtd</t>
  </si>
  <si>
    <t>Preço Un</t>
  </si>
  <si>
    <t>Preço Tot</t>
  </si>
  <si>
    <t>Tx Rat</t>
  </si>
  <si>
    <t>Pç Un+Tx</t>
  </si>
  <si>
    <t>Gan%Cta</t>
  </si>
  <si>
    <t>GanTot</t>
  </si>
  <si>
    <t>Cot B3</t>
  </si>
  <si>
    <t>Cot B3*Qtd</t>
  </si>
  <si>
    <t>Var %</t>
  </si>
  <si>
    <t>CotxFech</t>
  </si>
  <si>
    <t>B52xCotB3</t>
  </si>
  <si>
    <t>Baixa 52</t>
  </si>
  <si>
    <t>Alta 52</t>
  </si>
  <si>
    <t>Alt-Bx</t>
  </si>
  <si>
    <t>Volume</t>
  </si>
  <si>
    <t>XPCI11</t>
  </si>
  <si>
    <t xml:space="preserve">FII XP CRED XPCI11 </t>
  </si>
  <si>
    <t>QAGR11</t>
  </si>
  <si>
    <t>FII QUASAR</t>
  </si>
  <si>
    <t>MXRF11</t>
  </si>
  <si>
    <t>FII MAXI REN</t>
  </si>
  <si>
    <t>HABT11</t>
  </si>
  <si>
    <t>HABT11 - DY 16%</t>
  </si>
  <si>
    <t>GALG11</t>
  </si>
  <si>
    <t>JSRE11</t>
  </si>
  <si>
    <t xml:space="preserve">Tijolo </t>
  </si>
  <si>
    <t>VINO11</t>
  </si>
  <si>
    <t>Lajes - Predio Globo</t>
  </si>
  <si>
    <t>BTCI11</t>
  </si>
  <si>
    <t>Papel CRI</t>
  </si>
  <si>
    <t>CYCR11</t>
  </si>
  <si>
    <t>Papel IPCA/CDI</t>
  </si>
  <si>
    <t>ALZR11</t>
  </si>
  <si>
    <t>Tijolo</t>
  </si>
  <si>
    <t>ROXO34</t>
  </si>
  <si>
    <t>BDR - NUBANK</t>
  </si>
  <si>
    <t>AURA33</t>
  </si>
  <si>
    <t>AURA MINERALS INC. - Ouro e Cobre</t>
  </si>
  <si>
    <t>S1LG34</t>
  </si>
  <si>
    <t>S1LG34 DRN - SL GREEN REALTY CORP</t>
  </si>
  <si>
    <t>S1BS34</t>
  </si>
  <si>
    <t>SIBANYE STILLWATER LTD - platina, paládio, ródio, lítio e ouro</t>
  </si>
  <si>
    <t>NYSE:SLG</t>
  </si>
  <si>
    <t>NYSE:SBSW</t>
  </si>
  <si>
    <t>Sibanye Gold</t>
  </si>
  <si>
    <t>TSE:ORA</t>
  </si>
  <si>
    <t>AURA MINERALS INC ==&gt; CADBRL</t>
  </si>
  <si>
    <t>NYSE:NU</t>
  </si>
  <si>
    <t>NUBANK</t>
  </si>
  <si>
    <t>NASDAQ:NVDA</t>
  </si>
  <si>
    <t>NVIDEA</t>
  </si>
  <si>
    <t>NYSE:MPW</t>
  </si>
  <si>
    <t>M2PW34 - MEDICAL PROPERTIES TRUST INC</t>
  </si>
  <si>
    <t>M2PW34</t>
  </si>
  <si>
    <t>CVCB3</t>
  </si>
  <si>
    <t>SAPR4</t>
  </si>
  <si>
    <t>SAPR4 PN</t>
  </si>
  <si>
    <t>CPLE6</t>
  </si>
  <si>
    <t>CPLE6 PNB</t>
  </si>
  <si>
    <t>VALE3</t>
  </si>
  <si>
    <t>VALE3F ON</t>
  </si>
  <si>
    <t>ITSA4</t>
  </si>
  <si>
    <t>Itausa</t>
  </si>
  <si>
    <t>MRFG3</t>
  </si>
  <si>
    <t>Marfrig</t>
  </si>
  <si>
    <t>LUPA3</t>
  </si>
  <si>
    <t>LUPA3 ON</t>
  </si>
  <si>
    <t>BRKM5</t>
  </si>
  <si>
    <t>Braskem</t>
  </si>
  <si>
    <t>BEEF3</t>
  </si>
  <si>
    <t>Minerva</t>
  </si>
  <si>
    <t>BMGB4</t>
  </si>
  <si>
    <t>BMG</t>
  </si>
  <si>
    <t>JALL3</t>
  </si>
  <si>
    <t xml:space="preserve">JALLES MACHADO S.A. </t>
  </si>
  <si>
    <t>CBAV3</t>
  </si>
  <si>
    <t>COMPANHIA BRASILEIRA DE ALUMÍNIO - Votorantim</t>
  </si>
  <si>
    <t>JHSF3</t>
  </si>
  <si>
    <t>Comprar perto de 4,30 - Alvo safra 10,70 / BRG 9</t>
  </si>
  <si>
    <t>RAPT4</t>
  </si>
  <si>
    <t>Randon</t>
  </si>
  <si>
    <t>B3SA3</t>
  </si>
  <si>
    <t>Bovespa</t>
  </si>
  <si>
    <t>ARZZ3</t>
  </si>
  <si>
    <t>Arezzo</t>
  </si>
  <si>
    <t>BHIA3</t>
  </si>
  <si>
    <t>VIIA3 - GRUPO CASAS BAHIA S.A.</t>
  </si>
  <si>
    <t>NTCO3</t>
  </si>
  <si>
    <t>Natura</t>
  </si>
  <si>
    <t>MGLU3</t>
  </si>
  <si>
    <t>Magalu</t>
  </si>
  <si>
    <t>AMAR3</t>
  </si>
  <si>
    <t>Marisa</t>
  </si>
  <si>
    <t>CEAB3</t>
  </si>
  <si>
    <t>C&amp;A</t>
  </si>
  <si>
    <t>AMER3</t>
  </si>
  <si>
    <t>Americanas</t>
  </si>
  <si>
    <t>CSNA3</t>
  </si>
  <si>
    <t>CSN</t>
  </si>
  <si>
    <t>FESA4</t>
  </si>
  <si>
    <t>FERBASA CIA FERRO LIGAS DA BAHIA</t>
  </si>
  <si>
    <t>GOAU4</t>
  </si>
  <si>
    <t>Metalúrgica Gerdau</t>
  </si>
  <si>
    <t>GOAU3</t>
  </si>
  <si>
    <t>Metaúrgica Gerdau</t>
  </si>
  <si>
    <t>GGBR3</t>
  </si>
  <si>
    <t>GERDAU</t>
  </si>
  <si>
    <t>GGBR4</t>
  </si>
  <si>
    <t>USIM3</t>
  </si>
  <si>
    <t>DY = 16%</t>
  </si>
  <si>
    <t>USIM5</t>
  </si>
  <si>
    <t>DY = 17%</t>
  </si>
  <si>
    <t>TUPY3</t>
  </si>
  <si>
    <t>Tupy</t>
  </si>
  <si>
    <t>PETR4</t>
  </si>
  <si>
    <t>Petrobras</t>
  </si>
  <si>
    <t>PETR3</t>
  </si>
  <si>
    <t>RECV3</t>
  </si>
  <si>
    <t>Petroreconcavo</t>
  </si>
  <si>
    <t>PRIO3</t>
  </si>
  <si>
    <t>Petro Rio</t>
  </si>
  <si>
    <t>RRRP3</t>
  </si>
  <si>
    <t>3R Petroleum</t>
  </si>
  <si>
    <t>SMTO3</t>
  </si>
  <si>
    <t>Grupo São Martinho</t>
  </si>
  <si>
    <t>VBBR3</t>
  </si>
  <si>
    <t>Vibra</t>
  </si>
  <si>
    <t>EQPA3</t>
  </si>
  <si>
    <t>QUATORIAL PARA DISTRIBUIDORA DE ENERGIA S.A.</t>
  </si>
  <si>
    <t>CPFE3</t>
  </si>
  <si>
    <t>CPFL Energia - DY 13,80%</t>
  </si>
  <si>
    <t>TAEE3</t>
  </si>
  <si>
    <t>Taesa - 17,77 % - CMIG tem participação nela</t>
  </si>
  <si>
    <t>TAEE4</t>
  </si>
  <si>
    <t>Taesa - 17,68 %</t>
  </si>
  <si>
    <t>TAEE11</t>
  </si>
  <si>
    <t>Taesa - 17,73 %</t>
  </si>
  <si>
    <t>ELET3</t>
  </si>
  <si>
    <t>Eletrobras</t>
  </si>
  <si>
    <t>ELET6</t>
  </si>
  <si>
    <t>Empresas em RJ</t>
  </si>
  <si>
    <t>OIBR3</t>
  </si>
  <si>
    <t>Oi</t>
  </si>
  <si>
    <t>BDLL3</t>
  </si>
  <si>
    <t>Bardella (BDLL3);</t>
  </si>
  <si>
    <t>ETER3</t>
  </si>
  <si>
    <t>-Eternit (ETER3); -</t>
  </si>
  <si>
    <t>FHER3</t>
  </si>
  <si>
    <t>-Fertilizantes Heringer (FHER3);</t>
  </si>
  <si>
    <t>HOOT4</t>
  </si>
  <si>
    <t>-Hotéis Othon (HOOT4);</t>
  </si>
  <si>
    <t>JFEN3</t>
  </si>
  <si>
    <t>-João Fortes Engenharia (JFEN3);</t>
  </si>
  <si>
    <t>PDGR3</t>
  </si>
  <si>
    <t>-PDG Realty (PDGR3);</t>
  </si>
  <si>
    <t>FRTA3</t>
  </si>
  <si>
    <t>-Pomifrutas (FRTA3);</t>
  </si>
  <si>
    <t>RNEW4</t>
  </si>
  <si>
    <t>-Renova Energia (RNEW4);</t>
  </si>
  <si>
    <t>RPMG3</t>
  </si>
  <si>
    <t>-Refinaria Manguinhos (RPMG3);</t>
  </si>
  <si>
    <t>SNSY5</t>
  </si>
  <si>
    <t>-Sansuy (SNSY5);</t>
  </si>
  <si>
    <t>SLED3</t>
  </si>
  <si>
    <t>-Saraiva (SLED3);</t>
  </si>
  <si>
    <t>SLED4</t>
  </si>
  <si>
    <t>-Saraiva (SLED4);</t>
  </si>
  <si>
    <t>TEKA4</t>
  </si>
  <si>
    <t>-Teka (TEKA4);</t>
  </si>
  <si>
    <t>VIVR3</t>
  </si>
  <si>
    <t>-Viver (VIVR3); e</t>
  </si>
  <si>
    <t>MWET3</t>
  </si>
  <si>
    <t>-Wetzel (MWET3).</t>
  </si>
  <si>
    <t>PMAM3</t>
  </si>
  <si>
    <t>PARANAPANEMA - Artefatos de cobre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</si>
</sst>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dd/mm/yyyy"/>
    <numFmt numFmtId="166" formatCode="#,##0.00000;(#,##0.00000)"/>
    <numFmt numFmtId="167" formatCode="0.000"/>
  </numFmts>
  <fonts count="17">
    <font>
      <sz val="11.0"/>
      <color rgb="FF000000"/>
      <name val="Calibri"/>
    </font>
    <font>
      <b/>
      <sz val="8.0"/>
      <name val="Arial"/>
    </font>
    <font>
      <b/>
      <sz val="8.0"/>
    </font>
    <font>
      <sz val="8.0"/>
    </font>
    <font>
      <b/>
      <sz val="9.0"/>
    </font>
    <font>
      <sz val="9.0"/>
      <name val="Arial"/>
    </font>
    <font>
      <b/>
      <sz val="9.0"/>
      <name val="Arial"/>
    </font>
    <font>
      <sz val="8.0"/>
      <color rgb="FF000000"/>
      <name val="&quot;Google Sans Mono&quot;"/>
    </font>
    <font>
      <b/>
      <sz val="7.0"/>
      <name val="Arial"/>
    </font>
    <font>
      <b/>
      <sz val="10.0"/>
      <color rgb="FF000000"/>
      <name val="Inconsolata"/>
    </font>
    <font>
      <sz val="8.0"/>
      <name val="Arial"/>
    </font>
    <font>
      <b/>
      <sz val="10.0"/>
      <name val="Arial"/>
    </font>
    <font>
      <sz val="10.0"/>
      <color rgb="FF000000"/>
      <name val="Arial"/>
    </font>
    <font>
      <sz val="10.0"/>
      <name val="Arial"/>
    </font>
    <font>
      <sz val="9.0"/>
      <color rgb="FF000000"/>
      <name val="&quot;Google Sans Mono&quot;"/>
    </font>
    <font>
      <color rgb="FF000000"/>
      <name val="Arial"/>
    </font>
    <font/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right" readingOrder="0"/>
    </xf>
    <xf borderId="0" fillId="0" fontId="5" numFmtId="10" xfId="0" applyFont="1" applyNumberFormat="1"/>
    <xf borderId="0" fillId="2" fontId="1" numFmtId="164" xfId="0" applyAlignment="1" applyFont="1" applyNumberFormat="1">
      <alignment horizontal="left" readingOrder="0"/>
    </xf>
    <xf borderId="0" fillId="0" fontId="1" numFmtId="10" xfId="0" applyFont="1" applyNumberFormat="1"/>
    <xf borderId="0" fillId="2" fontId="1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7" numFmtId="165" xfId="0" applyAlignment="1" applyFont="1" applyNumberFormat="1">
      <alignment horizontal="left"/>
    </xf>
    <xf borderId="0" fillId="0" fontId="1" numFmtId="166" xfId="0" applyAlignment="1" applyFont="1" applyNumberFormat="1">
      <alignment horizontal="center" readingOrder="0"/>
    </xf>
    <xf borderId="0" fillId="2" fontId="1" numFmtId="10" xfId="0" applyAlignment="1" applyFont="1" applyNumberFormat="1">
      <alignment horizontal="left" readingOrder="0"/>
    </xf>
    <xf borderId="0" fillId="2" fontId="8" numFmtId="10" xfId="0" applyAlignment="1" applyFont="1" applyNumberFormat="1">
      <alignment horizontal="left" readingOrder="0"/>
    </xf>
    <xf borderId="0" fillId="2" fontId="8" numFmtId="164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center"/>
    </xf>
    <xf borderId="0" fillId="2" fontId="6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2" fontId="9" numFmtId="0" xfId="0" applyAlignment="1" applyFont="1">
      <alignment horizontal="center"/>
    </xf>
    <xf borderId="0" fillId="0" fontId="10" numFmtId="167" xfId="0" applyAlignment="1" applyFont="1" applyNumberFormat="1">
      <alignment horizontal="left"/>
    </xf>
    <xf borderId="0" fillId="2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/>
    </xf>
    <xf borderId="0" fillId="3" fontId="11" numFmtId="2" xfId="0" applyAlignment="1" applyFill="1" applyFont="1" applyNumberFormat="1">
      <alignment horizontal="center"/>
    </xf>
    <xf borderId="0" fillId="2" fontId="11" numFmtId="0" xfId="0" applyAlignment="1" applyFont="1">
      <alignment horizontal="center"/>
    </xf>
    <xf borderId="0" fillId="2" fontId="11" numFmtId="2" xfId="0" applyAlignment="1" applyFont="1" applyNumberFormat="1">
      <alignment horizontal="center"/>
    </xf>
    <xf borderId="0" fillId="2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4" fontId="11" numFmtId="0" xfId="0" applyAlignment="1" applyFill="1" applyFont="1">
      <alignment horizontal="center" readingOrder="0"/>
    </xf>
    <xf borderId="0" fillId="4" fontId="11" numFmtId="164" xfId="0" applyAlignment="1" applyFont="1" applyNumberFormat="1">
      <alignment horizontal="center" readingOrder="0"/>
    </xf>
    <xf borderId="0" fillId="4" fontId="11" numFmtId="2" xfId="0" applyAlignment="1" applyFont="1" applyNumberFormat="1">
      <alignment horizontal="center" readingOrder="0"/>
    </xf>
    <xf borderId="0" fillId="4" fontId="11" numFmtId="0" xfId="0" applyAlignment="1" applyFont="1">
      <alignment horizontal="center"/>
    </xf>
    <xf borderId="0" fillId="0" fontId="12" numFmtId="0" xfId="0" applyAlignment="1" applyFont="1">
      <alignment vertical="bottom"/>
    </xf>
    <xf borderId="0" fillId="0" fontId="13" numFmtId="165" xfId="0" applyAlignment="1" applyFont="1" applyNumberFormat="1">
      <alignment horizontal="right"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3" numFmtId="164" xfId="0" applyAlignment="1" applyFont="1" applyNumberFormat="1">
      <alignment horizontal="right" readingOrder="0"/>
    </xf>
    <xf borderId="0" fillId="5" fontId="13" numFmtId="164" xfId="0" applyFill="1" applyFont="1" applyNumberFormat="1"/>
    <xf borderId="0" fillId="0" fontId="13" numFmtId="164" xfId="0" applyAlignment="1" applyFont="1" applyNumberFormat="1">
      <alignment horizontal="center" readingOrder="0"/>
    </xf>
    <xf borderId="0" fillId="5" fontId="13" numFmtId="167" xfId="0" applyFont="1" applyNumberFormat="1"/>
    <xf borderId="0" fillId="0" fontId="13" numFmtId="167" xfId="0" applyAlignment="1" applyFont="1" applyNumberFormat="1">
      <alignment readingOrder="0"/>
    </xf>
    <xf borderId="0" fillId="0" fontId="13" numFmtId="2" xfId="0" applyFont="1" applyNumberFormat="1"/>
    <xf borderId="0" fillId="0" fontId="13" numFmtId="2" xfId="0" applyAlignment="1" applyFont="1" applyNumberFormat="1">
      <alignment readingOrder="0"/>
    </xf>
    <xf borderId="0" fillId="0" fontId="13" numFmtId="10" xfId="0" applyFont="1" applyNumberFormat="1"/>
    <xf borderId="0" fillId="0" fontId="13" numFmtId="2" xfId="0" applyAlignment="1" applyFont="1" applyNumberFormat="1">
      <alignment horizontal="center"/>
    </xf>
    <xf borderId="0" fillId="2" fontId="12" numFmtId="2" xfId="0" applyFont="1" applyNumberFormat="1"/>
    <xf borderId="0" fillId="0" fontId="13" numFmtId="0" xfId="0" applyFont="1"/>
    <xf borderId="0" fillId="0" fontId="13" numFmtId="164" xfId="0" applyAlignment="1" applyFont="1" applyNumberFormat="1">
      <alignment horizontal="right"/>
    </xf>
    <xf borderId="0" fillId="0" fontId="13" numFmtId="165" xfId="0" applyAlignment="1" applyFont="1" applyNumberFormat="1">
      <alignment readingOrder="0"/>
    </xf>
    <xf borderId="0" fillId="2" fontId="14" numFmtId="0" xfId="0" applyAlignment="1" applyFont="1">
      <alignment horizontal="left"/>
    </xf>
    <xf borderId="0" fillId="6" fontId="13" numFmtId="0" xfId="0" applyFill="1" applyFont="1"/>
    <xf borderId="0" fillId="6" fontId="13" numFmtId="165" xfId="0" applyAlignment="1" applyFont="1" applyNumberFormat="1">
      <alignment horizontal="right" vertical="bottom"/>
    </xf>
    <xf borderId="0" fillId="6" fontId="13" numFmtId="2" xfId="0" applyFont="1" applyNumberFormat="1"/>
    <xf borderId="0" fillId="7" fontId="13" numFmtId="0" xfId="0" applyAlignment="1" applyFill="1" applyFont="1">
      <alignment readingOrder="0"/>
    </xf>
    <xf borderId="0" fillId="7" fontId="13" numFmtId="2" xfId="0" applyAlignment="1" applyFont="1" applyNumberFormat="1">
      <alignment readingOrder="0"/>
    </xf>
    <xf borderId="0" fillId="8" fontId="13" numFmtId="2" xfId="0" applyAlignment="1" applyFill="1" applyFont="1" applyNumberFormat="1">
      <alignment readingOrder="0"/>
    </xf>
    <xf borderId="0" fillId="0" fontId="13" numFmtId="165" xfId="0" applyAlignment="1" applyFont="1" applyNumberFormat="1">
      <alignment horizontal="right" readingOrder="0" vertical="bottom"/>
    </xf>
    <xf borderId="0" fillId="9" fontId="13" numFmtId="0" xfId="0" applyAlignment="1" applyFill="1" applyFont="1">
      <alignment readingOrder="0"/>
    </xf>
    <xf borderId="0" fillId="10" fontId="13" numFmtId="2" xfId="0" applyAlignment="1" applyFill="1" applyFont="1" applyNumberFormat="1">
      <alignment readingOrder="0"/>
    </xf>
    <xf borderId="0" fillId="3" fontId="13" numFmtId="0" xfId="0" applyAlignment="1" applyFont="1">
      <alignment readingOrder="0"/>
    </xf>
    <xf borderId="0" fillId="3" fontId="13" numFmtId="2" xfId="0" applyAlignment="1" applyFont="1" applyNumberFormat="1">
      <alignment readingOrder="0"/>
    </xf>
    <xf borderId="0" fillId="9" fontId="13" numFmtId="165" xfId="0" applyAlignment="1" applyFont="1" applyNumberFormat="1">
      <alignment readingOrder="0"/>
    </xf>
    <xf borderId="0" fillId="9" fontId="13" numFmtId="2" xfId="0" applyFont="1" applyNumberFormat="1"/>
    <xf borderId="0" fillId="3" fontId="13" numFmtId="0" xfId="0" applyFont="1"/>
    <xf borderId="0" fillId="3" fontId="13" numFmtId="2" xfId="0" applyFont="1" applyNumberFormat="1"/>
    <xf borderId="0" fillId="8" fontId="13" numFmtId="0" xfId="0" applyAlignment="1" applyFont="1">
      <alignment readingOrder="0"/>
    </xf>
    <xf borderId="0" fillId="8" fontId="13" numFmtId="165" xfId="0" applyAlignment="1" applyFont="1" applyNumberFormat="1">
      <alignment horizontal="right" vertical="bottom"/>
    </xf>
    <xf borderId="0" fillId="8" fontId="13" numFmtId="2" xfId="0" applyFont="1" applyNumberFormat="1"/>
    <xf borderId="0" fillId="7" fontId="13" numFmtId="165" xfId="0" applyAlignment="1" applyFont="1" applyNumberFormat="1">
      <alignment horizontal="right" vertical="bottom"/>
    </xf>
    <xf borderId="0" fillId="7" fontId="13" numFmtId="2" xfId="0" applyFont="1" applyNumberFormat="1"/>
    <xf borderId="0" fillId="0" fontId="12" numFmtId="2" xfId="0" applyFont="1" applyNumberFormat="1"/>
    <xf borderId="0" fillId="11" fontId="13" numFmtId="2" xfId="0" applyFill="1" applyFont="1" applyNumberFormat="1"/>
    <xf borderId="0" fillId="2" fontId="15" numFmtId="0" xfId="0" applyAlignment="1" applyFont="1">
      <alignment horizontal="left" readingOrder="0"/>
    </xf>
    <xf borderId="0" fillId="11" fontId="13" numFmtId="2" xfId="0" applyAlignment="1" applyFont="1" applyNumberFormat="1">
      <alignment readingOrder="0"/>
    </xf>
    <xf borderId="0" fillId="0" fontId="13" numFmtId="0" xfId="0" applyAlignment="1" applyFont="1">
      <alignment horizontal="center" readingOrder="0"/>
    </xf>
    <xf borderId="0" fillId="3" fontId="13" numFmtId="10" xfId="0" applyFont="1" applyNumberFormat="1"/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readingOrder="0"/>
    </xf>
    <xf borderId="0" fillId="12" fontId="13" numFmtId="2" xfId="0" applyAlignment="1" applyFill="1" applyFont="1" applyNumberFormat="1">
      <alignment readingOrder="0"/>
    </xf>
    <xf borderId="0" fillId="0" fontId="16" numFmtId="0" xfId="0" applyAlignment="1" applyFont="1">
      <alignment readingOrder="0"/>
    </xf>
    <xf borderId="0" fillId="0" fontId="13" numFmtId="0" xfId="0" applyAlignment="1" applyFont="1">
      <alignment horizontal="right" vertical="bottom"/>
    </xf>
    <xf borderId="0" fillId="0" fontId="13" numFmtId="167" xfId="0" applyFont="1" applyNumberFormat="1"/>
    <xf borderId="0" fillId="0" fontId="13" numFmtId="0" xfId="0" applyAlignment="1" applyFont="1">
      <alignment horizontal="left" readingOrder="0"/>
    </xf>
    <xf borderId="0" fillId="13" fontId="13" numFmtId="0" xfId="0" applyAlignment="1" applyFill="1" applyFont="1">
      <alignment readingOrder="0"/>
    </xf>
    <xf borderId="0" fillId="13" fontId="13" numFmtId="165" xfId="0" applyAlignment="1" applyFont="1" applyNumberFormat="1">
      <alignment horizontal="right" vertical="bottom"/>
    </xf>
    <xf borderId="0" fillId="13" fontId="13" numFmtId="0" xfId="0" applyFont="1"/>
    <xf borderId="0" fillId="14" fontId="13" numFmtId="0" xfId="0" applyAlignment="1" applyFill="1" applyFont="1">
      <alignment horizontal="left" readingOrder="0"/>
    </xf>
    <xf borderId="0" fillId="0" fontId="13" numFmtId="0" xfId="0" applyAlignment="1" applyFont="1">
      <alignment horizontal="right" readingOrder="0" vertical="bottom"/>
    </xf>
    <xf borderId="0" fillId="14" fontId="13" numFmtId="2" xfId="0" applyAlignment="1" applyFont="1" applyNumberFormat="1">
      <alignment readingOrder="0"/>
    </xf>
    <xf borderId="0" fillId="15" fontId="13" numFmtId="0" xfId="0" applyAlignment="1" applyFill="1" applyFont="1">
      <alignment readingOrder="0"/>
    </xf>
    <xf borderId="0" fillId="15" fontId="13" numFmtId="2" xfId="0" applyAlignment="1" applyFont="1" applyNumberFormat="1">
      <alignment readingOrder="0"/>
    </xf>
    <xf borderId="0" fillId="16" fontId="13" numFmtId="0" xfId="0" applyAlignment="1" applyFill="1" applyFont="1">
      <alignment readingOrder="0"/>
    </xf>
    <xf borderId="0" fillId="16" fontId="13" numFmtId="2" xfId="0" applyAlignment="1" applyFont="1" applyNumberFormat="1">
      <alignment readingOrder="0"/>
    </xf>
    <xf borderId="0" fillId="0" fontId="13" numFmtId="164" xfId="0" applyFont="1" applyNumberFormat="1"/>
    <xf borderId="0" fillId="0" fontId="13" numFmtId="0" xfId="0" applyAlignment="1" applyFont="1">
      <alignment horizontal="center"/>
    </xf>
  </cellXfs>
  <cellStyles count="1">
    <cellStyle xfId="0" name="Normal" builtinId="0"/>
  </cellStyles>
  <dxfs count="4">
    <dxf>
      <font>
        <b/>
        <color rgb="FF00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color rgb="FFFF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9.0"/>
    <col customWidth="1" min="2" max="2" width="14.29"/>
    <col customWidth="1" min="3" max="3" width="49.57"/>
    <col customWidth="1" min="4" max="4" width="6.71"/>
    <col customWidth="1" min="5" max="5" width="12.14"/>
    <col customWidth="1" min="6" max="6" width="9.71"/>
    <col customWidth="1" min="7" max="7" width="5.86"/>
    <col customWidth="1" min="8" max="8" width="9.14"/>
    <col customWidth="1" min="9" max="9" width="9.57"/>
    <col customWidth="1" min="10" max="10" width="8.71"/>
    <col customWidth="1" min="11" max="11" width="7.29"/>
    <col customWidth="1" min="12" max="12" width="11.29"/>
    <col customWidth="1" min="13" max="13" width="8.14"/>
    <col customWidth="1" min="14" max="14" width="9.86"/>
    <col customWidth="1" min="15" max="15" width="11.29"/>
    <col customWidth="1" min="16" max="16" width="8.86"/>
    <col customWidth="1" min="17" max="17" width="7.43"/>
    <col customWidth="1" min="18" max="18" width="7.0"/>
    <col customWidth="1" min="20" max="20" width="25.0"/>
    <col customWidth="1" min="23" max="23" width="22.0"/>
  </cols>
  <sheetData>
    <row r="1" ht="9.75" customHeight="1">
      <c r="A1" s="1" t="s">
        <v>0</v>
      </c>
      <c r="B1" s="2" t="str">
        <f>IFERROR(__xludf.DUMMYFUNCTION("Concatenate(""VIX: "",GOOGLEFINANCE(""INDEXCBOE:VIX""))"),"VIX: 13,77")</f>
        <v>VIX: 13,77</v>
      </c>
      <c r="C1" s="3" t="str">
        <f>IFERROR(__xludf.DUMMYFUNCTION("Concatenate(""BTC - Ontem: "",INDEX(GOOGLEFINANCE(""CURRENCY:BTCUSD"",""close"",Today()-1), 2, 2),""  Agora: "",GOOGLEFINANCE(""CURRENCY:BTCUSD"",""average""),"" // "",ROUND(100-((INDEX(GOOGLEFINANCE(""CURRENCY:BTCUSD"",""close"",Today()-1), 2, 2)*100)/(G"&amp;"OOGLEFINANCE(""CURRENCY:BTCUSD"",""average""))),2),""%"")"),"#N/A")</f>
        <v>#N/A</v>
      </c>
      <c r="D1" s="4" t="str">
        <f>IFERROR(__xludf.DUMMYFUNCTION("Concatenate(""EUR: "",ROUND(GOOGLEFINANCE(""CURRENCY:EURBRL"",""average""),3),""/"",ROUND(100-((INDEX(GOOGLEFINANCE(""CURRENCY:EURBRL"",""close"",Today()-1), 2, 2)*100)/(GOOGLEFINANCE(""CURRENCY:EURBRL"",""average""))),2),""%"")"),"#N/A")</f>
        <v>#N/A</v>
      </c>
      <c r="E1" s="5"/>
      <c r="F1" s="4" t="str">
        <f>IFERROR(__xludf.DUMMYFUNCTION("Concatenate(""ARS: "",ROUND(GOOGLEFINANCE(""CURRENCY:ARSBRL"",""average""),5),""/"",ROUND(100-((INDEX(GOOGLEFINANCE(""CURRENCY:ARSBRL"",""close"",Today()-1), 2, 2)*100)/(GOOGLEFINANCE(""CURRENCY:ARSBRL"",""average""))),2),""%"")"),"#N/A")</f>
        <v>#N/A</v>
      </c>
      <c r="G1" s="1"/>
      <c r="H1" s="4" t="str">
        <f>IFERROR(__xludf.DUMMYFUNCTION("Concatenate(""GBP: "",ROUND(GOOGLEFINANCE(""CURRENCY:GBPBRL"",""average""),3),""/"",ROUND(100-((INDEX(GOOGLEFINANCE(""CURRENCY:GBPBRL"",""close"",Today()-1), 2, 2)*100)/(GOOGLEFINANCE(""CURRENCY:GBPBRL"",""average""))),2),""%"")"),"#N/A")</f>
        <v>#N/A</v>
      </c>
      <c r="J1" s="5"/>
      <c r="K1" s="5"/>
      <c r="L1" s="6" t="s">
        <v>1</v>
      </c>
      <c r="M1" s="7">
        <f>IFERROR(__xludf.DUMMYFUNCTION("googlefinance(""INDEXBVMF:IFIX"",""changepct"")/100"),7.000000000000001E-4)</f>
        <v>0.0007</v>
      </c>
      <c r="N1" s="8"/>
      <c r="O1" s="9" t="str">
        <f>IFERROR(__xludf.DUMMYFUNCTION("Concatenate(""DWN: "",googlefinance(""INDEXDJX:.DJI"",""changepct""))"),"DWN: -0,04")</f>
        <v>DWN: -0,04</v>
      </c>
      <c r="P1" s="9" t="str">
        <f>IFERROR(__xludf.DUMMYFUNCTION("Concatenate(""S&amp;P: "",googlefinance(""INDEXSP:.INX"",""changepct""))"),"S&amp;P: 0,05")</f>
        <v>S&amp;P: 0,05</v>
      </c>
      <c r="Q1" s="9" t="str">
        <f>IFERROR(__xludf.DUMMYFUNCTION("Concatenate(""NDQ: "",googlefinance(""INDEXNASDAQ:.IXIC"",""changepct""))"),"NDQ: -0,03")</f>
        <v>NDQ: -0,03</v>
      </c>
      <c r="S1" s="10"/>
      <c r="T1" s="11"/>
      <c r="U1" s="10"/>
      <c r="V1" s="12"/>
      <c r="W1" s="13"/>
      <c r="X1" s="13"/>
      <c r="Y1" s="10"/>
      <c r="Z1" s="5"/>
      <c r="AA1" s="5"/>
    </row>
    <row r="2" ht="9.75" customHeight="1">
      <c r="A2" s="5"/>
      <c r="B2" s="1" t="str">
        <f>IFERROR(__xludf.DUMMYFUNCTION("Concatenate(""EWZ: "",GOOGLEFINANCE(""NYSEARCA:EWZ""))"),"EWZ: 33,75")</f>
        <v>EWZ: 33,75</v>
      </c>
      <c r="C2" s="3" t="str">
        <f>IFERROR(__xludf.DUMMYFUNCTION("Concatenate(""ETH - Ontem: "",INDEX(GOOGLEFINANCE(""CURRENCY:ETHUSD"",""close"",Today()-1), 2, 2),"" Agora: "",GOOGLEFINANCE(""CURRENCY:ETHUSD"",""average""),"" // "",ROUND(100-((INDEX(GOOGLEFINANCE(""CURRENCY:ETHUSD"",""close"",Today()-1), 2, 2)*100)/(GO"&amp;"OGLEFINANCE(""CURRENCY:ETHUSD"",""average""))),2),""%"")"),"#N/A")</f>
        <v>#N/A</v>
      </c>
      <c r="D2" s="8"/>
      <c r="E2" s="14"/>
      <c r="F2" s="15"/>
      <c r="G2" s="16"/>
      <c r="H2" s="5"/>
      <c r="I2" s="3"/>
      <c r="J2" s="17"/>
      <c r="K2" s="10"/>
      <c r="L2" s="18" t="s">
        <v>2</v>
      </c>
      <c r="M2" s="7">
        <f>IFERROR(__xludf.DUMMYFUNCTION("googlefinance(""INDEXBVMF:IBOV"",""changepct"")/100"),0.0055000000000000005)</f>
        <v>0.0055</v>
      </c>
      <c r="N2" s="1"/>
      <c r="O2" s="1"/>
      <c r="P2" s="3"/>
      <c r="R2" s="3"/>
      <c r="S2" s="19"/>
      <c r="T2" s="4"/>
      <c r="U2" s="19"/>
      <c r="V2" s="12"/>
      <c r="W2" s="19"/>
      <c r="X2" s="19"/>
      <c r="Y2" s="19"/>
      <c r="Z2" s="3"/>
      <c r="AA2" s="10"/>
    </row>
    <row r="3">
      <c r="B3" s="11"/>
      <c r="C3" s="20" t="str">
        <f>IFERROR(__xludf.DUMMYFUNCTION("Concatenate(""USD - Ontem: "",INDEX(GOOGLEFINANCE(""CURRENCY:USDBRL"",""close"",Today()-1), 2, 2),"" Agora: "",GOOGLEFINANCE(""currency:usdbrl"",""average""),"" // "",ROUND(100-((INDEX(GOOGLEFINANCE(""CURRENCY:USDBRL"",""close"",Today()-1), 2, 2)*100)/(GO"&amp;"OGLEFINANCE(""currency:usdbrl"",""average""))),2),""%"")"),"#N/A")</f>
        <v>#N/A</v>
      </c>
      <c r="D3" s="8"/>
      <c r="E3" s="21"/>
      <c r="F3" s="22">
        <f>SUM(F5:F138)+G3</f>
        <v>6379.29</v>
      </c>
      <c r="G3" s="22">
        <f>SUM(G5:G138)</f>
        <v>2.01</v>
      </c>
      <c r="I3" s="23"/>
      <c r="J3" s="24">
        <f>SUM(J5:J138)</f>
        <v>-877.05</v>
      </c>
      <c r="K3" s="25"/>
      <c r="L3" s="26">
        <f>SUM(L5:L138)</f>
        <v>5502.24</v>
      </c>
      <c r="N3" s="27">
        <f>IFERROR(__xludf.DUMMYFUNCTION("GOOGLEFINANCE(""INDEXBVMF:IBOV"",""closeyest"")"),124639.24)</f>
        <v>124639.24</v>
      </c>
      <c r="O3" s="27">
        <f>IFERROR(__xludf.DUMMYFUNCTION("GOOGLEFINANCE(""INDEXBVMF:IBOV"")"),125330.61)</f>
        <v>125330.61</v>
      </c>
      <c r="P3" s="23"/>
      <c r="Q3" s="9"/>
      <c r="R3" s="23"/>
      <c r="S3" s="28"/>
      <c r="T3" s="28"/>
      <c r="U3" s="28"/>
      <c r="V3" s="28"/>
      <c r="W3" s="28"/>
      <c r="X3" s="28"/>
      <c r="Y3" s="28"/>
      <c r="Z3" s="28"/>
      <c r="AA3" s="28"/>
    </row>
    <row r="4" ht="12.0" customHeight="1">
      <c r="A4" s="29" t="s">
        <v>3</v>
      </c>
      <c r="B4" s="29" t="s">
        <v>4</v>
      </c>
      <c r="C4" s="29" t="s">
        <v>5</v>
      </c>
      <c r="D4" s="29" t="s">
        <v>6</v>
      </c>
      <c r="E4" s="30" t="s">
        <v>7</v>
      </c>
      <c r="F4" s="30" t="s">
        <v>8</v>
      </c>
      <c r="G4" s="30" t="s">
        <v>9</v>
      </c>
      <c r="H4" s="29" t="s">
        <v>10</v>
      </c>
      <c r="I4" s="29" t="s">
        <v>11</v>
      </c>
      <c r="J4" s="31" t="s">
        <v>12</v>
      </c>
      <c r="K4" s="29" t="s">
        <v>13</v>
      </c>
      <c r="L4" s="29" t="s">
        <v>14</v>
      </c>
      <c r="M4" s="29" t="s">
        <v>15</v>
      </c>
      <c r="N4" s="29" t="s">
        <v>16</v>
      </c>
      <c r="O4" s="29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32"/>
      <c r="U4" s="32"/>
      <c r="V4" s="32"/>
      <c r="W4" s="32"/>
      <c r="X4" s="32"/>
      <c r="Y4" s="32"/>
      <c r="Z4" s="32"/>
      <c r="AA4" s="32"/>
    </row>
    <row r="5">
      <c r="A5" s="33" t="s">
        <v>22</v>
      </c>
      <c r="B5" s="34">
        <v>44330.0</v>
      </c>
      <c r="C5" s="35" t="s">
        <v>23</v>
      </c>
      <c r="D5" s="36">
        <v>10.0</v>
      </c>
      <c r="E5" s="37">
        <v>78.5</v>
      </c>
      <c r="F5" s="38">
        <f t="shared" ref="F5:F9" si="1">E5*D5</f>
        <v>785</v>
      </c>
      <c r="G5" s="39">
        <v>0.22</v>
      </c>
      <c r="H5" s="40">
        <f t="shared" ref="H5:H9" si="2">(F5+G5)/D5</f>
        <v>78.522</v>
      </c>
      <c r="I5" s="41">
        <f t="shared" ref="I5:I9" si="3">(K5*100/H5)-100</f>
        <v>12.10870839</v>
      </c>
      <c r="J5" s="42">
        <f t="shared" ref="J5:J9" si="4">(K5-H5)*D5</f>
        <v>95.08</v>
      </c>
      <c r="K5" s="43">
        <f>IFERROR(__xludf.DUMMYFUNCTION("GOOGLEFINANCE(CONCAT(""BVMF:"",A5),""price"")"),88.03)</f>
        <v>88.03</v>
      </c>
      <c r="L5" s="42">
        <f t="shared" ref="L5:L9" si="5">K5*D5</f>
        <v>880.3</v>
      </c>
      <c r="M5" s="44">
        <f>IFERROR(__xludf.DUMMYFUNCTION("ROUND(((K5*100)/GOOGLEFINANCE(CONCAT(""BVMF:"",A5),""closeyest""))-100,2)/100"),2.0E-4)</f>
        <v>0.0002</v>
      </c>
      <c r="N5" s="45">
        <f>IFERROR(__xludf.DUMMYFUNCTION("ROUND(K5-(GOOGLEFINANCE(CONCAT(""BVMF:"",A5),""closeyest"")),2)"),0.02)</f>
        <v>0.02</v>
      </c>
      <c r="O5" s="42">
        <f t="shared" ref="O5:O9" si="6">(P5*100)/K5</f>
        <v>78.07565603</v>
      </c>
      <c r="P5" s="42">
        <f>IFERROR(__xludf.DUMMYFUNCTION("GOOGLEFINANCE(CONCAT(""BVMF:"",A5),""low52"")"),68.73)</f>
        <v>68.73</v>
      </c>
      <c r="Q5" s="46">
        <f>IFERROR(__xludf.DUMMYFUNCTION("GOOGLEFINANCE(CONCAT(""BVMF:"",A5),""high52"")"),88.88)</f>
        <v>88.88</v>
      </c>
      <c r="R5" s="42">
        <f t="shared" ref="R5:R9" si="7">Q5-P5</f>
        <v>20.15</v>
      </c>
      <c r="S5" s="47">
        <f>IFERROR(__xludf.DUMMYFUNCTION("googlefinance(CONCAT(""BVMF:"",A5),""volume"")"),13259.0)</f>
        <v>13259</v>
      </c>
      <c r="T5" s="47"/>
      <c r="U5" s="47"/>
      <c r="V5" s="47"/>
      <c r="W5" s="47"/>
      <c r="X5" s="47"/>
      <c r="Y5" s="47"/>
      <c r="Z5" s="47"/>
      <c r="AA5" s="47"/>
    </row>
    <row r="6">
      <c r="A6" s="33" t="s">
        <v>24</v>
      </c>
      <c r="B6" s="34">
        <v>44330.0</v>
      </c>
      <c r="C6" s="35" t="s">
        <v>25</v>
      </c>
      <c r="D6" s="47">
        <v>14.0</v>
      </c>
      <c r="E6" s="48">
        <v>52.97</v>
      </c>
      <c r="F6" s="38">
        <f t="shared" si="1"/>
        <v>741.58</v>
      </c>
      <c r="G6" s="39">
        <v>0.22</v>
      </c>
      <c r="H6" s="40">
        <f t="shared" si="2"/>
        <v>52.98571429</v>
      </c>
      <c r="I6" s="41">
        <f t="shared" si="3"/>
        <v>-9.296306282</v>
      </c>
      <c r="J6" s="42">
        <f t="shared" si="4"/>
        <v>-68.96</v>
      </c>
      <c r="K6" s="43">
        <f>IFERROR(__xludf.DUMMYFUNCTION("GOOGLEFINANCE(CONCAT(""BVMF:"",A6),""price"")"),48.06)</f>
        <v>48.06</v>
      </c>
      <c r="L6" s="42">
        <f t="shared" si="5"/>
        <v>672.84</v>
      </c>
      <c r="M6" s="44">
        <f>IFERROR(__xludf.DUMMYFUNCTION("ROUND(((K6*100)/GOOGLEFINANCE(CONCAT(""BVMF:"",A6),""closeyest""))-100,2)/100"),0.0013)</f>
        <v>0.0013</v>
      </c>
      <c r="N6" s="45">
        <f>IFERROR(__xludf.DUMMYFUNCTION("ROUND(K6-(GOOGLEFINANCE(CONCAT(""BVMF:"",A6),""closeyest"")),2)"),0.06)</f>
        <v>0.06</v>
      </c>
      <c r="O6" s="42">
        <f t="shared" si="6"/>
        <v>77.9650437</v>
      </c>
      <c r="P6" s="42">
        <f>IFERROR(__xludf.DUMMYFUNCTION("GOOGLEFINANCE(CONCAT(""BVMF:"",A6),""low52"")"),37.47)</f>
        <v>37.47</v>
      </c>
      <c r="Q6" s="46">
        <f>IFERROR(__xludf.DUMMYFUNCTION("GOOGLEFINANCE(CONCAT(""BVMF:"",A6),""high52"")"),50.86)</f>
        <v>50.86</v>
      </c>
      <c r="R6" s="42">
        <f t="shared" si="7"/>
        <v>13.39</v>
      </c>
      <c r="S6" s="47">
        <f>IFERROR(__xludf.DUMMYFUNCTION("googlefinance(CONCAT(""BVMF:"",A6),""volume"")"),1926.0)</f>
        <v>1926</v>
      </c>
      <c r="T6" s="47"/>
      <c r="U6" s="47"/>
      <c r="V6" s="47"/>
      <c r="W6" s="47"/>
      <c r="X6" s="47"/>
      <c r="Y6" s="47"/>
      <c r="Z6" s="27"/>
      <c r="AA6" s="47"/>
    </row>
    <row r="7">
      <c r="A7" s="33" t="s">
        <v>26</v>
      </c>
      <c r="B7" s="34">
        <v>44335.0</v>
      </c>
      <c r="C7" s="35" t="s">
        <v>27</v>
      </c>
      <c r="D7" s="36">
        <v>10.0</v>
      </c>
      <c r="E7" s="48">
        <v>10.48</v>
      </c>
      <c r="F7" s="38">
        <f t="shared" si="1"/>
        <v>104.8</v>
      </c>
      <c r="G7" s="39">
        <v>0.01</v>
      </c>
      <c r="H7" s="40">
        <f t="shared" si="2"/>
        <v>10.481</v>
      </c>
      <c r="I7" s="41">
        <f t="shared" si="3"/>
        <v>4.379353115</v>
      </c>
      <c r="J7" s="42">
        <f t="shared" si="4"/>
        <v>4.59</v>
      </c>
      <c r="K7" s="43">
        <f>IFERROR(__xludf.DUMMYFUNCTION("GOOGLEFINANCE(CONCAT(""BVMF:"",A7),""price"")"),10.94)</f>
        <v>10.94</v>
      </c>
      <c r="L7" s="42">
        <f t="shared" si="5"/>
        <v>109.4</v>
      </c>
      <c r="M7" s="44">
        <f>IFERROR(__xludf.DUMMYFUNCTION("ROUND(((K7*100)/GOOGLEFINANCE(CONCAT(""BVMF:"",A7),""closeyest""))-100,2)/100"),0.0037)</f>
        <v>0.0037</v>
      </c>
      <c r="N7" s="45">
        <f>IFERROR(__xludf.DUMMYFUNCTION("ROUND(K7-(GOOGLEFINANCE(CONCAT(""BVMF:"",A7),""closeyest"")),2)"),0.04)</f>
        <v>0.04</v>
      </c>
      <c r="O7" s="42">
        <f t="shared" si="6"/>
        <v>78.33638026</v>
      </c>
      <c r="P7" s="42">
        <f>IFERROR(__xludf.DUMMYFUNCTION("GOOGLEFINANCE(CONCAT(""BVMF:"",A7),""low52"")"),8.57)</f>
        <v>8.57</v>
      </c>
      <c r="Q7" s="46">
        <f>IFERROR(__xludf.DUMMYFUNCTION("GOOGLEFINANCE(CONCAT(""BVMF:"",A7),""high52"")"),11.02)</f>
        <v>11.02</v>
      </c>
      <c r="R7" s="42">
        <f t="shared" si="7"/>
        <v>2.45</v>
      </c>
      <c r="S7" s="47">
        <f>IFERROR(__xludf.DUMMYFUNCTION("googlefinance(CONCAT(""BVMF:"",A7),""volume"")"),539504.0)</f>
        <v>539504</v>
      </c>
      <c r="T7" s="47"/>
      <c r="W7" s="36"/>
      <c r="X7" s="47"/>
      <c r="Y7" s="47"/>
      <c r="Z7" s="27"/>
      <c r="AA7" s="47"/>
    </row>
    <row r="8">
      <c r="A8" s="33" t="s">
        <v>28</v>
      </c>
      <c r="B8" s="34">
        <v>44631.0</v>
      </c>
      <c r="C8" s="35" t="s">
        <v>29</v>
      </c>
      <c r="D8" s="36">
        <v>5.0</v>
      </c>
      <c r="E8" s="48">
        <v>103.98</v>
      </c>
      <c r="F8" s="38">
        <f t="shared" si="1"/>
        <v>519.9</v>
      </c>
      <c r="G8" s="39">
        <v>0.03</v>
      </c>
      <c r="H8" s="40">
        <f t="shared" si="2"/>
        <v>103.986</v>
      </c>
      <c r="I8" s="41">
        <f t="shared" si="3"/>
        <v>-15.30590656</v>
      </c>
      <c r="J8" s="42">
        <f t="shared" si="4"/>
        <v>-79.58</v>
      </c>
      <c r="K8" s="43">
        <f>IFERROR(__xludf.DUMMYFUNCTION("GOOGLEFINANCE(CONCAT(""BVMF:"",A8),""price"")"),88.07)</f>
        <v>88.07</v>
      </c>
      <c r="L8" s="42">
        <f t="shared" si="5"/>
        <v>440.35</v>
      </c>
      <c r="M8" s="44">
        <f>IFERROR(__xludf.DUMMYFUNCTION("ROUND(((K8*100)/GOOGLEFINANCE(CONCAT(""BVMF:"",A8),""closeyest""))-100,2)/100"),-0.0031)</f>
        <v>-0.0031</v>
      </c>
      <c r="N8" s="45">
        <f>IFERROR(__xludf.DUMMYFUNCTION("ROUND(K8-(GOOGLEFINANCE(CONCAT(""BVMF:"",A8),""closeyest"")),2)"),-0.27)</f>
        <v>-0.27</v>
      </c>
      <c r="O8" s="42">
        <f t="shared" si="6"/>
        <v>81.52605882</v>
      </c>
      <c r="P8" s="42">
        <f>IFERROR(__xludf.DUMMYFUNCTION("GOOGLEFINANCE(CONCAT(""BVMF:"",A8),""low52"")"),71.8)</f>
        <v>71.8</v>
      </c>
      <c r="Q8" s="46">
        <f>IFERROR(__xludf.DUMMYFUNCTION("GOOGLEFINANCE(CONCAT(""BVMF:"",A8),""high52"")"),94.87)</f>
        <v>94.87</v>
      </c>
      <c r="R8" s="42">
        <f t="shared" si="7"/>
        <v>23.07</v>
      </c>
      <c r="S8" s="47">
        <f>IFERROR(__xludf.DUMMYFUNCTION("googlefinance(CONCAT(""BVMF:"",A8),""volume"")"),9859.0)</f>
        <v>9859</v>
      </c>
      <c r="T8" s="47"/>
      <c r="U8" s="47"/>
      <c r="V8" s="47"/>
      <c r="W8" s="47"/>
      <c r="X8" s="47"/>
      <c r="Y8" s="47"/>
      <c r="Z8" s="27"/>
      <c r="AA8" s="47"/>
    </row>
    <row r="9">
      <c r="A9" s="33" t="s">
        <v>30</v>
      </c>
      <c r="B9" s="49">
        <v>44984.0</v>
      </c>
      <c r="C9" s="33" t="s">
        <v>30</v>
      </c>
      <c r="D9" s="36">
        <v>10.0</v>
      </c>
      <c r="E9" s="36">
        <v>8.34</v>
      </c>
      <c r="F9" s="38">
        <f t="shared" si="1"/>
        <v>83.4</v>
      </c>
      <c r="G9" s="39">
        <v>0.02</v>
      </c>
      <c r="H9" s="40">
        <f t="shared" si="2"/>
        <v>8.342</v>
      </c>
      <c r="I9" s="41">
        <f t="shared" si="3"/>
        <v>12.56293455</v>
      </c>
      <c r="J9" s="42">
        <f t="shared" si="4"/>
        <v>10.48</v>
      </c>
      <c r="K9" s="43">
        <f>IFERROR(__xludf.DUMMYFUNCTION("GOOGLEFINANCE(CONCAT(""BVMF:"",A9),""price"")"),9.39)</f>
        <v>9.39</v>
      </c>
      <c r="L9" s="42">
        <f t="shared" si="5"/>
        <v>93.9</v>
      </c>
      <c r="M9" s="44">
        <f>IFERROR(__xludf.DUMMYFUNCTION("ROUND(((K9*100)/GOOGLEFINANCE(CONCAT(""BVMF:"",A9),""closeyest""))-100,2)/100"),-0.0011)</f>
        <v>-0.0011</v>
      </c>
      <c r="N9" s="45">
        <f>IFERROR(__xludf.DUMMYFUNCTION("ROUND(K9-(GOOGLEFINANCE(CONCAT(""BVMF:"",A9),""closeyest"")),2)"),-0.01)</f>
        <v>-0.01</v>
      </c>
      <c r="O9" s="42">
        <f t="shared" si="6"/>
        <v>79.02023429</v>
      </c>
      <c r="P9" s="42">
        <f>IFERROR(__xludf.DUMMYFUNCTION("GOOGLEFINANCE(CONCAT(""BVMF:"",A9),""low52"")"),7.42)</f>
        <v>7.42</v>
      </c>
      <c r="Q9" s="46">
        <f>IFERROR(__xludf.DUMMYFUNCTION("GOOGLEFINANCE(CONCAT(""BVMF:"",A9),""high52"")"),9.56)</f>
        <v>9.56</v>
      </c>
      <c r="R9" s="42">
        <f t="shared" si="7"/>
        <v>2.14</v>
      </c>
      <c r="S9" s="47">
        <f>IFERROR(__xludf.DUMMYFUNCTION("googlefinance(CONCAT(""BVMF:"",A9),""volume"")"),85611.0)</f>
        <v>85611</v>
      </c>
      <c r="T9" s="47"/>
      <c r="U9" s="47"/>
      <c r="V9" s="47"/>
      <c r="W9" s="47"/>
      <c r="X9" s="47"/>
      <c r="Y9" s="47"/>
      <c r="Z9" s="47"/>
      <c r="AA9" s="47"/>
    </row>
    <row r="14">
      <c r="A14" s="36" t="s">
        <v>31</v>
      </c>
      <c r="B14" s="47"/>
      <c r="C14" s="36" t="s">
        <v>32</v>
      </c>
      <c r="D14" s="47"/>
      <c r="E14" s="47"/>
      <c r="F14" s="47"/>
      <c r="G14" s="47"/>
      <c r="H14" s="47"/>
      <c r="I14" s="47"/>
      <c r="J14" s="42"/>
      <c r="K14" s="43">
        <f>IFERROR(__xludf.DUMMYFUNCTION("GOOGLEFINANCE(CONCAT(""BVMF:"",A14),""price"")"),72.7)</f>
        <v>72.7</v>
      </c>
      <c r="L14" s="42"/>
      <c r="M14" s="44">
        <f>IFERROR(__xludf.DUMMYFUNCTION("ROUND(((K14*100)/GOOGLEFINANCE(CONCAT(""BVMF:"",A14),""closeyest""))-100,2)/100"),-0.0102)</f>
        <v>-0.0102</v>
      </c>
      <c r="N14" s="45">
        <f>IFERROR(__xludf.DUMMYFUNCTION("ROUND(K14-(GOOGLEFINANCE(CONCAT(""BVMF:"",A14),""closeyest"")),2)"),-0.75)</f>
        <v>-0.75</v>
      </c>
      <c r="O14" s="42">
        <f t="shared" ref="O14:O18" si="8">(P14*100)/K14</f>
        <v>78.73452545</v>
      </c>
      <c r="P14" s="42">
        <f>IFERROR(__xludf.DUMMYFUNCTION("GOOGLEFINANCE(CONCAT(""BVMF:"",A14),""low52"")"),57.24)</f>
        <v>57.24</v>
      </c>
      <c r="Q14" s="46">
        <f>IFERROR(__xludf.DUMMYFUNCTION("GOOGLEFINANCE(CONCAT(""BVMF:"",A14),""high52"")"),79.92)</f>
        <v>79.92</v>
      </c>
      <c r="R14" s="42">
        <f t="shared" ref="R14:R18" si="9">Q14-P14</f>
        <v>22.68</v>
      </c>
      <c r="S14" s="47">
        <f>IFERROR(__xludf.DUMMYFUNCTION("googlefinance(CONCAT(""BVMF:"",A14),""volume"")"),31936.0)</f>
        <v>31936</v>
      </c>
      <c r="T14" s="47"/>
      <c r="U14" s="47"/>
      <c r="V14" s="47"/>
      <c r="W14" s="47"/>
      <c r="X14" s="47"/>
      <c r="Y14" s="47"/>
      <c r="Z14" s="47"/>
      <c r="AA14" s="47"/>
    </row>
    <row r="15">
      <c r="A15" s="36" t="s">
        <v>33</v>
      </c>
      <c r="B15" s="34"/>
      <c r="C15" s="36" t="s">
        <v>34</v>
      </c>
      <c r="D15" s="47"/>
      <c r="E15" s="47"/>
      <c r="F15" s="47"/>
      <c r="G15" s="47"/>
      <c r="H15" s="50"/>
      <c r="I15" s="47"/>
      <c r="J15" s="42"/>
      <c r="K15" s="43">
        <f>IFERROR(__xludf.DUMMYFUNCTION("GOOGLEFINANCE(CONCAT(""BVMF:"",A15),""price"")"),7.74)</f>
        <v>7.74</v>
      </c>
      <c r="L15" s="42"/>
      <c r="M15" s="44">
        <f>IFERROR(__xludf.DUMMYFUNCTION("ROUND(((K15*100)/GOOGLEFINANCE(CONCAT(""BVMF:"",A15),""closeyest""))-100,2)/100"),-0.0026)</f>
        <v>-0.0026</v>
      </c>
      <c r="N15" s="45">
        <f>IFERROR(__xludf.DUMMYFUNCTION("ROUND(K15-(GOOGLEFINANCE(CONCAT(""BVMF:"",A15),""closeyest"")),2)"),-0.02)</f>
        <v>-0.02</v>
      </c>
      <c r="O15" s="42">
        <f t="shared" si="8"/>
        <v>92.50645995</v>
      </c>
      <c r="P15" s="42">
        <f>IFERROR(__xludf.DUMMYFUNCTION("GOOGLEFINANCE(CONCAT(""BVMF:"",A15),""low52"")"),7.16)</f>
        <v>7.16</v>
      </c>
      <c r="Q15" s="46">
        <f>IFERROR(__xludf.DUMMYFUNCTION("GOOGLEFINANCE(CONCAT(""BVMF:"",A15),""high52"")"),9.33)</f>
        <v>9.33</v>
      </c>
      <c r="R15" s="42">
        <f t="shared" si="9"/>
        <v>2.17</v>
      </c>
      <c r="S15" s="47">
        <f>IFERROR(__xludf.DUMMYFUNCTION("googlefinance(CONCAT(""BVMF:"",A15),""volume"")"),98484.0)</f>
        <v>98484</v>
      </c>
      <c r="T15" s="47"/>
      <c r="U15" s="47"/>
      <c r="V15" s="47"/>
      <c r="W15" s="47"/>
      <c r="X15" s="47"/>
      <c r="Y15" s="47"/>
      <c r="Z15" s="47"/>
      <c r="AA15" s="47"/>
    </row>
    <row r="16">
      <c r="A16" s="36" t="s">
        <v>35</v>
      </c>
      <c r="B16" s="47"/>
      <c r="C16" s="36" t="s">
        <v>36</v>
      </c>
      <c r="D16" s="47"/>
      <c r="E16" s="47"/>
      <c r="F16" s="47"/>
      <c r="G16" s="47"/>
      <c r="H16" s="47"/>
      <c r="I16" s="47"/>
      <c r="J16" s="42"/>
      <c r="K16" s="43">
        <f>IFERROR(__xludf.DUMMYFUNCTION("GOOGLEFINANCE(CONCAT(""BVMF:"",A16),""price"")"),9.73)</f>
        <v>9.73</v>
      </c>
      <c r="L16" s="42"/>
      <c r="M16" s="44">
        <f>IFERROR(__xludf.DUMMYFUNCTION("ROUND(((K16*100)/GOOGLEFINANCE(CONCAT(""BVMF:"",A16),""closeyest""))-100,2)/100"),-0.0031)</f>
        <v>-0.0031</v>
      </c>
      <c r="N16" s="45">
        <f>IFERROR(__xludf.DUMMYFUNCTION("ROUND(K16-(GOOGLEFINANCE(CONCAT(""BVMF:"",A16),""closeyest"")),2)"),-0.03)</f>
        <v>-0.03</v>
      </c>
      <c r="O16" s="42">
        <f t="shared" si="8"/>
        <v>76.56731757</v>
      </c>
      <c r="P16" s="42">
        <f>IFERROR(__xludf.DUMMYFUNCTION("GOOGLEFINANCE(CONCAT(""BVMF:"",A16),""low52"")"),7.45)</f>
        <v>7.45</v>
      </c>
      <c r="Q16" s="46">
        <f>IFERROR(__xludf.DUMMYFUNCTION("GOOGLEFINANCE(CONCAT(""BVMF:"",A16),""high52"")"),9.83)</f>
        <v>9.83</v>
      </c>
      <c r="R16" s="42">
        <f t="shared" si="9"/>
        <v>2.38</v>
      </c>
      <c r="S16" s="47">
        <f>IFERROR(__xludf.DUMMYFUNCTION("googlefinance(CONCAT(""BVMF:"",A16),""volume"")"),130188.0)</f>
        <v>130188</v>
      </c>
      <c r="T16" s="47"/>
      <c r="U16" s="47"/>
      <c r="V16" s="47"/>
      <c r="W16" s="47"/>
      <c r="X16" s="47"/>
      <c r="Y16" s="47"/>
      <c r="Z16" s="47"/>
      <c r="AA16" s="47"/>
    </row>
    <row r="17">
      <c r="A17" s="36" t="s">
        <v>37</v>
      </c>
      <c r="B17" s="34"/>
      <c r="C17" s="36" t="s">
        <v>38</v>
      </c>
      <c r="D17" s="47"/>
      <c r="E17" s="47"/>
      <c r="F17" s="47"/>
      <c r="G17" s="47"/>
      <c r="H17" s="47"/>
      <c r="I17" s="47"/>
      <c r="J17" s="42"/>
      <c r="K17" s="43">
        <f>IFERROR(__xludf.DUMMYFUNCTION("GOOGLEFINANCE(CONCAT(""BVMF:"",A17),""price"")"),9.35)</f>
        <v>9.35</v>
      </c>
      <c r="L17" s="42"/>
      <c r="M17" s="44">
        <f>IFERROR(__xludf.DUMMYFUNCTION("ROUND(((K17*100)/GOOGLEFINANCE(CONCAT(""BVMF:"",A17),""closeyest""))-100,2)/100"),0.0021)</f>
        <v>0.0021</v>
      </c>
      <c r="N17" s="45">
        <f>IFERROR(__xludf.DUMMYFUNCTION("ROUND(K17-(GOOGLEFINANCE(CONCAT(""BVMF:"",A17),""closeyest"")),2)"),0.02)</f>
        <v>0.02</v>
      </c>
      <c r="O17" s="42">
        <f t="shared" si="8"/>
        <v>72.8342246</v>
      </c>
      <c r="P17" s="42">
        <f>IFERROR(__xludf.DUMMYFUNCTION("GOOGLEFINANCE(CONCAT(""BVMF:"",A17),""low52"")"),6.81)</f>
        <v>6.81</v>
      </c>
      <c r="Q17" s="46">
        <f>IFERROR(__xludf.DUMMYFUNCTION("GOOGLEFINANCE(CONCAT(""BVMF:"",A17),""high52"")"),9.46)</f>
        <v>9.46</v>
      </c>
      <c r="R17" s="42">
        <f t="shared" si="9"/>
        <v>2.65</v>
      </c>
      <c r="S17" s="47">
        <f>IFERROR(__xludf.DUMMYFUNCTION("googlefinance(CONCAT(""BVMF:"",A17),""volume"")"),24141.0)</f>
        <v>24141</v>
      </c>
      <c r="T17" s="47"/>
      <c r="U17" s="47"/>
      <c r="V17" s="47"/>
      <c r="W17" s="47"/>
      <c r="X17" s="47"/>
      <c r="Y17" s="47"/>
      <c r="Z17" s="47"/>
      <c r="AA17" s="47"/>
    </row>
    <row r="18">
      <c r="A18" s="36" t="s">
        <v>39</v>
      </c>
      <c r="B18" s="47"/>
      <c r="C18" s="36" t="s">
        <v>40</v>
      </c>
      <c r="D18" s="36"/>
      <c r="E18" s="47"/>
      <c r="F18" s="47"/>
      <c r="G18" s="47"/>
      <c r="H18" s="47"/>
      <c r="I18" s="47"/>
      <c r="J18" s="42"/>
      <c r="K18" s="43">
        <f>IFERROR(__xludf.DUMMYFUNCTION("GOOGLEFINANCE(CONCAT(""BVMF:"",A18),""price"")"),114.63)</f>
        <v>114.63</v>
      </c>
      <c r="L18" s="42"/>
      <c r="M18" s="44">
        <f>IFERROR(__xludf.DUMMYFUNCTION("ROUND(((K18*100)/GOOGLEFINANCE(CONCAT(""BVMF:"",A18),""closeyest""))-100,2)/100"),7.000000000000001E-4)</f>
        <v>0.0007</v>
      </c>
      <c r="N18" s="45">
        <f>IFERROR(__xludf.DUMMYFUNCTION("ROUND(K18-(GOOGLEFINANCE(CONCAT(""BVMF:"",A18),""closeyest"")),2)"),0.08)</f>
        <v>0.08</v>
      </c>
      <c r="O18" s="42">
        <f t="shared" si="8"/>
        <v>86.57419524</v>
      </c>
      <c r="P18" s="42">
        <f>IFERROR(__xludf.DUMMYFUNCTION("GOOGLEFINANCE(CONCAT(""BVMF:"",A18),""low52"")"),99.24)</f>
        <v>99.24</v>
      </c>
      <c r="Q18" s="46">
        <f>IFERROR(__xludf.DUMMYFUNCTION("GOOGLEFINANCE(CONCAT(""BVMF:"",A18),""high52"")"),116.15)</f>
        <v>116.15</v>
      </c>
      <c r="R18" s="42">
        <f t="shared" si="9"/>
        <v>16.91</v>
      </c>
      <c r="S18" s="47">
        <f>IFERROR(__xludf.DUMMYFUNCTION("googlefinance(CONCAT(""BVMF:"",A18),""volume"")"),11086.0)</f>
        <v>11086</v>
      </c>
      <c r="T18" s="47"/>
      <c r="U18" s="47"/>
      <c r="V18" s="47"/>
      <c r="W18" s="47"/>
      <c r="X18" s="47"/>
      <c r="Y18" s="47"/>
      <c r="Z18" s="47"/>
      <c r="AA18" s="47"/>
    </row>
    <row r="19">
      <c r="A19" s="47"/>
      <c r="B19" s="34"/>
      <c r="C19" s="36"/>
      <c r="D19" s="47"/>
      <c r="E19" s="47"/>
      <c r="F19" s="47"/>
      <c r="G19" s="47"/>
      <c r="H19" s="47"/>
      <c r="I19" s="47"/>
      <c r="J19" s="42"/>
      <c r="K19" s="43"/>
      <c r="L19" s="42"/>
      <c r="M19" s="44"/>
      <c r="N19" s="45"/>
      <c r="O19" s="42"/>
      <c r="P19" s="42"/>
      <c r="Q19" s="46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47"/>
      <c r="B20" s="34"/>
      <c r="C20" s="47"/>
      <c r="D20" s="47"/>
      <c r="E20" s="47"/>
      <c r="F20" s="47"/>
      <c r="G20" s="47"/>
      <c r="H20" s="47"/>
      <c r="I20" s="47"/>
      <c r="J20" s="42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47"/>
      <c r="B21" s="34"/>
      <c r="C21" s="47"/>
      <c r="D21" s="47"/>
      <c r="E21" s="47"/>
      <c r="F21" s="47"/>
      <c r="G21" s="47"/>
      <c r="H21" s="47"/>
      <c r="I21" s="47"/>
      <c r="J21" s="42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47"/>
      <c r="B22" s="34"/>
      <c r="C22" s="47"/>
      <c r="D22" s="47"/>
      <c r="E22" s="47"/>
      <c r="F22" s="47"/>
      <c r="G22" s="47"/>
      <c r="H22" s="47"/>
      <c r="I22" s="47"/>
      <c r="J22" s="42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47"/>
      <c r="B23" s="34"/>
      <c r="C23" s="47"/>
      <c r="D23" s="47"/>
      <c r="E23" s="47"/>
      <c r="F23" s="47"/>
      <c r="G23" s="47"/>
      <c r="H23" s="47"/>
      <c r="I23" s="47"/>
      <c r="J23" s="42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47"/>
      <c r="B24" s="34"/>
      <c r="C24" s="47"/>
      <c r="D24" s="47"/>
      <c r="E24" s="47"/>
      <c r="F24" s="47"/>
      <c r="G24" s="47"/>
      <c r="H24" s="47"/>
      <c r="I24" s="47"/>
      <c r="J24" s="42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47"/>
      <c r="B25" s="34"/>
      <c r="C25" s="47"/>
      <c r="D25" s="47"/>
      <c r="E25" s="47"/>
      <c r="F25" s="47"/>
      <c r="G25" s="47"/>
      <c r="H25" s="47"/>
      <c r="I25" s="47"/>
      <c r="J25" s="42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51"/>
      <c r="B26" s="52"/>
      <c r="C26" s="51"/>
      <c r="D26" s="51"/>
      <c r="E26" s="51"/>
      <c r="F26" s="51"/>
      <c r="G26" s="51"/>
      <c r="H26" s="51"/>
      <c r="I26" s="51"/>
      <c r="J26" s="53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>
      <c r="A27" s="54" t="s">
        <v>41</v>
      </c>
      <c r="B27" s="34">
        <v>44539.0</v>
      </c>
      <c r="C27" s="36" t="s">
        <v>42</v>
      </c>
      <c r="D27" s="36">
        <v>10.0</v>
      </c>
      <c r="E27" s="43">
        <v>4.2</v>
      </c>
      <c r="F27" s="38">
        <f t="shared" ref="F27:F30" si="10">E27*D27</f>
        <v>42</v>
      </c>
      <c r="G27" s="43">
        <v>0.0</v>
      </c>
      <c r="H27" s="40">
        <f t="shared" ref="H27:H30" si="11">(F27+G27)/D27</f>
        <v>4.2</v>
      </c>
      <c r="I27" s="41">
        <f t="shared" ref="I27:I30" si="12">(K27*100/H27)-100</f>
        <v>59.28571429</v>
      </c>
      <c r="J27" s="42">
        <f t="shared" ref="J27:J30" si="13">(K27-H27)*D27</f>
        <v>24.9</v>
      </c>
      <c r="K27" s="55">
        <f>IFERROR(__xludf.DUMMYFUNCTION("GOOGLEFINANCE(CONCAT(""BVMF:"",A27),""price"")"),6.69)</f>
        <v>6.69</v>
      </c>
      <c r="L27" s="42">
        <f t="shared" ref="L27:L30" si="14">K27*D27</f>
        <v>66.9</v>
      </c>
      <c r="M27" s="44">
        <f>IFERROR(__xludf.DUMMYFUNCTION("ROUND(((K27*100)/GOOGLEFINANCE(CONCAT(""BVMF:"",A27),""closeyest""))-100,2)/100"),0.0437)</f>
        <v>0.0437</v>
      </c>
      <c r="N27" s="45">
        <f>IFERROR(__xludf.DUMMYFUNCTION("ROUND(K27-(GOOGLEFINANCE(CONCAT(""BVMF:"",A27),""closeyest"")),2)"),0.28)</f>
        <v>0.28</v>
      </c>
      <c r="O27" s="42">
        <f t="shared" ref="O27:O30" si="15">(P27*100)/K27</f>
        <v>44.39461883</v>
      </c>
      <c r="P27" s="42">
        <f>IFERROR(__xludf.DUMMYFUNCTION("GOOGLEFINANCE(CONCAT(""BVMF:"",A27),""low52"")"),2.97)</f>
        <v>2.97</v>
      </c>
      <c r="Q27" s="46">
        <f>IFERROR(__xludf.DUMMYFUNCTION("GOOGLEFINANCE(CONCAT(""BVMF:"",A27),""high52"")"),7.31)</f>
        <v>7.31</v>
      </c>
      <c r="R27" s="42">
        <f t="shared" ref="R27:R30" si="16">Q27-P27</f>
        <v>4.34</v>
      </c>
      <c r="S27" s="47">
        <f>IFERROR(__xludf.DUMMYFUNCTION("googlefinance(CONCAT(""BVMF:"",A27),""volume"")"),6904024.0)</f>
        <v>6904024</v>
      </c>
      <c r="T27" s="47"/>
      <c r="U27" s="47"/>
      <c r="V27" s="47"/>
      <c r="W27" s="47"/>
      <c r="X27" s="47"/>
      <c r="Y27" s="47"/>
      <c r="Z27" s="47"/>
      <c r="AA27" s="47"/>
    </row>
    <row r="28">
      <c r="A28" s="56" t="s">
        <v>43</v>
      </c>
      <c r="B28" s="57">
        <v>44683.0</v>
      </c>
      <c r="C28" s="36" t="s">
        <v>44</v>
      </c>
      <c r="D28" s="36">
        <v>20.0</v>
      </c>
      <c r="E28" s="43">
        <v>38.01</v>
      </c>
      <c r="F28" s="38">
        <f t="shared" si="10"/>
        <v>760.2</v>
      </c>
      <c r="G28" s="36">
        <v>0.02</v>
      </c>
      <c r="H28" s="40">
        <f t="shared" si="11"/>
        <v>38.011</v>
      </c>
      <c r="I28" s="41">
        <f t="shared" si="12"/>
        <v>-14.78782458</v>
      </c>
      <c r="J28" s="42">
        <f t="shared" si="13"/>
        <v>-112.42</v>
      </c>
      <c r="K28" s="56">
        <f>IFERROR(__xludf.DUMMYFUNCTION("GOOGLEFINANCE(CONCAT(""BVMF:"",A28),""price"")"),32.39)</f>
        <v>32.39</v>
      </c>
      <c r="L28" s="42">
        <f t="shared" si="14"/>
        <v>647.8</v>
      </c>
      <c r="M28" s="44">
        <f>IFERROR(__xludf.DUMMYFUNCTION("ROUND(((K28*100)/GOOGLEFINANCE(CONCAT(""BVMF:"",A28),""closeyest""))-100,2)/100"),-0.0064)</f>
        <v>-0.0064</v>
      </c>
      <c r="N28" s="45">
        <f>IFERROR(__xludf.DUMMYFUNCTION("ROUND(K28-(GOOGLEFINANCE(CONCAT(""BVMF:"",A28),""closeyest"")),2)"),-0.21)</f>
        <v>-0.21</v>
      </c>
      <c r="O28" s="42">
        <f t="shared" si="15"/>
        <v>84.22352578</v>
      </c>
      <c r="P28" s="42">
        <f>IFERROR(__xludf.DUMMYFUNCTION("GOOGLEFINANCE(CONCAT(""BVMF:"",A28),""low52"")"),27.28)</f>
        <v>27.28</v>
      </c>
      <c r="Q28" s="46">
        <f>IFERROR(__xludf.DUMMYFUNCTION("GOOGLEFINANCE(CONCAT(""BVMF:"",A28),""high52"")"),41.69)</f>
        <v>41.69</v>
      </c>
      <c r="R28" s="42">
        <f t="shared" si="16"/>
        <v>14.41</v>
      </c>
      <c r="S28" s="47">
        <f>IFERROR(__xludf.DUMMYFUNCTION("googlefinance(CONCAT(""BVMF:"",A28),""volume"")"),18174.0)</f>
        <v>18174</v>
      </c>
      <c r="T28" s="47"/>
      <c r="U28" s="47"/>
      <c r="V28" s="47"/>
      <c r="W28" s="47"/>
      <c r="X28" s="47"/>
      <c r="Y28" s="47"/>
      <c r="Z28" s="47"/>
      <c r="AA28" s="47"/>
    </row>
    <row r="29">
      <c r="A29" s="58" t="s">
        <v>45</v>
      </c>
      <c r="B29" s="57">
        <v>44915.0</v>
      </c>
      <c r="C29" s="36" t="s">
        <v>46</v>
      </c>
      <c r="D29" s="36">
        <v>15.0</v>
      </c>
      <c r="E29" s="43">
        <v>85.63</v>
      </c>
      <c r="F29" s="38">
        <f t="shared" si="10"/>
        <v>1284.45</v>
      </c>
      <c r="G29" s="43">
        <v>0.02</v>
      </c>
      <c r="H29" s="40">
        <f t="shared" si="11"/>
        <v>85.63133333</v>
      </c>
      <c r="I29" s="41">
        <f t="shared" si="12"/>
        <v>-3.773540838</v>
      </c>
      <c r="J29" s="42">
        <f t="shared" si="13"/>
        <v>-48.47</v>
      </c>
      <c r="K29" s="59">
        <f>IFERROR(__xludf.DUMMYFUNCTION("GOOGLEFINANCE(CONCAT(""BVMF:"",A29),""price"")"),82.4)</f>
        <v>82.4</v>
      </c>
      <c r="L29" s="42">
        <f t="shared" si="14"/>
        <v>1236</v>
      </c>
      <c r="M29" s="44">
        <f>IFERROR(__xludf.DUMMYFUNCTION("ROUND(((K29*100)/GOOGLEFINANCE(CONCAT(""BVMF:"",A29),""closeyest""))-100,2)/100"),-0.0171)</f>
        <v>-0.0171</v>
      </c>
      <c r="N29" s="45">
        <f>IFERROR(__xludf.DUMMYFUNCTION("ROUND(K29-(GOOGLEFINANCE(CONCAT(""BVMF:"",A29),""closeyest"")),2)"),-1.43)</f>
        <v>-1.43</v>
      </c>
      <c r="O29" s="42">
        <f t="shared" si="15"/>
        <v>58.24029126</v>
      </c>
      <c r="P29" s="42">
        <f>IFERROR(__xludf.DUMMYFUNCTION("GOOGLEFINANCE(CONCAT(""BVMF:"",A29),""low52"")"),47.99)</f>
        <v>47.99</v>
      </c>
      <c r="Q29" s="46">
        <f>IFERROR(__xludf.DUMMYFUNCTION("GOOGLEFINANCE(CONCAT(""BVMF:"",A29),""high52"")"),107.09)</f>
        <v>107.09</v>
      </c>
      <c r="R29" s="42">
        <f t="shared" si="16"/>
        <v>59.1</v>
      </c>
      <c r="S29" s="47">
        <f>IFERROR(__xludf.DUMMYFUNCTION("googlefinance(CONCAT(""BVMF:"",A29),""volume"")"),74.0)</f>
        <v>74</v>
      </c>
      <c r="T29" s="47"/>
      <c r="U29" s="47"/>
      <c r="V29" s="47"/>
      <c r="W29" s="47"/>
      <c r="X29" s="47"/>
      <c r="Y29" s="47"/>
      <c r="Z29" s="47"/>
      <c r="AA29" s="47"/>
    </row>
    <row r="30">
      <c r="A30" s="60" t="s">
        <v>47</v>
      </c>
      <c r="B30" s="57">
        <v>44686.0</v>
      </c>
      <c r="C30" s="36" t="s">
        <v>48</v>
      </c>
      <c r="D30" s="36">
        <v>20.0</v>
      </c>
      <c r="E30" s="43">
        <v>31.28</v>
      </c>
      <c r="F30" s="38">
        <f t="shared" si="10"/>
        <v>625.6</v>
      </c>
      <c r="G30" s="36">
        <v>0.18</v>
      </c>
      <c r="H30" s="40">
        <f t="shared" si="11"/>
        <v>31.289</v>
      </c>
      <c r="I30" s="41">
        <f t="shared" si="12"/>
        <v>-58.83537345</v>
      </c>
      <c r="J30" s="42">
        <f t="shared" si="13"/>
        <v>-368.18</v>
      </c>
      <c r="K30" s="61">
        <f>IFERROR(__xludf.DUMMYFUNCTION("GOOGLEFINANCE(CONCAT(""BVMF:"",A30),""price"")"),12.88)</f>
        <v>12.88</v>
      </c>
      <c r="L30" s="42">
        <f t="shared" si="14"/>
        <v>257.6</v>
      </c>
      <c r="M30" s="44">
        <f>IFERROR(__xludf.DUMMYFUNCTION("ROUND(((K30*100)/GOOGLEFINANCE(CONCAT(""BVMF:"",A30),""closeyest""))-100,2)/100"),0.0182)</f>
        <v>0.0182</v>
      </c>
      <c r="N30" s="45">
        <f>IFERROR(__xludf.DUMMYFUNCTION("ROUND(K30-(GOOGLEFINANCE(CONCAT(""BVMF:"",A30),""closeyest"")),2)"),0.23)</f>
        <v>0.23</v>
      </c>
      <c r="O30" s="42">
        <f t="shared" si="15"/>
        <v>89.13043478</v>
      </c>
      <c r="P30" s="42">
        <f>IFERROR(__xludf.DUMMYFUNCTION("GOOGLEFINANCE(CONCAT(""BVMF:"",A30),""low52"")"),11.48)</f>
        <v>11.48</v>
      </c>
      <c r="Q30" s="46">
        <f>IFERROR(__xludf.DUMMYFUNCTION("GOOGLEFINANCE(CONCAT(""BVMF:"",A30),""high52"")"),32.1)</f>
        <v>32.1</v>
      </c>
      <c r="R30" s="42">
        <f t="shared" si="16"/>
        <v>20.62</v>
      </c>
      <c r="S30" s="47">
        <f>IFERROR(__xludf.DUMMYFUNCTION("googlefinance(CONCAT(""BVMF:"",A30),""volume"")"),32.0)</f>
        <v>32</v>
      </c>
      <c r="T30" s="47"/>
      <c r="U30" s="47"/>
      <c r="V30" s="47"/>
      <c r="W30" s="47"/>
      <c r="X30" s="47"/>
      <c r="Y30" s="47"/>
      <c r="Z30" s="47"/>
      <c r="AA30" s="47"/>
    </row>
    <row r="31">
      <c r="A31" s="47"/>
      <c r="B31" s="34"/>
      <c r="C31" s="47"/>
      <c r="D31" s="47"/>
      <c r="E31" s="47"/>
      <c r="F31" s="47"/>
      <c r="G31" s="47"/>
      <c r="H31" s="47"/>
      <c r="I31" s="47"/>
      <c r="J31" s="42"/>
      <c r="K31" s="43"/>
      <c r="L31" s="42"/>
      <c r="M31" s="44"/>
      <c r="N31" s="45"/>
      <c r="O31" s="42"/>
      <c r="P31" s="42"/>
      <c r="Q31" s="46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47"/>
      <c r="B32" s="34"/>
      <c r="C32" s="47"/>
      <c r="D32" s="47"/>
      <c r="E32" s="47"/>
      <c r="F32" s="47"/>
      <c r="G32" s="47"/>
      <c r="H32" s="47"/>
      <c r="I32" s="47"/>
      <c r="J32" s="42"/>
      <c r="K32" s="43"/>
      <c r="L32" s="42"/>
      <c r="M32" s="44"/>
      <c r="N32" s="45"/>
      <c r="O32" s="42"/>
      <c r="P32" s="42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A33" s="47"/>
      <c r="B33" s="34"/>
      <c r="C33" s="47"/>
      <c r="D33" s="47"/>
      <c r="E33" s="47"/>
      <c r="F33" s="47"/>
      <c r="G33" s="47"/>
      <c r="H33" s="47"/>
      <c r="I33" s="47"/>
      <c r="J33" s="42"/>
      <c r="K33" s="43"/>
      <c r="L33" s="42"/>
      <c r="M33" s="44"/>
      <c r="N33" s="45"/>
      <c r="O33" s="42"/>
      <c r="P33" s="42"/>
      <c r="Q33" s="46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47"/>
      <c r="B34" s="34"/>
      <c r="C34" s="47"/>
      <c r="D34" s="47"/>
      <c r="E34" s="47"/>
      <c r="F34" s="47"/>
      <c r="G34" s="47"/>
      <c r="H34" s="47"/>
      <c r="I34" s="47"/>
      <c r="J34" s="42"/>
      <c r="K34" s="43"/>
      <c r="L34" s="42"/>
      <c r="M34" s="44"/>
      <c r="N34" s="45"/>
      <c r="O34" s="42"/>
      <c r="P34" s="42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47"/>
      <c r="B35" s="34"/>
      <c r="C35" s="47"/>
      <c r="D35" s="47"/>
      <c r="E35" s="47"/>
      <c r="F35" s="47"/>
      <c r="G35" s="47"/>
      <c r="H35" s="47"/>
      <c r="I35" s="47"/>
      <c r="J35" s="42"/>
      <c r="K35" s="43"/>
      <c r="L35" s="42"/>
      <c r="M35" s="44"/>
      <c r="N35" s="45"/>
      <c r="O35" s="42"/>
      <c r="P35" s="42"/>
      <c r="Q35" s="46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58" t="s">
        <v>49</v>
      </c>
      <c r="B36" s="62"/>
      <c r="C36" s="36" t="s">
        <v>45</v>
      </c>
      <c r="D36" s="36"/>
      <c r="E36" s="63">
        <f>IFERROR(__xludf.DUMMYFUNCTION("GOOGLEFINANCE(""currency:usdbrl"",""average"")*(K36/2)"),82.6686795)</f>
        <v>82.6686795</v>
      </c>
      <c r="F36" s="47"/>
      <c r="G36" s="47"/>
      <c r="H36" s="47"/>
      <c r="I36" s="47"/>
      <c r="J36" s="47"/>
      <c r="K36" s="43">
        <f>IFERROR(__xludf.DUMMYFUNCTION("GOOGLEFINANCE(A36,""price"")"),33.83)</f>
        <v>33.83</v>
      </c>
      <c r="L36" s="42"/>
      <c r="M36" s="44">
        <f>IFERROR(__xludf.DUMMYFUNCTION("ROUND(((K36*100)/GOOGLEFINANCE(A36,""closeyest""))-100,2)/100"),0.008)</f>
        <v>0.008</v>
      </c>
      <c r="N36" s="45">
        <f>IFERROR(__xludf.DUMMYFUNCTION("ROUND(K36-(GOOGLEFINANCE(A36,""closeyest"")),2)"),0.27)</f>
        <v>0.27</v>
      </c>
      <c r="O36" s="42">
        <f t="shared" ref="O36:O42" si="17">(P36*100)/K36</f>
        <v>56.34052616</v>
      </c>
      <c r="P36" s="42">
        <f>IFERROR(__xludf.DUMMYFUNCTION("GOOGLEFINANCE(A36,""low52"")"),19.06)</f>
        <v>19.06</v>
      </c>
      <c r="Q36" s="46">
        <f>IFERROR(__xludf.DUMMYFUNCTION("GOOGLEFINANCE(A36,""high52"")"),44.65)</f>
        <v>44.65</v>
      </c>
      <c r="R36" s="42">
        <f t="shared" ref="R36:R42" si="18">Q36-P36</f>
        <v>25.59</v>
      </c>
      <c r="S36" s="47">
        <f>IFERROR(__xludf.DUMMYFUNCTION("googlefinance(A36,""volume"")"),469927.0)</f>
        <v>469927</v>
      </c>
      <c r="T36" s="47"/>
      <c r="U36" s="47"/>
      <c r="V36" s="47"/>
      <c r="W36" s="47"/>
      <c r="X36" s="47"/>
      <c r="Y36" s="47"/>
      <c r="Z36" s="47"/>
      <c r="AA36" s="47"/>
    </row>
    <row r="37">
      <c r="A37" s="60" t="s">
        <v>50</v>
      </c>
      <c r="B37" s="64"/>
      <c r="C37" s="36" t="s">
        <v>51</v>
      </c>
      <c r="D37" s="47"/>
      <c r="E37" s="65">
        <f>IFERROR(__xludf.DUMMYFUNCTION("GOOGLEFINANCE(""currency:usdbrl"",""average"")*(K37/2)"),12.829162499999999)</f>
        <v>12.8291625</v>
      </c>
      <c r="F37" s="47"/>
      <c r="G37" s="47"/>
      <c r="H37" s="47"/>
      <c r="I37" s="47"/>
      <c r="J37" s="42"/>
      <c r="K37" s="43">
        <f>IFERROR(__xludf.DUMMYFUNCTION("GOOGLEFINANCE(A37,""price"")"),5.25)</f>
        <v>5.25</v>
      </c>
      <c r="L37" s="42"/>
      <c r="M37" s="44">
        <f>IFERROR(__xludf.DUMMYFUNCTION("ROUND(((K37*100)/GOOGLEFINANCE(A37,""closeyest""))-100,2)/100"),0.0174)</f>
        <v>0.0174</v>
      </c>
      <c r="N37" s="45">
        <f>IFERROR(__xludf.DUMMYFUNCTION("ROUND(K37-(GOOGLEFINANCE(A37,""closeyest"")),2)"),0.09)</f>
        <v>0.09</v>
      </c>
      <c r="O37" s="42">
        <f t="shared" si="17"/>
        <v>88.38095238</v>
      </c>
      <c r="P37" s="42">
        <f>IFERROR(__xludf.DUMMYFUNCTION("GOOGLEFINANCE(A37,""low52"")"),4.64)</f>
        <v>4.64</v>
      </c>
      <c r="Q37" s="46">
        <f>IFERROR(__xludf.DUMMYFUNCTION("GOOGLEFINANCE(A37,""high52"")"),12.44)</f>
        <v>12.44</v>
      </c>
      <c r="R37" s="42">
        <f t="shared" si="18"/>
        <v>7.8</v>
      </c>
      <c r="S37" s="47">
        <f>IFERROR(__xludf.DUMMYFUNCTION("googlefinance(A37,""volume"")"),1084265.0)</f>
        <v>1084265</v>
      </c>
      <c r="T37" s="47"/>
      <c r="U37" s="47"/>
      <c r="V37" s="47"/>
      <c r="W37" s="47"/>
      <c r="X37" s="47"/>
      <c r="Y37" s="47"/>
      <c r="Z37" s="47"/>
      <c r="AA37" s="47"/>
    </row>
    <row r="38">
      <c r="A38" s="66" t="s">
        <v>52</v>
      </c>
      <c r="B38" s="67"/>
      <c r="C38" s="36" t="s">
        <v>53</v>
      </c>
      <c r="D38" s="36"/>
      <c r="E38" s="68">
        <f>IFERROR(__xludf.DUMMYFUNCTION("GOOGLEFINANCE(""currency:cadbrl"",""average"")*(K38)"),32.2147466879)</f>
        <v>32.21474669</v>
      </c>
      <c r="F38" s="47"/>
      <c r="G38" s="47"/>
      <c r="H38" s="47"/>
      <c r="I38" s="47"/>
      <c r="J38" s="42"/>
      <c r="K38" s="43">
        <f>IFERROR(__xludf.DUMMYFUNCTION("GOOGLEFINANCE(A38,""price"")"),9.05)</f>
        <v>9.05</v>
      </c>
      <c r="L38" s="42"/>
      <c r="M38" s="44">
        <f>IFERROR(__xludf.DUMMYFUNCTION("ROUND(((K38*100)/GOOGLEFINANCE(A38,""closeyest""))-100,2)/100"),-0.0131)</f>
        <v>-0.0131</v>
      </c>
      <c r="N38" s="45">
        <f>IFERROR(__xludf.DUMMYFUNCTION("ROUND(K38-(GOOGLEFINANCE(A38,""closeyest"")),2)"),-0.12)</f>
        <v>-0.12</v>
      </c>
      <c r="O38" s="42">
        <f t="shared" si="17"/>
        <v>80.77348066</v>
      </c>
      <c r="P38" s="42">
        <f>IFERROR(__xludf.DUMMYFUNCTION("GOOGLEFINANCE(A38,""low52"")"),7.31)</f>
        <v>7.31</v>
      </c>
      <c r="Q38" s="46">
        <f>IFERROR(__xludf.DUMMYFUNCTION("GOOGLEFINANCE(A38,""high52"")"),12.14)</f>
        <v>12.14</v>
      </c>
      <c r="R38" s="42">
        <f t="shared" si="18"/>
        <v>4.83</v>
      </c>
      <c r="S38" s="47">
        <f>IFERROR(__xludf.DUMMYFUNCTION("googlefinance(A38,""volume"")"),1700.0)</f>
        <v>1700</v>
      </c>
      <c r="T38" s="47"/>
      <c r="U38" s="47"/>
      <c r="V38" s="47"/>
      <c r="W38" s="47"/>
      <c r="X38" s="47"/>
      <c r="Y38" s="47"/>
      <c r="Z38" s="47"/>
      <c r="AA38" s="47"/>
    </row>
    <row r="39">
      <c r="A39" s="54" t="s">
        <v>54</v>
      </c>
      <c r="B39" s="69"/>
      <c r="C39" s="36" t="s">
        <v>55</v>
      </c>
      <c r="D39" s="47"/>
      <c r="E39" s="70">
        <f>IFERROR(__xludf.DUMMYFUNCTION("GOOGLEFINANCE(""currency:usdbrl"",""average"")*(K39/6)"),6.581563999999999)</f>
        <v>6.581564</v>
      </c>
      <c r="F39" s="47"/>
      <c r="G39" s="47"/>
      <c r="H39" s="47"/>
      <c r="I39" s="47"/>
      <c r="J39" s="42"/>
      <c r="K39" s="43">
        <f>IFERROR(__xludf.DUMMYFUNCTION("GOOGLEFINANCE(A39,""price"")"),8.08)</f>
        <v>8.08</v>
      </c>
      <c r="L39" s="42"/>
      <c r="M39" s="44">
        <f>IFERROR(__xludf.DUMMYFUNCTION("ROUND(((K39*100)/GOOGLEFINANCE(A39,""closeyest""))-100,2)/100"),0.029300000000000003)</f>
        <v>0.0293</v>
      </c>
      <c r="N39" s="45">
        <f>IFERROR(__xludf.DUMMYFUNCTION("ROUND(K39-(GOOGLEFINANCE(A39,""closeyest"")),2)"),0.23)</f>
        <v>0.23</v>
      </c>
      <c r="O39" s="42">
        <f t="shared" si="17"/>
        <v>41.95544554</v>
      </c>
      <c r="P39" s="42">
        <f>IFERROR(__xludf.DUMMYFUNCTION("GOOGLEFINANCE(A39,""low52"")"),3.39)</f>
        <v>3.39</v>
      </c>
      <c r="Q39" s="46">
        <f>IFERROR(__xludf.DUMMYFUNCTION("GOOGLEFINANCE(A39,""high52"")"),8.87)</f>
        <v>8.87</v>
      </c>
      <c r="R39" s="42">
        <f t="shared" si="18"/>
        <v>5.48</v>
      </c>
      <c r="S39" s="47">
        <f>IFERROR(__xludf.DUMMYFUNCTION("googlefinance(A39,""volume"")"),3.2521442E7)</f>
        <v>32521442</v>
      </c>
      <c r="T39" s="47"/>
      <c r="U39" s="47"/>
      <c r="V39" s="47"/>
      <c r="W39" s="47"/>
      <c r="X39" s="47"/>
      <c r="Y39" s="47"/>
      <c r="Z39" s="47"/>
      <c r="AA39" s="47"/>
    </row>
    <row r="40">
      <c r="A40" s="36" t="s">
        <v>56</v>
      </c>
      <c r="B40" s="34"/>
      <c r="C40" s="36" t="s">
        <v>57</v>
      </c>
      <c r="D40" s="47"/>
      <c r="E40" s="42"/>
      <c r="F40" s="47"/>
      <c r="G40" s="47"/>
      <c r="H40" s="47"/>
      <c r="I40" s="47"/>
      <c r="J40" s="42"/>
      <c r="K40" s="43">
        <f>IFERROR(__xludf.DUMMYFUNCTION("GOOGLEFINANCE(A40,""price"")"),493.2)</f>
        <v>493.2</v>
      </c>
      <c r="L40" s="42"/>
      <c r="M40" s="44">
        <f>IFERROR(__xludf.DUMMYFUNCTION("ROUND(((K40*100)/GOOGLEFINANCE(A40,""closeyest""))-100,2)/100"),-0.0032)</f>
        <v>-0.0032</v>
      </c>
      <c r="N40" s="45">
        <f>IFERROR(__xludf.DUMMYFUNCTION("ROUND(K40-(GOOGLEFINANCE(A40,""closeyest"")),2)"),-1.6)</f>
        <v>-1.6</v>
      </c>
      <c r="O40" s="42">
        <f t="shared" si="17"/>
        <v>28.15085158</v>
      </c>
      <c r="P40" s="42">
        <f>IFERROR(__xludf.DUMMYFUNCTION("GOOGLEFINANCE(A40,""low52"")"),138.84)</f>
        <v>138.84</v>
      </c>
      <c r="Q40" s="71">
        <f>IFERROR(__xludf.DUMMYFUNCTION("GOOGLEFINANCE(A40,""high52"")"),502.66)</f>
        <v>502.66</v>
      </c>
      <c r="R40" s="42">
        <f t="shared" si="18"/>
        <v>363.82</v>
      </c>
      <c r="S40" s="47">
        <f>IFERROR(__xludf.DUMMYFUNCTION("googlefinance(A40,""volume"")"),1.7815911E7)</f>
        <v>17815911</v>
      </c>
      <c r="T40" s="47"/>
      <c r="U40" s="47"/>
      <c r="V40" s="47"/>
      <c r="W40" s="47"/>
      <c r="X40" s="47"/>
      <c r="Y40" s="47"/>
      <c r="Z40" s="47"/>
      <c r="AA40" s="47"/>
    </row>
    <row r="41">
      <c r="A41" s="36" t="s">
        <v>58</v>
      </c>
      <c r="B41" s="49"/>
      <c r="C41" s="36" t="s">
        <v>59</v>
      </c>
      <c r="D41" s="36"/>
      <c r="E41" s="72">
        <f>IFERROR(__xludf.DUMMYFUNCTION("GOOGLEFINANCE(""currency:usdbrl"",""average"")*(K41/2)"),11.3140995)</f>
        <v>11.3140995</v>
      </c>
      <c r="F41" s="47"/>
      <c r="G41" s="47"/>
      <c r="H41" s="47"/>
      <c r="I41" s="47"/>
      <c r="J41" s="47"/>
      <c r="K41" s="43">
        <f>IFERROR(__xludf.DUMMYFUNCTION("GOOGLEFINANCE(A41,""price"")"),4.63)</f>
        <v>4.63</v>
      </c>
      <c r="L41" s="42"/>
      <c r="M41" s="44">
        <f>IFERROR(__xludf.DUMMYFUNCTION("ROUND(((K41*100)/GOOGLEFINANCE(A41,""closeyest""))-100,2)/100"),0.0087)</f>
        <v>0.0087</v>
      </c>
      <c r="N41" s="45">
        <f>IFERROR(__xludf.DUMMYFUNCTION("ROUND(K41-(GOOGLEFINANCE(A41,""closeyest"")),2)"),0.04)</f>
        <v>0.04</v>
      </c>
      <c r="O41" s="42">
        <f t="shared" si="17"/>
        <v>87.25701944</v>
      </c>
      <c r="P41" s="42">
        <f>IFERROR(__xludf.DUMMYFUNCTION("GOOGLEFINANCE(A41,""low52"")"),4.04)</f>
        <v>4.04</v>
      </c>
      <c r="Q41" s="46">
        <f>IFERROR(__xludf.DUMMYFUNCTION("GOOGLEFINANCE(A41,""high52"")"),14.0)</f>
        <v>14</v>
      </c>
      <c r="R41" s="42">
        <f t="shared" si="18"/>
        <v>9.96</v>
      </c>
      <c r="S41" s="47">
        <f>IFERROR(__xludf.DUMMYFUNCTION("googlefinance(A41,""volume"")"),4176179.0)</f>
        <v>4176179</v>
      </c>
      <c r="T41" s="47"/>
      <c r="U41" s="47"/>
      <c r="V41" s="47"/>
      <c r="W41" s="47"/>
      <c r="X41" s="47"/>
      <c r="Y41" s="47"/>
      <c r="Z41" s="47"/>
      <c r="AA41" s="47"/>
    </row>
    <row r="42">
      <c r="A42" s="73" t="s">
        <v>60</v>
      </c>
      <c r="B42" s="34"/>
      <c r="C42" s="47"/>
      <c r="D42" s="47"/>
      <c r="E42" s="47"/>
      <c r="F42" s="47"/>
      <c r="G42" s="47"/>
      <c r="H42" s="47"/>
      <c r="I42" s="47"/>
      <c r="J42" s="42"/>
      <c r="K42" s="74">
        <f>IFERROR(__xludf.DUMMYFUNCTION("GOOGLEFINANCE(CONCAT(""BVMF:"",A42),""price"")"),11.27)</f>
        <v>11.27</v>
      </c>
      <c r="L42" s="47"/>
      <c r="M42" s="44">
        <f>IFERROR(__xludf.DUMMYFUNCTION("ROUND(((K42*100)/GOOGLEFINANCE(CONCAT(""BVMF:"",A42),""closeyest""))-100,2)/100"),-0.0044)</f>
        <v>-0.0044</v>
      </c>
      <c r="N42" s="45">
        <f>IFERROR(__xludf.DUMMYFUNCTION("ROUND(K42-(GOOGLEFINANCE(CONCAT(""BVMF:"",A42),""closeyest"")),2)"),-0.05)</f>
        <v>-0.05</v>
      </c>
      <c r="O42" s="42">
        <f t="shared" si="17"/>
        <v>88.4649512</v>
      </c>
      <c r="P42" s="42">
        <f>IFERROR(__xludf.DUMMYFUNCTION("GOOGLEFINANCE(CONCAT(""BVMF:"",A42),""low52"")"),9.97)</f>
        <v>9.97</v>
      </c>
      <c r="Q42" s="46">
        <f>IFERROR(__xludf.DUMMYFUNCTION("GOOGLEFINANCE(CONCAT(""BVMF:"",A42),""high52"")"),34.05)</f>
        <v>34.05</v>
      </c>
      <c r="R42" s="42">
        <f t="shared" si="18"/>
        <v>24.08</v>
      </c>
      <c r="S42" s="47">
        <f>IFERROR(__xludf.DUMMYFUNCTION("googlefinance(CONCAT(""BVMF:"",A42),""volume"")"),1323.0)</f>
        <v>1323</v>
      </c>
      <c r="T42" s="47"/>
      <c r="U42" s="47"/>
      <c r="V42" s="47"/>
      <c r="W42" s="47"/>
      <c r="X42" s="47"/>
      <c r="Y42" s="47"/>
      <c r="Z42" s="47"/>
      <c r="AA42" s="47"/>
    </row>
    <row r="43">
      <c r="A43" s="47"/>
      <c r="B43" s="34"/>
      <c r="C43" s="47"/>
      <c r="D43" s="47"/>
      <c r="E43" s="47"/>
      <c r="F43" s="47"/>
      <c r="G43" s="47"/>
      <c r="H43" s="47"/>
      <c r="I43" s="47"/>
      <c r="J43" s="42"/>
      <c r="K43" s="43"/>
      <c r="L43" s="42"/>
      <c r="M43" s="44"/>
      <c r="N43" s="45"/>
      <c r="O43" s="42"/>
      <c r="P43" s="42"/>
      <c r="Q43" s="46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7"/>
      <c r="B46" s="34"/>
      <c r="C46" s="47"/>
      <c r="D46" s="47"/>
      <c r="E46" s="47"/>
      <c r="F46" s="47"/>
      <c r="G46" s="47"/>
      <c r="H46" s="47"/>
      <c r="I46" s="47"/>
      <c r="J46" s="42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7"/>
      <c r="B47" s="34"/>
      <c r="C47" s="36"/>
      <c r="D47" s="47"/>
      <c r="E47" s="47"/>
      <c r="F47" s="47"/>
      <c r="G47" s="47"/>
      <c r="H47" s="47"/>
      <c r="I47" s="47"/>
      <c r="J47" s="42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7"/>
      <c r="B48" s="34"/>
      <c r="D48" s="47"/>
      <c r="E48" s="47"/>
      <c r="F48" s="47"/>
      <c r="G48" s="47"/>
      <c r="H48" s="47"/>
      <c r="I48" s="47"/>
      <c r="J48" s="42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51"/>
      <c r="B49" s="52"/>
      <c r="C49" s="51"/>
      <c r="D49" s="51"/>
      <c r="E49" s="51"/>
      <c r="F49" s="51"/>
      <c r="G49" s="51"/>
      <c r="H49" s="51"/>
      <c r="I49" s="51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>
      <c r="A50" s="36" t="s">
        <v>61</v>
      </c>
      <c r="B50" s="34">
        <v>44392.0</v>
      </c>
      <c r="C50" s="36" t="s">
        <v>61</v>
      </c>
      <c r="D50" s="36">
        <v>20.0</v>
      </c>
      <c r="E50" s="36">
        <v>7.12</v>
      </c>
      <c r="F50" s="38">
        <f t="shared" ref="F50:F56" si="19">E50*D50</f>
        <v>142.4</v>
      </c>
      <c r="G50" s="75">
        <v>0.05</v>
      </c>
      <c r="H50" s="40">
        <f t="shared" ref="H50:H56" si="20">(F50+G50)/D50</f>
        <v>7.1225</v>
      </c>
      <c r="I50" s="41">
        <f t="shared" ref="I50:I56" si="21">(K50*100/H50)-100</f>
        <v>-53.52755353</v>
      </c>
      <c r="J50" s="42">
        <f t="shared" ref="J50:J56" si="22">(K50-H50)*D50</f>
        <v>-76.25</v>
      </c>
      <c r="K50" s="43">
        <f>IFERROR(__xludf.DUMMYFUNCTION("GOOGLEFINANCE(CONCAT(""BVMF:"",A50),""price"")"),3.31)</f>
        <v>3.31</v>
      </c>
      <c r="L50" s="42">
        <f t="shared" ref="L50:L56" si="23">K50*D50</f>
        <v>66.2</v>
      </c>
      <c r="M50" s="76">
        <f>IFERROR(__xludf.DUMMYFUNCTION("ROUND(((K50*100)/GOOGLEFINANCE(CONCAT(""BVMF:"",A50),""closeyest""))-100,2)/100"),0.018500000000000003)</f>
        <v>0.0185</v>
      </c>
      <c r="N50" s="45">
        <f>IFERROR(__xludf.DUMMYFUNCTION("ROUND(K50-(GOOGLEFINANCE(CONCAT(""BVMF:"",A50),""closeyest"")),2)"),0.06)</f>
        <v>0.06</v>
      </c>
      <c r="O50" s="42">
        <f t="shared" ref="O50:O56" si="24">(P50*100)/K50</f>
        <v>65.55891239</v>
      </c>
      <c r="P50" s="42">
        <f>IFERROR(__xludf.DUMMYFUNCTION("GOOGLEFINANCE(CONCAT(""BVMF:"",A50),""low52"")"),2.17)</f>
        <v>2.17</v>
      </c>
      <c r="Q50" s="46">
        <f>IFERROR(__xludf.DUMMYFUNCTION("GOOGLEFINANCE(CONCAT(""BVMF:"",A50),""high52"")"),5.99)</f>
        <v>5.99</v>
      </c>
      <c r="R50" s="42">
        <f t="shared" ref="R50:R56" si="25">Q50-P50</f>
        <v>3.82</v>
      </c>
      <c r="S50" s="47">
        <f>IFERROR(__xludf.DUMMYFUNCTION("googlefinance(CONCAT(""BVMF:"",A50),""volume"")"),2.29127E7)</f>
        <v>22912700</v>
      </c>
      <c r="T50" s="47"/>
      <c r="U50" s="47"/>
      <c r="V50" s="47"/>
      <c r="W50" s="47"/>
      <c r="X50" s="47"/>
      <c r="Y50" s="47"/>
      <c r="Z50" s="47"/>
      <c r="AA50" s="47"/>
    </row>
    <row r="51">
      <c r="A51" s="77" t="s">
        <v>62</v>
      </c>
      <c r="B51" s="34">
        <v>44349.0</v>
      </c>
      <c r="C51" s="36" t="s">
        <v>63</v>
      </c>
      <c r="D51" s="36">
        <v>10.0</v>
      </c>
      <c r="E51" s="48">
        <v>4.14</v>
      </c>
      <c r="F51" s="38">
        <f t="shared" si="19"/>
        <v>41.4</v>
      </c>
      <c r="G51" s="39">
        <v>0.12</v>
      </c>
      <c r="H51" s="40">
        <f t="shared" si="20"/>
        <v>4.152</v>
      </c>
      <c r="I51" s="41">
        <f t="shared" si="21"/>
        <v>23.07321773</v>
      </c>
      <c r="J51" s="42">
        <f t="shared" si="22"/>
        <v>9.58</v>
      </c>
      <c r="K51" s="43">
        <f>IFERROR(__xludf.DUMMYFUNCTION("GOOGLEFINANCE(CONCAT(""BVMF:"",A51),""price"")"),5.11)</f>
        <v>5.11</v>
      </c>
      <c r="L51" s="42">
        <f t="shared" si="23"/>
        <v>51.1</v>
      </c>
      <c r="M51" s="44">
        <f>IFERROR(__xludf.DUMMYFUNCTION("ROUND(((K51*100)/GOOGLEFINANCE(CONCAT(""BVMF:"",A51),""closeyest""))-100,2)/100"),-0.013500000000000002)</f>
        <v>-0.0135</v>
      </c>
      <c r="N51" s="45">
        <f>IFERROR(__xludf.DUMMYFUNCTION("ROUND(K51-(GOOGLEFINANCE(CONCAT(""BVMF:"",A51),""closeyest"")),2)"),-0.07)</f>
        <v>-0.07</v>
      </c>
      <c r="O51" s="42">
        <f t="shared" si="24"/>
        <v>59.29549902</v>
      </c>
      <c r="P51" s="42">
        <f>IFERROR(__xludf.DUMMYFUNCTION("GOOGLEFINANCE(CONCAT(""BVMF:"",A51),""low52"")"),3.03)</f>
        <v>3.03</v>
      </c>
      <c r="Q51" s="46">
        <f>IFERROR(__xludf.DUMMYFUNCTION("GOOGLEFINANCE(CONCAT(""BVMF:"",A51),""high52"")"),5.18)</f>
        <v>5.18</v>
      </c>
      <c r="R51" s="42">
        <f t="shared" si="25"/>
        <v>2.15</v>
      </c>
      <c r="S51" s="47">
        <f>IFERROR(__xludf.DUMMYFUNCTION("googlefinance(CONCAT(""BVMF:"",A51),""volume"")"),1671800.0)</f>
        <v>1671800</v>
      </c>
      <c r="T51" s="47"/>
      <c r="U51" s="47"/>
      <c r="V51" s="47"/>
      <c r="W51" s="47"/>
      <c r="X51" s="47"/>
      <c r="Y51" s="47"/>
      <c r="Z51" s="47"/>
      <c r="AA51" s="47"/>
    </row>
    <row r="52">
      <c r="A52" s="33" t="s">
        <v>64</v>
      </c>
      <c r="B52" s="34">
        <v>44372.0</v>
      </c>
      <c r="C52" s="36" t="s">
        <v>65</v>
      </c>
      <c r="D52" s="36">
        <v>20.0</v>
      </c>
      <c r="E52" s="48">
        <v>6.16</v>
      </c>
      <c r="F52" s="38">
        <f t="shared" si="19"/>
        <v>123.2</v>
      </c>
      <c r="G52" s="39">
        <v>0.18</v>
      </c>
      <c r="H52" s="40">
        <f t="shared" si="20"/>
        <v>6.169</v>
      </c>
      <c r="I52" s="41">
        <f t="shared" si="21"/>
        <v>52.69897876</v>
      </c>
      <c r="J52" s="42">
        <f t="shared" si="22"/>
        <v>65.02</v>
      </c>
      <c r="K52" s="43">
        <f>IFERROR(__xludf.DUMMYFUNCTION("GOOGLEFINANCE(CONCAT(""BVMF:"",A52),""price"")"),9.42)</f>
        <v>9.42</v>
      </c>
      <c r="L52" s="42">
        <f t="shared" si="23"/>
        <v>188.4</v>
      </c>
      <c r="M52" s="44">
        <f>IFERROR(__xludf.DUMMYFUNCTION("ROUND(((K52*100)/GOOGLEFINANCE(CONCAT(""BVMF:"",A52),""closeyest""))-100,2)/100"),0.0011)</f>
        <v>0.0011</v>
      </c>
      <c r="N52" s="45">
        <f>IFERROR(__xludf.DUMMYFUNCTION("ROUND(K52-(GOOGLEFINANCE(CONCAT(""BVMF:"",A52),""closeyest"")),2)"),0.01)</f>
        <v>0.01</v>
      </c>
      <c r="O52" s="42">
        <f t="shared" si="24"/>
        <v>66.985138</v>
      </c>
      <c r="P52" s="42">
        <f>IFERROR(__xludf.DUMMYFUNCTION("GOOGLEFINANCE(CONCAT(""BVMF:"",A52),""low52"")"),6.31)</f>
        <v>6.31</v>
      </c>
      <c r="Q52" s="46">
        <f>IFERROR(__xludf.DUMMYFUNCTION("GOOGLEFINANCE(CONCAT(""BVMF:"",A52),""high52"")"),9.54)</f>
        <v>9.54</v>
      </c>
      <c r="R52" s="42">
        <f t="shared" si="25"/>
        <v>3.23</v>
      </c>
      <c r="S52" s="47">
        <f>IFERROR(__xludf.DUMMYFUNCTION("googlefinance(CONCAT(""BVMF:"",A52),""volume"")"),1.558E7)</f>
        <v>15580000</v>
      </c>
      <c r="T52" s="47"/>
      <c r="U52" s="47"/>
      <c r="V52" s="47"/>
      <c r="W52" s="47"/>
      <c r="X52" s="47"/>
      <c r="Y52" s="47"/>
      <c r="Z52" s="47"/>
      <c r="AA52" s="47"/>
    </row>
    <row r="53">
      <c r="A53" s="36" t="s">
        <v>66</v>
      </c>
      <c r="B53" s="57">
        <v>44676.0</v>
      </c>
      <c r="C53" s="36" t="s">
        <v>67</v>
      </c>
      <c r="D53" s="36">
        <v>5.0</v>
      </c>
      <c r="E53" s="78">
        <v>77.91</v>
      </c>
      <c r="F53" s="38">
        <f t="shared" si="19"/>
        <v>389.55</v>
      </c>
      <c r="G53" s="39">
        <v>0.1</v>
      </c>
      <c r="H53" s="40">
        <f t="shared" si="20"/>
        <v>77.93</v>
      </c>
      <c r="I53" s="41">
        <f t="shared" si="21"/>
        <v>-4.516874118</v>
      </c>
      <c r="J53" s="42">
        <f t="shared" si="22"/>
        <v>-17.6</v>
      </c>
      <c r="K53" s="43">
        <f>IFERROR(__xludf.DUMMYFUNCTION("GOOGLEFINANCE(CONCAT(""BVMF:"",A53),""price"")"),74.41)</f>
        <v>74.41</v>
      </c>
      <c r="L53" s="42">
        <f t="shared" si="23"/>
        <v>372.05</v>
      </c>
      <c r="M53" s="44">
        <f>IFERROR(__xludf.DUMMYFUNCTION("ROUND(((K53*100)/GOOGLEFINANCE(CONCAT(""BVMF:"",A53),""closeyest""))-100,2)/100"),0.0042)</f>
        <v>0.0042</v>
      </c>
      <c r="N53" s="45">
        <f>IFERROR(__xludf.DUMMYFUNCTION("ROUND(K53-(GOOGLEFINANCE(CONCAT(""BVMF:"",A53),""closeyest"")),2)"),0.31)</f>
        <v>0.31</v>
      </c>
      <c r="O53" s="42">
        <f t="shared" si="24"/>
        <v>81.97822873</v>
      </c>
      <c r="P53" s="42">
        <f>IFERROR(__xludf.DUMMYFUNCTION("GOOGLEFINANCE(CONCAT(""BVMF:"",A53),""low52"")"),61.0)</f>
        <v>61</v>
      </c>
      <c r="Q53" s="46">
        <f>IFERROR(__xludf.DUMMYFUNCTION("GOOGLEFINANCE(CONCAT(""BVMF:"",A53),""high52"")"),93.36)</f>
        <v>93.36</v>
      </c>
      <c r="R53" s="42">
        <f t="shared" si="25"/>
        <v>32.36</v>
      </c>
      <c r="S53" s="47">
        <f>IFERROR(__xludf.DUMMYFUNCTION("googlefinance(CONCAT(""BVMF:"",A53),""volume"")"),1.14224E7)</f>
        <v>11422400</v>
      </c>
      <c r="T53" s="47"/>
      <c r="U53" s="47"/>
      <c r="V53" s="47"/>
      <c r="W53" s="47"/>
      <c r="X53" s="47"/>
      <c r="Y53" s="47"/>
      <c r="Z53" s="47"/>
      <c r="AA53" s="47"/>
    </row>
    <row r="54">
      <c r="A54" s="36" t="s">
        <v>68</v>
      </c>
      <c r="B54" s="57">
        <v>44810.0</v>
      </c>
      <c r="C54" s="36" t="s">
        <v>69</v>
      </c>
      <c r="D54" s="36">
        <v>10.0</v>
      </c>
      <c r="E54" s="43">
        <v>9.23</v>
      </c>
      <c r="F54" s="38">
        <f t="shared" si="19"/>
        <v>92.3</v>
      </c>
      <c r="G54" s="36">
        <v>0.27</v>
      </c>
      <c r="H54" s="40">
        <f t="shared" si="20"/>
        <v>9.257</v>
      </c>
      <c r="I54" s="41">
        <f t="shared" si="21"/>
        <v>7.378200281</v>
      </c>
      <c r="J54" s="42">
        <f t="shared" si="22"/>
        <v>6.83</v>
      </c>
      <c r="K54" s="43">
        <f>IFERROR(__xludf.DUMMYFUNCTION("GOOGLEFINANCE(CONCAT(""BVMF:"",A54),""price"")"),9.94)</f>
        <v>9.94</v>
      </c>
      <c r="L54" s="42">
        <f t="shared" si="23"/>
        <v>99.4</v>
      </c>
      <c r="M54" s="44">
        <f>IFERROR(__xludf.DUMMYFUNCTION("ROUND(((K54*100)/GOOGLEFINANCE(CONCAT(""BVMF:"",A54),""closeyest""))-100,2)/100"),0.0070999999999999995)</f>
        <v>0.0071</v>
      </c>
      <c r="N54" s="45">
        <f>IFERROR(__xludf.DUMMYFUNCTION("ROUND(K54-(GOOGLEFINANCE(CONCAT(""BVMF:"",A54),""closeyest"")),2)"),0.07)</f>
        <v>0.07</v>
      </c>
      <c r="O54" s="42">
        <f t="shared" si="24"/>
        <v>73.94366197</v>
      </c>
      <c r="P54" s="42">
        <f>IFERROR(__xludf.DUMMYFUNCTION("GOOGLEFINANCE(CONCAT(""BVMF:"",A54),""low52"")"),7.35)</f>
        <v>7.35</v>
      </c>
      <c r="Q54" s="46">
        <f>IFERROR(__xludf.DUMMYFUNCTION("GOOGLEFINANCE(CONCAT(""BVMF:"",A54),""high52"")"),9.94)</f>
        <v>9.94</v>
      </c>
      <c r="R54" s="42">
        <f t="shared" si="25"/>
        <v>2.59</v>
      </c>
      <c r="S54" s="47">
        <f>IFERROR(__xludf.DUMMYFUNCTION("googlefinance(CONCAT(""BVMF:"",A54),""volume"")"),8212200.0)</f>
        <v>8212200</v>
      </c>
      <c r="T54" s="47"/>
      <c r="U54" s="47"/>
      <c r="V54" s="47"/>
      <c r="W54" s="47"/>
      <c r="X54" s="47"/>
      <c r="Y54" s="47"/>
      <c r="Z54" s="47"/>
      <c r="AA54" s="47"/>
    </row>
    <row r="55">
      <c r="A55" s="36" t="s">
        <v>70</v>
      </c>
      <c r="B55" s="57">
        <v>44802.0</v>
      </c>
      <c r="C55" s="36" t="s">
        <v>71</v>
      </c>
      <c r="D55" s="36">
        <v>10.0</v>
      </c>
      <c r="E55" s="43">
        <v>14.15</v>
      </c>
      <c r="F55" s="38">
        <f t="shared" si="19"/>
        <v>141.5</v>
      </c>
      <c r="G55" s="36">
        <v>0.42</v>
      </c>
      <c r="H55" s="40">
        <f t="shared" si="20"/>
        <v>14.192</v>
      </c>
      <c r="I55" s="41">
        <f t="shared" si="21"/>
        <v>-42.22096956</v>
      </c>
      <c r="J55" s="42">
        <f t="shared" si="22"/>
        <v>-59.92</v>
      </c>
      <c r="K55" s="43">
        <f>IFERROR(__xludf.DUMMYFUNCTION("GOOGLEFINANCE(CONCAT(""BVMF:"",A55),""price"")"),8.2)</f>
        <v>8.2</v>
      </c>
      <c r="L55" s="42">
        <f t="shared" si="23"/>
        <v>82</v>
      </c>
      <c r="M55" s="44">
        <f>IFERROR(__xludf.DUMMYFUNCTION("ROUND(((K55*100)/GOOGLEFINANCE(CONCAT(""BVMF:"",A55),""closeyest""))-100,2)/100"),-0.0226)</f>
        <v>-0.0226</v>
      </c>
      <c r="N55" s="45">
        <f>IFERROR(__xludf.DUMMYFUNCTION("ROUND(K55-(GOOGLEFINANCE(CONCAT(""BVMF:"",A55),""closeyest"")),2)"),-0.19)</f>
        <v>-0.19</v>
      </c>
      <c r="O55" s="42">
        <f t="shared" si="24"/>
        <v>72.68292683</v>
      </c>
      <c r="P55" s="42">
        <f>IFERROR(__xludf.DUMMYFUNCTION("GOOGLEFINANCE(CONCAT(""BVMF:"",A55),""low52"")"),5.96)</f>
        <v>5.96</v>
      </c>
      <c r="Q55" s="46">
        <f>IFERROR(__xludf.DUMMYFUNCTION("GOOGLEFINANCE(CONCAT(""BVMF:"",A55),""high52"")"),9.3)</f>
        <v>9.3</v>
      </c>
      <c r="R55" s="42">
        <f t="shared" si="25"/>
        <v>3.34</v>
      </c>
      <c r="S55" s="47">
        <f>IFERROR(__xludf.DUMMYFUNCTION("googlefinance(CONCAT(""BVMF:"",A55),""volume"")"),7733000.0)</f>
        <v>7733000</v>
      </c>
      <c r="T55" s="47"/>
      <c r="U55" s="47"/>
      <c r="V55" s="47"/>
      <c r="W55" s="47"/>
      <c r="X55" s="47"/>
      <c r="Y55" s="47"/>
      <c r="Z55" s="47"/>
      <c r="AA55" s="47"/>
    </row>
    <row r="56">
      <c r="A56" s="36" t="s">
        <v>72</v>
      </c>
      <c r="B56" s="34">
        <v>44531.0</v>
      </c>
      <c r="C56" s="36" t="s">
        <v>73</v>
      </c>
      <c r="D56" s="36">
        <v>100.0</v>
      </c>
      <c r="E56" s="43">
        <v>5.0</v>
      </c>
      <c r="F56" s="38">
        <f t="shared" si="19"/>
        <v>500</v>
      </c>
      <c r="G56" s="39">
        <v>0.15</v>
      </c>
      <c r="H56" s="40">
        <f t="shared" si="20"/>
        <v>5.0015</v>
      </c>
      <c r="I56" s="41">
        <f t="shared" si="21"/>
        <v>-52.41427572</v>
      </c>
      <c r="J56" s="42">
        <f t="shared" si="22"/>
        <v>-262.15</v>
      </c>
      <c r="K56" s="79">
        <f>IFERROR(__xludf.DUMMYFUNCTION("GOOGLEFINANCE(CONCAT(""BVMF:"",A56),""price"")"),2.38)</f>
        <v>2.38</v>
      </c>
      <c r="L56" s="42">
        <f t="shared" si="23"/>
        <v>238</v>
      </c>
      <c r="M56" s="44">
        <f>IFERROR(__xludf.DUMMYFUNCTION("ROUND(((K56*100)/GOOGLEFINANCE(CONCAT(""BVMF:"",A56),""closeyest""))-100,2)/100"),-0.0083)</f>
        <v>-0.0083</v>
      </c>
      <c r="N56" s="45">
        <f>IFERROR(__xludf.DUMMYFUNCTION("ROUND(K56-(GOOGLEFINANCE(CONCAT(""BVMF:"",A56),""closeyest"")),2)"),-0.02)</f>
        <v>-0.02</v>
      </c>
      <c r="O56" s="42">
        <f t="shared" si="24"/>
        <v>85.71428571</v>
      </c>
      <c r="P56" s="42">
        <f>IFERROR(__xludf.DUMMYFUNCTION("GOOGLEFINANCE(CONCAT(""BVMF:"",A56),""low52"")"),2.04)</f>
        <v>2.04</v>
      </c>
      <c r="Q56" s="46">
        <f>IFERROR(__xludf.DUMMYFUNCTION("GOOGLEFINANCE(CONCAT(""BVMF:"",A56),""high52"")"),7.67)</f>
        <v>7.67</v>
      </c>
      <c r="R56" s="42">
        <f t="shared" si="25"/>
        <v>5.63</v>
      </c>
      <c r="S56" s="47">
        <f>IFERROR(__xludf.DUMMYFUNCTION("googlefinance(CONCAT(""BVMF:"",A56),""volume"")"),223100.0)</f>
        <v>223100</v>
      </c>
      <c r="T56" s="47"/>
      <c r="U56" s="47"/>
      <c r="V56" s="47"/>
      <c r="W56" s="47"/>
      <c r="X56" s="47"/>
      <c r="Y56" s="47"/>
      <c r="Z56" s="47"/>
      <c r="AA56" s="47"/>
    </row>
    <row r="57">
      <c r="B57" s="80"/>
      <c r="C57" s="80"/>
    </row>
    <row r="58">
      <c r="B58" s="80"/>
      <c r="C58" s="80"/>
    </row>
    <row r="59">
      <c r="B59" s="80"/>
      <c r="C59" s="80"/>
    </row>
    <row r="60">
      <c r="B60" s="80"/>
      <c r="C60" s="80"/>
    </row>
    <row r="61">
      <c r="B61" s="80"/>
      <c r="C61" s="80"/>
    </row>
    <row r="62">
      <c r="B62" s="80"/>
      <c r="C62" s="80"/>
    </row>
    <row r="63">
      <c r="B63" s="80"/>
      <c r="C63" s="80"/>
    </row>
    <row r="64">
      <c r="A64" s="36" t="s">
        <v>74</v>
      </c>
      <c r="B64" s="47"/>
      <c r="C64" s="36" t="s">
        <v>75</v>
      </c>
      <c r="D64" s="36">
        <v>15.0</v>
      </c>
      <c r="E64" s="43">
        <f>(K64*100)/D64-100</f>
        <v>35.33333333</v>
      </c>
      <c r="F64" s="47"/>
      <c r="G64" s="47"/>
      <c r="H64" s="47"/>
      <c r="I64" s="47"/>
      <c r="J64" s="47"/>
      <c r="K64" s="43">
        <f>IFERROR(__xludf.DUMMYFUNCTION("GOOGLEFINANCE(CONCAT(""BVMF:"",A64),""price"")"),20.3)</f>
        <v>20.3</v>
      </c>
      <c r="L64" s="47"/>
      <c r="M64" s="44">
        <f>IFERROR(__xludf.DUMMYFUNCTION("ROUND(((K64*100)/GOOGLEFINANCE(CONCAT(""BVMF:"",A64),""closeyest""))-100,2)/100"),0.024700000000000003)</f>
        <v>0.0247</v>
      </c>
      <c r="N64" s="45">
        <f>IFERROR(__xludf.DUMMYFUNCTION("ROUND(K64-(GOOGLEFINANCE(CONCAT(""BVMF:"",A64),""closeyest"")),2)"),0.49)</f>
        <v>0.49</v>
      </c>
      <c r="O64" s="42">
        <f t="shared" ref="O64:O71" si="26">(P64*100)/K64</f>
        <v>77.5862069</v>
      </c>
      <c r="P64" s="42">
        <f>IFERROR(__xludf.DUMMYFUNCTION("GOOGLEFINANCE(CONCAT(""BVMF:"",A64),""low52"")"),15.75)</f>
        <v>15.75</v>
      </c>
      <c r="Q64" s="46">
        <f>IFERROR(__xludf.DUMMYFUNCTION("GOOGLEFINANCE(CONCAT(""BVMF:"",A64),""high52"")"),31.54)</f>
        <v>31.54</v>
      </c>
      <c r="R64" s="42">
        <f t="shared" ref="R64:R71" si="27">Q64-P64</f>
        <v>15.79</v>
      </c>
      <c r="S64" s="81">
        <f>IFERROR(__xludf.DUMMYFUNCTION("googlefinance(CONCAT(""BVMF:"",A64),""volume"")"),1979700.0)</f>
        <v>1979700</v>
      </c>
      <c r="T64" s="47"/>
      <c r="U64" s="47"/>
      <c r="V64" s="47"/>
      <c r="W64" s="47"/>
      <c r="X64" s="47"/>
      <c r="Y64" s="47"/>
      <c r="Z64" s="47"/>
      <c r="AA64" s="47"/>
    </row>
    <row r="65">
      <c r="A65" s="80" t="s">
        <v>76</v>
      </c>
      <c r="C65" s="80" t="s">
        <v>77</v>
      </c>
      <c r="K65" s="43">
        <f>IFERROR(__xludf.DUMMYFUNCTION("GOOGLEFINANCE(CONCAT(""BVMF:"",A65),""price"")"),7.21)</f>
        <v>7.21</v>
      </c>
      <c r="L65" s="42"/>
      <c r="M65" s="44">
        <f>IFERROR(__xludf.DUMMYFUNCTION("ROUND(((K65*100)/GOOGLEFINANCE(CONCAT(""BVMF:"",A65),""closeyest""))-100,2)/100"),0.0)</f>
        <v>0</v>
      </c>
      <c r="N65" s="45">
        <f>IFERROR(__xludf.DUMMYFUNCTION("ROUND(K65-(GOOGLEFINANCE(CONCAT(""BVMF:"",A65),""closeyest"")),2)"),0.0)</f>
        <v>0</v>
      </c>
      <c r="O65" s="42">
        <f t="shared" si="26"/>
        <v>94.45214979</v>
      </c>
      <c r="P65" s="42">
        <f>IFERROR(__xludf.DUMMYFUNCTION("GOOGLEFINANCE(CONCAT(""BVMF:"",A65),""low52"")"),6.81)</f>
        <v>6.81</v>
      </c>
      <c r="Q65" s="46">
        <f>IFERROR(__xludf.DUMMYFUNCTION("GOOGLEFINANCE(CONCAT(""BVMF:"",A65),""high52"")"),14.73)</f>
        <v>14.73</v>
      </c>
      <c r="R65" s="42">
        <f t="shared" si="27"/>
        <v>7.92</v>
      </c>
      <c r="S65" s="47">
        <f>IFERROR(__xludf.DUMMYFUNCTION("googlefinance(CONCAT(""BVMF:"",A65),""volume"")"),9058800.0)</f>
        <v>9058800</v>
      </c>
    </row>
    <row r="66">
      <c r="A66" s="80" t="s">
        <v>78</v>
      </c>
      <c r="C66" s="80" t="s">
        <v>79</v>
      </c>
      <c r="D66" s="80">
        <v>2.3</v>
      </c>
      <c r="E66" s="78">
        <f t="shared" ref="E66:E69" si="28">(K66*100)/D66-100</f>
        <v>13.91304348</v>
      </c>
      <c r="K66" s="43">
        <f>IFERROR(__xludf.DUMMYFUNCTION("GOOGLEFINANCE(CONCAT(""BVMF:"",A66),""price"")"),2.62)</f>
        <v>2.62</v>
      </c>
      <c r="L66" s="42"/>
      <c r="M66" s="44">
        <f>IFERROR(__xludf.DUMMYFUNCTION("ROUND(((K66*100)/GOOGLEFINANCE(CONCAT(""BVMF:"",A66),""closeyest""))-100,2)/100"),0.0155)</f>
        <v>0.0155</v>
      </c>
      <c r="N66" s="45">
        <f>IFERROR(__xludf.DUMMYFUNCTION("ROUND(K66-(GOOGLEFINANCE(CONCAT(""BVMF:"",A66),""closeyest"")),2)"),0.04)</f>
        <v>0.04</v>
      </c>
      <c r="O66" s="42">
        <f t="shared" si="26"/>
        <v>70.61068702</v>
      </c>
      <c r="P66" s="42">
        <f>IFERROR(__xludf.DUMMYFUNCTION("GOOGLEFINANCE(CONCAT(""BVMF:"",A66),""low52"")"),1.85)</f>
        <v>1.85</v>
      </c>
      <c r="Q66" s="46">
        <f>IFERROR(__xludf.DUMMYFUNCTION("GOOGLEFINANCE(CONCAT(""BVMF:"",A66),""high52"")"),3.06)</f>
        <v>3.06</v>
      </c>
      <c r="R66" s="42">
        <f t="shared" si="27"/>
        <v>1.21</v>
      </c>
      <c r="S66" s="47">
        <f>IFERROR(__xludf.DUMMYFUNCTION("googlefinance(CONCAT(""BVMF:"",A66),""volume"")"),446100.0)</f>
        <v>446100</v>
      </c>
    </row>
    <row r="67">
      <c r="A67" s="80" t="s">
        <v>80</v>
      </c>
      <c r="C67" s="80" t="s">
        <v>81</v>
      </c>
      <c r="D67" s="80">
        <v>7.57</v>
      </c>
      <c r="E67" s="78">
        <f t="shared" si="28"/>
        <v>9.114927345</v>
      </c>
      <c r="K67" s="43">
        <f>IFERROR(__xludf.DUMMYFUNCTION("GOOGLEFINANCE(CONCAT(""BVMF:"",A67),""price"")"),8.26)</f>
        <v>8.26</v>
      </c>
      <c r="L67" s="42"/>
      <c r="M67" s="44">
        <f>IFERROR(__xludf.DUMMYFUNCTION("ROUND(((K67*100)/GOOGLEFINANCE(CONCAT(""BVMF:"",A67),""closeyest""))-100,2)/100"),-0.0012)</f>
        <v>-0.0012</v>
      </c>
      <c r="N67" s="45">
        <f>IFERROR(__xludf.DUMMYFUNCTION("ROUND(K67-(GOOGLEFINANCE(CONCAT(""BVMF:"",A67),""closeyest"")),2)"),-0.01)</f>
        <v>-0.01</v>
      </c>
      <c r="O67" s="42">
        <f t="shared" si="26"/>
        <v>74.45520581</v>
      </c>
      <c r="P67" s="42">
        <f>IFERROR(__xludf.DUMMYFUNCTION("GOOGLEFINANCE(CONCAT(""BVMF:"",A67),""low52"")"),6.15)</f>
        <v>6.15</v>
      </c>
      <c r="Q67" s="46">
        <f>IFERROR(__xludf.DUMMYFUNCTION("GOOGLEFINANCE(CONCAT(""BVMF:"",A67),""high52"")"),9.32)</f>
        <v>9.32</v>
      </c>
      <c r="R67" s="42">
        <f t="shared" si="27"/>
        <v>3.17</v>
      </c>
      <c r="S67" s="47">
        <f>IFERROR(__xludf.DUMMYFUNCTION("googlefinance(CONCAT(""BVMF:"",A67),""volume"")"),270900.0)</f>
        <v>270900</v>
      </c>
    </row>
    <row r="68">
      <c r="A68" s="80" t="s">
        <v>82</v>
      </c>
      <c r="C68" s="36" t="s">
        <v>83</v>
      </c>
      <c r="D68" s="80">
        <v>4.11</v>
      </c>
      <c r="E68" s="78">
        <f t="shared" si="28"/>
        <v>-1.459854015</v>
      </c>
      <c r="K68" s="43">
        <f>IFERROR(__xludf.DUMMYFUNCTION("GOOGLEFINANCE(CONCAT(""BVMF:"",A68),""price"")"),4.05)</f>
        <v>4.05</v>
      </c>
      <c r="L68" s="42"/>
      <c r="M68" s="44">
        <f>IFERROR(__xludf.DUMMYFUNCTION("ROUND(((K68*100)/GOOGLEFINANCE(CONCAT(""BVMF:"",A68),""closeyest""))-100,2)/100"),-0.017)</f>
        <v>-0.017</v>
      </c>
      <c r="N68" s="45">
        <f>IFERROR(__xludf.DUMMYFUNCTION("ROUND(K68-(GOOGLEFINANCE(CONCAT(""BVMF:"",A68),""closeyest"")),2)"),-0.07)</f>
        <v>-0.07</v>
      </c>
      <c r="O68" s="42">
        <f t="shared" si="26"/>
        <v>87.65432099</v>
      </c>
      <c r="P68" s="42">
        <f>IFERROR(__xludf.DUMMYFUNCTION("GOOGLEFINANCE(CONCAT(""BVMF:"",A68),""low52"")"),3.55)</f>
        <v>3.55</v>
      </c>
      <c r="Q68" s="46">
        <f>IFERROR(__xludf.DUMMYFUNCTION("GOOGLEFINANCE(CONCAT(""BVMF:"",A68),""high52"")"),12.69)</f>
        <v>12.69</v>
      </c>
      <c r="R68" s="42">
        <f t="shared" si="27"/>
        <v>9.14</v>
      </c>
      <c r="S68" s="47">
        <f>IFERROR(__xludf.DUMMYFUNCTION("googlefinance(CONCAT(""BVMF:"",A68),""volume"")"),6481200.0)</f>
        <v>6481200</v>
      </c>
    </row>
    <row r="69">
      <c r="A69" s="36" t="s">
        <v>84</v>
      </c>
      <c r="B69" s="34"/>
      <c r="C69" s="36" t="s">
        <v>85</v>
      </c>
      <c r="D69" s="36">
        <v>4.3</v>
      </c>
      <c r="E69" s="43">
        <f t="shared" si="28"/>
        <v>3.023255814</v>
      </c>
      <c r="I69" s="82"/>
      <c r="J69" s="42"/>
      <c r="K69" s="43">
        <f>IFERROR(__xludf.DUMMYFUNCTION("GOOGLEFINANCE(CONCAT(""BVMF:"",A69),""price"")"),4.43)</f>
        <v>4.43</v>
      </c>
      <c r="L69" s="47"/>
      <c r="M69" s="44">
        <f>IFERROR(__xludf.DUMMYFUNCTION("ROUND(((K69*100)/GOOGLEFINANCE(CONCAT(""BVMF:"",A69),""closeyest""))-100,2)/100"),0.0068000000000000005)</f>
        <v>0.0068</v>
      </c>
      <c r="N69" s="45">
        <f>IFERROR(__xludf.DUMMYFUNCTION("ROUND(K69-(GOOGLEFINANCE(CONCAT(""BVMF:"",A69),""closeyest"")),2)"),0.03)</f>
        <v>0.03</v>
      </c>
      <c r="O69" s="42">
        <f t="shared" si="26"/>
        <v>73.36343115</v>
      </c>
      <c r="P69" s="42">
        <f>IFERROR(__xludf.DUMMYFUNCTION("GOOGLEFINANCE(CONCAT(""BVMF:"",A69),""low52"")"),3.25)</f>
        <v>3.25</v>
      </c>
      <c r="Q69" s="46">
        <f>IFERROR(__xludf.DUMMYFUNCTION("GOOGLEFINANCE(CONCAT(""BVMF:"",A69),""high52"")"),5.85)</f>
        <v>5.85</v>
      </c>
      <c r="R69" s="42">
        <f t="shared" si="27"/>
        <v>2.6</v>
      </c>
      <c r="S69" s="47">
        <f>IFERROR(__xludf.DUMMYFUNCTION("googlefinance(CONCAT(""BVMF:"",A69),""volume"")"),2445000.0)</f>
        <v>2445000</v>
      </c>
      <c r="T69" s="47"/>
      <c r="U69" s="47"/>
      <c r="V69" s="47"/>
      <c r="W69" s="47"/>
      <c r="X69" s="47"/>
      <c r="Y69" s="47"/>
      <c r="Z69" s="47"/>
      <c r="AA69" s="47"/>
    </row>
    <row r="70">
      <c r="A70" s="36" t="s">
        <v>86</v>
      </c>
      <c r="B70" s="34"/>
      <c r="C70" s="36" t="s">
        <v>87</v>
      </c>
      <c r="K70" s="43">
        <f>IFERROR(__xludf.DUMMYFUNCTION("GOOGLEFINANCE(CONCAT(""BVMF:"",A70),""price"")"),11.23)</f>
        <v>11.23</v>
      </c>
      <c r="L70" s="42"/>
      <c r="M70" s="44">
        <f>IFERROR(__xludf.DUMMYFUNCTION("ROUND(((K70*100)/GOOGLEFINANCE(CONCAT(""BVMF:"",A70),""closeyest""))-100,2)/100"),-0.0158)</f>
        <v>-0.0158</v>
      </c>
      <c r="N70" s="45">
        <f>IFERROR(__xludf.DUMMYFUNCTION("ROUND(K70-(GOOGLEFINANCE(CONCAT(""BVMF:"",A70),""closeyest"")),2)"),-0.18)</f>
        <v>-0.18</v>
      </c>
      <c r="O70" s="42">
        <f t="shared" si="26"/>
        <v>62.95636687</v>
      </c>
      <c r="P70" s="42">
        <f>IFERROR(__xludf.DUMMYFUNCTION("GOOGLEFINANCE(CONCAT(""BVMF:"",A70),""low52"")"),7.07)</f>
        <v>7.07</v>
      </c>
      <c r="Q70" s="46">
        <f>IFERROR(__xludf.DUMMYFUNCTION("GOOGLEFINANCE(CONCAT(""BVMF:"",A70),""high52"")"),12.99)</f>
        <v>12.99</v>
      </c>
      <c r="R70" s="42">
        <f t="shared" si="27"/>
        <v>5.92</v>
      </c>
      <c r="S70" s="47">
        <f>IFERROR(__xludf.DUMMYFUNCTION("googlefinance(CONCAT(""BVMF:"",A70),""volume"")"),375700.0)</f>
        <v>375700</v>
      </c>
      <c r="T70" s="47"/>
      <c r="U70" s="47"/>
      <c r="V70" s="47"/>
      <c r="W70" s="47"/>
      <c r="X70" s="47"/>
      <c r="Y70" s="47"/>
      <c r="Z70" s="47"/>
      <c r="AA70" s="47"/>
    </row>
    <row r="71">
      <c r="A71" s="83" t="s">
        <v>88</v>
      </c>
      <c r="B71" s="34"/>
      <c r="C71" s="36" t="s">
        <v>89</v>
      </c>
      <c r="D71" s="36">
        <v>10.35</v>
      </c>
      <c r="E71" s="43">
        <f>(K71*100)/D71-100</f>
        <v>24.63768116</v>
      </c>
      <c r="I71" s="41"/>
      <c r="J71" s="42"/>
      <c r="K71" s="43">
        <f>IFERROR(__xludf.DUMMYFUNCTION("GOOGLEFINANCE(CONCAT(""BVMF:"",A71),""price"")"),12.9)</f>
        <v>12.9</v>
      </c>
      <c r="L71" s="42"/>
      <c r="M71" s="44">
        <f>IFERROR(__xludf.DUMMYFUNCTION("ROUND(((K71*100)/GOOGLEFINANCE(CONCAT(""BVMF:"",A71),""closeyest""))-100,2)/100"),-0.0015)</f>
        <v>-0.0015</v>
      </c>
      <c r="N71" s="45">
        <f>IFERROR(__xludf.DUMMYFUNCTION("ROUND(K71-(GOOGLEFINANCE(CONCAT(""BVMF:"",A71),""closeyest"")),2)"),-0.02)</f>
        <v>-0.02</v>
      </c>
      <c r="O71" s="42">
        <f t="shared" si="26"/>
        <v>77.36434109</v>
      </c>
      <c r="P71" s="42">
        <f>IFERROR(__xludf.DUMMYFUNCTION("GOOGLEFINANCE(CONCAT(""BVMF:"",A71),""low52"")"),9.98)</f>
        <v>9.98</v>
      </c>
      <c r="Q71" s="46">
        <f>IFERROR(__xludf.DUMMYFUNCTION("GOOGLEFINANCE(CONCAT(""BVMF:"",A71),""high52"")"),15.4)</f>
        <v>15.4</v>
      </c>
      <c r="R71" s="42">
        <f t="shared" si="27"/>
        <v>5.42</v>
      </c>
      <c r="S71" s="47">
        <f>IFERROR(__xludf.DUMMYFUNCTION("googlefinance(CONCAT(""BVMF:"",A71),""volume"")"),2.3012E7)</f>
        <v>23012000</v>
      </c>
      <c r="T71" s="47"/>
      <c r="U71" s="47"/>
      <c r="V71" s="47"/>
      <c r="W71" s="47"/>
      <c r="X71" s="47"/>
      <c r="Y71" s="47"/>
      <c r="Z71" s="47"/>
      <c r="AA71" s="47"/>
    </row>
    <row r="72">
      <c r="A72" s="36"/>
      <c r="B72" s="34"/>
      <c r="C72" s="36"/>
      <c r="D72" s="47"/>
      <c r="E72" s="43"/>
      <c r="I72" s="82"/>
      <c r="J72" s="42"/>
      <c r="K72" s="43"/>
      <c r="L72" s="47"/>
      <c r="M72" s="44"/>
      <c r="N72" s="45"/>
      <c r="O72" s="42"/>
      <c r="P72" s="42"/>
      <c r="Q72" s="46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84" t="s">
        <v>90</v>
      </c>
      <c r="B73" s="85"/>
      <c r="C73" s="84" t="s">
        <v>91</v>
      </c>
      <c r="D73" s="47"/>
      <c r="E73" s="43"/>
      <c r="F73" s="47"/>
      <c r="G73" s="47"/>
      <c r="H73" s="82"/>
      <c r="I73" s="82"/>
      <c r="J73" s="42"/>
      <c r="K73" s="43">
        <f>IFERROR(__xludf.DUMMYFUNCTION("GOOGLEFINANCE(CONCAT(""BVMF:"",A73),""price"")"),62.68)</f>
        <v>62.68</v>
      </c>
      <c r="L73" s="47"/>
      <c r="M73" s="44">
        <f>IFERROR(__xludf.DUMMYFUNCTION("ROUND(((K73*100)/GOOGLEFINANCE(CONCAT(""BVMF:"",A73),""closeyest""))-100,2)/100"),0.0077)</f>
        <v>0.0077</v>
      </c>
      <c r="N73" s="45">
        <f>IFERROR(__xludf.DUMMYFUNCTION("ROUND(K73-(GOOGLEFINANCE(CONCAT(""BVMF:"",A73),""closeyest"")),2)"),0.48)</f>
        <v>0.48</v>
      </c>
      <c r="O73" s="42">
        <f t="shared" ref="O73:O79" si="29">(P73*100)/K73</f>
        <v>88.94384174</v>
      </c>
      <c r="P73" s="42">
        <f>IFERROR(__xludf.DUMMYFUNCTION("GOOGLEFINANCE(CONCAT(""BVMF:"",A73),""low52"")"),55.75)</f>
        <v>55.75</v>
      </c>
      <c r="Q73" s="46">
        <f>IFERROR(__xludf.DUMMYFUNCTION("GOOGLEFINANCE(CONCAT(""BVMF:"",A73),""high52"")"),90.21)</f>
        <v>90.21</v>
      </c>
      <c r="R73" s="42">
        <f t="shared" ref="R73:R79" si="30">Q73-P73</f>
        <v>34.46</v>
      </c>
      <c r="S73" s="47">
        <f>IFERROR(__xludf.DUMMYFUNCTION("googlefinance(CONCAT(""BVMF:"",A73),""volume"")"),959600.0)</f>
        <v>959600</v>
      </c>
      <c r="T73" s="47"/>
      <c r="U73" s="47"/>
      <c r="V73" s="47"/>
      <c r="W73" s="47"/>
      <c r="X73" s="47"/>
      <c r="Y73" s="47"/>
      <c r="Z73" s="47"/>
      <c r="AA73" s="47"/>
    </row>
    <row r="74">
      <c r="A74" s="84" t="s">
        <v>92</v>
      </c>
      <c r="B74" s="85"/>
      <c r="C74" s="84" t="s">
        <v>93</v>
      </c>
      <c r="D74" s="43">
        <v>2.35</v>
      </c>
      <c r="E74" s="43">
        <f t="shared" ref="E74:E78" si="31">(K74*100)/D74-100</f>
        <v>-75.31914894</v>
      </c>
      <c r="F74" s="47"/>
      <c r="G74" s="47"/>
      <c r="H74" s="82"/>
      <c r="I74" s="82"/>
      <c r="J74" s="42"/>
      <c r="K74" s="43">
        <f>IFERROR(__xludf.DUMMYFUNCTION("GOOGLEFINANCE(CONCAT(""BVMF:"",A74),""price"")"),0.58)</f>
        <v>0.58</v>
      </c>
      <c r="L74" s="47"/>
      <c r="M74" s="44">
        <f>IFERROR(__xludf.DUMMYFUNCTION("ROUND(((K74*100)/GOOGLEFINANCE(CONCAT(""BVMF:"",A74),""closeyest""))-100,2)/100"),0.0)</f>
        <v>0</v>
      </c>
      <c r="N74" s="45">
        <f>IFERROR(__xludf.DUMMYFUNCTION("ROUND(K74-(GOOGLEFINANCE(CONCAT(""BVMF:"",A74),""closeyest"")),2)"),0.0)</f>
        <v>0</v>
      </c>
      <c r="O74" s="42">
        <f t="shared" si="29"/>
        <v>75.86206897</v>
      </c>
      <c r="P74" s="42">
        <f>IFERROR(__xludf.DUMMYFUNCTION("GOOGLEFINANCE(CONCAT(""BVMF:"",A74),""low52"")"),0.44)</f>
        <v>0.44</v>
      </c>
      <c r="Q74" s="46">
        <f>IFERROR(__xludf.DUMMYFUNCTION("GOOGLEFINANCE(CONCAT(""BVMF:"",A74),""high52"")"),0.81)</f>
        <v>0.81</v>
      </c>
      <c r="R74" s="42">
        <f t="shared" si="30"/>
        <v>0.37</v>
      </c>
      <c r="S74" s="47">
        <f>IFERROR(__xludf.DUMMYFUNCTION("googlefinance(CONCAT(""BVMF:"",A74),""volume"")"),1.116482E8)</f>
        <v>111648200</v>
      </c>
      <c r="T74" s="47"/>
      <c r="U74" s="47"/>
      <c r="V74" s="47"/>
      <c r="W74" s="47"/>
      <c r="X74" s="47"/>
      <c r="Y74" s="47"/>
      <c r="Z74" s="47"/>
      <c r="AA74" s="47"/>
    </row>
    <row r="75">
      <c r="A75" s="84" t="s">
        <v>94</v>
      </c>
      <c r="B75" s="85"/>
      <c r="C75" s="84" t="s">
        <v>95</v>
      </c>
      <c r="D75" s="43">
        <v>12.0</v>
      </c>
      <c r="E75" s="43">
        <f t="shared" si="31"/>
        <v>27.91666667</v>
      </c>
      <c r="F75" s="47"/>
      <c r="G75" s="47"/>
      <c r="H75" s="82"/>
      <c r="I75" s="82"/>
      <c r="J75" s="42"/>
      <c r="K75" s="43">
        <f>IFERROR(__xludf.DUMMYFUNCTION("GOOGLEFINANCE(CONCAT(""BVMF:"",A75),""price"")"),15.35)</f>
        <v>15.35</v>
      </c>
      <c r="L75" s="47"/>
      <c r="M75" s="44">
        <f>IFERROR(__xludf.DUMMYFUNCTION("ROUND(((K75*100)/GOOGLEFINANCE(CONCAT(""BVMF:"",A75),""closeyest""))-100,2)/100"),0.0274)</f>
        <v>0.0274</v>
      </c>
      <c r="N75" s="45">
        <f>IFERROR(__xludf.DUMMYFUNCTION("ROUND(K75-(GOOGLEFINANCE(CONCAT(""BVMF:"",A75),""closeyest"")),2)"),0.41)</f>
        <v>0.41</v>
      </c>
      <c r="O75" s="42">
        <f t="shared" si="29"/>
        <v>62.54071661</v>
      </c>
      <c r="P75" s="42">
        <f>IFERROR(__xludf.DUMMYFUNCTION("GOOGLEFINANCE(CONCAT(""BVMF:"",A75),""low52"")"),9.6)</f>
        <v>9.6</v>
      </c>
      <c r="Q75" s="46">
        <f>IFERROR(__xludf.DUMMYFUNCTION("GOOGLEFINANCE(CONCAT(""BVMF:"",A75),""high52"")"),18.41)</f>
        <v>18.41</v>
      </c>
      <c r="R75" s="42">
        <f t="shared" si="30"/>
        <v>8.81</v>
      </c>
      <c r="S75" s="47">
        <f>IFERROR(__xludf.DUMMYFUNCTION("googlefinance(CONCAT(""BVMF:"",A75),""volume"")"),9266200.0)</f>
        <v>9266200</v>
      </c>
      <c r="T75" s="47"/>
      <c r="U75" s="47"/>
      <c r="V75" s="47"/>
      <c r="W75" s="47"/>
      <c r="X75" s="47"/>
      <c r="Y75" s="47"/>
      <c r="Z75" s="47"/>
      <c r="AA75" s="47"/>
    </row>
    <row r="76">
      <c r="A76" s="84" t="s">
        <v>96</v>
      </c>
      <c r="B76" s="86"/>
      <c r="C76" s="84" t="s">
        <v>97</v>
      </c>
      <c r="D76" s="36">
        <v>2.51</v>
      </c>
      <c r="E76" s="43">
        <f t="shared" si="31"/>
        <v>-10.75697211</v>
      </c>
      <c r="F76" s="47"/>
      <c r="G76" s="47"/>
      <c r="H76" s="47"/>
      <c r="I76" s="47"/>
      <c r="J76" s="47"/>
      <c r="K76" s="43">
        <f>IFERROR(__xludf.DUMMYFUNCTION("GOOGLEFINANCE(CONCAT(""BVMF:"",A76),""price"")"),2.24)</f>
        <v>2.24</v>
      </c>
      <c r="L76" s="47"/>
      <c r="M76" s="44">
        <f>IFERROR(__xludf.DUMMYFUNCTION("ROUND(((K76*100)/GOOGLEFINANCE(CONCAT(""BVMF:"",A76),""closeyest""))-100,2)/100"),0.022799999999999997)</f>
        <v>0.0228</v>
      </c>
      <c r="N76" s="45">
        <f>IFERROR(__xludf.DUMMYFUNCTION("ROUND(K76-(GOOGLEFINANCE(CONCAT(""BVMF:"",A76),""closeyest"")),2)"),0.05)</f>
        <v>0.05</v>
      </c>
      <c r="O76" s="42">
        <f t="shared" si="29"/>
        <v>58.03571429</v>
      </c>
      <c r="P76" s="42">
        <f>IFERROR(__xludf.DUMMYFUNCTION("GOOGLEFINANCE(CONCAT(""BVMF:"",A76),""low52"")"),1.3)</f>
        <v>1.3</v>
      </c>
      <c r="Q76" s="46">
        <f>IFERROR(__xludf.DUMMYFUNCTION("GOOGLEFINANCE(CONCAT(""BVMF:"",A76),""high52"")"),4.67)</f>
        <v>4.67</v>
      </c>
      <c r="R76" s="42">
        <f t="shared" si="30"/>
        <v>3.37</v>
      </c>
      <c r="S76" s="47">
        <f>IFERROR(__xludf.DUMMYFUNCTION("googlefinance(CONCAT(""BVMF:"",A76),""volume"")"),2.144296E8)</f>
        <v>214429600</v>
      </c>
      <c r="T76" s="47"/>
      <c r="U76" s="47"/>
      <c r="V76" s="47"/>
      <c r="W76" s="47"/>
      <c r="X76" s="47"/>
      <c r="Y76" s="47"/>
      <c r="Z76" s="47"/>
      <c r="AA76" s="47"/>
    </row>
    <row r="77">
      <c r="A77" s="84" t="s">
        <v>98</v>
      </c>
      <c r="B77" s="86"/>
      <c r="C77" s="84" t="s">
        <v>99</v>
      </c>
      <c r="D77" s="36">
        <v>1.1</v>
      </c>
      <c r="E77" s="43">
        <f t="shared" si="31"/>
        <v>241.8181818</v>
      </c>
      <c r="F77" s="47"/>
      <c r="G77" s="47"/>
      <c r="H77" s="47"/>
      <c r="I77" s="47"/>
      <c r="J77" s="47"/>
      <c r="K77" s="43">
        <f>IFERROR(__xludf.DUMMYFUNCTION("GOOGLEFINANCE(CONCAT(""BVMF:"",A77),""price"")"),3.76)</f>
        <v>3.76</v>
      </c>
      <c r="L77" s="47"/>
      <c r="M77" s="44">
        <f>IFERROR(__xludf.DUMMYFUNCTION("ROUND(((K77*100)/GOOGLEFINANCE(CONCAT(""BVMF:"",A77),""closeyest""))-100,2)/100"),0.11900000000000001)</f>
        <v>0.119</v>
      </c>
      <c r="N77" s="45">
        <f>IFERROR(__xludf.DUMMYFUNCTION("ROUND(K77-(GOOGLEFINANCE(CONCAT(""BVMF:"",A77),""closeyest"")),2)"),0.4)</f>
        <v>0.4</v>
      </c>
      <c r="O77" s="42">
        <f t="shared" si="29"/>
        <v>57.18085106</v>
      </c>
      <c r="P77" s="42">
        <f>IFERROR(__xludf.DUMMYFUNCTION("GOOGLEFINANCE(CONCAT(""BVMF:"",A77),""low52"")"),2.15)</f>
        <v>2.15</v>
      </c>
      <c r="Q77" s="46">
        <f>IFERROR(__xludf.DUMMYFUNCTION("GOOGLEFINANCE(CONCAT(""BVMF:"",A77),""high52"")"),8.35)</f>
        <v>8.35</v>
      </c>
      <c r="R77" s="42">
        <f t="shared" si="30"/>
        <v>6.2</v>
      </c>
      <c r="S77" s="47">
        <f>IFERROR(__xludf.DUMMYFUNCTION("googlefinance(CONCAT(""BVMF:"",A77),""volume"")"),1237700.0)</f>
        <v>1237700</v>
      </c>
      <c r="T77" s="47"/>
      <c r="U77" s="47"/>
      <c r="V77" s="47"/>
      <c r="W77" s="47"/>
      <c r="X77" s="47"/>
      <c r="Y77" s="47"/>
      <c r="Z77" s="47"/>
      <c r="AA77" s="47"/>
    </row>
    <row r="78">
      <c r="A78" s="84" t="s">
        <v>100</v>
      </c>
      <c r="B78" s="86"/>
      <c r="C78" s="84" t="s">
        <v>101</v>
      </c>
      <c r="D78" s="36">
        <v>2.27</v>
      </c>
      <c r="E78" s="43">
        <f t="shared" si="31"/>
        <v>263.4361233</v>
      </c>
      <c r="F78" s="47"/>
      <c r="G78" s="47"/>
      <c r="H78" s="47"/>
      <c r="I78" s="47"/>
      <c r="J78" s="47"/>
      <c r="K78" s="43">
        <f>IFERROR(__xludf.DUMMYFUNCTION("GOOGLEFINANCE(CONCAT(""BVMF:"",A78),""price"")"),8.25)</f>
        <v>8.25</v>
      </c>
      <c r="L78" s="47"/>
      <c r="M78" s="44">
        <f>IFERROR(__xludf.DUMMYFUNCTION("ROUND(((K78*100)/GOOGLEFINANCE(CONCAT(""BVMF:"",A78),""closeyest""))-100,2)/100"),0.0274)</f>
        <v>0.0274</v>
      </c>
      <c r="N78" s="45">
        <f>IFERROR(__xludf.DUMMYFUNCTION("ROUND(K78-(GOOGLEFINANCE(CONCAT(""BVMF:"",A78),""closeyest"")),2)"),0.22)</f>
        <v>0.22</v>
      </c>
      <c r="O78" s="42">
        <f t="shared" si="29"/>
        <v>22.78787879</v>
      </c>
      <c r="P78" s="42">
        <f>IFERROR(__xludf.DUMMYFUNCTION("GOOGLEFINANCE(CONCAT(""BVMF:"",A78),""low52"")"),1.88)</f>
        <v>1.88</v>
      </c>
      <c r="Q78" s="46">
        <f>IFERROR(__xludf.DUMMYFUNCTION("GOOGLEFINANCE(CONCAT(""BVMF:"",A78),""high52"")"),8.32)</f>
        <v>8.32</v>
      </c>
      <c r="R78" s="42">
        <f t="shared" si="30"/>
        <v>6.44</v>
      </c>
      <c r="S78" s="47">
        <f>IFERROR(__xludf.DUMMYFUNCTION("googlefinance(CONCAT(""BVMF:"",A78),""volume"")"),3639300.0)</f>
        <v>3639300</v>
      </c>
      <c r="T78" s="47"/>
      <c r="U78" s="47"/>
      <c r="V78" s="47"/>
      <c r="W78" s="47"/>
      <c r="X78" s="47"/>
      <c r="Y78" s="47"/>
      <c r="Z78" s="47"/>
      <c r="AA78" s="47"/>
    </row>
    <row r="79">
      <c r="A79" s="84" t="s">
        <v>102</v>
      </c>
      <c r="B79" s="86"/>
      <c r="C79" s="84" t="s">
        <v>103</v>
      </c>
      <c r="D79" s="47"/>
      <c r="E79" s="43"/>
      <c r="F79" s="47"/>
      <c r="G79" s="47"/>
      <c r="H79" s="47"/>
      <c r="I79" s="47"/>
      <c r="J79" s="47"/>
      <c r="K79" s="43">
        <f>IFERROR(__xludf.DUMMYFUNCTION("GOOGLEFINANCE(CONCAT(""BVMF:"",A79),""price"")"),0.98)</f>
        <v>0.98</v>
      </c>
      <c r="L79" s="47"/>
      <c r="M79" s="44">
        <f>IFERROR(__xludf.DUMMYFUNCTION("ROUND(((K79*100)/GOOGLEFINANCE(CONCAT(""BVMF:"",A79),""closeyest""))-100,2)/100"),0.15289999999999998)</f>
        <v>0.1529</v>
      </c>
      <c r="N79" s="45">
        <f>IFERROR(__xludf.DUMMYFUNCTION("ROUND(K79-(GOOGLEFINANCE(CONCAT(""BVMF:"",A79),""closeyest"")),2)"),0.13)</f>
        <v>0.13</v>
      </c>
      <c r="O79" s="42">
        <f t="shared" si="29"/>
        <v>65.30612245</v>
      </c>
      <c r="P79" s="42">
        <f>IFERROR(__xludf.DUMMYFUNCTION("GOOGLEFINANCE(CONCAT(""BVMF:"",A79),""low52"")"),0.64)</f>
        <v>0.64</v>
      </c>
      <c r="Q79" s="46">
        <f>IFERROR(__xludf.DUMMYFUNCTION("GOOGLEFINANCE(CONCAT(""BVMF:"",A79),""high52"")"),12.21)</f>
        <v>12.21</v>
      </c>
      <c r="R79" s="42">
        <f t="shared" si="30"/>
        <v>11.57</v>
      </c>
      <c r="S79" s="47">
        <f>IFERROR(__xludf.DUMMYFUNCTION("googlefinance(CONCAT(""BVMF:"",A79),""volume"")"),3.17368E7)</f>
        <v>31736800</v>
      </c>
      <c r="T79" s="47"/>
      <c r="U79" s="47"/>
      <c r="V79" s="47"/>
      <c r="W79" s="47"/>
      <c r="X79" s="47"/>
      <c r="Y79" s="47"/>
      <c r="Z79" s="47"/>
      <c r="AA79" s="47"/>
    </row>
    <row r="80">
      <c r="F80" s="47"/>
      <c r="G80" s="47"/>
      <c r="H80" s="47"/>
      <c r="I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36" t="s">
        <v>104</v>
      </c>
      <c r="B82" s="47"/>
      <c r="C82" s="36" t="s">
        <v>105</v>
      </c>
      <c r="D82" s="36">
        <v>12.13</v>
      </c>
      <c r="E82" s="43">
        <f t="shared" ref="E82:E85" si="32">(K82*100)/D82-100</f>
        <v>22.58862325</v>
      </c>
      <c r="F82" s="47"/>
      <c r="G82" s="47"/>
      <c r="H82" s="47"/>
      <c r="I82" s="47"/>
      <c r="J82" s="47"/>
      <c r="K82" s="43">
        <f>IFERROR(__xludf.DUMMYFUNCTION("GOOGLEFINANCE(CONCAT(""BVMF:"",A82),""price"")"),14.87)</f>
        <v>14.87</v>
      </c>
      <c r="L82" s="42"/>
      <c r="M82" s="44">
        <f>IFERROR(__xludf.DUMMYFUNCTION("ROUND(((K82*100)/GOOGLEFINANCE(CONCAT(""BVMF:"",A82),""closeyest""))-100,2)/100"),0.0123)</f>
        <v>0.0123</v>
      </c>
      <c r="N82" s="45">
        <f>IFERROR(__xludf.DUMMYFUNCTION("ROUND(K82-(GOOGLEFINANCE(CONCAT(""BVMF:"",A82),""closeyest"")),2)"),0.18)</f>
        <v>0.18</v>
      </c>
      <c r="O82" s="42">
        <f t="shared" ref="O82:O90" si="33">(P82*100)/K82</f>
        <v>72.2932078</v>
      </c>
      <c r="P82" s="42">
        <f>IFERROR(__xludf.DUMMYFUNCTION("GOOGLEFINANCE(CONCAT(""BVMF:"",A82),""low52"")"),10.75)</f>
        <v>10.75</v>
      </c>
      <c r="Q82" s="46">
        <f>IFERROR(__xludf.DUMMYFUNCTION("GOOGLEFINANCE(CONCAT(""BVMF:"",A82),""high52"")"),17.08)</f>
        <v>17.08</v>
      </c>
      <c r="R82" s="42">
        <f t="shared" ref="R82:R90" si="34">Q82-P82</f>
        <v>6.33</v>
      </c>
      <c r="S82" s="47">
        <f>IFERROR(__xludf.DUMMYFUNCTION("googlefinance(CONCAT(""BVMF:"",A82),""volume"")"),8083000.0)</f>
        <v>8083000</v>
      </c>
      <c r="T82" s="47"/>
      <c r="U82" s="47"/>
      <c r="V82" s="47"/>
      <c r="W82" s="47"/>
      <c r="X82" s="47"/>
      <c r="Y82" s="47"/>
      <c r="Z82" s="47"/>
      <c r="AA82" s="47"/>
    </row>
    <row r="83">
      <c r="A83" s="36" t="s">
        <v>106</v>
      </c>
      <c r="B83" s="34"/>
      <c r="C83" s="36" t="s">
        <v>107</v>
      </c>
      <c r="D83" s="43">
        <v>38.0</v>
      </c>
      <c r="E83" s="43">
        <f t="shared" si="32"/>
        <v>27.42105263</v>
      </c>
      <c r="F83" s="47"/>
      <c r="G83" s="47"/>
      <c r="H83" s="47"/>
      <c r="I83" s="47"/>
      <c r="J83" s="42"/>
      <c r="K83" s="43">
        <f>IFERROR(__xludf.DUMMYFUNCTION("GOOGLEFINANCE(CONCAT(""BVMF:"",A83),""price"")"),48.42)</f>
        <v>48.42</v>
      </c>
      <c r="L83" s="47"/>
      <c r="M83" s="44">
        <f>IFERROR(__xludf.DUMMYFUNCTION("ROUND(((K83*100)/GOOGLEFINANCE(CONCAT(""BVMF:"",A83),""closeyest""))-100,2)/100"),-0.013600000000000001)</f>
        <v>-0.0136</v>
      </c>
      <c r="N83" s="45">
        <f>IFERROR(__xludf.DUMMYFUNCTION("ROUND(K83-(GOOGLEFINANCE(CONCAT(""BVMF:"",A83),""closeyest"")),2)"),-0.67)</f>
        <v>-0.67</v>
      </c>
      <c r="O83" s="42">
        <f t="shared" si="33"/>
        <v>86.96819496</v>
      </c>
      <c r="P83" s="42">
        <f>IFERROR(__xludf.DUMMYFUNCTION("GOOGLEFINANCE(CONCAT(""BVMF:"",A83),""low52"")"),42.11)</f>
        <v>42.11</v>
      </c>
      <c r="Q83" s="46">
        <f>IFERROR(__xludf.DUMMYFUNCTION("GOOGLEFINANCE(CONCAT(""BVMF:"",A83),""high52"")"),60.73)</f>
        <v>60.73</v>
      </c>
      <c r="R83" s="42">
        <f t="shared" si="34"/>
        <v>18.62</v>
      </c>
      <c r="S83" s="47">
        <f>IFERROR(__xludf.DUMMYFUNCTION("googlefinance(CONCAT(""BVMF:"",A83),""volume"")"),67400.0)</f>
        <v>67400</v>
      </c>
      <c r="T83" s="47"/>
      <c r="U83" s="47"/>
      <c r="V83" s="47"/>
      <c r="W83" s="47"/>
      <c r="X83" s="47"/>
      <c r="Y83" s="47"/>
      <c r="Z83" s="47"/>
      <c r="AA83" s="47"/>
    </row>
    <row r="84">
      <c r="A84" s="87" t="s">
        <v>108</v>
      </c>
      <c r="B84" s="88"/>
      <c r="C84" s="36" t="s">
        <v>109</v>
      </c>
      <c r="D84" s="36">
        <v>10.0</v>
      </c>
      <c r="E84" s="43">
        <f t="shared" si="32"/>
        <v>21.8</v>
      </c>
      <c r="F84" s="47"/>
      <c r="G84" s="47"/>
      <c r="H84" s="47"/>
      <c r="I84" s="47"/>
      <c r="J84" s="42"/>
      <c r="K84" s="89">
        <f>IFERROR(__xludf.DUMMYFUNCTION("GOOGLEFINANCE(CONCAT(""BVMF:"",A84),""price"")"),12.18)</f>
        <v>12.18</v>
      </c>
      <c r="L84" s="47"/>
      <c r="M84" s="44">
        <f>IFERROR(__xludf.DUMMYFUNCTION("ROUND(((K84*100)/GOOGLEFINANCE(CONCAT(""BVMF:"",A84),""closeyest""))-100,2)/100"),0.0175)</f>
        <v>0.0175</v>
      </c>
      <c r="N84" s="45">
        <f>IFERROR(__xludf.DUMMYFUNCTION("ROUND(K84-(GOOGLEFINANCE(CONCAT(""BVMF:"",A84),""closeyest"")),2)"),0.21)</f>
        <v>0.21</v>
      </c>
      <c r="O84" s="42">
        <f t="shared" si="33"/>
        <v>81.69129721</v>
      </c>
      <c r="P84" s="42">
        <f>IFERROR(__xludf.DUMMYFUNCTION("GOOGLEFINANCE(CONCAT(""BVMF:"",A84),""low52"")"),9.95)</f>
        <v>9.95</v>
      </c>
      <c r="Q84" s="46">
        <f>IFERROR(__xludf.DUMMYFUNCTION("GOOGLEFINANCE(CONCAT(""BVMF:"",A84),""high52"")"),13.98)</f>
        <v>13.98</v>
      </c>
      <c r="R84" s="42">
        <f t="shared" si="34"/>
        <v>4.03</v>
      </c>
      <c r="S84" s="47">
        <f>IFERROR(__xludf.DUMMYFUNCTION("googlefinance(CONCAT(""BVMF:"",A84),""volume"")"),1.05805E7)</f>
        <v>10580500</v>
      </c>
      <c r="T84" s="47"/>
      <c r="U84" s="47"/>
      <c r="V84" s="47"/>
      <c r="W84" s="47"/>
      <c r="X84" s="47"/>
      <c r="Y84" s="47"/>
      <c r="Z84" s="47"/>
      <c r="AA84" s="47"/>
    </row>
    <row r="85">
      <c r="A85" s="87" t="s">
        <v>110</v>
      </c>
      <c r="B85" s="34"/>
      <c r="C85" s="36" t="s">
        <v>111</v>
      </c>
      <c r="D85" s="36">
        <v>9.0</v>
      </c>
      <c r="E85" s="43">
        <f t="shared" si="32"/>
        <v>38.44444444</v>
      </c>
      <c r="F85" s="47"/>
      <c r="G85" s="47"/>
      <c r="H85" s="47"/>
      <c r="I85" s="47"/>
      <c r="J85" s="42"/>
      <c r="K85" s="89">
        <f>IFERROR(__xludf.DUMMYFUNCTION("GOOGLEFINANCE(CONCAT(""BVMF:"",A85),""price"")"),12.46)</f>
        <v>12.46</v>
      </c>
      <c r="L85" s="42"/>
      <c r="M85" s="44">
        <f>IFERROR(__xludf.DUMMYFUNCTION("ROUND(((K85*100)/GOOGLEFINANCE(CONCAT(""BVMF:"",A85),""closeyest""))-100,2)/100"),0.0171)</f>
        <v>0.0171</v>
      </c>
      <c r="N85" s="45">
        <f>IFERROR(__xludf.DUMMYFUNCTION("ROUND(K85-(GOOGLEFINANCE(CONCAT(""BVMF:"",A85),""closeyest"")),2)"),0.21)</f>
        <v>0.21</v>
      </c>
      <c r="O85" s="42">
        <f t="shared" si="33"/>
        <v>78.25040128</v>
      </c>
      <c r="P85" s="42">
        <f>IFERROR(__xludf.DUMMYFUNCTION("GOOGLEFINANCE(CONCAT(""BVMF:"",A85),""low52"")"),9.75)</f>
        <v>9.75</v>
      </c>
      <c r="Q85" s="46">
        <f>IFERROR(__xludf.DUMMYFUNCTION("GOOGLEFINANCE(CONCAT(""BVMF:"",A85),""high52"")"),13.16)</f>
        <v>13.16</v>
      </c>
      <c r="R85" s="42">
        <f t="shared" si="34"/>
        <v>3.41</v>
      </c>
      <c r="S85" s="47">
        <f>IFERROR(__xludf.DUMMYFUNCTION("googlefinance(CONCAT(""BVMF:"",A85),""volume"")"),209700.0)</f>
        <v>209700</v>
      </c>
      <c r="T85" s="47"/>
      <c r="U85" s="47"/>
      <c r="V85" s="47"/>
      <c r="W85" s="47"/>
      <c r="X85" s="47"/>
      <c r="Y85" s="47"/>
      <c r="Z85" s="47"/>
      <c r="AA85" s="47"/>
    </row>
    <row r="86">
      <c r="A86" s="87" t="s">
        <v>112</v>
      </c>
      <c r="B86" s="34"/>
      <c r="C86" s="36" t="s">
        <v>113</v>
      </c>
      <c r="D86" s="36"/>
      <c r="E86" s="43"/>
      <c r="F86" s="47"/>
      <c r="G86" s="47"/>
      <c r="H86" s="47"/>
      <c r="I86" s="47"/>
      <c r="J86" s="42"/>
      <c r="K86" s="89">
        <f>IFERROR(__xludf.DUMMYFUNCTION("GOOGLEFINANCE(CONCAT(""BVMF:"",A86),""price"")"),22.05)</f>
        <v>22.05</v>
      </c>
      <c r="L86" s="42"/>
      <c r="M86" s="44">
        <f>IFERROR(__xludf.DUMMYFUNCTION("ROUND(((K86*100)/GOOGLEFINANCE(CONCAT(""BVMF:"",A86),""closeyest""))-100,2)/100"),0.0101)</f>
        <v>0.0101</v>
      </c>
      <c r="N86" s="45">
        <f>IFERROR(__xludf.DUMMYFUNCTION("ROUND(K86-(GOOGLEFINANCE(CONCAT(""BVMF:"",A86),""closeyest"")),2)"),0.22)</f>
        <v>0.22</v>
      </c>
      <c r="O86" s="42">
        <f t="shared" si="33"/>
        <v>89.43310658</v>
      </c>
      <c r="P86" s="42">
        <f>IFERROR(__xludf.DUMMYFUNCTION("GOOGLEFINANCE(CONCAT(""BVMF:"",A86),""low52"")"),19.72)</f>
        <v>19.72</v>
      </c>
      <c r="Q86" s="46">
        <f>IFERROR(__xludf.DUMMYFUNCTION("GOOGLEFINANCE(CONCAT(""BVMF:"",A86),""high52"")"),26.02)</f>
        <v>26.02</v>
      </c>
      <c r="R86" s="42">
        <f t="shared" si="34"/>
        <v>6.3</v>
      </c>
      <c r="S86" s="47">
        <f>IFERROR(__xludf.DUMMYFUNCTION("googlefinance(CONCAT(""BVMF:"",A86),""volume"")"),25000.0)</f>
        <v>25000</v>
      </c>
      <c r="T86" s="47"/>
      <c r="U86" s="47"/>
      <c r="V86" s="47"/>
      <c r="W86" s="47"/>
      <c r="X86" s="47"/>
      <c r="Y86" s="47"/>
      <c r="Z86" s="47"/>
      <c r="AA86" s="47"/>
    </row>
    <row r="87">
      <c r="A87" s="87" t="s">
        <v>114</v>
      </c>
      <c r="B87" s="34"/>
      <c r="C87" s="36" t="s">
        <v>113</v>
      </c>
      <c r="D87" s="36"/>
      <c r="E87" s="43"/>
      <c r="F87" s="47"/>
      <c r="G87" s="47"/>
      <c r="H87" s="47"/>
      <c r="I87" s="47"/>
      <c r="J87" s="42"/>
      <c r="K87" s="89">
        <f>IFERROR(__xludf.DUMMYFUNCTION("GOOGLEFINANCE(CONCAT(""BVMF:"",A87),""price"")"),24.6)</f>
        <v>24.6</v>
      </c>
      <c r="L87" s="42"/>
      <c r="M87" s="44">
        <f>IFERROR(__xludf.DUMMYFUNCTION("ROUND(((K87*100)/GOOGLEFINANCE(CONCAT(""BVMF:"",A87),""closeyest""))-100,2)/100"),0.0149)</f>
        <v>0.0149</v>
      </c>
      <c r="N87" s="45">
        <f>IFERROR(__xludf.DUMMYFUNCTION("ROUND(K87-(GOOGLEFINANCE(CONCAT(""BVMF:"",A87),""closeyest"")),2)"),0.36)</f>
        <v>0.36</v>
      </c>
      <c r="O87" s="42">
        <f t="shared" si="33"/>
        <v>86.2195122</v>
      </c>
      <c r="P87" s="42">
        <f>IFERROR(__xludf.DUMMYFUNCTION("GOOGLEFINANCE(CONCAT(""BVMF:"",A87),""low52"")"),21.21)</f>
        <v>21.21</v>
      </c>
      <c r="Q87" s="46">
        <f>IFERROR(__xludf.DUMMYFUNCTION("GOOGLEFINANCE(CONCAT(""BVMF:"",A87),""high52"")"),30.83)</f>
        <v>30.83</v>
      </c>
      <c r="R87" s="42">
        <f t="shared" si="34"/>
        <v>9.62</v>
      </c>
      <c r="S87" s="47">
        <f>IFERROR(__xludf.DUMMYFUNCTION("googlefinance(CONCAT(""BVMF:"",A87),""volume"")"),5406500.0)</f>
        <v>5406500</v>
      </c>
      <c r="T87" s="47"/>
      <c r="U87" s="47"/>
      <c r="V87" s="47"/>
      <c r="W87" s="47"/>
      <c r="X87" s="47"/>
      <c r="Y87" s="47"/>
      <c r="Z87" s="47"/>
      <c r="AA87" s="47"/>
    </row>
    <row r="88">
      <c r="A88" s="36" t="s">
        <v>115</v>
      </c>
      <c r="B88" s="47"/>
      <c r="C88" s="36" t="s">
        <v>116</v>
      </c>
      <c r="D88" s="47"/>
      <c r="E88" s="43"/>
      <c r="F88" s="47"/>
      <c r="G88" s="47"/>
      <c r="H88" s="47"/>
      <c r="I88" s="47"/>
      <c r="J88" s="47"/>
      <c r="K88" s="43">
        <f>IFERROR(__xludf.DUMMYFUNCTION("GOOGLEFINANCE(CONCAT(""BVMF:"",A88),""price"")"),7.38)</f>
        <v>7.38</v>
      </c>
      <c r="L88" s="47"/>
      <c r="M88" s="44">
        <f>IFERROR(__xludf.DUMMYFUNCTION("ROUND(((K88*100)/GOOGLEFINANCE(CONCAT(""BVMF:"",A88),""closeyest""))-100,2)/100"),-0.018600000000000002)</f>
        <v>-0.0186</v>
      </c>
      <c r="N88" s="45">
        <f>IFERROR(__xludf.DUMMYFUNCTION("ROUND(K88-(GOOGLEFINANCE(CONCAT(""BVMF:"",A88),""closeyest"")),2)"),-0.14)</f>
        <v>-0.14</v>
      </c>
      <c r="O88" s="42">
        <f t="shared" si="33"/>
        <v>78.99728997</v>
      </c>
      <c r="P88" s="42">
        <f>IFERROR(__xludf.DUMMYFUNCTION("GOOGLEFINANCE(CONCAT(""BVMF:"",A88),""low52"")"),5.83)</f>
        <v>5.83</v>
      </c>
      <c r="Q88" s="46">
        <f>IFERROR(__xludf.DUMMYFUNCTION("GOOGLEFINANCE(CONCAT(""BVMF:"",A88),""high52"")"),8.47)</f>
        <v>8.47</v>
      </c>
      <c r="R88" s="42">
        <f t="shared" si="34"/>
        <v>2.64</v>
      </c>
      <c r="S88" s="47">
        <f>IFERROR(__xludf.DUMMYFUNCTION("googlefinance(CONCAT(""BVMF:"",A88),""volume"")"),145700.0)</f>
        <v>145700</v>
      </c>
      <c r="T88" s="47"/>
      <c r="U88" s="47"/>
      <c r="V88" s="47"/>
      <c r="W88" s="47"/>
      <c r="X88" s="47"/>
      <c r="Y88" s="47"/>
      <c r="Z88" s="47"/>
      <c r="AA88" s="47"/>
    </row>
    <row r="89">
      <c r="A89" s="36" t="s">
        <v>117</v>
      </c>
      <c r="B89" s="47"/>
      <c r="C89" s="36" t="s">
        <v>118</v>
      </c>
      <c r="D89" s="43">
        <v>6.23</v>
      </c>
      <c r="E89" s="43">
        <f>(K89*100)/D89-100</f>
        <v>20.2247191</v>
      </c>
      <c r="F89" s="47"/>
      <c r="G89" s="47"/>
      <c r="H89" s="47"/>
      <c r="I89" s="47"/>
      <c r="J89" s="47"/>
      <c r="K89" s="43">
        <f>IFERROR(__xludf.DUMMYFUNCTION("GOOGLEFINANCE(CONCAT(""BVMF:"",A89),""price"")"),7.49)</f>
        <v>7.49</v>
      </c>
      <c r="L89" s="47"/>
      <c r="M89" s="44">
        <f>IFERROR(__xludf.DUMMYFUNCTION("ROUND(((K89*100)/GOOGLEFINANCE(CONCAT(""BVMF:"",A89),""closeyest""))-100,2)/100"),-0.011899999999999999)</f>
        <v>-0.0119</v>
      </c>
      <c r="N89" s="45">
        <f>IFERROR(__xludf.DUMMYFUNCTION("ROUND(K89-(GOOGLEFINANCE(CONCAT(""BVMF:"",A89),""closeyest"")),2)"),-0.09)</f>
        <v>-0.09</v>
      </c>
      <c r="O89" s="42">
        <f t="shared" si="33"/>
        <v>77.9706275</v>
      </c>
      <c r="P89" s="42">
        <f>IFERROR(__xludf.DUMMYFUNCTION("GOOGLEFINANCE(CONCAT(""BVMF:"",A89),""low52"")"),5.84)</f>
        <v>5.84</v>
      </c>
      <c r="Q89" s="46">
        <f>IFERROR(__xludf.DUMMYFUNCTION("GOOGLEFINANCE(CONCAT(""BVMF:"",A89),""high52"")"),8.27)</f>
        <v>8.27</v>
      </c>
      <c r="R89" s="42">
        <f t="shared" si="34"/>
        <v>2.43</v>
      </c>
      <c r="S89" s="47">
        <f>IFERROR(__xludf.DUMMYFUNCTION("googlefinance(CONCAT(""BVMF:"",A89),""volume"")"),6606300.0)</f>
        <v>6606300</v>
      </c>
      <c r="T89" s="47"/>
      <c r="U89" s="47"/>
      <c r="V89" s="47"/>
      <c r="W89" s="47"/>
      <c r="X89" s="47"/>
      <c r="Y89" s="47"/>
      <c r="Z89" s="47"/>
      <c r="AA89" s="47"/>
    </row>
    <row r="90">
      <c r="A90" s="36" t="s">
        <v>119</v>
      </c>
      <c r="B90" s="47"/>
      <c r="C90" s="36" t="s">
        <v>120</v>
      </c>
      <c r="D90" s="47"/>
      <c r="E90" s="47"/>
      <c r="F90" s="47"/>
      <c r="G90" s="47"/>
      <c r="H90" s="47"/>
      <c r="I90" s="47"/>
      <c r="J90" s="47"/>
      <c r="K90" s="43">
        <f>IFERROR(__xludf.DUMMYFUNCTION("GOOGLEFINANCE(CONCAT(""BVMF:"",A90),""price"")"),26.11)</f>
        <v>26.11</v>
      </c>
      <c r="L90" s="47"/>
      <c r="M90" s="44">
        <f>IFERROR(__xludf.DUMMYFUNCTION("ROUND(((K90*100)/GOOGLEFINANCE(CONCAT(""BVMF:"",A90),""closeyest""))-100,2)/100"),-0.0102)</f>
        <v>-0.0102</v>
      </c>
      <c r="N90" s="45">
        <f>IFERROR(__xludf.DUMMYFUNCTION("ROUND(K90-(GOOGLEFINANCE(CONCAT(""BVMF:"",A90),""closeyest"")),2)"),-0.27)</f>
        <v>-0.27</v>
      </c>
      <c r="O90" s="42">
        <f t="shared" si="33"/>
        <v>80.16085791</v>
      </c>
      <c r="P90" s="42">
        <f>IFERROR(__xludf.DUMMYFUNCTION("GOOGLEFINANCE(CONCAT(""BVMF:"",A90),""low52"")"),20.93)</f>
        <v>20.93</v>
      </c>
      <c r="Q90" s="46">
        <f>IFERROR(__xludf.DUMMYFUNCTION("GOOGLEFINANCE(CONCAT(""BVMF:"",A90),""high52"")"),28.82)</f>
        <v>28.82</v>
      </c>
      <c r="R90" s="42">
        <f t="shared" si="34"/>
        <v>7.89</v>
      </c>
      <c r="S90" s="47">
        <f>IFERROR(__xludf.DUMMYFUNCTION("googlefinance(CONCAT(""BVMF:"",A90),""volume"")"),211200.0)</f>
        <v>211200</v>
      </c>
      <c r="T90" s="47"/>
      <c r="U90" s="47"/>
      <c r="V90" s="47"/>
      <c r="W90" s="47"/>
      <c r="X90" s="47"/>
      <c r="Y90" s="47"/>
      <c r="Z90" s="47"/>
      <c r="AA90" s="47"/>
    </row>
    <row r="91"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3">
      <c r="A93" s="90" t="s">
        <v>121</v>
      </c>
      <c r="B93" s="34"/>
      <c r="C93" s="36" t="s">
        <v>122</v>
      </c>
      <c r="D93" s="36">
        <v>10.0</v>
      </c>
      <c r="E93" s="43">
        <f t="shared" ref="E93:E95" si="35">(K93*100)/D93-100</f>
        <v>266.6</v>
      </c>
      <c r="F93" s="47"/>
      <c r="G93" s="47"/>
      <c r="H93" s="47"/>
      <c r="I93" s="47"/>
      <c r="J93" s="42"/>
      <c r="K93" s="91">
        <f>IFERROR(__xludf.DUMMYFUNCTION("GOOGLEFINANCE(CONCAT(""BVMF:"",A93),""price"")"),36.66)</f>
        <v>36.66</v>
      </c>
      <c r="L93" s="42"/>
      <c r="M93" s="44">
        <f>IFERROR(__xludf.DUMMYFUNCTION("ROUND(((K93*100)/GOOGLEFINANCE(CONCAT(""BVMF:"",A93),""closeyest""))-100,2)/100"),0.031200000000000002)</f>
        <v>0.0312</v>
      </c>
      <c r="N93" s="45">
        <f>IFERROR(__xludf.DUMMYFUNCTION("ROUND(K93-(GOOGLEFINANCE(CONCAT(""BVMF:"",A93),""closeyest"")),2)"),1.11)</f>
        <v>1.11</v>
      </c>
      <c r="O93" s="42">
        <f t="shared" ref="O93:O100" si="36">(P93*100)/K93</f>
        <v>45.82651391</v>
      </c>
      <c r="P93" s="42">
        <f>IFERROR(__xludf.DUMMYFUNCTION("GOOGLEFINANCE(CONCAT(""BVMF:"",A93),""low52"")"),16.8)</f>
        <v>16.8</v>
      </c>
      <c r="Q93" s="46">
        <f>IFERROR(__xludf.DUMMYFUNCTION("GOOGLEFINANCE(CONCAT(""BVMF:"",A93),""high52"")"),38.86)</f>
        <v>38.86</v>
      </c>
      <c r="R93" s="42">
        <f t="shared" ref="R93:R100" si="37">Q93-P93</f>
        <v>22.06</v>
      </c>
      <c r="S93" s="47">
        <f>IFERROR(__xludf.DUMMYFUNCTION("googlefinance(CONCAT(""BVMF:"",A93),""volume"")"),4.74403E7)</f>
        <v>47440300</v>
      </c>
      <c r="T93" s="47"/>
      <c r="U93" s="47"/>
      <c r="V93" s="47"/>
      <c r="W93" s="47"/>
      <c r="X93" s="47"/>
      <c r="Y93" s="47"/>
      <c r="Z93" s="47"/>
      <c r="AA93" s="47"/>
    </row>
    <row r="94">
      <c r="A94" s="90" t="s">
        <v>123</v>
      </c>
      <c r="B94" s="34"/>
      <c r="C94" s="36" t="s">
        <v>122</v>
      </c>
      <c r="D94" s="36">
        <v>12.0</v>
      </c>
      <c r="E94" s="43">
        <f t="shared" si="35"/>
        <v>229.0833333</v>
      </c>
      <c r="F94" s="47"/>
      <c r="G94" s="47"/>
      <c r="H94" s="47"/>
      <c r="I94" s="47"/>
      <c r="J94" s="42"/>
      <c r="K94" s="91">
        <f>IFERROR(__xludf.DUMMYFUNCTION("GOOGLEFINANCE(CONCAT(""BVMF:"",A94),""price"")"),39.49)</f>
        <v>39.49</v>
      </c>
      <c r="L94" s="47"/>
      <c r="M94" s="44">
        <f>IFERROR(__xludf.DUMMYFUNCTION("ROUND(((K94*100)/GOOGLEFINANCE(CONCAT(""BVMF:"",A94),""closeyest""))-100,2)/100"),0.0414)</f>
        <v>0.0414</v>
      </c>
      <c r="N94" s="45">
        <f>IFERROR(__xludf.DUMMYFUNCTION("ROUND(K94-(GOOGLEFINANCE(CONCAT(""BVMF:"",A94),""closeyest"")),2)"),1.57)</f>
        <v>1.57</v>
      </c>
      <c r="O94" s="42">
        <f t="shared" si="36"/>
        <v>49.3542669</v>
      </c>
      <c r="P94" s="42">
        <f>IFERROR(__xludf.DUMMYFUNCTION("GOOGLEFINANCE(CONCAT(""BVMF:"",A94),""low52"")"),19.49)</f>
        <v>19.49</v>
      </c>
      <c r="Q94" s="46">
        <f>IFERROR(__xludf.DUMMYFUNCTION("GOOGLEFINANCE(CONCAT(""BVMF:"",A94),""high52"")"),41.86)</f>
        <v>41.86</v>
      </c>
      <c r="R94" s="42">
        <f t="shared" si="37"/>
        <v>22.37</v>
      </c>
      <c r="S94" s="47">
        <f>IFERROR(__xludf.DUMMYFUNCTION("googlefinance(CONCAT(""BVMF:"",A94),""volume"")"),7612600.0)</f>
        <v>7612600</v>
      </c>
      <c r="T94" s="47"/>
      <c r="U94" s="47"/>
      <c r="V94" s="47"/>
      <c r="W94" s="47"/>
      <c r="X94" s="47"/>
      <c r="Y94" s="47"/>
      <c r="Z94" s="47"/>
      <c r="AA94" s="47"/>
    </row>
    <row r="95">
      <c r="A95" s="36" t="s">
        <v>124</v>
      </c>
      <c r="B95" s="47"/>
      <c r="C95" s="36" t="s">
        <v>125</v>
      </c>
      <c r="D95" s="36">
        <v>17.2</v>
      </c>
      <c r="E95" s="43">
        <f t="shared" si="35"/>
        <v>11.80232558</v>
      </c>
      <c r="F95" s="47"/>
      <c r="G95" s="47"/>
      <c r="H95" s="47"/>
      <c r="I95" s="47"/>
      <c r="J95" s="47"/>
      <c r="K95" s="43">
        <f>IFERROR(__xludf.DUMMYFUNCTION("GOOGLEFINANCE(CONCAT(""BVMF:"",A95),""price"")"),19.23)</f>
        <v>19.23</v>
      </c>
      <c r="L95" s="47"/>
      <c r="M95" s="44">
        <f>IFERROR(__xludf.DUMMYFUNCTION("ROUND(((K95*100)/GOOGLEFINANCE(CONCAT(""BVMF:"",A95),""closeyest""))-100,2)/100"),0.011000000000000001)</f>
        <v>0.011</v>
      </c>
      <c r="N95" s="45">
        <f>IFERROR(__xludf.DUMMYFUNCTION("ROUND(K95-(GOOGLEFINANCE(CONCAT(""BVMF:"",A95),""closeyest"")),2)"),0.21)</f>
        <v>0.21</v>
      </c>
      <c r="O95" s="42">
        <f t="shared" si="36"/>
        <v>86.4274571</v>
      </c>
      <c r="P95" s="42">
        <f>IFERROR(__xludf.DUMMYFUNCTION("GOOGLEFINANCE(CONCAT(""BVMF:"",A95),""low52"")"),16.62)</f>
        <v>16.62</v>
      </c>
      <c r="Q95" s="46">
        <f>IFERROR(__xludf.DUMMYFUNCTION("GOOGLEFINANCE(CONCAT(""BVMF:"",A95),""high52"")"),33.98)</f>
        <v>33.98</v>
      </c>
      <c r="R95" s="42">
        <f t="shared" si="37"/>
        <v>17.36</v>
      </c>
      <c r="S95" s="47">
        <f>IFERROR(__xludf.DUMMYFUNCTION("googlefinance(CONCAT(""BVMF:"",A95),""volume"")"),1368600.0)</f>
        <v>1368600</v>
      </c>
      <c r="T95" s="47"/>
      <c r="U95" s="47"/>
      <c r="V95" s="47"/>
      <c r="W95" s="47"/>
      <c r="X95" s="47"/>
      <c r="Y95" s="47"/>
      <c r="Z95" s="47"/>
      <c r="AA95" s="47"/>
    </row>
    <row r="96">
      <c r="A96" s="36" t="s">
        <v>126</v>
      </c>
      <c r="B96" s="34"/>
      <c r="C96" s="36" t="s">
        <v>127</v>
      </c>
      <c r="D96" s="47"/>
      <c r="E96" s="43"/>
      <c r="F96" s="47"/>
      <c r="G96" s="47"/>
      <c r="H96" s="47"/>
      <c r="I96" s="47"/>
      <c r="J96" s="42"/>
      <c r="K96" s="43">
        <f>IFERROR(__xludf.DUMMYFUNCTION("GOOGLEFINANCE(CONCAT(""BVMF:"",A96),""price"")"),45.92)</f>
        <v>45.92</v>
      </c>
      <c r="L96" s="47"/>
      <c r="M96" s="44">
        <f>IFERROR(__xludf.DUMMYFUNCTION("ROUND(((K96*100)/GOOGLEFINANCE(CONCAT(""BVMF:"",A96),""closeyest""))-100,2)/100"),0.013000000000000001)</f>
        <v>0.013</v>
      </c>
      <c r="N96" s="45">
        <f>IFERROR(__xludf.DUMMYFUNCTION("ROUND(K96-(GOOGLEFINANCE(CONCAT(""BVMF:"",A96),""closeyest"")),2)"),0.59)</f>
        <v>0.59</v>
      </c>
      <c r="O96" s="42">
        <f t="shared" si="36"/>
        <v>63.17508711</v>
      </c>
      <c r="P96" s="42">
        <f>IFERROR(__xludf.DUMMYFUNCTION("GOOGLEFINANCE(CONCAT(""BVMF:"",A96),""low52"")"),29.01)</f>
        <v>29.01</v>
      </c>
      <c r="Q96" s="46">
        <f>IFERROR(__xludf.DUMMYFUNCTION("GOOGLEFINANCE(CONCAT(""BVMF:"",A96),""high52"")"),51.35)</f>
        <v>51.35</v>
      </c>
      <c r="R96" s="42">
        <f t="shared" si="37"/>
        <v>22.34</v>
      </c>
      <c r="S96" s="81">
        <f>IFERROR(__xludf.DUMMYFUNCTION("googlefinance(CONCAT(""BVMF:"",A96),""volume"")"),4636700.0)</f>
        <v>4636700</v>
      </c>
      <c r="T96" s="47"/>
      <c r="U96" s="47"/>
      <c r="V96" s="47"/>
      <c r="W96" s="47"/>
      <c r="X96" s="47"/>
      <c r="Y96" s="47"/>
      <c r="Z96" s="47"/>
      <c r="AA96" s="47"/>
    </row>
    <row r="97">
      <c r="A97" s="36" t="s">
        <v>128</v>
      </c>
      <c r="B97" s="34"/>
      <c r="C97" s="36" t="s">
        <v>129</v>
      </c>
      <c r="D97" s="36">
        <v>27.2</v>
      </c>
      <c r="E97" s="43">
        <f>(K97*100)/D97-100</f>
        <v>17.86764706</v>
      </c>
      <c r="F97" s="47"/>
      <c r="G97" s="47"/>
      <c r="H97" s="82"/>
      <c r="I97" s="82"/>
      <c r="J97" s="42"/>
      <c r="K97" s="43">
        <f>IFERROR(__xludf.DUMMYFUNCTION("GOOGLEFINANCE(CONCAT(""BVMF:"",A97),""price"")"),32.06)</f>
        <v>32.06</v>
      </c>
      <c r="L97" s="47"/>
      <c r="M97" s="44">
        <f>IFERROR(__xludf.DUMMYFUNCTION("ROUND(((K97*100)/GOOGLEFINANCE(CONCAT(""BVMF:"",A97),""closeyest""))-100,2)/100"),0.011699999999999999)</f>
        <v>0.0117</v>
      </c>
      <c r="N97" s="45">
        <f>IFERROR(__xludf.DUMMYFUNCTION("ROUND(K97-(GOOGLEFINANCE(CONCAT(""BVMF:"",A97),""closeyest"")),2)"),0.37)</f>
        <v>0.37</v>
      </c>
      <c r="O97" s="42">
        <f t="shared" si="36"/>
        <v>80.91079226</v>
      </c>
      <c r="P97" s="42">
        <f>IFERROR(__xludf.DUMMYFUNCTION("GOOGLEFINANCE(CONCAT(""BVMF:"",A97),""low52"")"),25.94)</f>
        <v>25.94</v>
      </c>
      <c r="Q97" s="46">
        <f>IFERROR(__xludf.DUMMYFUNCTION("GOOGLEFINANCE(CONCAT(""BVMF:"",A97),""high52"")"),49.41)</f>
        <v>49.41</v>
      </c>
      <c r="R97" s="42">
        <f t="shared" si="37"/>
        <v>23.47</v>
      </c>
      <c r="S97" s="81">
        <f>IFERROR(__xludf.DUMMYFUNCTION("googlefinance(CONCAT(""BVMF:"",A97),""volume"")"),1941800.0)</f>
        <v>1941800</v>
      </c>
      <c r="T97" s="47"/>
      <c r="U97" s="47"/>
      <c r="V97" s="47"/>
      <c r="W97" s="47"/>
      <c r="X97" s="47"/>
      <c r="Y97" s="47"/>
      <c r="Z97" s="47"/>
      <c r="AA97" s="47"/>
    </row>
    <row r="98">
      <c r="A98" s="36" t="s">
        <v>130</v>
      </c>
      <c r="B98" s="34"/>
      <c r="C98" s="36" t="s">
        <v>131</v>
      </c>
      <c r="D98" s="47"/>
      <c r="E98" s="43"/>
      <c r="F98" s="47"/>
      <c r="G98" s="47"/>
      <c r="H98" s="82"/>
      <c r="I98" s="82"/>
      <c r="J98" s="42"/>
      <c r="K98" s="43">
        <f>IFERROR(__xludf.DUMMYFUNCTION("GOOGLEFINANCE(CONCAT(""BVMF:"",A98),""price"")"),34.86)</f>
        <v>34.86</v>
      </c>
      <c r="L98" s="47"/>
      <c r="M98" s="44">
        <f>IFERROR(__xludf.DUMMYFUNCTION("ROUND(((K98*100)/GOOGLEFINANCE(CONCAT(""BVMF:"",A98),""closeyest""))-100,2)/100"),0.0259)</f>
        <v>0.0259</v>
      </c>
      <c r="N98" s="45">
        <f>IFERROR(__xludf.DUMMYFUNCTION("ROUND(K98-(GOOGLEFINANCE(CONCAT(""BVMF:"",A98),""closeyest"")),2)"),0.88)</f>
        <v>0.88</v>
      </c>
      <c r="O98" s="42">
        <f t="shared" si="36"/>
        <v>59.1222031</v>
      </c>
      <c r="P98" s="42">
        <f>IFERROR(__xludf.DUMMYFUNCTION("GOOGLEFINANCE(CONCAT(""BVMF:"",A98),""low52"")"),20.61)</f>
        <v>20.61</v>
      </c>
      <c r="Q98" s="46">
        <f>IFERROR(__xludf.DUMMYFUNCTION("GOOGLEFINANCE(CONCAT(""BVMF:"",A98),""high52"")"),41.26)</f>
        <v>41.26</v>
      </c>
      <c r="R98" s="42">
        <f t="shared" si="37"/>
        <v>20.65</v>
      </c>
      <c r="S98" s="81">
        <f>IFERROR(__xludf.DUMMYFUNCTION("googlefinance(CONCAT(""BVMF:"",A98),""volume"")"),919500.0)</f>
        <v>919500</v>
      </c>
      <c r="T98" s="47"/>
      <c r="U98" s="47"/>
      <c r="V98" s="47"/>
      <c r="W98" s="47"/>
      <c r="X98" s="47"/>
      <c r="Y98" s="47"/>
      <c r="Z98" s="47"/>
      <c r="AA98" s="47"/>
    </row>
    <row r="99">
      <c r="A99" s="36" t="s">
        <v>132</v>
      </c>
      <c r="B99" s="34"/>
      <c r="C99" s="36" t="s">
        <v>133</v>
      </c>
      <c r="D99" s="36">
        <v>17.8</v>
      </c>
      <c r="E99" s="43">
        <f t="shared" ref="E99:E100" si="38">(K99*100)/D99-100</f>
        <v>21.12359551</v>
      </c>
      <c r="F99" s="47"/>
      <c r="G99" s="47"/>
      <c r="H99" s="82"/>
      <c r="I99" s="82"/>
      <c r="J99" s="42"/>
      <c r="K99" s="43">
        <f>IFERROR(__xludf.DUMMYFUNCTION("GOOGLEFINANCE(CONCAT(""BVMF:"",A99),""price"")"),21.56)</f>
        <v>21.56</v>
      </c>
      <c r="L99" s="47"/>
      <c r="M99" s="44">
        <f>IFERROR(__xludf.DUMMYFUNCTION("ROUND(((K99*100)/GOOGLEFINANCE(CONCAT(""BVMF:"",A99),""closeyest""))-100,2)/100"),-0.0074)</f>
        <v>-0.0074</v>
      </c>
      <c r="N99" s="45">
        <f>IFERROR(__xludf.DUMMYFUNCTION("ROUND(K99-(GOOGLEFINANCE(CONCAT(""BVMF:"",A99),""closeyest"")),2)"),-0.16)</f>
        <v>-0.16</v>
      </c>
      <c r="O99" s="42">
        <f t="shared" si="36"/>
        <v>55.19480519</v>
      </c>
      <c r="P99" s="42">
        <f>IFERROR(__xludf.DUMMYFUNCTION("GOOGLEFINANCE(CONCAT(""BVMF:"",A99),""low52"")"),11.9)</f>
        <v>11.9</v>
      </c>
      <c r="Q99" s="46">
        <f>IFERROR(__xludf.DUMMYFUNCTION("GOOGLEFINANCE(CONCAT(""BVMF:"",A99),""high52"")"),22.2)</f>
        <v>22.2</v>
      </c>
      <c r="R99" s="42">
        <f t="shared" si="37"/>
        <v>10.3</v>
      </c>
      <c r="S99" s="81">
        <f>IFERROR(__xludf.DUMMYFUNCTION("googlefinance(CONCAT(""BVMF:"",A99),""volume"")"),6562500.0)</f>
        <v>6562500</v>
      </c>
      <c r="T99" s="47"/>
      <c r="U99" s="47"/>
      <c r="V99" s="47"/>
      <c r="W99" s="47"/>
      <c r="X99" s="47"/>
      <c r="Y99" s="47"/>
      <c r="Z99" s="47"/>
      <c r="AA99" s="47"/>
    </row>
    <row r="100">
      <c r="A100" s="36" t="s">
        <v>74</v>
      </c>
      <c r="B100" s="47"/>
      <c r="C100" s="36" t="s">
        <v>75</v>
      </c>
      <c r="D100" s="36">
        <v>24.8</v>
      </c>
      <c r="E100" s="43">
        <f t="shared" si="38"/>
        <v>-18.14516129</v>
      </c>
      <c r="F100" s="47"/>
      <c r="G100" s="47"/>
      <c r="H100" s="47"/>
      <c r="I100" s="47"/>
      <c r="J100" s="47"/>
      <c r="K100" s="43">
        <f>IFERROR(__xludf.DUMMYFUNCTION("GOOGLEFINANCE(CONCAT(""BVMF:"",A100),""price"")"),20.3)</f>
        <v>20.3</v>
      </c>
      <c r="L100" s="47"/>
      <c r="M100" s="44">
        <f>IFERROR(__xludf.DUMMYFUNCTION("ROUND(((K100*100)/GOOGLEFINANCE(CONCAT(""BVMF:"",A100),""closeyest""))-100,2)/100"),0.024700000000000003)</f>
        <v>0.0247</v>
      </c>
      <c r="N100" s="45">
        <f>IFERROR(__xludf.DUMMYFUNCTION("ROUND(K100-(GOOGLEFINANCE(CONCAT(""BVMF:"",A100),""closeyest"")),2)"),0.49)</f>
        <v>0.49</v>
      </c>
      <c r="O100" s="42">
        <f t="shared" si="36"/>
        <v>77.5862069</v>
      </c>
      <c r="P100" s="42">
        <f>IFERROR(__xludf.DUMMYFUNCTION("GOOGLEFINANCE(CONCAT(""BVMF:"",A100),""low52"")"),15.75)</f>
        <v>15.75</v>
      </c>
      <c r="Q100" s="46">
        <f>IFERROR(__xludf.DUMMYFUNCTION("GOOGLEFINANCE(CONCAT(""BVMF:"",A100),""high52"")"),31.54)</f>
        <v>31.54</v>
      </c>
      <c r="R100" s="42">
        <f t="shared" si="37"/>
        <v>15.79</v>
      </c>
      <c r="S100" s="81">
        <f>IFERROR(__xludf.DUMMYFUNCTION("googlefinance(CONCAT(""BVMF:"",A100),""volume"")"),1979700.0)</f>
        <v>1979700</v>
      </c>
      <c r="T100" s="47"/>
      <c r="U100" s="47"/>
      <c r="V100" s="47"/>
      <c r="W100" s="47"/>
      <c r="X100" s="47"/>
      <c r="Y100" s="47"/>
      <c r="Z100" s="47"/>
      <c r="AA100" s="47"/>
    </row>
    <row r="103">
      <c r="A103" s="36" t="s">
        <v>134</v>
      </c>
      <c r="B103" s="34"/>
      <c r="C103" s="36" t="s">
        <v>135</v>
      </c>
      <c r="D103" s="36">
        <v>5.75</v>
      </c>
      <c r="E103" s="43">
        <f>(K103*100)/D103-100</f>
        <v>18.08695652</v>
      </c>
      <c r="F103" s="47"/>
      <c r="G103" s="47"/>
      <c r="H103" s="82"/>
      <c r="I103" s="82"/>
      <c r="J103" s="42"/>
      <c r="K103" s="43">
        <f>IFERROR(__xludf.DUMMYFUNCTION("GOOGLEFINANCE(CONCAT(""BVMF:"",A103),""price"")"),6.79)</f>
        <v>6.79</v>
      </c>
      <c r="L103" s="47"/>
      <c r="M103" s="44">
        <f>IFERROR(__xludf.DUMMYFUNCTION("ROUND(((K103*100)/GOOGLEFINANCE(CONCAT(""BVMF:"",A103),""closeyest""))-100,2)/100"),-0.0044)</f>
        <v>-0.0044</v>
      </c>
      <c r="N103" s="45">
        <f>IFERROR(__xludf.DUMMYFUNCTION("ROUND(K103-(GOOGLEFINANCE(CONCAT(""BVMF:"",A103),""closeyest"")),2)"),-0.03)</f>
        <v>-0.03</v>
      </c>
      <c r="O103" s="42">
        <f t="shared" ref="O103:O109" si="39">(P103*100)/K103</f>
        <v>82.03240059</v>
      </c>
      <c r="P103" s="42">
        <f>IFERROR(__xludf.DUMMYFUNCTION("GOOGLEFINANCE(CONCAT(""BVMF:"",A103),""low52"")"),5.57)</f>
        <v>5.57</v>
      </c>
      <c r="Q103" s="46">
        <f>IFERROR(__xludf.DUMMYFUNCTION("GOOGLEFINANCE(CONCAT(""BVMF:"",A103),""high52"")"),6.85)</f>
        <v>6.85</v>
      </c>
      <c r="R103" s="42">
        <f t="shared" ref="R103:R109" si="40">Q103-P103</f>
        <v>1.28</v>
      </c>
      <c r="S103" s="81">
        <f>IFERROR(__xludf.DUMMYFUNCTION("googlefinance(CONCAT(""BVMF:"",A103),""volume"")"),9100.0)</f>
        <v>9100</v>
      </c>
      <c r="T103" s="47"/>
      <c r="U103" s="47"/>
      <c r="V103" s="47"/>
      <c r="W103" s="47"/>
      <c r="X103" s="47"/>
      <c r="Y103" s="47"/>
      <c r="Z103" s="47"/>
      <c r="AA103" s="47"/>
    </row>
    <row r="104">
      <c r="A104" s="36" t="s">
        <v>136</v>
      </c>
      <c r="B104" s="34"/>
      <c r="C104" s="36" t="s">
        <v>137</v>
      </c>
      <c r="D104" s="47"/>
      <c r="E104" s="43"/>
      <c r="F104" s="47"/>
      <c r="G104" s="47"/>
      <c r="H104" s="82"/>
      <c r="I104" s="82"/>
      <c r="J104" s="42"/>
      <c r="K104" s="43">
        <f>IFERROR(__xludf.DUMMYFUNCTION("GOOGLEFINANCE(CONCAT(""BVMF:"",A104),""price"")"),36.85)</f>
        <v>36.85</v>
      </c>
      <c r="L104" s="47"/>
      <c r="M104" s="44">
        <f>IFERROR(__xludf.DUMMYFUNCTION("ROUND(((K104*100)/GOOGLEFINANCE(CONCAT(""BVMF:"",A104),""closeyest""))-100,2)/100"),0.0049)</f>
        <v>0.0049</v>
      </c>
      <c r="N104" s="45">
        <f>IFERROR(__xludf.DUMMYFUNCTION("ROUND(K104-(GOOGLEFINANCE(CONCAT(""BVMF:"",A104),""closeyest"")),2)"),0.18)</f>
        <v>0.18</v>
      </c>
      <c r="O104" s="42">
        <f t="shared" si="39"/>
        <v>71.96743555</v>
      </c>
      <c r="P104" s="42">
        <f>IFERROR(__xludf.DUMMYFUNCTION("GOOGLEFINANCE(CONCAT(""BVMF:"",A104),""low52"")"),26.52)</f>
        <v>26.52</v>
      </c>
      <c r="Q104" s="46">
        <f>IFERROR(__xludf.DUMMYFUNCTION("GOOGLEFINANCE(CONCAT(""BVMF:"",A104),""high52"")"),37.1)</f>
        <v>37.1</v>
      </c>
      <c r="R104" s="42">
        <f t="shared" si="40"/>
        <v>10.58</v>
      </c>
      <c r="S104" s="47">
        <f>IFERROR(__xludf.DUMMYFUNCTION("googlefinance(CONCAT(""BVMF:"",A104),""volume"")"),609500.0)</f>
        <v>609500</v>
      </c>
      <c r="T104" s="47"/>
      <c r="U104" s="47"/>
      <c r="V104" s="47"/>
      <c r="W104" s="47"/>
      <c r="X104" s="47"/>
      <c r="Y104" s="47"/>
      <c r="Z104" s="47"/>
      <c r="AA104" s="47"/>
    </row>
    <row r="105">
      <c r="A105" s="36" t="s">
        <v>138</v>
      </c>
      <c r="B105" s="34"/>
      <c r="C105" s="36" t="s">
        <v>139</v>
      </c>
      <c r="D105" s="36">
        <v>10.5</v>
      </c>
      <c r="E105" s="43">
        <f t="shared" ref="E105:E107" si="41">(K105*100)/D105-100</f>
        <v>15.04761905</v>
      </c>
      <c r="F105" s="47"/>
      <c r="G105" s="47"/>
      <c r="H105" s="82"/>
      <c r="I105" s="82"/>
      <c r="J105" s="42"/>
      <c r="K105" s="43">
        <f>IFERROR(__xludf.DUMMYFUNCTION("GOOGLEFINANCE(CONCAT(""BVMF:"",A105),""price"")"),12.08)</f>
        <v>12.08</v>
      </c>
      <c r="L105" s="47"/>
      <c r="M105" s="44">
        <f>IFERROR(__xludf.DUMMYFUNCTION("ROUND(((K105*100)/GOOGLEFINANCE(CONCAT(""BVMF:"",A105),""closeyest""))-100,2)/100"),0.0025)</f>
        <v>0.0025</v>
      </c>
      <c r="N105" s="45">
        <f>IFERROR(__xludf.DUMMYFUNCTION("ROUND(K105-(GOOGLEFINANCE(CONCAT(""BVMF:"",A105),""closeyest"")),2)"),0.03)</f>
        <v>0.03</v>
      </c>
      <c r="O105" s="42">
        <f t="shared" si="39"/>
        <v>82.28476821</v>
      </c>
      <c r="P105" s="42">
        <f>IFERROR(__xludf.DUMMYFUNCTION("GOOGLEFINANCE(CONCAT(""BVMF:"",A105),""low52"")"),9.94)</f>
        <v>9.94</v>
      </c>
      <c r="Q105" s="46">
        <f>IFERROR(__xludf.DUMMYFUNCTION("GOOGLEFINANCE(CONCAT(""BVMF:"",A105),""high52"")"),12.44)</f>
        <v>12.44</v>
      </c>
      <c r="R105" s="42">
        <f t="shared" si="40"/>
        <v>2.5</v>
      </c>
      <c r="S105" s="81">
        <f>IFERROR(__xludf.DUMMYFUNCTION("googlefinance(CONCAT(""BVMF:"",A105),""volume"")"),132200.0)</f>
        <v>132200</v>
      </c>
      <c r="T105" s="47"/>
      <c r="U105" s="47"/>
      <c r="V105" s="47"/>
      <c r="W105" s="47"/>
      <c r="X105" s="47"/>
      <c r="Y105" s="47"/>
      <c r="Z105" s="47"/>
      <c r="AA105" s="47"/>
    </row>
    <row r="106">
      <c r="A106" s="36" t="s">
        <v>140</v>
      </c>
      <c r="B106" s="34"/>
      <c r="C106" s="36" t="s">
        <v>141</v>
      </c>
      <c r="D106" s="36">
        <v>10.5</v>
      </c>
      <c r="E106" s="43">
        <f t="shared" si="41"/>
        <v>15.42857143</v>
      </c>
      <c r="F106" s="47"/>
      <c r="G106" s="47"/>
      <c r="H106" s="82"/>
      <c r="I106" s="82"/>
      <c r="J106" s="42"/>
      <c r="K106" s="43">
        <f>IFERROR(__xludf.DUMMYFUNCTION("GOOGLEFINANCE(CONCAT(""BVMF:"",A106),""price"")"),12.12)</f>
        <v>12.12</v>
      </c>
      <c r="L106" s="47"/>
      <c r="M106" s="44">
        <f>IFERROR(__xludf.DUMMYFUNCTION("ROUND(((K106*100)/GOOGLEFINANCE(CONCAT(""BVMF:"",A106),""closeyest""))-100,2)/100"),0.0040999999999999995)</f>
        <v>0.0041</v>
      </c>
      <c r="N106" s="45">
        <f>IFERROR(__xludf.DUMMYFUNCTION("ROUND(K106-(GOOGLEFINANCE(CONCAT(""BVMF:"",A106),""closeyest"")),2)"),0.05)</f>
        <v>0.05</v>
      </c>
      <c r="O106" s="42">
        <f t="shared" si="39"/>
        <v>82.92079208</v>
      </c>
      <c r="P106" s="42">
        <f>IFERROR(__xludf.DUMMYFUNCTION("GOOGLEFINANCE(CONCAT(""BVMF:"",A106),""low52"")"),10.05)</f>
        <v>10.05</v>
      </c>
      <c r="Q106" s="46">
        <f>IFERROR(__xludf.DUMMYFUNCTION("GOOGLEFINANCE(CONCAT(""BVMF:"",A106),""high52"")"),12.27)</f>
        <v>12.27</v>
      </c>
      <c r="R106" s="42">
        <f t="shared" si="40"/>
        <v>2.22</v>
      </c>
      <c r="S106" s="81">
        <f>IFERROR(__xludf.DUMMYFUNCTION("googlefinance(CONCAT(""BVMF:"",A106),""volume"")"),141600.0)</f>
        <v>141600</v>
      </c>
      <c r="T106" s="47"/>
      <c r="U106" s="47"/>
      <c r="V106" s="47"/>
      <c r="W106" s="47"/>
      <c r="X106" s="47"/>
      <c r="Y106" s="47"/>
      <c r="Z106" s="47"/>
      <c r="AA106" s="47"/>
    </row>
    <row r="107">
      <c r="A107" s="36" t="s">
        <v>142</v>
      </c>
      <c r="B107" s="34"/>
      <c r="C107" s="36" t="s">
        <v>143</v>
      </c>
      <c r="D107" s="36">
        <v>32.0</v>
      </c>
      <c r="E107" s="43">
        <f t="shared" si="41"/>
        <v>13.5625</v>
      </c>
      <c r="F107" s="47"/>
      <c r="G107" s="47"/>
      <c r="H107" s="82"/>
      <c r="I107" s="82"/>
      <c r="J107" s="42"/>
      <c r="K107" s="43">
        <f>IFERROR(__xludf.DUMMYFUNCTION("GOOGLEFINANCE(CONCAT(""BVMF:"",A107),""price"")"),36.34)</f>
        <v>36.34</v>
      </c>
      <c r="L107" s="47"/>
      <c r="M107" s="44">
        <f>IFERROR(__xludf.DUMMYFUNCTION("ROUND(((K107*100)/GOOGLEFINANCE(CONCAT(""BVMF:"",A107),""closeyest""))-100,2)/100"),0.0022)</f>
        <v>0.0022</v>
      </c>
      <c r="N107" s="45">
        <f>IFERROR(__xludf.DUMMYFUNCTION("ROUND(K107-(GOOGLEFINANCE(CONCAT(""BVMF:"",A107),""closeyest"")),2)"),0.08)</f>
        <v>0.08</v>
      </c>
      <c r="O107" s="42">
        <f t="shared" si="39"/>
        <v>89.46064942</v>
      </c>
      <c r="P107" s="42">
        <f>IFERROR(__xludf.DUMMYFUNCTION("GOOGLEFINANCE(CONCAT(""BVMF:"",A107),""low52"")"),32.51)</f>
        <v>32.51</v>
      </c>
      <c r="Q107" s="46">
        <f>IFERROR(__xludf.DUMMYFUNCTION("GOOGLEFINANCE(CONCAT(""BVMF:"",A107),""high52"")"),38.35)</f>
        <v>38.35</v>
      </c>
      <c r="R107" s="42">
        <f t="shared" si="40"/>
        <v>5.84</v>
      </c>
      <c r="S107" s="81">
        <f>IFERROR(__xludf.DUMMYFUNCTION("googlefinance(CONCAT(""BVMF:"",A107),""volume"")"),2889200.0)</f>
        <v>2889200</v>
      </c>
      <c r="T107" s="47"/>
      <c r="U107" s="47"/>
      <c r="V107" s="47"/>
      <c r="W107" s="47"/>
      <c r="X107" s="47"/>
      <c r="Y107" s="47"/>
      <c r="Z107" s="47"/>
      <c r="AA107" s="47"/>
    </row>
    <row r="108">
      <c r="A108" s="92" t="s">
        <v>144</v>
      </c>
      <c r="B108" s="34"/>
      <c r="C108" s="36" t="s">
        <v>145</v>
      </c>
      <c r="D108" s="47"/>
      <c r="E108" s="47"/>
      <c r="F108" s="47"/>
      <c r="G108" s="47"/>
      <c r="H108" s="47"/>
      <c r="I108" s="47"/>
      <c r="J108" s="42"/>
      <c r="K108" s="93">
        <f>IFERROR(__xludf.DUMMYFUNCTION("GOOGLEFINANCE(CONCAT(""BVMF:"",A108),""price"")"),40.94)</f>
        <v>40.94</v>
      </c>
      <c r="L108" s="47"/>
      <c r="M108" s="44">
        <f>IFERROR(__xludf.DUMMYFUNCTION("ROUND(((K108*100)/GOOGLEFINANCE(CONCAT(""BVMF:"",A108),""closeyest""))-100,2)/100"),0.005600000000000001)</f>
        <v>0.0056</v>
      </c>
      <c r="N108" s="45">
        <f>IFERROR(__xludf.DUMMYFUNCTION("ROUND(K108-(GOOGLEFINANCE(CONCAT(""BVMF:"",A108),""closeyest"")),2)"),0.23)</f>
        <v>0.23</v>
      </c>
      <c r="O108" s="42">
        <f t="shared" si="39"/>
        <v>72.34978017</v>
      </c>
      <c r="P108" s="42">
        <f>IFERROR(__xludf.DUMMYFUNCTION("GOOGLEFINANCE(CONCAT(""BVMF:"",A108),""low52"")"),29.62)</f>
        <v>29.62</v>
      </c>
      <c r="Q108" s="46">
        <f>IFERROR(__xludf.DUMMYFUNCTION("GOOGLEFINANCE(CONCAT(""BVMF:"",A108),""high52"")"),47.41)</f>
        <v>47.41</v>
      </c>
      <c r="R108" s="42">
        <f t="shared" si="40"/>
        <v>17.79</v>
      </c>
      <c r="S108" s="81">
        <f>IFERROR(__xludf.DUMMYFUNCTION("googlefinance(CONCAT(""BVMF:"",A108),""volume"")"),4399900.0)</f>
        <v>4399900</v>
      </c>
      <c r="T108" s="47"/>
      <c r="U108" s="47"/>
      <c r="V108" s="47"/>
      <c r="W108" s="47"/>
      <c r="X108" s="47"/>
      <c r="Y108" s="47"/>
      <c r="Z108" s="47"/>
      <c r="AA108" s="47"/>
    </row>
    <row r="109">
      <c r="A109" s="92" t="s">
        <v>146</v>
      </c>
      <c r="B109" s="34"/>
      <c r="C109" s="36" t="s">
        <v>145</v>
      </c>
      <c r="D109" s="47"/>
      <c r="E109" s="47"/>
      <c r="F109" s="47"/>
      <c r="G109" s="47"/>
      <c r="H109" s="47"/>
      <c r="I109" s="47"/>
      <c r="J109" s="42"/>
      <c r="K109" s="93">
        <f>IFERROR(__xludf.DUMMYFUNCTION("GOOGLEFINANCE(CONCAT(""BVMF:"",A109),""price"")"),44.71)</f>
        <v>44.71</v>
      </c>
      <c r="L109" s="47"/>
      <c r="M109" s="44">
        <f>IFERROR(__xludf.DUMMYFUNCTION("ROUND(((K109*100)/GOOGLEFINANCE(CONCAT(""BVMF:"",A109),""closeyest""))-100,2)/100"),0.004699999999999999)</f>
        <v>0.0047</v>
      </c>
      <c r="N109" s="45">
        <f>IFERROR(__xludf.DUMMYFUNCTION("ROUND(K109-(GOOGLEFINANCE(CONCAT(""BVMF:"",A109),""closeyest"")),2)"),0.21)</f>
        <v>0.21</v>
      </c>
      <c r="O109" s="42">
        <f t="shared" si="39"/>
        <v>70.11854171</v>
      </c>
      <c r="P109" s="42">
        <f>IFERROR(__xludf.DUMMYFUNCTION("GOOGLEFINANCE(CONCAT(""BVMF:"",A109),""low52"")"),31.35)</f>
        <v>31.35</v>
      </c>
      <c r="Q109" s="46">
        <f>IFERROR(__xludf.DUMMYFUNCTION("GOOGLEFINANCE(CONCAT(""BVMF:"",A109),""high52"")"),48.28)</f>
        <v>48.28</v>
      </c>
      <c r="R109" s="42">
        <f t="shared" si="40"/>
        <v>16.93</v>
      </c>
      <c r="S109" s="81">
        <f>IFERROR(__xludf.DUMMYFUNCTION("googlefinance(CONCAT(""BVMF:"",A109),""volume"")"),515200.0)</f>
        <v>515200</v>
      </c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34"/>
      <c r="C110" s="36"/>
      <c r="D110" s="47"/>
      <c r="E110" s="94"/>
      <c r="F110" s="94"/>
      <c r="G110" s="39"/>
      <c r="H110" s="47"/>
      <c r="I110" s="47"/>
      <c r="J110" s="42"/>
      <c r="K110" s="47"/>
      <c r="L110" s="47"/>
      <c r="M110" s="47"/>
      <c r="N110" s="95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34"/>
      <c r="C111" s="36"/>
      <c r="D111" s="47"/>
      <c r="E111" s="94"/>
      <c r="F111" s="94"/>
      <c r="G111" s="39"/>
      <c r="H111" s="47"/>
      <c r="I111" s="47"/>
      <c r="J111" s="42"/>
      <c r="K111" s="47"/>
      <c r="L111" s="47"/>
      <c r="M111" s="47"/>
      <c r="N111" s="95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34"/>
      <c r="C112" s="36"/>
      <c r="D112" s="47"/>
      <c r="E112" s="94"/>
      <c r="F112" s="94"/>
      <c r="G112" s="39"/>
      <c r="H112" s="47"/>
      <c r="I112" s="47"/>
      <c r="J112" s="42"/>
      <c r="K112" s="47"/>
      <c r="L112" s="47"/>
      <c r="M112" s="47"/>
      <c r="N112" s="95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34"/>
      <c r="C113" s="36"/>
      <c r="D113" s="47"/>
      <c r="E113" s="94"/>
      <c r="F113" s="94"/>
      <c r="G113" s="39"/>
      <c r="H113" s="47"/>
      <c r="I113" s="47"/>
      <c r="J113" s="42"/>
      <c r="K113" s="47"/>
      <c r="L113" s="47"/>
      <c r="M113" s="47"/>
      <c r="N113" s="95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34"/>
      <c r="C114" s="36"/>
      <c r="D114" s="47"/>
      <c r="E114" s="94"/>
      <c r="F114" s="94"/>
      <c r="G114" s="39"/>
      <c r="H114" s="47"/>
      <c r="I114" s="47"/>
      <c r="J114" s="42"/>
      <c r="K114" s="47"/>
      <c r="L114" s="47"/>
      <c r="M114" s="47"/>
      <c r="N114" s="95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34"/>
      <c r="C115" s="36"/>
      <c r="D115" s="47"/>
      <c r="E115" s="94"/>
      <c r="F115" s="94"/>
      <c r="G115" s="39"/>
      <c r="H115" s="47"/>
      <c r="I115" s="47"/>
      <c r="J115" s="42"/>
      <c r="K115" s="47"/>
      <c r="L115" s="47"/>
      <c r="M115" s="47"/>
      <c r="N115" s="95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34"/>
      <c r="C116" s="36"/>
      <c r="D116" s="47"/>
      <c r="E116" s="94"/>
      <c r="F116" s="94"/>
      <c r="G116" s="39"/>
      <c r="H116" s="47"/>
      <c r="I116" s="47"/>
      <c r="J116" s="42"/>
      <c r="K116" s="47"/>
      <c r="L116" s="47"/>
      <c r="M116" s="47"/>
      <c r="N116" s="95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34"/>
      <c r="C117" s="36"/>
      <c r="D117" s="47"/>
      <c r="E117" s="94"/>
      <c r="F117" s="94"/>
      <c r="G117" s="39"/>
      <c r="H117" s="47"/>
      <c r="I117" s="47"/>
      <c r="J117" s="42"/>
      <c r="K117" s="47"/>
      <c r="L117" s="47"/>
      <c r="M117" s="47"/>
      <c r="N117" s="95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34"/>
      <c r="C118" s="60" t="s">
        <v>147</v>
      </c>
      <c r="D118" s="47"/>
      <c r="E118" s="94"/>
      <c r="F118" s="94"/>
      <c r="G118" s="39"/>
      <c r="H118" s="47"/>
      <c r="I118" s="47"/>
      <c r="J118" s="42"/>
      <c r="K118" s="47"/>
      <c r="L118" s="47"/>
      <c r="M118" s="47"/>
      <c r="N118" s="95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36" t="s">
        <v>148</v>
      </c>
      <c r="B119" s="34"/>
      <c r="C119" s="36" t="s">
        <v>149</v>
      </c>
      <c r="D119" s="47"/>
      <c r="E119" s="94"/>
      <c r="F119" s="94"/>
      <c r="G119" s="39"/>
      <c r="H119" s="47"/>
      <c r="I119" s="47"/>
      <c r="J119" s="42"/>
      <c r="K119" s="43">
        <f>IFERROR(__xludf.DUMMYFUNCTION("GOOGLEFINANCE(CONCAT(""BVMF:"",A119),""price"")"),0.63)</f>
        <v>0.63</v>
      </c>
      <c r="L119" s="47"/>
      <c r="M119" s="44">
        <f>IFERROR(__xludf.DUMMYFUNCTION("ROUND(((K119*100)/GOOGLEFINANCE(CONCAT(""BVMF:"",A119),""closeyest""))-100,2)/100"),0.0)</f>
        <v>0</v>
      </c>
      <c r="N119" s="45">
        <f>IFERROR(__xludf.DUMMYFUNCTION("ROUND(K119-(GOOGLEFINANCE(CONCAT(""BVMF:"",A119),""closeyest"")),2)"),0.0)</f>
        <v>0</v>
      </c>
      <c r="O119" s="42">
        <f t="shared" ref="O119:O135" si="42">(P119*100)/K119</f>
        <v>90.47619048</v>
      </c>
      <c r="P119" s="42">
        <f>IFERROR(__xludf.DUMMYFUNCTION("GOOGLEFINANCE(CONCAT(""BVMF:"",A119),""low52"")"),0.57)</f>
        <v>0.57</v>
      </c>
      <c r="Q119" s="46">
        <f>IFERROR(__xludf.DUMMYFUNCTION("GOOGLEFINANCE(CONCAT(""BVMF:"",A119),""high52"")"),2.7)</f>
        <v>2.7</v>
      </c>
      <c r="R119" s="42">
        <f t="shared" ref="R119:R135" si="43">Q119-P119</f>
        <v>2.13</v>
      </c>
      <c r="S119" s="81">
        <f>IFERROR(__xludf.DUMMYFUNCTION("googlefinance(CONCAT(""BVMF:"",A119),""volume"")"),1886100.0)</f>
        <v>1886100</v>
      </c>
      <c r="T119" s="47"/>
      <c r="U119" s="47"/>
      <c r="V119" s="47"/>
      <c r="W119" s="47"/>
      <c r="X119" s="47"/>
      <c r="Y119" s="47"/>
      <c r="Z119" s="47"/>
      <c r="AA119" s="47"/>
    </row>
    <row r="120">
      <c r="A120" s="36" t="s">
        <v>150</v>
      </c>
      <c r="B120" s="34"/>
      <c r="C120" s="36" t="s">
        <v>151</v>
      </c>
      <c r="D120" s="47"/>
      <c r="E120" s="94"/>
      <c r="F120" s="94"/>
      <c r="G120" s="39"/>
      <c r="H120" s="47"/>
      <c r="I120" s="47"/>
      <c r="J120" s="42"/>
      <c r="K120" s="43">
        <f>IFERROR(__xludf.DUMMYFUNCTION("GOOGLEFINANCE(CONCAT(""BVMF:"",A120),""price"")"),11.5)</f>
        <v>11.5</v>
      </c>
      <c r="L120" s="47"/>
      <c r="M120" s="44">
        <f>IFERROR(__xludf.DUMMYFUNCTION("ROUND(((K120*100)/GOOGLEFINANCE(CONCAT(""BVMF:"",A120),""closeyest""))-100,2)/100"),0.0)</f>
        <v>0</v>
      </c>
      <c r="N120" s="45">
        <f>IFERROR(__xludf.DUMMYFUNCTION("ROUND(K120-(GOOGLEFINANCE(CONCAT(""BVMF:"",A120),""closeyest"")),2)"),0.0)</f>
        <v>0</v>
      </c>
      <c r="O120" s="42">
        <f t="shared" si="42"/>
        <v>86.95652174</v>
      </c>
      <c r="P120" s="42">
        <f>IFERROR(__xludf.DUMMYFUNCTION("GOOGLEFINANCE(CONCAT(""BVMF:"",A120),""low52"")"),10.0)</f>
        <v>10</v>
      </c>
      <c r="Q120" s="46">
        <f>IFERROR(__xludf.DUMMYFUNCTION("GOOGLEFINANCE(CONCAT(""BVMF:"",A120),""high52"")"),13.1)</f>
        <v>13.1</v>
      </c>
      <c r="R120" s="42">
        <f t="shared" si="43"/>
        <v>3.1</v>
      </c>
      <c r="S120" s="81">
        <f>IFERROR(__xludf.DUMMYFUNCTION("googlefinance(CONCAT(""BVMF:"",A120),""volume"")"),0.0)</f>
        <v>0</v>
      </c>
      <c r="T120" s="47"/>
      <c r="U120" s="47"/>
      <c r="V120" s="47"/>
      <c r="W120" s="47"/>
      <c r="X120" s="47"/>
      <c r="Y120" s="47"/>
      <c r="Z120" s="47"/>
      <c r="AA120" s="47"/>
    </row>
    <row r="121">
      <c r="A121" s="36" t="s">
        <v>152</v>
      </c>
      <c r="B121" s="34"/>
      <c r="C121" s="36" t="s">
        <v>153</v>
      </c>
      <c r="D121" s="47"/>
      <c r="E121" s="94"/>
      <c r="F121" s="94"/>
      <c r="G121" s="39"/>
      <c r="H121" s="47"/>
      <c r="I121" s="47"/>
      <c r="J121" s="42"/>
      <c r="K121" s="43">
        <f>IFERROR(__xludf.DUMMYFUNCTION("GOOGLEFINANCE(CONCAT(""BVMF:"",A121),""price"")"),8.81)</f>
        <v>8.81</v>
      </c>
      <c r="L121" s="47"/>
      <c r="M121" s="44">
        <f>IFERROR(__xludf.DUMMYFUNCTION("ROUND(((K121*100)/GOOGLEFINANCE(CONCAT(""BVMF:"",A121),""closeyest""))-100,2)/100"),-0.0167)</f>
        <v>-0.0167</v>
      </c>
      <c r="N121" s="45">
        <f>IFERROR(__xludf.DUMMYFUNCTION("ROUND(K121-(GOOGLEFINANCE(CONCAT(""BVMF:"",A121),""closeyest"")),2)"),-0.15)</f>
        <v>-0.15</v>
      </c>
      <c r="O121" s="42">
        <f t="shared" si="42"/>
        <v>80.47673099</v>
      </c>
      <c r="P121" s="42">
        <f>IFERROR(__xludf.DUMMYFUNCTION("GOOGLEFINANCE(CONCAT(""BVMF:"",A121),""low52"")"),7.09)</f>
        <v>7.09</v>
      </c>
      <c r="Q121" s="46">
        <f>IFERROR(__xludf.DUMMYFUNCTION("GOOGLEFINANCE(CONCAT(""BVMF:"",A121),""high52"")"),14.74)</f>
        <v>14.74</v>
      </c>
      <c r="R121" s="42">
        <f t="shared" si="43"/>
        <v>7.65</v>
      </c>
      <c r="S121" s="81">
        <f>IFERROR(__xludf.DUMMYFUNCTION("googlefinance(CONCAT(""BVMF:"",A121),""volume"")"),102800.0)</f>
        <v>102800</v>
      </c>
      <c r="T121" s="47"/>
      <c r="U121" s="47"/>
      <c r="V121" s="47"/>
      <c r="W121" s="47"/>
      <c r="X121" s="47"/>
      <c r="Y121" s="47"/>
      <c r="Z121" s="47"/>
      <c r="AA121" s="47"/>
    </row>
    <row r="122">
      <c r="A122" s="36" t="s">
        <v>154</v>
      </c>
      <c r="B122" s="34"/>
      <c r="C122" s="36" t="s">
        <v>155</v>
      </c>
      <c r="D122" s="47"/>
      <c r="E122" s="94"/>
      <c r="F122" s="94"/>
      <c r="G122" s="39"/>
      <c r="H122" s="47"/>
      <c r="I122" s="47"/>
      <c r="J122" s="42"/>
      <c r="K122" s="43">
        <f>IFERROR(__xludf.DUMMYFUNCTION("GOOGLEFINANCE(CONCAT(""BVMF:"",A122),""price"")"),7.55)</f>
        <v>7.55</v>
      </c>
      <c r="L122" s="47"/>
      <c r="M122" s="44">
        <f>IFERROR(__xludf.DUMMYFUNCTION("ROUND(((K122*100)/GOOGLEFINANCE(CONCAT(""BVMF:"",A122),""closeyest""))-100,2)/100"),-0.0195)</f>
        <v>-0.0195</v>
      </c>
      <c r="N122" s="45">
        <f>IFERROR(__xludf.DUMMYFUNCTION("ROUND(K122-(GOOGLEFINANCE(CONCAT(""BVMF:"",A122),""closeyest"")),2)"),-0.15)</f>
        <v>-0.15</v>
      </c>
      <c r="O122" s="42">
        <f t="shared" si="42"/>
        <v>90.06622517</v>
      </c>
      <c r="P122" s="42">
        <f>IFERROR(__xludf.DUMMYFUNCTION("GOOGLEFINANCE(CONCAT(""BVMF:"",A122),""low52"")"),6.8)</f>
        <v>6.8</v>
      </c>
      <c r="Q122" s="46">
        <f>IFERROR(__xludf.DUMMYFUNCTION("GOOGLEFINANCE(CONCAT(""BVMF:"",A122),""high52"")"),18.64)</f>
        <v>18.64</v>
      </c>
      <c r="R122" s="42">
        <f t="shared" si="43"/>
        <v>11.84</v>
      </c>
      <c r="S122" s="81">
        <f>IFERROR(__xludf.DUMMYFUNCTION("googlefinance(CONCAT(""BVMF:"",A122),""volume"")"),6000.0)</f>
        <v>6000</v>
      </c>
      <c r="T122" s="47"/>
      <c r="U122" s="47"/>
      <c r="V122" s="47"/>
      <c r="W122" s="47"/>
      <c r="X122" s="47"/>
      <c r="Y122" s="47"/>
      <c r="Z122" s="47"/>
      <c r="AA122" s="47"/>
    </row>
    <row r="123">
      <c r="A123" s="36" t="s">
        <v>156</v>
      </c>
      <c r="B123" s="34"/>
      <c r="C123" s="36" t="s">
        <v>157</v>
      </c>
      <c r="D123" s="47"/>
      <c r="E123" s="94"/>
      <c r="F123" s="94"/>
      <c r="G123" s="39"/>
      <c r="H123" s="47"/>
      <c r="I123" s="47"/>
      <c r="J123" s="42"/>
      <c r="K123" s="43">
        <f>IFERROR(__xludf.DUMMYFUNCTION("GOOGLEFINANCE(CONCAT(""BVMF:"",A123),""price"")"),2.65)</f>
        <v>2.65</v>
      </c>
      <c r="L123" s="47"/>
      <c r="M123" s="44">
        <f>IFERROR(__xludf.DUMMYFUNCTION("ROUND(((K123*100)/GOOGLEFINANCE(CONCAT(""BVMF:"",A123),""closeyest""))-100,2)/100"),-0.046799999999999994)</f>
        <v>-0.0468</v>
      </c>
      <c r="N123" s="45">
        <f>IFERROR(__xludf.DUMMYFUNCTION("ROUND(K123-(GOOGLEFINANCE(CONCAT(""BVMF:"",A123),""closeyest"")),2)"),-0.13)</f>
        <v>-0.13</v>
      </c>
      <c r="O123" s="42">
        <f t="shared" si="42"/>
        <v>37.73584906</v>
      </c>
      <c r="P123" s="42">
        <f>IFERROR(__xludf.DUMMYFUNCTION("GOOGLEFINANCE(CONCAT(""BVMF:"",A123),""low52"")"),1.0)</f>
        <v>1</v>
      </c>
      <c r="Q123" s="46">
        <f>IFERROR(__xludf.DUMMYFUNCTION("GOOGLEFINANCE(CONCAT(""BVMF:"",A123),""high52"")"),3.4)</f>
        <v>3.4</v>
      </c>
      <c r="R123" s="42">
        <f t="shared" si="43"/>
        <v>2.4</v>
      </c>
      <c r="S123" s="81">
        <f>IFERROR(__xludf.DUMMYFUNCTION("googlefinance(CONCAT(""BVMF:"",A123),""volume"")"),300.0)</f>
        <v>300</v>
      </c>
      <c r="T123" s="47"/>
      <c r="U123" s="47"/>
      <c r="V123" s="47"/>
      <c r="W123" s="47"/>
      <c r="X123" s="47"/>
      <c r="Y123" s="47"/>
      <c r="Z123" s="47"/>
      <c r="AA123" s="47"/>
    </row>
    <row r="124">
      <c r="A124" s="36" t="s">
        <v>158</v>
      </c>
      <c r="B124" s="34"/>
      <c r="C124" s="36" t="s">
        <v>159</v>
      </c>
      <c r="D124" s="47"/>
      <c r="E124" s="94"/>
      <c r="F124" s="94"/>
      <c r="G124" s="39"/>
      <c r="H124" s="47"/>
      <c r="I124" s="47"/>
      <c r="J124" s="42"/>
      <c r="K124" s="43">
        <f>IFERROR(__xludf.DUMMYFUNCTION("GOOGLEFINANCE(CONCAT(""BVMF:"",A124),""price"")"),2.08)</f>
        <v>2.08</v>
      </c>
      <c r="L124" s="47"/>
      <c r="M124" s="44">
        <f>IFERROR(__xludf.DUMMYFUNCTION("ROUND(((K124*100)/GOOGLEFINANCE(CONCAT(""BVMF:"",A124),""closeyest""))-100,2)/100"),-0.0189)</f>
        <v>-0.0189</v>
      </c>
      <c r="N124" s="45">
        <f>IFERROR(__xludf.DUMMYFUNCTION("ROUND(K124-(GOOGLEFINANCE(CONCAT(""BVMF:"",A124),""closeyest"")),2)"),-0.04)</f>
        <v>-0.04</v>
      </c>
      <c r="O124" s="42">
        <f t="shared" si="42"/>
        <v>93.75</v>
      </c>
      <c r="P124" s="42">
        <f>IFERROR(__xludf.DUMMYFUNCTION("GOOGLEFINANCE(CONCAT(""BVMF:"",A124),""low52"")"),1.95)</f>
        <v>1.95</v>
      </c>
      <c r="Q124" s="46">
        <f>IFERROR(__xludf.DUMMYFUNCTION("GOOGLEFINANCE(CONCAT(""BVMF:"",A124),""high52"")"),4.25)</f>
        <v>4.25</v>
      </c>
      <c r="R124" s="42">
        <f t="shared" si="43"/>
        <v>2.3</v>
      </c>
      <c r="S124" s="81">
        <f>IFERROR(__xludf.DUMMYFUNCTION("googlefinance(CONCAT(""BVMF:"",A124),""volume"")"),3300.0)</f>
        <v>3300</v>
      </c>
      <c r="T124" s="47"/>
      <c r="U124" s="47"/>
      <c r="V124" s="47"/>
      <c r="W124" s="47"/>
      <c r="X124" s="47"/>
      <c r="Y124" s="47"/>
      <c r="Z124" s="47"/>
      <c r="AA124" s="47"/>
    </row>
    <row r="125">
      <c r="A125" s="36" t="s">
        <v>160</v>
      </c>
      <c r="B125" s="34"/>
      <c r="C125" s="36" t="s">
        <v>161</v>
      </c>
      <c r="D125" s="47"/>
      <c r="E125" s="94"/>
      <c r="F125" s="94"/>
      <c r="G125" s="39"/>
      <c r="H125" s="47"/>
      <c r="I125" s="47"/>
      <c r="J125" s="42"/>
      <c r="K125" s="43">
        <f>IFERROR(__xludf.DUMMYFUNCTION("GOOGLEFINANCE(CONCAT(""BVMF:"",A125),""price"")"),2.9)</f>
        <v>2.9</v>
      </c>
      <c r="L125" s="47"/>
      <c r="M125" s="44">
        <f>IFERROR(__xludf.DUMMYFUNCTION("ROUND(((K125*100)/GOOGLEFINANCE(CONCAT(""BVMF:"",A125),""closeyest""))-100,2)/100"),0.0623)</f>
        <v>0.0623</v>
      </c>
      <c r="N125" s="45">
        <f>IFERROR(__xludf.DUMMYFUNCTION("ROUND(K125-(GOOGLEFINANCE(CONCAT(""BVMF:"",A125),""closeyest"")),2)"),0.17)</f>
        <v>0.17</v>
      </c>
      <c r="O125" s="42">
        <f t="shared" si="42"/>
        <v>80</v>
      </c>
      <c r="P125" s="42">
        <f>IFERROR(__xludf.DUMMYFUNCTION("GOOGLEFINANCE(CONCAT(""BVMF:"",A125),""low52"")"),2.32)</f>
        <v>2.32</v>
      </c>
      <c r="Q125" s="46">
        <f>IFERROR(__xludf.DUMMYFUNCTION("GOOGLEFINANCE(CONCAT(""BVMF:"",A125),""high52"")"),47.0)</f>
        <v>47</v>
      </c>
      <c r="R125" s="42">
        <f t="shared" si="43"/>
        <v>44.68</v>
      </c>
      <c r="S125" s="81">
        <f>IFERROR(__xludf.DUMMYFUNCTION("googlefinance(CONCAT(""BVMF:"",A125),""volume"")"),523300.0)</f>
        <v>523300</v>
      </c>
      <c r="T125" s="47"/>
      <c r="U125" s="47"/>
      <c r="V125" s="47"/>
      <c r="W125" s="47"/>
      <c r="X125" s="47"/>
      <c r="Y125" s="47"/>
      <c r="Z125" s="47"/>
      <c r="AA125" s="47"/>
    </row>
    <row r="126">
      <c r="A126" s="36" t="s">
        <v>162</v>
      </c>
      <c r="B126" s="34"/>
      <c r="C126" s="36" t="s">
        <v>163</v>
      </c>
      <c r="D126" s="47"/>
      <c r="E126" s="94"/>
      <c r="F126" s="94"/>
      <c r="G126" s="39"/>
      <c r="H126" s="47"/>
      <c r="I126" s="47"/>
      <c r="J126" s="42"/>
      <c r="K126" s="43">
        <f>IFERROR(__xludf.DUMMYFUNCTION("GOOGLEFINANCE(CONCAT(""BVMF:"",A126),""price"")"),2.19)</f>
        <v>2.19</v>
      </c>
      <c r="L126" s="47"/>
      <c r="M126" s="44">
        <f>IFERROR(__xludf.DUMMYFUNCTION("ROUND(((K126*100)/GOOGLEFINANCE(CONCAT(""BVMF:"",A126),""closeyest""))-100,2)/100"),0.023399999999999997)</f>
        <v>0.0234</v>
      </c>
      <c r="N126" s="45">
        <f>IFERROR(__xludf.DUMMYFUNCTION("ROUND(K126-(GOOGLEFINANCE(CONCAT(""BVMF:"",A126),""closeyest"")),2)"),0.05)</f>
        <v>0.05</v>
      </c>
      <c r="O126" s="42">
        <f t="shared" si="42"/>
        <v>95.43378995</v>
      </c>
      <c r="P126" s="42">
        <f>IFERROR(__xludf.DUMMYFUNCTION("GOOGLEFINANCE(CONCAT(""BVMF:"",A126),""low52"")"),2.09)</f>
        <v>2.09</v>
      </c>
      <c r="Q126" s="46">
        <f>IFERROR(__xludf.DUMMYFUNCTION("GOOGLEFINANCE(CONCAT(""BVMF:"",A126),""high52"")"),4.52)</f>
        <v>4.52</v>
      </c>
      <c r="R126" s="42">
        <f t="shared" si="43"/>
        <v>2.43</v>
      </c>
      <c r="S126" s="81">
        <f>IFERROR(__xludf.DUMMYFUNCTION("googlefinance(CONCAT(""BVMF:"",A126),""volume"")"),2400.0)</f>
        <v>2400</v>
      </c>
      <c r="T126" s="47"/>
      <c r="U126" s="47"/>
      <c r="V126" s="47"/>
      <c r="W126" s="47"/>
      <c r="X126" s="47"/>
      <c r="Y126" s="47"/>
      <c r="Z126" s="47"/>
      <c r="AA126" s="47"/>
    </row>
    <row r="127">
      <c r="A127" s="36" t="s">
        <v>164</v>
      </c>
      <c r="B127" s="34"/>
      <c r="C127" s="36" t="s">
        <v>165</v>
      </c>
      <c r="D127" s="47"/>
      <c r="E127" s="94"/>
      <c r="F127" s="94"/>
      <c r="G127" s="39"/>
      <c r="H127" s="47"/>
      <c r="I127" s="47"/>
      <c r="J127" s="42"/>
      <c r="K127" s="43">
        <f>IFERROR(__xludf.DUMMYFUNCTION("GOOGLEFINANCE(CONCAT(""BVMF:"",A127),""price"")"),1.13)</f>
        <v>1.13</v>
      </c>
      <c r="L127" s="47"/>
      <c r="M127" s="44">
        <f>IFERROR(__xludf.DUMMYFUNCTION("ROUND(((K127*100)/GOOGLEFINANCE(CONCAT(""BVMF:"",A127),""closeyest""))-100,2)/100"),-0.0088)</f>
        <v>-0.0088</v>
      </c>
      <c r="N127" s="45">
        <f>IFERROR(__xludf.DUMMYFUNCTION("ROUND(K127-(GOOGLEFINANCE(CONCAT(""BVMF:"",A127),""closeyest"")),2)"),-0.01)</f>
        <v>-0.01</v>
      </c>
      <c r="O127" s="42">
        <f t="shared" si="42"/>
        <v>85.84070796</v>
      </c>
      <c r="P127" s="42">
        <f>IFERROR(__xludf.DUMMYFUNCTION("GOOGLEFINANCE(CONCAT(""BVMF:"",A127),""low52"")"),0.97)</f>
        <v>0.97</v>
      </c>
      <c r="Q127" s="46">
        <f>IFERROR(__xludf.DUMMYFUNCTION("GOOGLEFINANCE(CONCAT(""BVMF:"",A127),""high52"")"),2.35)</f>
        <v>2.35</v>
      </c>
      <c r="R127" s="42">
        <f t="shared" si="43"/>
        <v>1.38</v>
      </c>
      <c r="S127" s="81">
        <f>IFERROR(__xludf.DUMMYFUNCTION("googlefinance(CONCAT(""BVMF:"",A127),""volume"")"),106500.0)</f>
        <v>106500</v>
      </c>
      <c r="T127" s="47"/>
      <c r="U127" s="47"/>
      <c r="V127" s="47"/>
      <c r="W127" s="47"/>
      <c r="X127" s="47"/>
      <c r="Y127" s="47"/>
      <c r="Z127" s="47"/>
      <c r="AA127" s="47"/>
    </row>
    <row r="128">
      <c r="A128" s="36" t="s">
        <v>166</v>
      </c>
      <c r="B128" s="34"/>
      <c r="C128" s="36" t="s">
        <v>167</v>
      </c>
      <c r="D128" s="47"/>
      <c r="E128" s="94"/>
      <c r="F128" s="94"/>
      <c r="G128" s="39"/>
      <c r="H128" s="47"/>
      <c r="I128" s="47"/>
      <c r="J128" s="42"/>
      <c r="K128" s="43">
        <f>IFERROR(__xludf.DUMMYFUNCTION("GOOGLEFINANCE(CONCAT(""BVMF:"",A128),""price"")"),2.25)</f>
        <v>2.25</v>
      </c>
      <c r="L128" s="47"/>
      <c r="M128" s="44">
        <f>IFERROR(__xludf.DUMMYFUNCTION("ROUND(((K128*100)/GOOGLEFINANCE(CONCAT(""BVMF:"",A128),""closeyest""))-100,2)/100"),0.009000000000000001)</f>
        <v>0.009</v>
      </c>
      <c r="N128" s="45">
        <f>IFERROR(__xludf.DUMMYFUNCTION("ROUND(K128-(GOOGLEFINANCE(CONCAT(""BVMF:"",A128),""closeyest"")),2)"),0.02)</f>
        <v>0.02</v>
      </c>
      <c r="O128" s="42">
        <f t="shared" si="42"/>
        <v>66.66666667</v>
      </c>
      <c r="P128" s="42">
        <f>IFERROR(__xludf.DUMMYFUNCTION("GOOGLEFINANCE(CONCAT(""BVMF:"",A128),""low52"")"),1.5)</f>
        <v>1.5</v>
      </c>
      <c r="Q128" s="46">
        <f>IFERROR(__xludf.DUMMYFUNCTION("GOOGLEFINANCE(CONCAT(""BVMF:"",A128),""high52"")"),3.67)</f>
        <v>3.67</v>
      </c>
      <c r="R128" s="42">
        <f t="shared" si="43"/>
        <v>2.17</v>
      </c>
      <c r="S128" s="81">
        <f>IFERROR(__xludf.DUMMYFUNCTION("googlefinance(CONCAT(""BVMF:"",A128),""volume"")"),2800.0)</f>
        <v>2800</v>
      </c>
      <c r="T128" s="47"/>
      <c r="U128" s="47"/>
      <c r="V128" s="47"/>
      <c r="W128" s="47"/>
      <c r="X128" s="47"/>
      <c r="Y128" s="47"/>
      <c r="Z128" s="47"/>
      <c r="AA128" s="47"/>
    </row>
    <row r="129">
      <c r="A129" s="36" t="s">
        <v>168</v>
      </c>
      <c r="B129" s="34"/>
      <c r="C129" s="36" t="s">
        <v>169</v>
      </c>
      <c r="D129" s="47"/>
      <c r="E129" s="94"/>
      <c r="F129" s="94"/>
      <c r="G129" s="39"/>
      <c r="H129" s="47"/>
      <c r="I129" s="47"/>
      <c r="J129" s="42"/>
      <c r="K129" s="43">
        <f>IFERROR(__xludf.DUMMYFUNCTION("GOOGLEFINANCE(CONCAT(""BVMF:"",A129),""price"")"),3.91)</f>
        <v>3.91</v>
      </c>
      <c r="L129" s="47"/>
      <c r="M129" s="44">
        <f>IFERROR(__xludf.DUMMYFUNCTION("ROUND(((K129*100)/GOOGLEFINANCE(CONCAT(""BVMF:"",A129),""closeyest""))-100,2)/100"),0.0)</f>
        <v>0</v>
      </c>
      <c r="N129" s="45">
        <f>IFERROR(__xludf.DUMMYFUNCTION("ROUND(K129-(GOOGLEFINANCE(CONCAT(""BVMF:"",A129),""closeyest"")),2)"),0.0)</f>
        <v>0</v>
      </c>
      <c r="O129" s="42">
        <f t="shared" si="42"/>
        <v>60.86956522</v>
      </c>
      <c r="P129" s="42">
        <f>IFERROR(__xludf.DUMMYFUNCTION("GOOGLEFINANCE(CONCAT(""BVMF:"",A129),""low52"")"),2.38)</f>
        <v>2.38</v>
      </c>
      <c r="Q129" s="46">
        <f>IFERROR(__xludf.DUMMYFUNCTION("GOOGLEFINANCE(CONCAT(""BVMF:"",A129),""high52"")"),5.42)</f>
        <v>5.42</v>
      </c>
      <c r="R129" s="42">
        <f t="shared" si="43"/>
        <v>3.04</v>
      </c>
      <c r="S129" s="81">
        <f>IFERROR(__xludf.DUMMYFUNCTION("googlefinance(CONCAT(""BVMF:"",A129),""volume"")"),0.0)</f>
        <v>0</v>
      </c>
      <c r="T129" s="47"/>
      <c r="U129" s="47"/>
      <c r="V129" s="47"/>
      <c r="W129" s="47"/>
      <c r="X129" s="47"/>
      <c r="Y129" s="47"/>
      <c r="Z129" s="47"/>
      <c r="AA129" s="47"/>
    </row>
    <row r="130">
      <c r="A130" s="36" t="s">
        <v>170</v>
      </c>
      <c r="B130" s="34"/>
      <c r="C130" s="36" t="s">
        <v>171</v>
      </c>
      <c r="D130" s="47"/>
      <c r="E130" s="94"/>
      <c r="F130" s="94"/>
      <c r="G130" s="39"/>
      <c r="H130" s="47"/>
      <c r="I130" s="47"/>
      <c r="J130" s="42"/>
      <c r="K130" s="43">
        <f>IFERROR(__xludf.DUMMYFUNCTION("GOOGLEFINANCE(CONCAT(""BVMF:"",A130),""price"")"),3.21)</f>
        <v>3.21</v>
      </c>
      <c r="L130" s="47"/>
      <c r="M130" s="44">
        <f>IFERROR(__xludf.DUMMYFUNCTION("ROUND(((K130*100)/GOOGLEFINANCE(CONCAT(""BVMF:"",A130),""closeyest""))-100,2)/100"),0.0)</f>
        <v>0</v>
      </c>
      <c r="N130" s="45">
        <f>IFERROR(__xludf.DUMMYFUNCTION("ROUND(K130-(GOOGLEFINANCE(CONCAT(""BVMF:"",A130),""closeyest"")),2)"),0.0)</f>
        <v>0</v>
      </c>
      <c r="O130" s="42">
        <f t="shared" si="42"/>
        <v>98.13084112</v>
      </c>
      <c r="P130" s="42">
        <f>IFERROR(__xludf.DUMMYFUNCTION("GOOGLEFINANCE(CONCAT(""BVMF:"",A130),""low52"")"),3.15)</f>
        <v>3.15</v>
      </c>
      <c r="Q130" s="46">
        <f>IFERROR(__xludf.DUMMYFUNCTION("GOOGLEFINANCE(CONCAT(""BVMF:"",A130),""high52"")"),9.7)</f>
        <v>9.7</v>
      </c>
      <c r="R130" s="42">
        <f t="shared" si="43"/>
        <v>6.55</v>
      </c>
      <c r="S130" s="81">
        <f>IFERROR(__xludf.DUMMYFUNCTION("googlefinance(CONCAT(""BVMF:"",A130),""volume"")"),0.0)</f>
        <v>0</v>
      </c>
      <c r="T130" s="47"/>
      <c r="U130" s="47"/>
      <c r="V130" s="47"/>
      <c r="W130" s="47"/>
      <c r="X130" s="47"/>
      <c r="Y130" s="47"/>
      <c r="Z130" s="47"/>
      <c r="AA130" s="47"/>
    </row>
    <row r="131">
      <c r="A131" s="36" t="s">
        <v>172</v>
      </c>
      <c r="B131" s="34"/>
      <c r="C131" s="36" t="s">
        <v>173</v>
      </c>
      <c r="D131" s="47"/>
      <c r="E131" s="94"/>
      <c r="F131" s="94"/>
      <c r="G131" s="39"/>
      <c r="H131" s="47"/>
      <c r="I131" s="47"/>
      <c r="J131" s="42"/>
      <c r="K131" s="43">
        <f>IFERROR(__xludf.DUMMYFUNCTION("GOOGLEFINANCE(CONCAT(""BVMF:"",A131),""price"")"),1.6)</f>
        <v>1.6</v>
      </c>
      <c r="L131" s="47"/>
      <c r="M131" s="44">
        <f>IFERROR(__xludf.DUMMYFUNCTION("ROUND(((K131*100)/GOOGLEFINANCE(CONCAT(""BVMF:"",A131),""closeyest""))-100,2)/100"),0.0)</f>
        <v>0</v>
      </c>
      <c r="N131" s="45">
        <f>IFERROR(__xludf.DUMMYFUNCTION("ROUND(K131-(GOOGLEFINANCE(CONCAT(""BVMF:"",A131),""closeyest"")),2)"),0.0)</f>
        <v>0</v>
      </c>
      <c r="O131" s="42">
        <f t="shared" si="42"/>
        <v>56.25</v>
      </c>
      <c r="P131" s="42">
        <f>IFERROR(__xludf.DUMMYFUNCTION("GOOGLEFINANCE(CONCAT(""BVMF:"",A131),""low52"")"),0.9)</f>
        <v>0.9</v>
      </c>
      <c r="Q131" s="46">
        <f>IFERROR(__xludf.DUMMYFUNCTION("GOOGLEFINANCE(CONCAT(""BVMF:"",A131),""high52"")"),4.69)</f>
        <v>4.69</v>
      </c>
      <c r="R131" s="42">
        <f t="shared" si="43"/>
        <v>3.79</v>
      </c>
      <c r="S131" s="81">
        <f>IFERROR(__xludf.DUMMYFUNCTION("googlefinance(CONCAT(""BVMF:"",A131),""volume"")"),0.0)</f>
        <v>0</v>
      </c>
      <c r="T131" s="47"/>
      <c r="U131" s="47"/>
      <c r="V131" s="47"/>
      <c r="W131" s="47"/>
      <c r="X131" s="47"/>
      <c r="Y131" s="47"/>
      <c r="Z131" s="47"/>
      <c r="AA131" s="47"/>
    </row>
    <row r="132">
      <c r="A132" s="36" t="s">
        <v>174</v>
      </c>
      <c r="B132" s="34"/>
      <c r="C132" s="36" t="s">
        <v>175</v>
      </c>
      <c r="D132" s="47"/>
      <c r="E132" s="94"/>
      <c r="F132" s="94"/>
      <c r="G132" s="39"/>
      <c r="H132" s="47"/>
      <c r="I132" s="47"/>
      <c r="J132" s="42"/>
      <c r="K132" s="43">
        <f>IFERROR(__xludf.DUMMYFUNCTION("GOOGLEFINANCE(CONCAT(""BVMF:"",A132),""price"")"),13.8)</f>
        <v>13.8</v>
      </c>
      <c r="L132" s="47"/>
      <c r="M132" s="44">
        <f>IFERROR(__xludf.DUMMYFUNCTION("ROUND(((K132*100)/GOOGLEFINANCE(CONCAT(""BVMF:"",A132),""closeyest""))-100,2)/100"),0.0909)</f>
        <v>0.0909</v>
      </c>
      <c r="N132" s="45">
        <f>IFERROR(__xludf.DUMMYFUNCTION("ROUND(K132-(GOOGLEFINANCE(CONCAT(""BVMF:"",A132),""closeyest"")),2)"),1.15)</f>
        <v>1.15</v>
      </c>
      <c r="O132" s="42">
        <f t="shared" si="42"/>
        <v>68.91304348</v>
      </c>
      <c r="P132" s="42">
        <f>IFERROR(__xludf.DUMMYFUNCTION("GOOGLEFINANCE(CONCAT(""BVMF:"",A132),""low52"")"),9.51)</f>
        <v>9.51</v>
      </c>
      <c r="Q132" s="46">
        <f>IFERROR(__xludf.DUMMYFUNCTION("GOOGLEFINANCE(CONCAT(""BVMF:"",A132),""high52"")"),28.93)</f>
        <v>28.93</v>
      </c>
      <c r="R132" s="42">
        <f t="shared" si="43"/>
        <v>19.42</v>
      </c>
      <c r="S132" s="81">
        <f>IFERROR(__xludf.DUMMYFUNCTION("googlefinance(CONCAT(""BVMF:"",A132),""volume"")"),4200.0)</f>
        <v>4200</v>
      </c>
      <c r="T132" s="47"/>
      <c r="U132" s="47"/>
      <c r="V132" s="47"/>
      <c r="W132" s="47"/>
      <c r="X132" s="47"/>
      <c r="Y132" s="47"/>
      <c r="Z132" s="47"/>
      <c r="AA132" s="47"/>
    </row>
    <row r="133">
      <c r="A133" s="36" t="s">
        <v>176</v>
      </c>
      <c r="B133" s="34"/>
      <c r="C133" s="36" t="s">
        <v>177</v>
      </c>
      <c r="D133" s="47"/>
      <c r="E133" s="94"/>
      <c r="F133" s="94"/>
      <c r="G133" s="39"/>
      <c r="H133" s="47"/>
      <c r="I133" s="47"/>
      <c r="J133" s="42"/>
      <c r="K133" s="43">
        <f>IFERROR(__xludf.DUMMYFUNCTION("GOOGLEFINANCE(CONCAT(""BVMF:"",A133),""price"")"),3.51)</f>
        <v>3.51</v>
      </c>
      <c r="L133" s="47"/>
      <c r="M133" s="44">
        <f>IFERROR(__xludf.DUMMYFUNCTION("ROUND(((K133*100)/GOOGLEFINANCE(CONCAT(""BVMF:"",A133),""closeyest""))-100,2)/100"),0.014499999999999999)</f>
        <v>0.0145</v>
      </c>
      <c r="N133" s="45">
        <f>IFERROR(__xludf.DUMMYFUNCTION("ROUND(K133-(GOOGLEFINANCE(CONCAT(""BVMF:"",A133),""closeyest"")),2)"),0.05)</f>
        <v>0.05</v>
      </c>
      <c r="O133" s="42">
        <f t="shared" si="42"/>
        <v>78.63247863</v>
      </c>
      <c r="P133" s="42">
        <f>IFERROR(__xludf.DUMMYFUNCTION("GOOGLEFINANCE(CONCAT(""BVMF:"",A133),""low52"")"),2.76)</f>
        <v>2.76</v>
      </c>
      <c r="Q133" s="46">
        <f>IFERROR(__xludf.DUMMYFUNCTION("GOOGLEFINANCE(CONCAT(""BVMF:"",A133),""high52"")"),6.6)</f>
        <v>6.6</v>
      </c>
      <c r="R133" s="42">
        <f t="shared" si="43"/>
        <v>3.84</v>
      </c>
      <c r="S133" s="81">
        <f>IFERROR(__xludf.DUMMYFUNCTION("googlefinance(CONCAT(""BVMF:"",A133),""volume"")"),277700.0)</f>
        <v>277700</v>
      </c>
      <c r="T133" s="47"/>
      <c r="U133" s="47"/>
      <c r="V133" s="47"/>
      <c r="W133" s="47"/>
      <c r="X133" s="47"/>
      <c r="Y133" s="47"/>
      <c r="Z133" s="47"/>
      <c r="AA133" s="47"/>
    </row>
    <row r="134">
      <c r="A134" s="36" t="s">
        <v>178</v>
      </c>
      <c r="B134" s="34"/>
      <c r="C134" s="36" t="s">
        <v>179</v>
      </c>
      <c r="D134" s="47"/>
      <c r="E134" s="94"/>
      <c r="F134" s="94"/>
      <c r="G134" s="39"/>
      <c r="H134" s="47"/>
      <c r="I134" s="47"/>
      <c r="J134" s="42"/>
      <c r="K134" s="43">
        <f>IFERROR(__xludf.DUMMYFUNCTION("GOOGLEFINANCE(CONCAT(""BVMF:"",A134),""price"")"),13.3)</f>
        <v>13.3</v>
      </c>
      <c r="L134" s="47"/>
      <c r="M134" s="44">
        <f>IFERROR(__xludf.DUMMYFUNCTION("ROUND(((K134*100)/GOOGLEFINANCE(CONCAT(""BVMF:"",A134),""closeyest""))-100,2)/100"),0.0)</f>
        <v>0</v>
      </c>
      <c r="N134" s="45">
        <f>IFERROR(__xludf.DUMMYFUNCTION("ROUND(K134-(GOOGLEFINANCE(CONCAT(""BVMF:"",A134),""closeyest"")),2)"),0.0)</f>
        <v>0</v>
      </c>
      <c r="O134" s="42">
        <f t="shared" si="42"/>
        <v>99.77443609</v>
      </c>
      <c r="P134" s="42">
        <f>IFERROR(__xludf.DUMMYFUNCTION("GOOGLEFINANCE(CONCAT(""BVMF:"",A134),""low52"")"),13.27)</f>
        <v>13.27</v>
      </c>
      <c r="Q134" s="46">
        <f>IFERROR(__xludf.DUMMYFUNCTION("GOOGLEFINANCE(CONCAT(""BVMF:"",A134),""high52"")"),13.3)</f>
        <v>13.3</v>
      </c>
      <c r="R134" s="42">
        <f t="shared" si="43"/>
        <v>0.03</v>
      </c>
      <c r="S134" s="81">
        <f>IFERROR(__xludf.DUMMYFUNCTION("googlefinance(CONCAT(""BVMF:"",A134),""volume"")"),0.0)</f>
        <v>0</v>
      </c>
      <c r="T134" s="47"/>
      <c r="U134" s="47"/>
      <c r="V134" s="47"/>
      <c r="W134" s="47"/>
      <c r="X134" s="47"/>
      <c r="Y134" s="47"/>
      <c r="Z134" s="47"/>
      <c r="AA134" s="47"/>
    </row>
    <row r="135">
      <c r="A135" s="36" t="s">
        <v>180</v>
      </c>
      <c r="B135" s="34"/>
      <c r="C135" s="36" t="s">
        <v>181</v>
      </c>
      <c r="D135" s="36"/>
      <c r="E135" s="43"/>
      <c r="F135" s="47"/>
      <c r="G135" s="47"/>
      <c r="H135" s="82"/>
      <c r="I135" s="82"/>
      <c r="J135" s="42"/>
      <c r="K135" s="43">
        <f>IFERROR(__xludf.DUMMYFUNCTION("GOOGLEFINANCE(CONCAT(""BVMF:"",A135),""price"")"),4.35)</f>
        <v>4.35</v>
      </c>
      <c r="L135" s="47"/>
      <c r="M135" s="44">
        <f>IFERROR(__xludf.DUMMYFUNCTION("ROUND(((K135*100)/GOOGLEFINANCE(CONCAT(""BVMF:"",A135),""closeyest""))-100,2)/100"),0.0069)</f>
        <v>0.0069</v>
      </c>
      <c r="N135" s="45">
        <f>IFERROR(__xludf.DUMMYFUNCTION("ROUND(K135-(GOOGLEFINANCE(CONCAT(""BVMF:"",A135),""closeyest"")),2)"),0.03)</f>
        <v>0.03</v>
      </c>
      <c r="O135" s="42">
        <f t="shared" si="42"/>
        <v>74.71264368</v>
      </c>
      <c r="P135" s="42">
        <f>IFERROR(__xludf.DUMMYFUNCTION("GOOGLEFINANCE(CONCAT(""BVMF:"",A135),""low52"")"),3.25)</f>
        <v>3.25</v>
      </c>
      <c r="Q135" s="46">
        <f>IFERROR(__xludf.DUMMYFUNCTION("GOOGLEFINANCE(CONCAT(""BVMF:"",A135),""high52"")"),6.2)</f>
        <v>6.2</v>
      </c>
      <c r="R135" s="42">
        <f t="shared" si="43"/>
        <v>2.95</v>
      </c>
      <c r="S135" s="47">
        <f>IFERROR(__xludf.DUMMYFUNCTION("googlefinance(CONCAT(""BVMF:"",A135),""volume"")"),21500.0)</f>
        <v>21500</v>
      </c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34"/>
      <c r="C136" s="36"/>
      <c r="D136" s="47"/>
      <c r="E136" s="94"/>
      <c r="F136" s="94"/>
      <c r="G136" s="39"/>
      <c r="H136" s="47"/>
      <c r="I136" s="47"/>
      <c r="J136" s="42"/>
      <c r="K136" s="47"/>
      <c r="L136" s="47"/>
      <c r="M136" s="47"/>
      <c r="N136" s="95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34"/>
      <c r="C137" s="36"/>
      <c r="D137" s="47"/>
      <c r="E137" s="94"/>
      <c r="F137" s="94"/>
      <c r="G137" s="39"/>
      <c r="H137" s="47"/>
      <c r="I137" s="47"/>
      <c r="J137" s="42"/>
      <c r="K137" s="47"/>
      <c r="L137" s="47"/>
      <c r="M137" s="47"/>
      <c r="N137" s="95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</sheetData>
  <conditionalFormatting sqref="I5:I9 I27:I30 I50:I68 I70:I71">
    <cfRule type="colorScale" priority="1">
      <colorScale>
        <cfvo type="formula" val="-200"/>
        <cfvo type="formula" val="10"/>
        <cfvo type="formula" val="300"/>
        <color rgb="FFFF0000"/>
        <color rgb="FFFFFFFF"/>
        <color rgb="FF38761D"/>
      </colorScale>
    </cfRule>
  </conditionalFormatting>
  <conditionalFormatting sqref="I5:I9 I27:I30 I50:I68 I70:I71">
    <cfRule type="cellIs" dxfId="0" priority="2" operator="greaterThan">
      <formula>0</formula>
    </cfRule>
  </conditionalFormatting>
  <conditionalFormatting sqref="J5:J13 J27:J30 J50:J68 J70:J71 J85:J87 J93">
    <cfRule type="colorScale" priority="3">
      <colorScale>
        <cfvo type="formula" val="-200"/>
        <cfvo type="formula" val="10"/>
        <cfvo type="formula" val="300"/>
        <color rgb="FFFF0000"/>
        <color rgb="FFFFFFFF"/>
        <color rgb="FF38761D"/>
      </colorScale>
    </cfRule>
  </conditionalFormatting>
  <conditionalFormatting sqref="J5:J13 J27:J30 J50:J68 J70:J71 J85:J87 J93">
    <cfRule type="colorScale" priority="4">
      <colorScale>
        <cfvo type="min"/>
        <cfvo type="max"/>
        <color rgb="FF57BB8A"/>
        <color rgb="FFFFFFFF"/>
      </colorScale>
    </cfRule>
  </conditionalFormatting>
  <conditionalFormatting sqref="M1:M3 O1:R1 Q3 M5:N19 U5 M27:N45 M50:N109 M119:N135">
    <cfRule type="cellIs" dxfId="0" priority="5" operator="greaterThan">
      <formula>0</formula>
    </cfRule>
  </conditionalFormatting>
  <conditionalFormatting sqref="M1:M3 O1:R1 Q3 M5:N19 U5 M27:N45 M50:N109 M119:N135">
    <cfRule type="cellIs" dxfId="1" priority="6" operator="lessThan">
      <formula>0</formula>
    </cfRule>
  </conditionalFormatting>
  <conditionalFormatting sqref="B1">
    <cfRule type="expression" dxfId="2" priority="7">
      <formula>GOOGLEFINANCE("INDEXCBOE:VIX")&gt;28</formula>
    </cfRule>
  </conditionalFormatting>
  <conditionalFormatting sqref="E64 E66:E91 D89 E93:E100 E103:E107 E135">
    <cfRule type="cellIs" dxfId="3" priority="8" operator="lessThan">
      <formula>1</formula>
    </cfRule>
  </conditionalFormatting>
  <conditionalFormatting sqref="O5:O19 O27:O30 O36:O42 O50:O100 O103:O109 O119:O135">
    <cfRule type="colorScale" priority="9">
      <colorScale>
        <cfvo type="formula" val="0"/>
        <cfvo type="formula" val="80"/>
        <cfvo type="formula" val="100"/>
        <color rgb="FFFF0000"/>
        <color rgb="FFFFFFFF"/>
        <color rgb="FF38761D"/>
      </colorScale>
    </cfRule>
  </conditionalFormatting>
  <drawing r:id="rId2"/>
  <legacyDrawing r:id="rId3"/>
</worksheet>
</file>