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gusta\Downloads\"/>
    </mc:Choice>
  </mc:AlternateContent>
  <xr:revisionPtr revIDLastSave="0" documentId="13_ncr:1_{E3BA48F9-E5C3-40D6-ACC6-FCD8F2ACB54E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Resumo" sheetId="1" r:id="rId1"/>
    <sheet name="Rendimentos" sheetId="2" r:id="rId2"/>
    <sheet name="Divisão de Custos" sheetId="3" r:id="rId3"/>
    <sheet name="Mes01" sheetId="4" r:id="rId4"/>
    <sheet name="Mes02" sheetId="5" r:id="rId5"/>
    <sheet name="Mes03" sheetId="6" r:id="rId6"/>
    <sheet name="Mes04" sheetId="7" r:id="rId7"/>
    <sheet name="Mes05" sheetId="8" r:id="rId8"/>
    <sheet name="Mes06" sheetId="9" r:id="rId9"/>
    <sheet name="Mes07" sheetId="10" r:id="rId10"/>
    <sheet name="Mes08" sheetId="11" r:id="rId11"/>
    <sheet name="Mes09" sheetId="12" r:id="rId12"/>
    <sheet name="Mes10" sheetId="13" r:id="rId13"/>
    <sheet name="Mes11" sheetId="14" r:id="rId14"/>
    <sheet name="Mes12" sheetId="15" r:id="rId15"/>
  </sheets>
  <definedNames>
    <definedName name="OutputTotal">Resumo!$O$50</definedName>
    <definedName name="TotalInvested">Resumo!$B$10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8" i="3" l="1"/>
  <c r="I94" i="3"/>
  <c r="G94" i="3"/>
  <c r="K93" i="3"/>
  <c r="G93" i="3"/>
  <c r="C93" i="3"/>
  <c r="B93" i="3"/>
  <c r="B97" i="3" s="1"/>
  <c r="P90" i="3"/>
  <c r="M90" i="3"/>
  <c r="M94" i="3" s="1"/>
  <c r="L90" i="3"/>
  <c r="L94" i="3" s="1"/>
  <c r="K90" i="3"/>
  <c r="K94" i="3" s="1"/>
  <c r="J90" i="3"/>
  <c r="J94" i="3" s="1"/>
  <c r="I90" i="3"/>
  <c r="H90" i="3"/>
  <c r="H94" i="3" s="1"/>
  <c r="M98" i="3" s="1"/>
  <c r="G90" i="3"/>
  <c r="F90" i="3"/>
  <c r="F94" i="3" s="1"/>
  <c r="K98" i="3" s="1"/>
  <c r="D90" i="3"/>
  <c r="D94" i="3" s="1"/>
  <c r="C90" i="3"/>
  <c r="C94" i="3" s="1"/>
  <c r="B90" i="3"/>
  <c r="B94" i="3" s="1"/>
  <c r="P89" i="3"/>
  <c r="M89" i="3"/>
  <c r="M93" i="3" s="1"/>
  <c r="L89" i="3"/>
  <c r="L93" i="3" s="1"/>
  <c r="K89" i="3"/>
  <c r="J89" i="3"/>
  <c r="I89" i="3"/>
  <c r="I93" i="3" s="1"/>
  <c r="H89" i="3"/>
  <c r="G89" i="3"/>
  <c r="F89" i="3"/>
  <c r="E89" i="3"/>
  <c r="D89" i="3"/>
  <c r="P4" i="3" s="1"/>
  <c r="C89" i="3"/>
  <c r="B89" i="3"/>
  <c r="O71" i="3"/>
  <c r="M69" i="3"/>
  <c r="L69" i="3"/>
  <c r="K69" i="3"/>
  <c r="J69" i="3"/>
  <c r="I69" i="3"/>
  <c r="H69" i="3"/>
  <c r="G69" i="3"/>
  <c r="F69" i="3"/>
  <c r="E69" i="3"/>
  <c r="D69" i="3"/>
  <c r="C69" i="3"/>
  <c r="B69" i="3"/>
  <c r="A69" i="3"/>
  <c r="M68" i="3"/>
  <c r="L68" i="3"/>
  <c r="K68" i="3"/>
  <c r="J68" i="3"/>
  <c r="I68" i="3"/>
  <c r="H68" i="3"/>
  <c r="G68" i="3"/>
  <c r="F68" i="3"/>
  <c r="E68" i="3"/>
  <c r="D68" i="3"/>
  <c r="C68" i="3"/>
  <c r="B68" i="3"/>
  <c r="A68" i="3"/>
  <c r="M67" i="3"/>
  <c r="L67" i="3"/>
  <c r="K67" i="3"/>
  <c r="J67" i="3"/>
  <c r="I67" i="3"/>
  <c r="H67" i="3"/>
  <c r="G67" i="3"/>
  <c r="F67" i="3"/>
  <c r="E67" i="3"/>
  <c r="D67" i="3"/>
  <c r="C67" i="3"/>
  <c r="B67" i="3"/>
  <c r="A67" i="3"/>
  <c r="M66" i="3"/>
  <c r="L66" i="3"/>
  <c r="K66" i="3"/>
  <c r="J66" i="3"/>
  <c r="I66" i="3"/>
  <c r="H66" i="3"/>
  <c r="G66" i="3"/>
  <c r="F66" i="3"/>
  <c r="E66" i="3"/>
  <c r="D66" i="3"/>
  <c r="C66" i="3"/>
  <c r="B66" i="3"/>
  <c r="A66" i="3"/>
  <c r="M65" i="3"/>
  <c r="L65" i="3"/>
  <c r="K65" i="3"/>
  <c r="J65" i="3"/>
  <c r="I65" i="3"/>
  <c r="H65" i="3"/>
  <c r="G65" i="3"/>
  <c r="F65" i="3"/>
  <c r="E65" i="3"/>
  <c r="D65" i="3"/>
  <c r="C65" i="3"/>
  <c r="B65" i="3"/>
  <c r="A65" i="3"/>
  <c r="M64" i="3"/>
  <c r="L64" i="3"/>
  <c r="K64" i="3"/>
  <c r="J64" i="3"/>
  <c r="I64" i="3"/>
  <c r="H64" i="3"/>
  <c r="G64" i="3"/>
  <c r="F64" i="3"/>
  <c r="E64" i="3"/>
  <c r="D64" i="3"/>
  <c r="C64" i="3"/>
  <c r="B64" i="3"/>
  <c r="A64" i="3"/>
  <c r="M63" i="3"/>
  <c r="L63" i="3"/>
  <c r="K63" i="3"/>
  <c r="J63" i="3"/>
  <c r="I63" i="3"/>
  <c r="H63" i="3"/>
  <c r="G63" i="3"/>
  <c r="F63" i="3"/>
  <c r="E63" i="3"/>
  <c r="D63" i="3"/>
  <c r="C63" i="3"/>
  <c r="B63" i="3"/>
  <c r="M62" i="3"/>
  <c r="L62" i="3"/>
  <c r="K62" i="3"/>
  <c r="J62" i="3"/>
  <c r="I62" i="3"/>
  <c r="H62" i="3"/>
  <c r="G62" i="3"/>
  <c r="F62" i="3"/>
  <c r="E62" i="3"/>
  <c r="D62" i="3"/>
  <c r="C62" i="3"/>
  <c r="B62" i="3"/>
  <c r="M61" i="3"/>
  <c r="L61" i="3"/>
  <c r="K61" i="3"/>
  <c r="J61" i="3"/>
  <c r="I61" i="3"/>
  <c r="H61" i="3"/>
  <c r="G61" i="3"/>
  <c r="F61" i="3"/>
  <c r="E61" i="3"/>
  <c r="D61" i="3"/>
  <c r="C61" i="3"/>
  <c r="B61" i="3"/>
  <c r="M60" i="3"/>
  <c r="L60" i="3"/>
  <c r="K60" i="3"/>
  <c r="J60" i="3"/>
  <c r="I60" i="3"/>
  <c r="H60" i="3"/>
  <c r="G60" i="3"/>
  <c r="F60" i="3"/>
  <c r="E60" i="3"/>
  <c r="D60" i="3"/>
  <c r="C60" i="3"/>
  <c r="B60" i="3"/>
  <c r="M59" i="3"/>
  <c r="L59" i="3"/>
  <c r="K59" i="3"/>
  <c r="J59" i="3"/>
  <c r="I59" i="3"/>
  <c r="H59" i="3"/>
  <c r="G59" i="3"/>
  <c r="F59" i="3"/>
  <c r="E59" i="3"/>
  <c r="D59" i="3"/>
  <c r="C59" i="3"/>
  <c r="B59" i="3"/>
  <c r="M58" i="3"/>
  <c r="L58" i="3"/>
  <c r="K58" i="3"/>
  <c r="J58" i="3"/>
  <c r="I58" i="3"/>
  <c r="H58" i="3"/>
  <c r="G58" i="3"/>
  <c r="F58" i="3"/>
  <c r="E58" i="3"/>
  <c r="D58" i="3"/>
  <c r="C58" i="3"/>
  <c r="B58" i="3"/>
  <c r="M57" i="3"/>
  <c r="L57" i="3"/>
  <c r="K57" i="3"/>
  <c r="J57" i="3"/>
  <c r="I57" i="3"/>
  <c r="H57" i="3"/>
  <c r="G57" i="3"/>
  <c r="F57" i="3"/>
  <c r="E57" i="3"/>
  <c r="D57" i="3"/>
  <c r="C57" i="3"/>
  <c r="B57" i="3"/>
  <c r="M56" i="3"/>
  <c r="L56" i="3"/>
  <c r="K56" i="3"/>
  <c r="J56" i="3"/>
  <c r="I56" i="3"/>
  <c r="H56" i="3"/>
  <c r="G56" i="3"/>
  <c r="F56" i="3"/>
  <c r="E56" i="3"/>
  <c r="D56" i="3"/>
  <c r="C56" i="3"/>
  <c r="B56" i="3"/>
  <c r="M55" i="3"/>
  <c r="L55" i="3"/>
  <c r="K55" i="3"/>
  <c r="J55" i="3"/>
  <c r="I55" i="3"/>
  <c r="H55" i="3"/>
  <c r="G55" i="3"/>
  <c r="F55" i="3"/>
  <c r="E55" i="3"/>
  <c r="D55" i="3"/>
  <c r="C55" i="3"/>
  <c r="B55" i="3"/>
  <c r="M54" i="3"/>
  <c r="L54" i="3"/>
  <c r="K54" i="3"/>
  <c r="J54" i="3"/>
  <c r="I54" i="3"/>
  <c r="H54" i="3"/>
  <c r="G54" i="3"/>
  <c r="F54" i="3"/>
  <c r="E54" i="3"/>
  <c r="D54" i="3"/>
  <c r="C54" i="3"/>
  <c r="B54" i="3"/>
  <c r="M53" i="3"/>
  <c r="L53" i="3"/>
  <c r="K53" i="3"/>
  <c r="J53" i="3"/>
  <c r="I53" i="3"/>
  <c r="H53" i="3"/>
  <c r="G53" i="3"/>
  <c r="F53" i="3"/>
  <c r="E53" i="3"/>
  <c r="D53" i="3"/>
  <c r="C53" i="3"/>
  <c r="B53" i="3"/>
  <c r="M52" i="3"/>
  <c r="L52" i="3"/>
  <c r="K52" i="3"/>
  <c r="J52" i="3"/>
  <c r="I52" i="3"/>
  <c r="H52" i="3"/>
  <c r="G52" i="3"/>
  <c r="F52" i="3"/>
  <c r="E52" i="3"/>
  <c r="D52" i="3"/>
  <c r="C52" i="3"/>
  <c r="B52" i="3"/>
  <c r="M51" i="3"/>
  <c r="L51" i="3"/>
  <c r="K51" i="3"/>
  <c r="J51" i="3"/>
  <c r="I51" i="3"/>
  <c r="H51" i="3"/>
  <c r="G51" i="3"/>
  <c r="F51" i="3"/>
  <c r="E51" i="3"/>
  <c r="D51" i="3"/>
  <c r="C51" i="3"/>
  <c r="B51" i="3"/>
  <c r="M50" i="3"/>
  <c r="L50" i="3"/>
  <c r="K50" i="3"/>
  <c r="J50" i="3"/>
  <c r="I50" i="3"/>
  <c r="H50" i="3"/>
  <c r="G50" i="3"/>
  <c r="F50" i="3"/>
  <c r="E50" i="3"/>
  <c r="D50" i="3"/>
  <c r="C50" i="3"/>
  <c r="B50" i="3"/>
  <c r="M49" i="3"/>
  <c r="L49" i="3"/>
  <c r="K49" i="3"/>
  <c r="J49" i="3"/>
  <c r="I49" i="3"/>
  <c r="H49" i="3"/>
  <c r="G49" i="3"/>
  <c r="F49" i="3"/>
  <c r="E49" i="3"/>
  <c r="D49" i="3"/>
  <c r="C49" i="3"/>
  <c r="B49" i="3"/>
  <c r="M48" i="3"/>
  <c r="L48" i="3"/>
  <c r="K48" i="3"/>
  <c r="J48" i="3"/>
  <c r="I48" i="3"/>
  <c r="H48" i="3"/>
  <c r="G48" i="3"/>
  <c r="F48" i="3"/>
  <c r="E48" i="3"/>
  <c r="D48" i="3"/>
  <c r="C48" i="3"/>
  <c r="B48" i="3"/>
  <c r="M47" i="3"/>
  <c r="L47" i="3"/>
  <c r="K47" i="3"/>
  <c r="J47" i="3"/>
  <c r="I47" i="3"/>
  <c r="H47" i="3"/>
  <c r="G47" i="3"/>
  <c r="F47" i="3"/>
  <c r="E47" i="3"/>
  <c r="D47" i="3"/>
  <c r="C47" i="3"/>
  <c r="B47" i="3"/>
  <c r="M46" i="3"/>
  <c r="L46" i="3"/>
  <c r="K46" i="3"/>
  <c r="J46" i="3"/>
  <c r="I46" i="3"/>
  <c r="H46" i="3"/>
  <c r="G46" i="3"/>
  <c r="F46" i="3"/>
  <c r="E46" i="3"/>
  <c r="D46" i="3"/>
  <c r="C46" i="3"/>
  <c r="B46" i="3"/>
  <c r="M45" i="3"/>
  <c r="L45" i="3"/>
  <c r="K45" i="3"/>
  <c r="J45" i="3"/>
  <c r="I45" i="3"/>
  <c r="H45" i="3"/>
  <c r="G45" i="3"/>
  <c r="F45" i="3"/>
  <c r="E45" i="3"/>
  <c r="D45" i="3"/>
  <c r="C45" i="3"/>
  <c r="B45" i="3"/>
  <c r="M44" i="3"/>
  <c r="L44" i="3"/>
  <c r="K44" i="3"/>
  <c r="J44" i="3"/>
  <c r="I44" i="3"/>
  <c r="H44" i="3"/>
  <c r="G44" i="3"/>
  <c r="F44" i="3"/>
  <c r="E44" i="3"/>
  <c r="D44" i="3"/>
  <c r="C44" i="3"/>
  <c r="B44" i="3"/>
  <c r="M43" i="3"/>
  <c r="L43" i="3"/>
  <c r="K43" i="3"/>
  <c r="J43" i="3"/>
  <c r="I43" i="3"/>
  <c r="H43" i="3"/>
  <c r="G43" i="3"/>
  <c r="F43" i="3"/>
  <c r="E43" i="3"/>
  <c r="D43" i="3"/>
  <c r="C43" i="3"/>
  <c r="B43" i="3"/>
  <c r="M42" i="3"/>
  <c r="L42" i="3"/>
  <c r="K42" i="3"/>
  <c r="J42" i="3"/>
  <c r="I42" i="3"/>
  <c r="H42" i="3"/>
  <c r="G42" i="3"/>
  <c r="F42" i="3"/>
  <c r="E42" i="3"/>
  <c r="D42" i="3"/>
  <c r="C42" i="3"/>
  <c r="B42" i="3"/>
  <c r="M41" i="3"/>
  <c r="L41" i="3"/>
  <c r="K41" i="3"/>
  <c r="J41" i="3"/>
  <c r="I41" i="3"/>
  <c r="H41" i="3"/>
  <c r="G41" i="3"/>
  <c r="F41" i="3"/>
  <c r="E41" i="3"/>
  <c r="D41" i="3"/>
  <c r="C41" i="3"/>
  <c r="B41" i="3"/>
  <c r="M40" i="3"/>
  <c r="L40" i="3"/>
  <c r="K40" i="3"/>
  <c r="J40" i="3"/>
  <c r="I40" i="3"/>
  <c r="H40" i="3"/>
  <c r="G40" i="3"/>
  <c r="F40" i="3"/>
  <c r="E40" i="3"/>
  <c r="D40" i="3"/>
  <c r="C40" i="3"/>
  <c r="B40" i="3"/>
  <c r="O39" i="3"/>
  <c r="M37" i="3"/>
  <c r="L37" i="3"/>
  <c r="K37" i="3"/>
  <c r="J37" i="3"/>
  <c r="I37" i="3"/>
  <c r="H37" i="3"/>
  <c r="G37" i="3"/>
  <c r="F37" i="3"/>
  <c r="E37" i="3"/>
  <c r="D37" i="3"/>
  <c r="C37" i="3"/>
  <c r="B37" i="3"/>
  <c r="A37" i="3"/>
  <c r="M36" i="3"/>
  <c r="L36" i="3"/>
  <c r="K36" i="3"/>
  <c r="J36" i="3"/>
  <c r="I36" i="3"/>
  <c r="H36" i="3"/>
  <c r="G36" i="3"/>
  <c r="F36" i="3"/>
  <c r="E36" i="3"/>
  <c r="D36" i="3"/>
  <c r="C36" i="3"/>
  <c r="B36" i="3"/>
  <c r="A36" i="3"/>
  <c r="M35" i="3"/>
  <c r="L35" i="3"/>
  <c r="K35" i="3"/>
  <c r="J35" i="3"/>
  <c r="I35" i="3"/>
  <c r="H35" i="3"/>
  <c r="G35" i="3"/>
  <c r="F35" i="3"/>
  <c r="E35" i="3"/>
  <c r="D35" i="3"/>
  <c r="C35" i="3"/>
  <c r="B35" i="3"/>
  <c r="A35" i="3"/>
  <c r="M34" i="3"/>
  <c r="L34" i="3"/>
  <c r="K34" i="3"/>
  <c r="J34" i="3"/>
  <c r="I34" i="3"/>
  <c r="H34" i="3"/>
  <c r="G34" i="3"/>
  <c r="F34" i="3"/>
  <c r="E34" i="3"/>
  <c r="D34" i="3"/>
  <c r="C34" i="3"/>
  <c r="B34" i="3"/>
  <c r="A34" i="3"/>
  <c r="M33" i="3"/>
  <c r="L33" i="3"/>
  <c r="K33" i="3"/>
  <c r="J33" i="3"/>
  <c r="I33" i="3"/>
  <c r="H33" i="3"/>
  <c r="G33" i="3"/>
  <c r="F33" i="3"/>
  <c r="E33" i="3"/>
  <c r="D33" i="3"/>
  <c r="C33" i="3"/>
  <c r="B33" i="3"/>
  <c r="A33" i="3"/>
  <c r="M32" i="3"/>
  <c r="L32" i="3"/>
  <c r="K32" i="3"/>
  <c r="J32" i="3"/>
  <c r="I32" i="3"/>
  <c r="H32" i="3"/>
  <c r="G32" i="3"/>
  <c r="F32" i="3"/>
  <c r="E32" i="3"/>
  <c r="D32" i="3"/>
  <c r="C32" i="3"/>
  <c r="B32" i="3"/>
  <c r="A32" i="3"/>
  <c r="M31" i="3"/>
  <c r="L31" i="3"/>
  <c r="K31" i="3"/>
  <c r="J31" i="3"/>
  <c r="I31" i="3"/>
  <c r="H31" i="3"/>
  <c r="G31" i="3"/>
  <c r="F31" i="3"/>
  <c r="E31" i="3"/>
  <c r="D31" i="3"/>
  <c r="C31" i="3"/>
  <c r="B31" i="3"/>
  <c r="A31" i="3"/>
  <c r="A63" i="3" s="1"/>
  <c r="M30" i="3"/>
  <c r="L30" i="3"/>
  <c r="K30" i="3"/>
  <c r="J30" i="3"/>
  <c r="I30" i="3"/>
  <c r="H30" i="3"/>
  <c r="G30" i="3"/>
  <c r="F30" i="3"/>
  <c r="E30" i="3"/>
  <c r="D30" i="3"/>
  <c r="C30" i="3"/>
  <c r="B30" i="3"/>
  <c r="A30" i="3"/>
  <c r="A62" i="3" s="1"/>
  <c r="M29" i="3"/>
  <c r="L29" i="3"/>
  <c r="K29" i="3"/>
  <c r="J29" i="3"/>
  <c r="I29" i="3"/>
  <c r="H29" i="3"/>
  <c r="G29" i="3"/>
  <c r="F29" i="3"/>
  <c r="E29" i="3"/>
  <c r="D29" i="3"/>
  <c r="C29" i="3"/>
  <c r="B29" i="3"/>
  <c r="A29" i="3"/>
  <c r="A61" i="3" s="1"/>
  <c r="M28" i="3"/>
  <c r="L28" i="3"/>
  <c r="K28" i="3"/>
  <c r="J28" i="3"/>
  <c r="I28" i="3"/>
  <c r="H28" i="3"/>
  <c r="G28" i="3"/>
  <c r="F28" i="3"/>
  <c r="E28" i="3"/>
  <c r="D28" i="3"/>
  <c r="C28" i="3"/>
  <c r="B28" i="3"/>
  <c r="A60" i="3"/>
  <c r="M27" i="3"/>
  <c r="L27" i="3"/>
  <c r="K27" i="3"/>
  <c r="J27" i="3"/>
  <c r="I27" i="3"/>
  <c r="H27" i="3"/>
  <c r="G27" i="3"/>
  <c r="F27" i="3"/>
  <c r="E27" i="3"/>
  <c r="D27" i="3"/>
  <c r="C27" i="3"/>
  <c r="B27" i="3"/>
  <c r="M26" i="3"/>
  <c r="L26" i="3"/>
  <c r="K26" i="3"/>
  <c r="J26" i="3"/>
  <c r="I26" i="3"/>
  <c r="H26" i="3"/>
  <c r="G26" i="3"/>
  <c r="F26" i="3"/>
  <c r="E26" i="3"/>
  <c r="D26" i="3"/>
  <c r="C26" i="3"/>
  <c r="B26" i="3"/>
  <c r="M25" i="3"/>
  <c r="L25" i="3"/>
  <c r="K25" i="3"/>
  <c r="J25" i="3"/>
  <c r="I25" i="3"/>
  <c r="H25" i="3"/>
  <c r="G25" i="3"/>
  <c r="F25" i="3"/>
  <c r="E25" i="3"/>
  <c r="D25" i="3"/>
  <c r="C25" i="3"/>
  <c r="B25" i="3"/>
  <c r="M24" i="3"/>
  <c r="L24" i="3"/>
  <c r="K24" i="3"/>
  <c r="J24" i="3"/>
  <c r="I24" i="3"/>
  <c r="H24" i="3"/>
  <c r="G24" i="3"/>
  <c r="F24" i="3"/>
  <c r="E24" i="3"/>
  <c r="D24" i="3"/>
  <c r="C24" i="3"/>
  <c r="B24" i="3"/>
  <c r="M23" i="3"/>
  <c r="L23" i="3"/>
  <c r="K23" i="3"/>
  <c r="J23" i="3"/>
  <c r="I23" i="3"/>
  <c r="H23" i="3"/>
  <c r="G23" i="3"/>
  <c r="F23" i="3"/>
  <c r="E23" i="3"/>
  <c r="D23" i="3"/>
  <c r="C23" i="3"/>
  <c r="B23" i="3"/>
  <c r="M22" i="3"/>
  <c r="L22" i="3"/>
  <c r="K22" i="3"/>
  <c r="J22" i="3"/>
  <c r="I22" i="3"/>
  <c r="H22" i="3"/>
  <c r="G22" i="3"/>
  <c r="F22" i="3"/>
  <c r="E22" i="3"/>
  <c r="D22" i="3"/>
  <c r="C22" i="3"/>
  <c r="B22" i="3"/>
  <c r="M21" i="3"/>
  <c r="L21" i="3"/>
  <c r="K21" i="3"/>
  <c r="J21" i="3"/>
  <c r="I21" i="3"/>
  <c r="H21" i="3"/>
  <c r="G21" i="3"/>
  <c r="F21" i="3"/>
  <c r="E21" i="3"/>
  <c r="D21" i="3"/>
  <c r="C21" i="3"/>
  <c r="B21" i="3"/>
  <c r="M20" i="3"/>
  <c r="L20" i="3"/>
  <c r="K20" i="3"/>
  <c r="J20" i="3"/>
  <c r="I20" i="3"/>
  <c r="H20" i="3"/>
  <c r="G20" i="3"/>
  <c r="F20" i="3"/>
  <c r="E20" i="3"/>
  <c r="D20" i="3"/>
  <c r="C20" i="3"/>
  <c r="B20" i="3"/>
  <c r="M19" i="3"/>
  <c r="L19" i="3"/>
  <c r="K19" i="3"/>
  <c r="J19" i="3"/>
  <c r="I19" i="3"/>
  <c r="H19" i="3"/>
  <c r="G19" i="3"/>
  <c r="F19" i="3"/>
  <c r="E19" i="3"/>
  <c r="D19" i="3"/>
  <c r="C19" i="3"/>
  <c r="B19" i="3"/>
  <c r="M18" i="3"/>
  <c r="L18" i="3"/>
  <c r="K18" i="3"/>
  <c r="J18" i="3"/>
  <c r="I18" i="3"/>
  <c r="H18" i="3"/>
  <c r="G18" i="3"/>
  <c r="F18" i="3"/>
  <c r="E18" i="3"/>
  <c r="D18" i="3"/>
  <c r="C18" i="3"/>
  <c r="B18" i="3"/>
  <c r="M17" i="3"/>
  <c r="L17" i="3"/>
  <c r="K17" i="3"/>
  <c r="J17" i="3"/>
  <c r="I17" i="3"/>
  <c r="H17" i="3"/>
  <c r="G17" i="3"/>
  <c r="F17" i="3"/>
  <c r="E17" i="3"/>
  <c r="D17" i="3"/>
  <c r="C17" i="3"/>
  <c r="B17" i="3"/>
  <c r="M16" i="3"/>
  <c r="L16" i="3"/>
  <c r="K16" i="3"/>
  <c r="J16" i="3"/>
  <c r="I16" i="3"/>
  <c r="H16" i="3"/>
  <c r="G16" i="3"/>
  <c r="F16" i="3"/>
  <c r="E16" i="3"/>
  <c r="D16" i="3"/>
  <c r="C16" i="3"/>
  <c r="B16" i="3"/>
  <c r="M15" i="3"/>
  <c r="L15" i="3"/>
  <c r="K15" i="3"/>
  <c r="J15" i="3"/>
  <c r="I15" i="3"/>
  <c r="H15" i="3"/>
  <c r="G15" i="3"/>
  <c r="F15" i="3"/>
  <c r="E15" i="3"/>
  <c r="D15" i="3"/>
  <c r="C15" i="3"/>
  <c r="B15" i="3"/>
  <c r="M14" i="3"/>
  <c r="L14" i="3"/>
  <c r="K14" i="3"/>
  <c r="J14" i="3"/>
  <c r="I14" i="3"/>
  <c r="H14" i="3"/>
  <c r="G14" i="3"/>
  <c r="F14" i="3"/>
  <c r="E14" i="3"/>
  <c r="D14" i="3"/>
  <c r="C14" i="3"/>
  <c r="B14" i="3"/>
  <c r="M13" i="3"/>
  <c r="L13" i="3"/>
  <c r="K13" i="3"/>
  <c r="J13" i="3"/>
  <c r="I13" i="3"/>
  <c r="H13" i="3"/>
  <c r="G13" i="3"/>
  <c r="F13" i="3"/>
  <c r="E13" i="3"/>
  <c r="D13" i="3"/>
  <c r="C13" i="3"/>
  <c r="B13" i="3"/>
  <c r="M12" i="3"/>
  <c r="L12" i="3"/>
  <c r="K12" i="3"/>
  <c r="J12" i="3"/>
  <c r="I12" i="3"/>
  <c r="H12" i="3"/>
  <c r="G12" i="3"/>
  <c r="F12" i="3"/>
  <c r="E12" i="3"/>
  <c r="D12" i="3"/>
  <c r="C12" i="3"/>
  <c r="B12" i="3"/>
  <c r="M11" i="3"/>
  <c r="L11" i="3"/>
  <c r="K11" i="3"/>
  <c r="J11" i="3"/>
  <c r="I11" i="3"/>
  <c r="H11" i="3"/>
  <c r="G11" i="3"/>
  <c r="F11" i="3"/>
  <c r="E11" i="3"/>
  <c r="D11" i="3"/>
  <c r="C11" i="3"/>
  <c r="B11" i="3"/>
  <c r="M10" i="3"/>
  <c r="L10" i="3"/>
  <c r="K10" i="3"/>
  <c r="J10" i="3"/>
  <c r="I10" i="3"/>
  <c r="H10" i="3"/>
  <c r="G10" i="3"/>
  <c r="F10" i="3"/>
  <c r="E10" i="3"/>
  <c r="D10" i="3"/>
  <c r="C10" i="3"/>
  <c r="B10" i="3"/>
  <c r="M9" i="3"/>
  <c r="L9" i="3"/>
  <c r="K9" i="3"/>
  <c r="J9" i="3"/>
  <c r="I9" i="3"/>
  <c r="H9" i="3"/>
  <c r="G9" i="3"/>
  <c r="F9" i="3"/>
  <c r="E9" i="3"/>
  <c r="D9" i="3"/>
  <c r="C9" i="3"/>
  <c r="B9" i="3"/>
  <c r="M8" i="3"/>
  <c r="L8" i="3"/>
  <c r="K8" i="3"/>
  <c r="J8" i="3"/>
  <c r="I8" i="3"/>
  <c r="H8" i="3"/>
  <c r="G8" i="3"/>
  <c r="F8" i="3"/>
  <c r="E8" i="3"/>
  <c r="D8" i="3"/>
  <c r="C8" i="3"/>
  <c r="B8" i="3"/>
  <c r="E18" i="2"/>
  <c r="E90" i="3" s="1"/>
  <c r="M17" i="2"/>
  <c r="L17" i="2"/>
  <c r="K17" i="2"/>
  <c r="J17" i="2"/>
  <c r="I17" i="2"/>
  <c r="H17" i="2"/>
  <c r="G17" i="2"/>
  <c r="F17" i="2"/>
  <c r="E17" i="2"/>
  <c r="E52" i="1" s="1"/>
  <c r="D17" i="2"/>
  <c r="C17" i="2"/>
  <c r="B17" i="2"/>
  <c r="C16" i="2"/>
  <c r="C2" i="2" s="1"/>
  <c r="C52" i="1" s="1"/>
  <c r="F15" i="2"/>
  <c r="E15" i="2"/>
  <c r="B15" i="2"/>
  <c r="M2" i="2"/>
  <c r="L2" i="2"/>
  <c r="K2" i="2"/>
  <c r="J2" i="2"/>
  <c r="I2" i="2"/>
  <c r="H2" i="2"/>
  <c r="G2" i="2"/>
  <c r="F2" i="2"/>
  <c r="E2" i="2"/>
  <c r="D2" i="2"/>
  <c r="B2" i="2"/>
  <c r="M52" i="1"/>
  <c r="L52" i="1"/>
  <c r="K52" i="1"/>
  <c r="J52" i="1"/>
  <c r="I52" i="1"/>
  <c r="H52" i="1"/>
  <c r="G52" i="1"/>
  <c r="F52" i="1"/>
  <c r="D52" i="1"/>
  <c r="B52" i="1"/>
  <c r="K55" i="1" s="1"/>
  <c r="Q50" i="1"/>
  <c r="B7" i="1" s="1"/>
  <c r="P50" i="1"/>
  <c r="Q48" i="1"/>
  <c r="P48" i="1"/>
  <c r="M48" i="1"/>
  <c r="L48" i="1"/>
  <c r="K48" i="1"/>
  <c r="J48" i="1"/>
  <c r="I48" i="1"/>
  <c r="H48" i="1"/>
  <c r="G48" i="1"/>
  <c r="F48" i="1"/>
  <c r="E48" i="1"/>
  <c r="D48" i="1"/>
  <c r="C48" i="1"/>
  <c r="B48" i="1"/>
  <c r="Q47" i="1"/>
  <c r="P47" i="1"/>
  <c r="M47" i="1"/>
  <c r="L47" i="1"/>
  <c r="K47" i="1"/>
  <c r="J47" i="1"/>
  <c r="I47" i="1"/>
  <c r="H47" i="1"/>
  <c r="G47" i="1"/>
  <c r="F47" i="1"/>
  <c r="E47" i="1"/>
  <c r="D47" i="1"/>
  <c r="C47" i="1"/>
  <c r="B47" i="1"/>
  <c r="Q46" i="1"/>
  <c r="P46" i="1"/>
  <c r="M46" i="1"/>
  <c r="L46" i="1"/>
  <c r="K46" i="1"/>
  <c r="J46" i="1"/>
  <c r="I46" i="1"/>
  <c r="H46" i="1"/>
  <c r="G46" i="1"/>
  <c r="F46" i="1"/>
  <c r="E46" i="1"/>
  <c r="D46" i="1"/>
  <c r="C46" i="1"/>
  <c r="B46" i="1"/>
  <c r="Q45" i="1"/>
  <c r="P45" i="1"/>
  <c r="M45" i="1"/>
  <c r="L45" i="1"/>
  <c r="K45" i="1"/>
  <c r="J45" i="1"/>
  <c r="I45" i="1"/>
  <c r="H45" i="1"/>
  <c r="G45" i="1"/>
  <c r="F45" i="1"/>
  <c r="E45" i="1"/>
  <c r="D45" i="1"/>
  <c r="C45" i="1"/>
  <c r="B45" i="1"/>
  <c r="Q44" i="1"/>
  <c r="P44" i="1"/>
  <c r="M44" i="1"/>
  <c r="L44" i="1"/>
  <c r="K44" i="1"/>
  <c r="J44" i="1"/>
  <c r="I44" i="1"/>
  <c r="H44" i="1"/>
  <c r="G44" i="1"/>
  <c r="F44" i="1"/>
  <c r="E44" i="1"/>
  <c r="D44" i="1"/>
  <c r="C44" i="1"/>
  <c r="B44" i="1"/>
  <c r="Q43" i="1"/>
  <c r="P43" i="1"/>
  <c r="M43" i="1"/>
  <c r="L43" i="1"/>
  <c r="K43" i="1"/>
  <c r="J43" i="1"/>
  <c r="I43" i="1"/>
  <c r="H43" i="1"/>
  <c r="G43" i="1"/>
  <c r="F43" i="1"/>
  <c r="E43" i="1"/>
  <c r="D43" i="1"/>
  <c r="C43" i="1"/>
  <c r="B43" i="1"/>
  <c r="Q42" i="1"/>
  <c r="P42" i="1"/>
  <c r="M42" i="1"/>
  <c r="L42" i="1"/>
  <c r="K42" i="1"/>
  <c r="J42" i="1"/>
  <c r="I42" i="1"/>
  <c r="H42" i="1"/>
  <c r="G42" i="1"/>
  <c r="F42" i="1"/>
  <c r="E42" i="1"/>
  <c r="D42" i="1"/>
  <c r="C42" i="1"/>
  <c r="B42" i="1"/>
  <c r="Q41" i="1"/>
  <c r="P41" i="1"/>
  <c r="M41" i="1"/>
  <c r="L41" i="1"/>
  <c r="K41" i="1"/>
  <c r="J41" i="1"/>
  <c r="I41" i="1"/>
  <c r="H41" i="1"/>
  <c r="G41" i="1"/>
  <c r="F41" i="1"/>
  <c r="E41" i="1"/>
  <c r="D41" i="1"/>
  <c r="C41" i="1"/>
  <c r="B41" i="1"/>
  <c r="Q40" i="1"/>
  <c r="P40" i="1"/>
  <c r="M40" i="1"/>
  <c r="L40" i="1"/>
  <c r="K40" i="1"/>
  <c r="J40" i="1"/>
  <c r="I40" i="1"/>
  <c r="H40" i="1"/>
  <c r="G40" i="1"/>
  <c r="F40" i="1"/>
  <c r="E40" i="1"/>
  <c r="D40" i="1"/>
  <c r="C40" i="1"/>
  <c r="B40" i="1"/>
  <c r="Q39" i="1"/>
  <c r="P39" i="1"/>
  <c r="M39" i="1"/>
  <c r="L39" i="1"/>
  <c r="K39" i="1"/>
  <c r="J39" i="1"/>
  <c r="I39" i="1"/>
  <c r="H39" i="1"/>
  <c r="G39" i="1"/>
  <c r="F39" i="1"/>
  <c r="E39" i="1"/>
  <c r="D39" i="1"/>
  <c r="C39" i="1"/>
  <c r="B39" i="1"/>
  <c r="Q38" i="1"/>
  <c r="P38" i="1"/>
  <c r="M38" i="1"/>
  <c r="L38" i="1"/>
  <c r="K38" i="1"/>
  <c r="J38" i="1"/>
  <c r="I38" i="1"/>
  <c r="H38" i="1"/>
  <c r="G38" i="1"/>
  <c r="F38" i="1"/>
  <c r="E38" i="1"/>
  <c r="D38" i="1"/>
  <c r="C38" i="1"/>
  <c r="B38" i="1"/>
  <c r="A38" i="1"/>
  <c r="A27" i="3" s="1"/>
  <c r="A59" i="3" s="1"/>
  <c r="Q37" i="1"/>
  <c r="P37" i="1"/>
  <c r="M37" i="1"/>
  <c r="L37" i="1"/>
  <c r="K37" i="1"/>
  <c r="J37" i="1"/>
  <c r="I37" i="1"/>
  <c r="H37" i="1"/>
  <c r="G37" i="1"/>
  <c r="F37" i="1"/>
  <c r="E37" i="1"/>
  <c r="D37" i="1"/>
  <c r="C37" i="1"/>
  <c r="B37" i="1"/>
  <c r="A37" i="1"/>
  <c r="A26" i="3" s="1"/>
  <c r="A58" i="3" s="1"/>
  <c r="Q36" i="1"/>
  <c r="P36" i="1"/>
  <c r="M36" i="1"/>
  <c r="L36" i="1"/>
  <c r="K36" i="1"/>
  <c r="J36" i="1"/>
  <c r="I36" i="1"/>
  <c r="H36" i="1"/>
  <c r="G36" i="1"/>
  <c r="F36" i="1"/>
  <c r="E36" i="1"/>
  <c r="D36" i="1"/>
  <c r="C36" i="1"/>
  <c r="B36" i="1"/>
  <c r="A36" i="1"/>
  <c r="A25" i="3" s="1"/>
  <c r="A57" i="3" s="1"/>
  <c r="Q35" i="1"/>
  <c r="P35" i="1"/>
  <c r="M35" i="1"/>
  <c r="L35" i="1"/>
  <c r="K35" i="1"/>
  <c r="J35" i="1"/>
  <c r="I35" i="1"/>
  <c r="H35" i="1"/>
  <c r="G35" i="1"/>
  <c r="F35" i="1"/>
  <c r="E35" i="1"/>
  <c r="D35" i="1"/>
  <c r="C35" i="1"/>
  <c r="B35" i="1"/>
  <c r="A35" i="1"/>
  <c r="A24" i="3" s="1"/>
  <c r="A56" i="3" s="1"/>
  <c r="Q34" i="1"/>
  <c r="P34" i="1"/>
  <c r="M34" i="1"/>
  <c r="L34" i="1"/>
  <c r="K34" i="1"/>
  <c r="J34" i="1"/>
  <c r="I34" i="1"/>
  <c r="H34" i="1"/>
  <c r="G34" i="1"/>
  <c r="F34" i="1"/>
  <c r="E34" i="1"/>
  <c r="D34" i="1"/>
  <c r="C34" i="1"/>
  <c r="B34" i="1"/>
  <c r="A34" i="1"/>
  <c r="A23" i="3" s="1"/>
  <c r="A55" i="3" s="1"/>
  <c r="Q33" i="1"/>
  <c r="P33" i="1"/>
  <c r="M33" i="1"/>
  <c r="L33" i="1"/>
  <c r="K33" i="1"/>
  <c r="J33" i="1"/>
  <c r="I33" i="1"/>
  <c r="H33" i="1"/>
  <c r="G33" i="1"/>
  <c r="F33" i="1"/>
  <c r="E33" i="1"/>
  <c r="D33" i="1"/>
  <c r="C33" i="1"/>
  <c r="B33" i="1"/>
  <c r="A33" i="1"/>
  <c r="A22" i="3" s="1"/>
  <c r="A54" i="3" s="1"/>
  <c r="Q32" i="1"/>
  <c r="P32" i="1"/>
  <c r="M32" i="1"/>
  <c r="L32" i="1"/>
  <c r="K32" i="1"/>
  <c r="J32" i="1"/>
  <c r="I32" i="1"/>
  <c r="H32" i="1"/>
  <c r="G32" i="1"/>
  <c r="F32" i="1"/>
  <c r="E32" i="1"/>
  <c r="D32" i="1"/>
  <c r="C32" i="1"/>
  <c r="B32" i="1"/>
  <c r="A32" i="1"/>
  <c r="A21" i="3" s="1"/>
  <c r="A53" i="3" s="1"/>
  <c r="Q31" i="1"/>
  <c r="P31" i="1"/>
  <c r="M31" i="1"/>
  <c r="L31" i="1"/>
  <c r="K31" i="1"/>
  <c r="J31" i="1"/>
  <c r="I31" i="1"/>
  <c r="H31" i="1"/>
  <c r="G31" i="1"/>
  <c r="F31" i="1"/>
  <c r="E31" i="1"/>
  <c r="D31" i="1"/>
  <c r="C31" i="1"/>
  <c r="B31" i="1"/>
  <c r="A31" i="1"/>
  <c r="A20" i="3" s="1"/>
  <c r="A52" i="3" s="1"/>
  <c r="Q30" i="1"/>
  <c r="P30" i="1"/>
  <c r="M30" i="1"/>
  <c r="L30" i="1"/>
  <c r="K30" i="1"/>
  <c r="J30" i="1"/>
  <c r="I30" i="1"/>
  <c r="H30" i="1"/>
  <c r="G30" i="1"/>
  <c r="F30" i="1"/>
  <c r="E30" i="1"/>
  <c r="D30" i="1"/>
  <c r="C30" i="1"/>
  <c r="B30" i="1"/>
  <c r="A30" i="1"/>
  <c r="A19" i="3" s="1"/>
  <c r="A51" i="3" s="1"/>
  <c r="Q29" i="1"/>
  <c r="P29" i="1"/>
  <c r="M29" i="1"/>
  <c r="L29" i="1"/>
  <c r="K29" i="1"/>
  <c r="J29" i="1"/>
  <c r="I29" i="1"/>
  <c r="H29" i="1"/>
  <c r="G29" i="1"/>
  <c r="F29" i="1"/>
  <c r="E29" i="1"/>
  <c r="D29" i="1"/>
  <c r="C29" i="1"/>
  <c r="B29" i="1"/>
  <c r="A29" i="1"/>
  <c r="A18" i="3" s="1"/>
  <c r="A50" i="3" s="1"/>
  <c r="Q28" i="1"/>
  <c r="P28" i="1"/>
  <c r="M28" i="1"/>
  <c r="L28" i="1"/>
  <c r="K28" i="1"/>
  <c r="J28" i="1"/>
  <c r="I28" i="1"/>
  <c r="H28" i="1"/>
  <c r="G28" i="1"/>
  <c r="F28" i="1"/>
  <c r="E28" i="1"/>
  <c r="D28" i="1"/>
  <c r="C28" i="1"/>
  <c r="B28" i="1"/>
  <c r="A28" i="1"/>
  <c r="A17" i="3" s="1"/>
  <c r="A49" i="3" s="1"/>
  <c r="Q27" i="1"/>
  <c r="P27" i="1"/>
  <c r="M27" i="1"/>
  <c r="L27" i="1"/>
  <c r="K27" i="1"/>
  <c r="J27" i="1"/>
  <c r="I27" i="1"/>
  <c r="H27" i="1"/>
  <c r="G27" i="1"/>
  <c r="F27" i="1"/>
  <c r="E27" i="1"/>
  <c r="D27" i="1"/>
  <c r="C27" i="1"/>
  <c r="B27" i="1"/>
  <c r="A27" i="1"/>
  <c r="A16" i="3" s="1"/>
  <c r="A48" i="3" s="1"/>
  <c r="Q26" i="1"/>
  <c r="P26" i="1"/>
  <c r="M26" i="1"/>
  <c r="L26" i="1"/>
  <c r="K26" i="1"/>
  <c r="J26" i="1"/>
  <c r="I26" i="1"/>
  <c r="H26" i="1"/>
  <c r="G26" i="1"/>
  <c r="F26" i="1"/>
  <c r="E26" i="1"/>
  <c r="D26" i="1"/>
  <c r="C26" i="1"/>
  <c r="B26" i="1"/>
  <c r="A26" i="1"/>
  <c r="A15" i="3" s="1"/>
  <c r="A47" i="3" s="1"/>
  <c r="Q25" i="1"/>
  <c r="P25" i="1"/>
  <c r="M25" i="1"/>
  <c r="L25" i="1"/>
  <c r="K25" i="1"/>
  <c r="J25" i="1"/>
  <c r="I25" i="1"/>
  <c r="H25" i="1"/>
  <c r="G25" i="1"/>
  <c r="F25" i="1"/>
  <c r="E25" i="1"/>
  <c r="D25" i="1"/>
  <c r="C25" i="1"/>
  <c r="B25" i="1"/>
  <c r="A25" i="1"/>
  <c r="A14" i="3" s="1"/>
  <c r="A46" i="3" s="1"/>
  <c r="Q24" i="1"/>
  <c r="P24" i="1"/>
  <c r="M24" i="1"/>
  <c r="L24" i="1"/>
  <c r="K24" i="1"/>
  <c r="J24" i="1"/>
  <c r="I24" i="1"/>
  <c r="H24" i="1"/>
  <c r="G24" i="1"/>
  <c r="F24" i="1"/>
  <c r="E24" i="1"/>
  <c r="D24" i="1"/>
  <c r="C24" i="1"/>
  <c r="B24" i="1"/>
  <c r="A24" i="1"/>
  <c r="A13" i="3" s="1"/>
  <c r="A45" i="3" s="1"/>
  <c r="Q23" i="1"/>
  <c r="P23" i="1"/>
  <c r="M23" i="1"/>
  <c r="L23" i="1"/>
  <c r="K23" i="1"/>
  <c r="J23" i="1"/>
  <c r="I23" i="1"/>
  <c r="H23" i="1"/>
  <c r="G23" i="1"/>
  <c r="F23" i="1"/>
  <c r="E23" i="1"/>
  <c r="D23" i="1"/>
  <c r="C23" i="1"/>
  <c r="B23" i="1"/>
  <c r="A23" i="1"/>
  <c r="A12" i="3" s="1"/>
  <c r="A44" i="3" s="1"/>
  <c r="Q22" i="1"/>
  <c r="P22" i="1"/>
  <c r="M22" i="1"/>
  <c r="L22" i="1"/>
  <c r="K22" i="1"/>
  <c r="J22" i="1"/>
  <c r="I22" i="1"/>
  <c r="H22" i="1"/>
  <c r="G22" i="1"/>
  <c r="F22" i="1"/>
  <c r="E22" i="1"/>
  <c r="D22" i="1"/>
  <c r="C22" i="1"/>
  <c r="B22" i="1"/>
  <c r="A22" i="1"/>
  <c r="A11" i="3" s="1"/>
  <c r="A43" i="3" s="1"/>
  <c r="Q21" i="1"/>
  <c r="P21" i="1"/>
  <c r="M21" i="1"/>
  <c r="L21" i="1"/>
  <c r="K21" i="1"/>
  <c r="J21" i="1"/>
  <c r="I21" i="1"/>
  <c r="H21" i="1"/>
  <c r="G21" i="1"/>
  <c r="F21" i="1"/>
  <c r="E21" i="1"/>
  <c r="D21" i="1"/>
  <c r="C21" i="1"/>
  <c r="B21" i="1"/>
  <c r="A21" i="1"/>
  <c r="A10" i="3" s="1"/>
  <c r="A42" i="3" s="1"/>
  <c r="Q20" i="1"/>
  <c r="P20" i="1"/>
  <c r="M20" i="1"/>
  <c r="L20" i="1"/>
  <c r="K20" i="1"/>
  <c r="J20" i="1"/>
  <c r="I20" i="1"/>
  <c r="H20" i="1"/>
  <c r="G20" i="1"/>
  <c r="F20" i="1"/>
  <c r="E20" i="1"/>
  <c r="D20" i="1"/>
  <c r="C20" i="1"/>
  <c r="B20" i="1"/>
  <c r="A20" i="1"/>
  <c r="A9" i="3" s="1"/>
  <c r="A41" i="3" s="1"/>
  <c r="Q19" i="1"/>
  <c r="P19" i="1"/>
  <c r="M19" i="1"/>
  <c r="L19" i="1"/>
  <c r="K19" i="1"/>
  <c r="J19" i="1"/>
  <c r="I19" i="1"/>
  <c r="H19" i="1"/>
  <c r="G19" i="1"/>
  <c r="F19" i="1"/>
  <c r="E19" i="1"/>
  <c r="D19" i="1"/>
  <c r="C19" i="1"/>
  <c r="B19" i="1"/>
  <c r="A19" i="1"/>
  <c r="A8" i="3" s="1"/>
  <c r="A40" i="3" s="1"/>
  <c r="Q18" i="1"/>
  <c r="P18" i="1"/>
  <c r="M18" i="1"/>
  <c r="L18" i="1"/>
  <c r="K18" i="1"/>
  <c r="J18" i="1"/>
  <c r="I18" i="1"/>
  <c r="H18" i="1"/>
  <c r="G18" i="1"/>
  <c r="F18" i="1"/>
  <c r="E18" i="1"/>
  <c r="D18" i="1"/>
  <c r="C18" i="1"/>
  <c r="B18" i="1"/>
  <c r="A18" i="1"/>
  <c r="E13" i="1"/>
  <c r="E12" i="1"/>
  <c r="E11" i="1"/>
  <c r="E10" i="1"/>
  <c r="E9" i="1"/>
  <c r="E8" i="1"/>
  <c r="E7" i="1"/>
  <c r="E6" i="1"/>
  <c r="B6" i="1"/>
  <c r="E5" i="1"/>
  <c r="B5" i="1"/>
  <c r="E4" i="1"/>
  <c r="B4" i="1"/>
  <c r="E3" i="1"/>
  <c r="E2" i="1"/>
  <c r="C59" i="1" l="1"/>
  <c r="C60" i="1"/>
  <c r="O39" i="1"/>
  <c r="M50" i="1"/>
  <c r="H3" i="3"/>
  <c r="H76" i="3" s="1"/>
  <c r="J3" i="3"/>
  <c r="J76" i="3" s="1"/>
  <c r="L4" i="3"/>
  <c r="L77" i="3" s="1"/>
  <c r="O29" i="1"/>
  <c r="C88" i="1"/>
  <c r="M3" i="3"/>
  <c r="M76" i="3" s="1"/>
  <c r="H50" i="1"/>
  <c r="O30" i="1"/>
  <c r="O37" i="1"/>
  <c r="F3" i="3"/>
  <c r="F76" i="3" s="1"/>
  <c r="G4" i="3"/>
  <c r="G77" i="3" s="1"/>
  <c r="O27" i="1"/>
  <c r="O34" i="1"/>
  <c r="G3" i="3"/>
  <c r="G76" i="3" s="1"/>
  <c r="H4" i="3"/>
  <c r="H77" i="3" s="1"/>
  <c r="O26" i="1"/>
  <c r="I4" i="3"/>
  <c r="I77" i="3" s="1"/>
  <c r="K4" i="3"/>
  <c r="K77" i="3" s="1"/>
  <c r="O46" i="1"/>
  <c r="O23" i="1"/>
  <c r="L3" i="3"/>
  <c r="M4" i="3"/>
  <c r="M77" i="3" s="1"/>
  <c r="O31" i="1"/>
  <c r="O21" i="1"/>
  <c r="B4" i="3"/>
  <c r="B77" i="3" s="1"/>
  <c r="O20" i="1"/>
  <c r="O44" i="1"/>
  <c r="C4" i="3"/>
  <c r="C77" i="3" s="1"/>
  <c r="O28" i="1"/>
  <c r="O41" i="1"/>
  <c r="O48" i="1"/>
  <c r="C3" i="3"/>
  <c r="C76" i="3" s="1"/>
  <c r="O18" i="1"/>
  <c r="O25" i="1"/>
  <c r="D3" i="3"/>
  <c r="D76" i="3" s="1"/>
  <c r="E4" i="3"/>
  <c r="E77" i="3" s="1"/>
  <c r="L50" i="1"/>
  <c r="O24" i="1"/>
  <c r="F50" i="1"/>
  <c r="O43" i="1"/>
  <c r="F4" i="3"/>
  <c r="F77" i="3" s="1"/>
  <c r="C63" i="1"/>
  <c r="C65" i="1"/>
  <c r="I50" i="1"/>
  <c r="C73" i="1"/>
  <c r="I3" i="3"/>
  <c r="J4" i="3"/>
  <c r="J77" i="3" s="1"/>
  <c r="J50" i="1"/>
  <c r="O36" i="1"/>
  <c r="O45" i="1"/>
  <c r="K3" i="3"/>
  <c r="O22" i="1"/>
  <c r="O38" i="1"/>
  <c r="B10" i="1" s="1"/>
  <c r="B50" i="1"/>
  <c r="O35" i="1"/>
  <c r="E3" i="3"/>
  <c r="O40" i="1"/>
  <c r="D50" i="1"/>
  <c r="E50" i="1"/>
  <c r="O33" i="1"/>
  <c r="C50" i="1"/>
  <c r="O32" i="1"/>
  <c r="O47" i="1"/>
  <c r="B3" i="3"/>
  <c r="B76" i="3" s="1"/>
  <c r="G50" i="1"/>
  <c r="O42" i="1"/>
  <c r="D4" i="3"/>
  <c r="D77" i="3" s="1"/>
  <c r="B98" i="3"/>
  <c r="H98" i="3"/>
  <c r="C98" i="3"/>
  <c r="I98" i="3"/>
  <c r="D98" i="3"/>
  <c r="M55" i="1"/>
  <c r="L55" i="1"/>
  <c r="F55" i="1"/>
  <c r="D55" i="1"/>
  <c r="C55" i="1"/>
  <c r="B54" i="1"/>
  <c r="E93" i="3"/>
  <c r="E94" i="3"/>
  <c r="F98" i="3" s="1"/>
  <c r="Q4" i="3"/>
  <c r="R4" i="3" s="1"/>
  <c r="L98" i="3"/>
  <c r="C66" i="1"/>
  <c r="C97" i="3"/>
  <c r="C67" i="1"/>
  <c r="D93" i="3"/>
  <c r="F97" i="3" s="1"/>
  <c r="C68" i="1"/>
  <c r="C69" i="1"/>
  <c r="F93" i="3"/>
  <c r="C70" i="1"/>
  <c r="B55" i="1"/>
  <c r="C71" i="1"/>
  <c r="H93" i="3"/>
  <c r="M97" i="3" s="1"/>
  <c r="C72" i="1"/>
  <c r="J93" i="3"/>
  <c r="K50" i="1"/>
  <c r="E55" i="1"/>
  <c r="C74" i="1"/>
  <c r="C75" i="1"/>
  <c r="G55" i="1"/>
  <c r="C76" i="1"/>
  <c r="H55" i="1"/>
  <c r="C77" i="1"/>
  <c r="I55" i="1"/>
  <c r="C78" i="1"/>
  <c r="O19" i="1"/>
  <c r="J55" i="1"/>
  <c r="C79" i="1"/>
  <c r="C80" i="1"/>
  <c r="C81" i="1"/>
  <c r="C82" i="1"/>
  <c r="C83" i="1"/>
  <c r="C84" i="1"/>
  <c r="C61" i="1"/>
  <c r="C85" i="1"/>
  <c r="C62" i="1"/>
  <c r="C86" i="1"/>
  <c r="C87" i="1"/>
  <c r="C64" i="1"/>
  <c r="K54" i="1" l="1"/>
  <c r="L5" i="3"/>
  <c r="H5" i="3"/>
  <c r="H74" i="3" s="1"/>
  <c r="E54" i="1"/>
  <c r="G5" i="3"/>
  <c r="H54" i="1"/>
  <c r="F54" i="1"/>
  <c r="D54" i="1"/>
  <c r="G54" i="1"/>
  <c r="I5" i="3"/>
  <c r="P2" i="3"/>
  <c r="P3" i="3" s="1"/>
  <c r="L54" i="1"/>
  <c r="M54" i="1"/>
  <c r="I54" i="1"/>
  <c r="B5" i="3"/>
  <c r="B74" i="3" s="1"/>
  <c r="F5" i="3"/>
  <c r="F75" i="3" s="1"/>
  <c r="I76" i="3"/>
  <c r="L76" i="3"/>
  <c r="K5" i="3"/>
  <c r="K75" i="3" s="1"/>
  <c r="J54" i="1"/>
  <c r="O50" i="1"/>
  <c r="B3" i="1" s="1"/>
  <c r="E76" i="3"/>
  <c r="E5" i="3"/>
  <c r="E75" i="3" s="1"/>
  <c r="C5" i="3"/>
  <c r="C74" i="3" s="1"/>
  <c r="K76" i="3"/>
  <c r="D5" i="3"/>
  <c r="Q2" i="3"/>
  <c r="Q3" i="3" s="1"/>
  <c r="C54" i="1"/>
  <c r="J5" i="3"/>
  <c r="J75" i="3" s="1"/>
  <c r="M5" i="3"/>
  <c r="M74" i="3" s="1"/>
  <c r="G75" i="3"/>
  <c r="G74" i="3"/>
  <c r="L97" i="3"/>
  <c r="J97" i="3"/>
  <c r="E97" i="3"/>
  <c r="I97" i="3"/>
  <c r="H97" i="3"/>
  <c r="G97" i="3"/>
  <c r="D97" i="3"/>
  <c r="P5" i="3" s="1"/>
  <c r="R5" i="3" s="1"/>
  <c r="K97" i="3"/>
  <c r="I75" i="3"/>
  <c r="I74" i="3"/>
  <c r="J98" i="3"/>
  <c r="E98" i="3"/>
  <c r="Q5" i="3" s="1"/>
  <c r="G98" i="3"/>
  <c r="L75" i="3"/>
  <c r="L74" i="3"/>
  <c r="H75" i="3"/>
  <c r="E74" i="3" l="1"/>
  <c r="B75" i="3"/>
  <c r="Q6" i="3"/>
  <c r="C75" i="3"/>
  <c r="B9" i="1"/>
  <c r="R3" i="3"/>
  <c r="P6" i="3"/>
  <c r="R6" i="3" s="1"/>
  <c r="R2" i="3"/>
  <c r="D74" i="3"/>
  <c r="D75" i="3"/>
  <c r="D80" i="3" s="1"/>
  <c r="F74" i="3"/>
  <c r="J74" i="3"/>
  <c r="K74" i="3"/>
  <c r="M75" i="3"/>
  <c r="M80" i="3" s="1"/>
  <c r="L80" i="3"/>
  <c r="L79" i="3"/>
  <c r="L82" i="3" s="1"/>
  <c r="B79" i="3"/>
  <c r="B82" i="3" s="1"/>
  <c r="B80" i="3"/>
  <c r="I80" i="3"/>
  <c r="I79" i="3"/>
  <c r="I82" i="3" s="1"/>
  <c r="J80" i="3"/>
  <c r="J79" i="3"/>
  <c r="J82" i="3" s="1"/>
  <c r="K80" i="3"/>
  <c r="K79" i="3"/>
  <c r="K82" i="3" s="1"/>
  <c r="E80" i="3"/>
  <c r="E79" i="3"/>
  <c r="E82" i="3" s="1"/>
  <c r="H80" i="3"/>
  <c r="H79" i="3"/>
  <c r="H82" i="3" s="1"/>
  <c r="G80" i="3"/>
  <c r="G79" i="3"/>
  <c r="G82" i="3" s="1"/>
  <c r="C79" i="3"/>
  <c r="C82" i="3" s="1"/>
  <c r="C80" i="3"/>
  <c r="F80" i="3"/>
  <c r="F79" i="3"/>
  <c r="F82" i="3" s="1"/>
  <c r="M79" i="3" l="1"/>
  <c r="M82" i="3" s="1"/>
  <c r="D79" i="3"/>
  <c r="D82" i="3" s="1"/>
  <c r="D83" i="3"/>
  <c r="D86" i="3" s="1"/>
  <c r="D6" i="3" s="1"/>
  <c r="D7" i="3" s="1"/>
  <c r="D84" i="3"/>
  <c r="C84" i="3"/>
  <c r="C83" i="3"/>
  <c r="C86" i="3" s="1"/>
  <c r="C6" i="3" s="1"/>
  <c r="C7" i="3" s="1"/>
  <c r="G83" i="3"/>
  <c r="G86" i="3" s="1"/>
  <c r="G6" i="3" s="1"/>
  <c r="G7" i="3" s="1"/>
  <c r="G84" i="3"/>
  <c r="H83" i="3"/>
  <c r="H86" i="3" s="1"/>
  <c r="H6" i="3" s="1"/>
  <c r="H7" i="3" s="1"/>
  <c r="H84" i="3"/>
  <c r="K83" i="3"/>
  <c r="K86" i="3" s="1"/>
  <c r="K6" i="3" s="1"/>
  <c r="K7" i="3" s="1"/>
  <c r="K84" i="3"/>
  <c r="I83" i="3"/>
  <c r="I84" i="3"/>
  <c r="I86" i="3" s="1"/>
  <c r="I6" i="3" s="1"/>
  <c r="I7" i="3" s="1"/>
  <c r="L83" i="3"/>
  <c r="L86" i="3" s="1"/>
  <c r="L6" i="3" s="1"/>
  <c r="L7" i="3" s="1"/>
  <c r="L84" i="3"/>
  <c r="F83" i="3"/>
  <c r="F84" i="3"/>
  <c r="F86" i="3" s="1"/>
  <c r="F6" i="3" s="1"/>
  <c r="F7" i="3" s="1"/>
  <c r="E83" i="3"/>
  <c r="E86" i="3" s="1"/>
  <c r="E6" i="3" s="1"/>
  <c r="E7" i="3" s="1"/>
  <c r="E84" i="3"/>
  <c r="M83" i="3"/>
  <c r="M86" i="3" s="1"/>
  <c r="M6" i="3" s="1"/>
  <c r="M7" i="3" s="1"/>
  <c r="M84" i="3"/>
  <c r="J83" i="3"/>
  <c r="J84" i="3"/>
  <c r="J86" i="3" s="1"/>
  <c r="J6" i="3" s="1"/>
  <c r="J7" i="3" s="1"/>
  <c r="B84" i="3"/>
  <c r="B83" i="3"/>
  <c r="B86" i="3" s="1"/>
  <c r="B6" i="3" s="1"/>
  <c r="B7" i="3" s="1"/>
</calcChain>
</file>

<file path=xl/sharedStrings.xml><?xml version="1.0" encoding="utf-8"?>
<sst xmlns="http://schemas.openxmlformats.org/spreadsheetml/2006/main" count="1164" uniqueCount="438">
  <si>
    <t>Resumo</t>
  </si>
  <si>
    <t>Gastos Mês-a-Mês</t>
  </si>
  <si>
    <t>Total</t>
  </si>
  <si>
    <t>janeiro</t>
  </si>
  <si>
    <t>Total de Gastos do Ano</t>
  </si>
  <si>
    <t>fevereiro</t>
  </si>
  <si>
    <t>Média Mensal de Gastos</t>
  </si>
  <si>
    <t>março</t>
  </si>
  <si>
    <t>Mediana de Gastos</t>
  </si>
  <si>
    <t>abril</t>
  </si>
  <si>
    <t>Desvio Padrão</t>
  </si>
  <si>
    <t>maio</t>
  </si>
  <si>
    <t>Desvio Padrão (em %)</t>
  </si>
  <si>
    <t>junho</t>
  </si>
  <si>
    <t>julho</t>
  </si>
  <si>
    <t>Balanço do Ano:</t>
  </si>
  <si>
    <t>agosto</t>
  </si>
  <si>
    <t>Do Balanço &gt; Investido no Ano:</t>
  </si>
  <si>
    <t>setembro</t>
  </si>
  <si>
    <t>outubro</t>
  </si>
  <si>
    <t>novembro</t>
  </si>
  <si>
    <t>dezembro</t>
  </si>
  <si>
    <t>Gastos Por Categoria | Mês</t>
  </si>
  <si>
    <t>Central Value</t>
  </si>
  <si>
    <t>Std Deviation</t>
  </si>
  <si>
    <t>TOTAL Monthly Output:</t>
  </si>
  <si>
    <t>Total Revenue (all types):</t>
  </si>
  <si>
    <t>Acum. Output</t>
  </si>
  <si>
    <t>Acum. Input</t>
  </si>
  <si>
    <t>Classificação dos gastos</t>
  </si>
  <si>
    <t>Qual. do Gasto</t>
  </si>
  <si>
    <t>Gasto Pessoal</t>
  </si>
  <si>
    <t>Discricionário</t>
  </si>
  <si>
    <t>Work-related</t>
  </si>
  <si>
    <t>Fixo</t>
  </si>
  <si>
    <t>Aluguel_Cond</t>
  </si>
  <si>
    <t>Home Supplies</t>
  </si>
  <si>
    <t>Energia_Gás_Água_Esgoto</t>
  </si>
  <si>
    <t>Internet_Telefonia</t>
  </si>
  <si>
    <t>Comida_Alimentação</t>
  </si>
  <si>
    <t>Manutenção_Casa</t>
  </si>
  <si>
    <t>Móveis_Aparelhos_Decoração</t>
  </si>
  <si>
    <t>Transporte Geral &amp; Coletivo</t>
  </si>
  <si>
    <t>Transporte Uber &amp; Apps</t>
  </si>
  <si>
    <t>Saúde</t>
  </si>
  <si>
    <t>Academia</t>
  </si>
  <si>
    <t>Educação</t>
  </si>
  <si>
    <t>Roupa_Acessorios</t>
  </si>
  <si>
    <t>Entretenimento_&amp;_Restaurantes</t>
  </si>
  <si>
    <t>Viagem/Vacation</t>
  </si>
  <si>
    <t>Imposto (IPVA-IPTU-etc)</t>
  </si>
  <si>
    <t>Outros</t>
  </si>
  <si>
    <t>Investimento (aporte)</t>
  </si>
  <si>
    <t>Pessoa 2 | Total</t>
  </si>
  <si>
    <t>CNPJ | 'Company'</t>
  </si>
  <si>
    <t>OtherSources</t>
  </si>
  <si>
    <t>Pessoa 1 | Total</t>
  </si>
  <si>
    <t>Emprego</t>
  </si>
  <si>
    <t>Atendimentos</t>
  </si>
  <si>
    <t>Vale Alimentação</t>
  </si>
  <si>
    <t>Reembolsos</t>
  </si>
  <si>
    <t>Meses</t>
  </si>
  <si>
    <t>next January</t>
  </si>
  <si>
    <t>Who Paid for it?</t>
  </si>
  <si>
    <t>Pessoa 2</t>
  </si>
  <si>
    <t>Pessoa 1</t>
  </si>
  <si>
    <t>Both</t>
  </si>
  <si>
    <t>Descrição</t>
  </si>
  <si>
    <t>Total Card Costs</t>
  </si>
  <si>
    <t>Card Costs [Pessoa 2 only]:</t>
  </si>
  <si>
    <t>Total Costs + Transfers Balance</t>
  </si>
  <si>
    <t>Card Costs [Pessoa 1 only]:</t>
  </si>
  <si>
    <t>Avg Wage Amount</t>
  </si>
  <si>
    <t>Card Costs [Both]</t>
  </si>
  <si>
    <t>Avg Wage Proportion</t>
  </si>
  <si>
    <t>What do I need to pay?</t>
  </si>
  <si>
    <t>Actual Cost Proportion</t>
  </si>
  <si>
    <t>Contabilidade Check</t>
  </si>
  <si>
    <t>last December liability</t>
  </si>
  <si>
    <t>Pessoa 2 Liabilities</t>
  </si>
  <si>
    <t>Total Transf:</t>
  </si>
  <si>
    <t>Transferência para a Pessoa 1</t>
  </si>
  <si>
    <t>Pessoa 1 Liabilities</t>
  </si>
  <si>
    <t>Transferência para o Pessoa 2</t>
  </si>
  <si>
    <t>Formula Steps</t>
  </si>
  <si>
    <t>Half of Total:</t>
  </si>
  <si>
    <t>Output [Total]:</t>
  </si>
  <si>
    <t>Output [Pessoa 2 only]:</t>
  </si>
  <si>
    <t>Output [Pessoa 1 only]:</t>
  </si>
  <si>
    <t>What Pessoa 2 has to pay</t>
  </si>
  <si>
    <t>What Pessoa 1 has to pay</t>
  </si>
  <si>
    <t>Did Pessoa 2 pay more?</t>
  </si>
  <si>
    <t>If yes, P1 has to pay this:</t>
  </si>
  <si>
    <t>If no, P2 has to pay this:</t>
  </si>
  <si>
    <t>Balance of both:</t>
  </si>
  <si>
    <t>Wage Amount</t>
  </si>
  <si>
    <t>Last Year's Median</t>
  </si>
  <si>
    <t>Pessoa 2's</t>
  </si>
  <si>
    <t>Pessoa 1's</t>
  </si>
  <si>
    <t>Proportion (Current Month)</t>
  </si>
  <si>
    <t>Grazi's</t>
  </si>
  <si>
    <t>Proportion (6 month AVG adjusted)</t>
  </si>
  <si>
    <t xml:space="preserve"> Mês de Jan | Data</t>
  </si>
  <si>
    <t>Tipo de Gasto</t>
  </si>
  <si>
    <t>Valor</t>
  </si>
  <si>
    <t>Observação</t>
  </si>
  <si>
    <t>Quem Pagou</t>
  </si>
  <si>
    <t>Aluguel_Cond Janeiro 13</t>
  </si>
  <si>
    <t>Gasto Pessoal Janeiro 1</t>
  </si>
  <si>
    <t>Academia &amp; Fitness</t>
  </si>
  <si>
    <t>Academia &amp; Fitness Janeiro 11</t>
  </si>
  <si>
    <t>Work-related Janeiro 20</t>
  </si>
  <si>
    <t>Work-related Janeiro 22</t>
  </si>
  <si>
    <t>Manutenção_Casa Janeiro 20</t>
  </si>
  <si>
    <t>Outros Janeiro 6</t>
  </si>
  <si>
    <t>Saúde Janeiro 19</t>
  </si>
  <si>
    <t>Home Supplies Janeiro 5</t>
  </si>
  <si>
    <t>Manutenção_Casa Janeiro 13</t>
  </si>
  <si>
    <t>Energia_Gás_Água_Esgoto Janeiro 11</t>
  </si>
  <si>
    <t>Work-related Janeiro 13</t>
  </si>
  <si>
    <t>Móveis_Aparelhos_Decoração Janeiro 26</t>
  </si>
  <si>
    <t>Saúde Janeiro 20</t>
  </si>
  <si>
    <t>Home Supplies Janeiro 14</t>
  </si>
  <si>
    <t>Imposto (IPVA-IPTU-etc) Janeiro 11</t>
  </si>
  <si>
    <t>Entretenimento_&amp;_Restaurantes Janeiro 19</t>
  </si>
  <si>
    <t>Gasto Pessoal Janeiro 17</t>
  </si>
  <si>
    <t>Manutenção_Casa Janeiro 10</t>
  </si>
  <si>
    <t>Entretenimento_&amp;_Restaurantes Janeiro 2</t>
  </si>
  <si>
    <t>Outros Janeiro 11</t>
  </si>
  <si>
    <t>Academia &amp; Fitness Janeiro 19</t>
  </si>
  <si>
    <t>Investimento Janeiro 13</t>
  </si>
  <si>
    <t>Mês de Fev | Data</t>
  </si>
  <si>
    <t>14/Fev/2023</t>
  </si>
  <si>
    <t>Saúde Fevereiro 14</t>
  </si>
  <si>
    <t>26/Fev/2023</t>
  </si>
  <si>
    <t>Home Supplies Fevereiro 26</t>
  </si>
  <si>
    <t>Entretenimento_&amp;_Restaurantes Fevereiro 26</t>
  </si>
  <si>
    <t>15/Fev/2023</t>
  </si>
  <si>
    <t>Educação Fevereiro 15</t>
  </si>
  <si>
    <t>3/Fev/2023</t>
  </si>
  <si>
    <t>Work-related Fevereiro 3</t>
  </si>
  <si>
    <t>19/Fev/2023</t>
  </si>
  <si>
    <t>Academia &amp; Fitness Fevereiro 19</t>
  </si>
  <si>
    <t>Viagem/Vacation Fevereiro 26</t>
  </si>
  <si>
    <t>Aluguel_Cond Fevereiro 19</t>
  </si>
  <si>
    <t>7/Fev/2023</t>
  </si>
  <si>
    <t>Investimento (aporte) Fevereiro 7</t>
  </si>
  <si>
    <t>Comida_Alimentação Fevereiro 14</t>
  </si>
  <si>
    <t>10/Fev/2023</t>
  </si>
  <si>
    <t>Manutenção_Casa Fevereiro 10</t>
  </si>
  <si>
    <t>18/Fev/2023</t>
  </si>
  <si>
    <t>Academia &amp; Fitness Fevereiro 18</t>
  </si>
  <si>
    <t>16/Fev/2023</t>
  </si>
  <si>
    <t>Manutenção_Casa Fevereiro 16</t>
  </si>
  <si>
    <t>Imposto (IPVA-IPTU-etc) Fevereiro 19</t>
  </si>
  <si>
    <t>6/Fev/2023</t>
  </si>
  <si>
    <t>Academia &amp; Fitness Fevereiro 6</t>
  </si>
  <si>
    <t>Transporte Uber &amp; Apps Fevereiro 26</t>
  </si>
  <si>
    <t>12/Fev/2023</t>
  </si>
  <si>
    <t>Gasto Pessoal Fevereiro 12</t>
  </si>
  <si>
    <t>9/Fev/2023</t>
  </si>
  <si>
    <t>Investimento (aporte) Fevereiro 9</t>
  </si>
  <si>
    <t>Home Supplies Fevereiro 15</t>
  </si>
  <si>
    <t>23/Fev/2023</t>
  </si>
  <si>
    <t>Roupa_Acessorios Fevereiro 23</t>
  </si>
  <si>
    <t>Internet_Telefonia Fevereiro 12</t>
  </si>
  <si>
    <t>Móveis_Aparelhos_Decoração Fevereiro 15</t>
  </si>
  <si>
    <t>13/Fev/2023</t>
  </si>
  <si>
    <t>Transporte Geral &amp; Coletivo Fevereiro 13</t>
  </si>
  <si>
    <t>27/Fev/2023</t>
  </si>
  <si>
    <t>Gasto Pessoal Fevereiro 27</t>
  </si>
  <si>
    <t>22/Fev/2023</t>
  </si>
  <si>
    <t>Home Supplies Fevereiro 22</t>
  </si>
  <si>
    <t>Academia &amp; Fitness Fevereiro 16</t>
  </si>
  <si>
    <t>5/Fev/2023</t>
  </si>
  <si>
    <t>Transporte Geral &amp; Coletivo Fevereiro 5</t>
  </si>
  <si>
    <t>Transporte Uber &amp; Apps Fevereiro 14</t>
  </si>
  <si>
    <t>2/Fev/2023</t>
  </si>
  <si>
    <t>Móveis_Aparelhos_Decoração Fevereiro 2</t>
  </si>
  <si>
    <t>Investimento Fevereiro 7</t>
  </si>
  <si>
    <t>Mês de Março | Data</t>
  </si>
  <si>
    <t>Outros Março 14</t>
  </si>
  <si>
    <t>Outros Março 19</t>
  </si>
  <si>
    <t>Transporte Uber &amp; Apps Março 24</t>
  </si>
  <si>
    <t>Home Supplies Março 25</t>
  </si>
  <si>
    <t>Viagem/Vacation Março 28</t>
  </si>
  <si>
    <t>Saúde Março 20</t>
  </si>
  <si>
    <t>Internet_Telefonia Março 15</t>
  </si>
  <si>
    <t>Educação Março 24</t>
  </si>
  <si>
    <t>Work-related Março 7</t>
  </si>
  <si>
    <t>Educação Março 15</t>
  </si>
  <si>
    <t>Aluguel_Cond Março 21</t>
  </si>
  <si>
    <t>Comida_Alimentação Março 12</t>
  </si>
  <si>
    <t>Transporte Uber &amp; Apps Março 25</t>
  </si>
  <si>
    <t>Manutenção_Casa Março 16</t>
  </si>
  <si>
    <t>Transporte Geral &amp; Coletivo Março 14</t>
  </si>
  <si>
    <t>Transporte Geral &amp; Coletivo Março 19</t>
  </si>
  <si>
    <t>Investimento Março 11</t>
  </si>
  <si>
    <t>Mês de Abril | Data</t>
  </si>
  <si>
    <t>14/Abr/2023</t>
  </si>
  <si>
    <t>Internet_Telefonia Abril 14</t>
  </si>
  <si>
    <t>3/Abr/2023</t>
  </si>
  <si>
    <t>Entretenimento_&amp;_Restaurantes Abril 3</t>
  </si>
  <si>
    <t>26/Abr/2023</t>
  </si>
  <si>
    <t>Home Supplies Abril 26</t>
  </si>
  <si>
    <t>12/Abr/2023</t>
  </si>
  <si>
    <t>Saúde Abril 12</t>
  </si>
  <si>
    <t>9/Abr/2023</t>
  </si>
  <si>
    <t>Comida_Alimentação Abril 9</t>
  </si>
  <si>
    <t>Imposto (IPVA-IPTU-etc) Abril 14</t>
  </si>
  <si>
    <t>11/Abr/2023</t>
  </si>
  <si>
    <t>Manutenção_Casa Abril 11</t>
  </si>
  <si>
    <t>2/Abr/2023</t>
  </si>
  <si>
    <t>Saúde Abril 2</t>
  </si>
  <si>
    <t>13/Abr/2023</t>
  </si>
  <si>
    <t>Roupa_Acessorios Abril 13</t>
  </si>
  <si>
    <t>18/Abr/2023</t>
  </si>
  <si>
    <t>Transporte Uber &amp; Apps Abril 18</t>
  </si>
  <si>
    <t>4/Abr/2023</t>
  </si>
  <si>
    <t>Transporte Geral &amp; Coletivo Abril 4</t>
  </si>
  <si>
    <t>7/Abr/2023</t>
  </si>
  <si>
    <t>Educação Abril 7</t>
  </si>
  <si>
    <t>Móveis_Aparelhos_Decoração Abril 26</t>
  </si>
  <si>
    <t>8/Abr/2023</t>
  </si>
  <si>
    <t>Entretenimento_&amp;_Restaurantes Abril 8</t>
  </si>
  <si>
    <t>22/Abr/2023</t>
  </si>
  <si>
    <t>Educação Abril 22</t>
  </si>
  <si>
    <t>19/Abr/2023</t>
  </si>
  <si>
    <t>Transporte Geral &amp; Coletivo Abril 19</t>
  </si>
  <si>
    <t>Academia &amp; Fitness Abril 9</t>
  </si>
  <si>
    <t>Investimento (aporte) Abril 12</t>
  </si>
  <si>
    <t>Imposto (IPVA-IPTU-etc) Abril 4</t>
  </si>
  <si>
    <t>Saúde Abril 11</t>
  </si>
  <si>
    <t>Investimento Abril 18</t>
  </si>
  <si>
    <t>Mês de Maio | Data</t>
  </si>
  <si>
    <t>3/Mai/2023</t>
  </si>
  <si>
    <t>Aluguel_Cond Maio 3</t>
  </si>
  <si>
    <t>10/Mai/2023</t>
  </si>
  <si>
    <t>Aluguel_Cond Maio 10</t>
  </si>
  <si>
    <t>20/Mai/2023</t>
  </si>
  <si>
    <t>Imposto (IPVA-IPTU-etc) Maio 20</t>
  </si>
  <si>
    <t>14/Mai/2023</t>
  </si>
  <si>
    <t>Academia &amp; Fitness Maio 14</t>
  </si>
  <si>
    <t>19/Mai/2023</t>
  </si>
  <si>
    <t>Outros Maio 19</t>
  </si>
  <si>
    <t>11/Mai/2023</t>
  </si>
  <si>
    <t>Energia_Gás_Água_Esgoto Maio 11</t>
  </si>
  <si>
    <t>13/Mai/2023</t>
  </si>
  <si>
    <t>Manutenção_Casa Maio 13</t>
  </si>
  <si>
    <t>Outros Maio 11</t>
  </si>
  <si>
    <t>1/Mai/2023</t>
  </si>
  <si>
    <t>Work-related Maio 1</t>
  </si>
  <si>
    <t>Móveis_Aparelhos_Decoração Maio 1</t>
  </si>
  <si>
    <t>26/Mai/2023</t>
  </si>
  <si>
    <t>Aluguel_Cond Maio 26</t>
  </si>
  <si>
    <t>27/Mai/2023</t>
  </si>
  <si>
    <t>Academia &amp; Fitness Maio 27</t>
  </si>
  <si>
    <t>Work-related Maio 3</t>
  </si>
  <si>
    <t>16/Mai/2023</t>
  </si>
  <si>
    <t>Investimento Maio 16</t>
  </si>
  <si>
    <t>Mês de Junho | Data</t>
  </si>
  <si>
    <t>Roupa_Acessorios Junho 3</t>
  </si>
  <si>
    <t>Investimento (aporte) Junho 18</t>
  </si>
  <si>
    <t>Gasto Pessoal Junho 3</t>
  </si>
  <si>
    <t>Imposto (IPVA-IPTU-etc) Junho 19</t>
  </si>
  <si>
    <t>Gasto Pessoal Junho 13</t>
  </si>
  <si>
    <t>Aluguel_Cond Junho 11</t>
  </si>
  <si>
    <t>Imposto (IPVA-IPTU-etc) Junho 11</t>
  </si>
  <si>
    <t>Transporte Uber &amp; Apps Junho 17</t>
  </si>
  <si>
    <t>Energia_Gás_Água_Esgoto Junho 1</t>
  </si>
  <si>
    <t>Saúde Junho 8</t>
  </si>
  <si>
    <t>Viagem/Vacation Junho 11</t>
  </si>
  <si>
    <t>Imposto (IPVA-IPTU-etc) Junho 18</t>
  </si>
  <si>
    <t>Work-related Junho 22</t>
  </si>
  <si>
    <t>Home Supplies Junho 7</t>
  </si>
  <si>
    <t>Transporte Uber &amp; Apps Junho 22</t>
  </si>
  <si>
    <t>Investimento Junho 27</t>
  </si>
  <si>
    <t>Mês de Julho | Data</t>
  </si>
  <si>
    <t>Manutenção_Casa Julho 15</t>
  </si>
  <si>
    <t>Entretenimento_&amp;_Restaurantes Julho 22</t>
  </si>
  <si>
    <t>Outros Julho 18</t>
  </si>
  <si>
    <t>Entretenimento_&amp;_Restaurantes Julho 4</t>
  </si>
  <si>
    <t>Transporte Geral &amp; Coletivo Julho 8</t>
  </si>
  <si>
    <t>Transporte Uber &amp; Apps Julho 16</t>
  </si>
  <si>
    <t>Roupa_Acessorios Julho 5</t>
  </si>
  <si>
    <t>Outros Julho 26</t>
  </si>
  <si>
    <t>Energia_Gás_Água_Esgoto Julho 6</t>
  </si>
  <si>
    <t>Viagem/Vacation Julho 23</t>
  </si>
  <si>
    <t>Roupa_Acessorios Julho 26</t>
  </si>
  <si>
    <t>Investimento (aporte) Julho 4</t>
  </si>
  <si>
    <t>Internet_Telefonia Julho 8</t>
  </si>
  <si>
    <t>Outros Julho 2</t>
  </si>
  <si>
    <t>Imposto (IPVA-IPTU-etc) Julho 21</t>
  </si>
  <si>
    <t>Móveis_Aparelhos_Decoração Julho 14</t>
  </si>
  <si>
    <t>Móveis_Aparelhos_Decoração Julho 5</t>
  </si>
  <si>
    <t>Home Supplies Julho 21</t>
  </si>
  <si>
    <t>Investimento (aporte) Julho 1</t>
  </si>
  <si>
    <t>Aluguel_Cond Julho 6</t>
  </si>
  <si>
    <t>Energia_Gás_Água_Esgoto Julho 8</t>
  </si>
  <si>
    <t>Outros Julho 16</t>
  </si>
  <si>
    <t>Work-related Julho 12</t>
  </si>
  <si>
    <t>Imposto (IPVA-IPTU-etc) Julho 22</t>
  </si>
  <si>
    <t>Comida_Alimentação Julho 20</t>
  </si>
  <si>
    <t>Investimento Julho 28</t>
  </si>
  <si>
    <t>Mês de Agosto | Data</t>
  </si>
  <si>
    <t>21/Ago/2023</t>
  </si>
  <si>
    <t>Educação Agosto 21</t>
  </si>
  <si>
    <t>14/Ago/2023</t>
  </si>
  <si>
    <t>Investimento (aporte) Agosto 14</t>
  </si>
  <si>
    <t>17/Ago/2023</t>
  </si>
  <si>
    <t>Roupa_Acessorios Agosto 17</t>
  </si>
  <si>
    <t>27/Ago/2023</t>
  </si>
  <si>
    <t>Outros Agosto 27</t>
  </si>
  <si>
    <t>18/Ago/2023</t>
  </si>
  <si>
    <t>Internet_Telefonia Agosto 18</t>
  </si>
  <si>
    <t>6/Ago/2023</t>
  </si>
  <si>
    <t>Roupa_Acessorios Agosto 6</t>
  </si>
  <si>
    <t>Móveis_Aparelhos_Decoração Agosto 21</t>
  </si>
  <si>
    <t>12/Ago/2023</t>
  </si>
  <si>
    <t>Viagem/Vacation Agosto 12</t>
  </si>
  <si>
    <t>20/Ago/2023</t>
  </si>
  <si>
    <t>Saúde Agosto 20</t>
  </si>
  <si>
    <t>28/Ago/2023</t>
  </si>
  <si>
    <t>Móveis_Aparelhos_Decoração Agosto 28</t>
  </si>
  <si>
    <t>15/Ago/2023</t>
  </si>
  <si>
    <t>Manutenção_Casa Agosto 15</t>
  </si>
  <si>
    <t>10/Ago/2023</t>
  </si>
  <si>
    <t>Entretenimento_&amp;_Restaurantes Agosto 10</t>
  </si>
  <si>
    <t>1/Ago/2023</t>
  </si>
  <si>
    <t>Investimento (aporte) Agosto 1</t>
  </si>
  <si>
    <t>Academia &amp; Fitness Agosto 6</t>
  </si>
  <si>
    <t>Energia_Gás_Água_Esgoto Agosto 18</t>
  </si>
  <si>
    <t>Viagem/Vacation Agosto 6</t>
  </si>
  <si>
    <t>4/Ago/2023</t>
  </si>
  <si>
    <t>Energia_Gás_Água_Esgoto Agosto 4</t>
  </si>
  <si>
    <t>Viagem/Vacation Agosto 4</t>
  </si>
  <si>
    <t>11/Ago/2023</t>
  </si>
  <si>
    <t>Home Supplies Agosto 11</t>
  </si>
  <si>
    <t>8/Ago/2023</t>
  </si>
  <si>
    <t>Aluguel_Cond Agosto 8</t>
  </si>
  <si>
    <t>13/Ago/2023</t>
  </si>
  <si>
    <t>Comida_Alimentação Agosto 13</t>
  </si>
  <si>
    <t>Home Supplies Agosto 21</t>
  </si>
  <si>
    <t>Investimento Agosto 15</t>
  </si>
  <si>
    <t>Mês de Sept | Data</t>
  </si>
  <si>
    <t>15/Dez/2023</t>
  </si>
  <si>
    <t>Work-related Dezembro 15</t>
  </si>
  <si>
    <t>10/Dez/2023</t>
  </si>
  <si>
    <t>Manutenção_Casa Dezembro 10</t>
  </si>
  <si>
    <t>17/Dez/2023</t>
  </si>
  <si>
    <t>Academia &amp; Fitness Dezembro 17</t>
  </si>
  <si>
    <t>6/Dez/2023</t>
  </si>
  <si>
    <t>Manutenção_Casa Dezembro 6</t>
  </si>
  <si>
    <t>28/Dez/2023</t>
  </si>
  <si>
    <t>Work-related Dezembro 28</t>
  </si>
  <si>
    <t>Outros Dezembro 28</t>
  </si>
  <si>
    <t>Entretenimento_&amp;_Restaurantes Dezembro 15</t>
  </si>
  <si>
    <t>5/Dez/2023</t>
  </si>
  <si>
    <t>Transporte Uber &amp; Apps Dezembro 5</t>
  </si>
  <si>
    <t>13/Dez/2023</t>
  </si>
  <si>
    <t>Academia &amp; Fitness Dezembro 13</t>
  </si>
  <si>
    <t>1/Dez/2023</t>
  </si>
  <si>
    <t>Saúde Dezembro 1</t>
  </si>
  <si>
    <t>Transporte Geral &amp; Coletivo Dezembro 17</t>
  </si>
  <si>
    <t>16/Dez/2023</t>
  </si>
  <si>
    <t>Energia_Gás_Água_Esgoto Dezembro 16</t>
  </si>
  <si>
    <t>22/Dez/2023</t>
  </si>
  <si>
    <t>Entretenimento_&amp;_Restaurantes Dezembro 22</t>
  </si>
  <si>
    <t>7/Dez/2023</t>
  </si>
  <si>
    <t>Educação Dezembro 7</t>
  </si>
  <si>
    <t>11/Dez/2023</t>
  </si>
  <si>
    <t>Academia &amp; Fitness Dezembro 11</t>
  </si>
  <si>
    <t>Saúde Dezembro 7</t>
  </si>
  <si>
    <t>26/Dez/2023</t>
  </si>
  <si>
    <t>Gasto Pessoal Dezembro 26</t>
  </si>
  <si>
    <t>19/Dez/2023</t>
  </si>
  <si>
    <t>Investimento Dezembro 19</t>
  </si>
  <si>
    <t>Mês de Out | Data</t>
  </si>
  <si>
    <t>10/Out/2023</t>
  </si>
  <si>
    <t>Manutenção_Casa Outubro 10</t>
  </si>
  <si>
    <t>18/Out/2023</t>
  </si>
  <si>
    <t>Energia_Gás_Água_Esgoto Outubro 18</t>
  </si>
  <si>
    <t>20/Out/2023</t>
  </si>
  <si>
    <t>Energia_Gás_Água_Esgoto Outubro 20</t>
  </si>
  <si>
    <t>15/Out/2023</t>
  </si>
  <si>
    <t>Energia_Gás_Água_Esgoto Outubro 15</t>
  </si>
  <si>
    <t>5/Out/2023</t>
  </si>
  <si>
    <t>Outros Outubro 5</t>
  </si>
  <si>
    <t>11/Out/2023</t>
  </si>
  <si>
    <t>Work-related Outubro 11</t>
  </si>
  <si>
    <t>27/Out/2023</t>
  </si>
  <si>
    <t>Aluguel_Cond Outubro 27</t>
  </si>
  <si>
    <t>12/Out/2023</t>
  </si>
  <si>
    <t>Energia_Gás_Água_Esgoto Outubro 12</t>
  </si>
  <si>
    <t>Internet_Telefonia Outubro 12</t>
  </si>
  <si>
    <t>23/Out/2023</t>
  </si>
  <si>
    <t>Entretenimento_&amp;_Restaurantes Outubro 23</t>
  </si>
  <si>
    <t>Transporte Uber &amp; Apps Outubro 12</t>
  </si>
  <si>
    <t>Academia &amp; Fitness Outubro 20</t>
  </si>
  <si>
    <t>16/Out/2023</t>
  </si>
  <si>
    <t>Internet_Telefonia Outubro 16</t>
  </si>
  <si>
    <t>19/Out/2023</t>
  </si>
  <si>
    <t>Internet_Telefonia Outubro 19</t>
  </si>
  <si>
    <t>24/Out/2023</t>
  </si>
  <si>
    <t>Investimento Outubro 24</t>
  </si>
  <si>
    <t>Mês de Nov | Data</t>
  </si>
  <si>
    <t>15/Set/2023</t>
  </si>
  <si>
    <t>Investimento (aporte) Setembro 15</t>
  </si>
  <si>
    <t>19/Set/2023</t>
  </si>
  <si>
    <t>Aluguel_Cond Setembro 19</t>
  </si>
  <si>
    <t>27/Set/2023</t>
  </si>
  <si>
    <t>Work-related Setembro 27</t>
  </si>
  <si>
    <t>6/Set/2023</t>
  </si>
  <si>
    <t>Educação Setembro 6</t>
  </si>
  <si>
    <t>Energia_Gás_Água_Esgoto Setembro 19</t>
  </si>
  <si>
    <t>8/Set/2023</t>
  </si>
  <si>
    <t>Manutenção_Casa Setembro 8</t>
  </si>
  <si>
    <t>4/Set/2023</t>
  </si>
  <si>
    <t>Energia_Gás_Água_Esgoto Setembro 4</t>
  </si>
  <si>
    <t>25/Set/2023</t>
  </si>
  <si>
    <t>Academia &amp; Fitness Setembro 25</t>
  </si>
  <si>
    <t>Educação Setembro 27</t>
  </si>
  <si>
    <t>7/Set/2023</t>
  </si>
  <si>
    <t>Manutenção_Casa Setembro 7</t>
  </si>
  <si>
    <t>2/Set/2023</t>
  </si>
  <si>
    <t>Investimento (aporte) Setembro 2</t>
  </si>
  <si>
    <t>24/Set/2023</t>
  </si>
  <si>
    <t>Transporte Geral &amp; Coletivo Setembro 24</t>
  </si>
  <si>
    <t>9/Set/2023</t>
  </si>
  <si>
    <t>Transporte Geral &amp; Coletivo Setembro 9</t>
  </si>
  <si>
    <t>20/Set/2023</t>
  </si>
  <si>
    <t>Outros Setembro 20</t>
  </si>
  <si>
    <t>22/Set/2023</t>
  </si>
  <si>
    <t>Internet_Telefonia Setembro 22</t>
  </si>
  <si>
    <t>Investimento (aporte) Setembro 9</t>
  </si>
  <si>
    <t>Home Supplies Setembro 19</t>
  </si>
  <si>
    <t>Investimento Setembro 27</t>
  </si>
  <si>
    <t>Mês de Dez |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</si>
</sst>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R$ -416]#,##0.00"/>
    <numFmt numFmtId="165" formatCode="_([$R$ -416]* #,##0.00_);_([$R$ -416]* \(#,##0.00\);_([$R$ -416]* &quot;-&quot;??_);_(@_)"/>
    <numFmt numFmtId="166" formatCode="dd&quot;/&quot;mmm&quot;/&quot;yyyy"/>
    <numFmt numFmtId="167" formatCode="d/mmm/yyyy"/>
  </numFmts>
  <fonts count="18">
    <font>
      <sz val="10"/>
      <color rgb="FF000000"/>
      <name val="Arial"/>
      <scheme val="minor"/>
    </font>
    <font>
      <b/>
      <sz val="19"/>
      <color rgb="FF1155CC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b/>
      <sz val="10"/>
      <color rgb="FFFFFFFF"/>
      <name val="Arial"/>
      <scheme val="minor"/>
    </font>
    <font>
      <sz val="10"/>
      <color rgb="FF000000"/>
      <name val="&quot;Arial&quot;"/>
    </font>
    <font>
      <b/>
      <sz val="10"/>
      <color rgb="FFCCCCCC"/>
      <name val="Arial"/>
      <scheme val="minor"/>
    </font>
    <font>
      <b/>
      <i/>
      <sz val="10"/>
      <color theme="1"/>
      <name val="Arial"/>
      <scheme val="minor"/>
    </font>
    <font>
      <b/>
      <sz val="10"/>
      <color rgb="FF666666"/>
      <name val="Arial"/>
      <scheme val="minor"/>
    </font>
    <font>
      <b/>
      <sz val="10"/>
      <color rgb="FFE06666"/>
      <name val="Arial"/>
      <scheme val="minor"/>
    </font>
    <font>
      <sz val="10"/>
      <color rgb="FFE06666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b/>
      <i/>
      <sz val="10"/>
      <color theme="1"/>
      <name val="Arial"/>
    </font>
    <font>
      <sz val="10"/>
      <color rgb="FFCCCCCC"/>
      <name val="Arial"/>
    </font>
    <font>
      <i/>
      <sz val="10"/>
      <color theme="1"/>
      <name val="Arial"/>
    </font>
    <font>
      <b/>
      <i/>
      <sz val="10"/>
      <color rgb="FF6AA84F"/>
      <name val="Arial"/>
    </font>
  </fonts>
  <fills count="18">
    <fill>
      <patternFill patternType="none"/>
    </fill>
    <fill>
      <patternFill patternType="gray125"/>
    </fill>
    <fill>
      <patternFill patternType="solid">
        <fgColor rgb="FFD0E0E3"/>
        <bgColor rgb="FFD0E0E3"/>
      </patternFill>
    </fill>
    <fill>
      <patternFill patternType="solid">
        <fgColor rgb="FFCC0000"/>
        <bgColor rgb="FFCC0000"/>
      </patternFill>
    </fill>
    <fill>
      <patternFill patternType="solid">
        <fgColor rgb="FFF4CCCC"/>
        <bgColor rgb="FFF4CCCC"/>
      </patternFill>
    </fill>
    <fill>
      <patternFill patternType="solid">
        <fgColor rgb="FF000000"/>
        <bgColor rgb="FF000000"/>
      </patternFill>
    </fill>
    <fill>
      <patternFill patternType="solid">
        <fgColor rgb="FFD9EAD3"/>
        <bgColor rgb="FFD9EAD3"/>
      </patternFill>
    </fill>
    <fill>
      <patternFill patternType="solid">
        <fgColor rgb="FFF3F3F3"/>
        <bgColor rgb="FFF3F3F3"/>
      </patternFill>
    </fill>
    <fill>
      <patternFill patternType="solid">
        <fgColor rgb="FFCFE2F3"/>
        <bgColor rgb="FFCFE2F3"/>
      </patternFill>
    </fill>
    <fill>
      <patternFill patternType="solid">
        <fgColor rgb="FFFFD966"/>
        <bgColor rgb="FFFFD966"/>
      </patternFill>
    </fill>
    <fill>
      <patternFill patternType="solid">
        <fgColor rgb="FFFF9900"/>
        <bgColor rgb="FFFF9900"/>
      </patternFill>
    </fill>
    <fill>
      <patternFill patternType="solid">
        <fgColor rgb="FFD9D2E9"/>
        <bgColor rgb="FFD9D2E9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F9CB9C"/>
        <bgColor rgb="FFF9CB9C"/>
      </patternFill>
    </fill>
    <fill>
      <patternFill patternType="solid">
        <fgColor rgb="FFC9DAF8"/>
        <bgColor rgb="FFC9DAF8"/>
      </patternFill>
    </fill>
    <fill>
      <patternFill patternType="solid">
        <fgColor rgb="FFB6D7A8"/>
        <bgColor rgb="FFB6D7A8"/>
      </patternFill>
    </fill>
    <fill>
      <patternFill patternType="solid">
        <fgColor theme="0"/>
        <bgColor theme="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3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3" fillId="2" borderId="0" xfId="0" applyFont="1" applyFill="1"/>
    <xf numFmtId="0" fontId="3" fillId="0" borderId="0" xfId="0" applyFont="1"/>
    <xf numFmtId="164" fontId="3" fillId="0" borderId="0" xfId="0" applyNumberFormat="1" applyFont="1"/>
    <xf numFmtId="0" fontId="4" fillId="2" borderId="0" xfId="0" applyFont="1" applyFill="1" applyAlignment="1">
      <alignment horizontal="left"/>
    </xf>
    <xf numFmtId="164" fontId="3" fillId="2" borderId="0" xfId="0" applyNumberFormat="1" applyFont="1" applyFill="1" applyAlignment="1">
      <alignment horizontal="center"/>
    </xf>
    <xf numFmtId="10" fontId="3" fillId="2" borderId="0" xfId="0" applyNumberFormat="1" applyFont="1" applyFill="1" applyAlignment="1">
      <alignment horizontal="center"/>
    </xf>
    <xf numFmtId="0" fontId="5" fillId="3" borderId="0" xfId="0" applyFont="1" applyFill="1"/>
    <xf numFmtId="165" fontId="3" fillId="4" borderId="0" xfId="0" applyNumberFormat="1" applyFont="1" applyFill="1"/>
    <xf numFmtId="0" fontId="4" fillId="0" borderId="0" xfId="0" applyFont="1"/>
    <xf numFmtId="0" fontId="3" fillId="5" borderId="0" xfId="0" applyFont="1" applyFill="1"/>
    <xf numFmtId="0" fontId="4" fillId="0" borderId="0" xfId="0" applyFont="1" applyAlignment="1">
      <alignment horizontal="center"/>
    </xf>
    <xf numFmtId="165" fontId="3" fillId="0" borderId="0" xfId="0" applyNumberFormat="1" applyFont="1"/>
    <xf numFmtId="164" fontId="3" fillId="0" borderId="0" xfId="0" applyNumberFormat="1" applyFont="1" applyAlignment="1">
      <alignment horizontal="center"/>
    </xf>
    <xf numFmtId="10" fontId="3" fillId="0" borderId="0" xfId="0" applyNumberFormat="1" applyFont="1" applyAlignment="1">
      <alignment horizontal="center"/>
    </xf>
    <xf numFmtId="165" fontId="6" fillId="0" borderId="0" xfId="0" applyNumberFormat="1" applyFont="1"/>
    <xf numFmtId="0" fontId="7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8" fillId="6" borderId="0" xfId="0" applyFont="1" applyFill="1"/>
    <xf numFmtId="165" fontId="3" fillId="7" borderId="0" xfId="0" applyNumberFormat="1" applyFont="1" applyFill="1"/>
    <xf numFmtId="0" fontId="9" fillId="6" borderId="0" xfId="0" applyFont="1" applyFill="1"/>
    <xf numFmtId="165" fontId="3" fillId="8" borderId="0" xfId="0" applyNumberFormat="1" applyFont="1" applyFill="1"/>
    <xf numFmtId="165" fontId="3" fillId="6" borderId="0" xfId="0" applyNumberFormat="1" applyFont="1" applyFill="1"/>
    <xf numFmtId="0" fontId="10" fillId="6" borderId="0" xfId="0" applyFont="1" applyFill="1"/>
    <xf numFmtId="165" fontId="11" fillId="6" borderId="0" xfId="0" applyNumberFormat="1" applyFont="1" applyFill="1"/>
    <xf numFmtId="0" fontId="8" fillId="8" borderId="0" xfId="0" applyFont="1" applyFill="1"/>
    <xf numFmtId="0" fontId="9" fillId="8" borderId="0" xfId="0" applyFont="1" applyFill="1"/>
    <xf numFmtId="0" fontId="12" fillId="8" borderId="0" xfId="0" applyFont="1" applyFill="1"/>
    <xf numFmtId="0" fontId="13" fillId="0" borderId="0" xfId="0" applyFont="1"/>
    <xf numFmtId="0" fontId="12" fillId="0" borderId="0" xfId="0" applyFont="1" applyAlignment="1">
      <alignment horizontal="left"/>
    </xf>
    <xf numFmtId="0" fontId="12" fillId="9" borderId="0" xfId="0" applyFont="1" applyFill="1" applyAlignment="1">
      <alignment horizontal="center"/>
    </xf>
    <xf numFmtId="0" fontId="12" fillId="10" borderId="0" xfId="0" applyFont="1" applyFill="1" applyAlignment="1">
      <alignment horizontal="center"/>
    </xf>
    <xf numFmtId="0" fontId="14" fillId="0" borderId="0" xfId="0" applyFont="1" applyAlignment="1">
      <alignment horizontal="center"/>
    </xf>
    <xf numFmtId="0" fontId="12" fillId="11" borderId="0" xfId="0" applyFont="1" applyFill="1"/>
    <xf numFmtId="165" fontId="13" fillId="0" borderId="0" xfId="0" applyNumberFormat="1" applyFont="1"/>
    <xf numFmtId="165" fontId="13" fillId="0" borderId="0" xfId="0" applyNumberFormat="1" applyFont="1" applyAlignment="1">
      <alignment horizontal="right"/>
    </xf>
    <xf numFmtId="165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165" fontId="3" fillId="0" borderId="0" xfId="0" applyNumberFormat="1" applyFont="1" applyAlignment="1">
      <alignment horizontal="center"/>
    </xf>
    <xf numFmtId="164" fontId="13" fillId="0" borderId="0" xfId="0" applyNumberFormat="1" applyFont="1"/>
    <xf numFmtId="165" fontId="15" fillId="0" borderId="0" xfId="0" applyNumberFormat="1" applyFont="1" applyAlignment="1">
      <alignment horizontal="right"/>
    </xf>
    <xf numFmtId="0" fontId="4" fillId="0" borderId="0" xfId="0" applyFont="1" applyAlignment="1">
      <alignment horizontal="left"/>
    </xf>
    <xf numFmtId="10" fontId="3" fillId="0" borderId="0" xfId="0" applyNumberFormat="1" applyFont="1"/>
    <xf numFmtId="10" fontId="13" fillId="0" borderId="0" xfId="0" applyNumberFormat="1" applyFont="1"/>
    <xf numFmtId="0" fontId="12" fillId="0" borderId="0" xfId="0" applyFont="1"/>
    <xf numFmtId="0" fontId="16" fillId="11" borderId="0" xfId="0" applyFont="1" applyFill="1"/>
    <xf numFmtId="165" fontId="17" fillId="12" borderId="0" xfId="0" applyNumberFormat="1" applyFont="1" applyFill="1"/>
    <xf numFmtId="165" fontId="13" fillId="9" borderId="0" xfId="0" applyNumberFormat="1" applyFont="1" applyFill="1"/>
    <xf numFmtId="0" fontId="13" fillId="9" borderId="0" xfId="0" applyFont="1" applyFill="1"/>
    <xf numFmtId="165" fontId="13" fillId="12" borderId="0" xfId="0" applyNumberFormat="1" applyFont="1" applyFill="1"/>
    <xf numFmtId="0" fontId="16" fillId="13" borderId="0" xfId="0" applyFont="1" applyFill="1"/>
    <xf numFmtId="165" fontId="16" fillId="13" borderId="0" xfId="0" applyNumberFormat="1" applyFont="1" applyFill="1" applyAlignment="1">
      <alignment horizontal="right"/>
    </xf>
    <xf numFmtId="165" fontId="13" fillId="13" borderId="0" xfId="0" applyNumberFormat="1" applyFont="1" applyFill="1" applyAlignment="1">
      <alignment horizontal="right"/>
    </xf>
    <xf numFmtId="165" fontId="13" fillId="10" borderId="0" xfId="0" applyNumberFormat="1" applyFont="1" applyFill="1"/>
    <xf numFmtId="0" fontId="13" fillId="10" borderId="0" xfId="0" applyFont="1" applyFill="1"/>
    <xf numFmtId="0" fontId="16" fillId="0" borderId="0" xfId="0" applyFont="1"/>
    <xf numFmtId="165" fontId="16" fillId="0" borderId="0" xfId="0" applyNumberFormat="1" applyFont="1" applyAlignment="1">
      <alignment horizontal="right"/>
    </xf>
    <xf numFmtId="0" fontId="16" fillId="14" borderId="0" xfId="0" applyFont="1" applyFill="1"/>
    <xf numFmtId="165" fontId="13" fillId="14" borderId="0" xfId="0" applyNumberFormat="1" applyFont="1" applyFill="1" applyAlignment="1">
      <alignment horizontal="right"/>
    </xf>
    <xf numFmtId="165" fontId="16" fillId="14" borderId="0" xfId="0" applyNumberFormat="1" applyFont="1" applyFill="1" applyAlignment="1">
      <alignment horizontal="right"/>
    </xf>
    <xf numFmtId="0" fontId="13" fillId="12" borderId="0" xfId="0" applyFont="1" applyFill="1"/>
    <xf numFmtId="0" fontId="12" fillId="15" borderId="0" xfId="0" applyFont="1" applyFill="1"/>
    <xf numFmtId="0" fontId="3" fillId="11" borderId="0" xfId="0" applyFont="1" applyFill="1"/>
    <xf numFmtId="0" fontId="12" fillId="16" borderId="0" xfId="0" applyFont="1" applyFill="1" applyAlignment="1">
      <alignment horizontal="left"/>
    </xf>
    <xf numFmtId="0" fontId="3" fillId="16" borderId="0" xfId="0" applyFont="1" applyFill="1"/>
    <xf numFmtId="164" fontId="3" fillId="16" borderId="0" xfId="0" applyNumberFormat="1" applyFont="1" applyFill="1"/>
    <xf numFmtId="10" fontId="3" fillId="16" borderId="0" xfId="0" applyNumberFormat="1" applyFont="1" applyFill="1"/>
    <xf numFmtId="166" fontId="4" fillId="17" borderId="0" xfId="0" applyNumberFormat="1" applyFont="1" applyFill="1" applyAlignment="1">
      <alignment horizontal="center"/>
    </xf>
    <xf numFmtId="164" fontId="4" fillId="0" borderId="0" xfId="0" applyNumberFormat="1" applyFont="1" applyAlignment="1">
      <alignment horizontal="center"/>
    </xf>
    <xf numFmtId="166" fontId="3" fillId="17" borderId="0" xfId="0" applyNumberFormat="1" applyFont="1" applyFill="1" applyAlignment="1">
      <alignment horizontal="center"/>
    </xf>
    <xf numFmtId="167" fontId="13" fillId="0" borderId="0" xfId="0" applyNumberFormat="1" applyFont="1" applyAlignment="1">
      <alignment horizontal="right"/>
    </xf>
    <xf numFmtId="164" fontId="13" fillId="0" borderId="0" xfId="0" applyNumberFormat="1" applyFont="1" applyAlignment="1">
      <alignment horizontal="right"/>
    </xf>
    <xf numFmtId="166" fontId="3" fillId="0" borderId="0" xfId="0" applyNumberFormat="1" applyFont="1" applyAlignment="1">
      <alignment horizontal="center"/>
    </xf>
    <xf numFmtId="166" fontId="4" fillId="0" borderId="0" xfId="0" applyNumberFormat="1" applyFont="1" applyAlignment="1">
      <alignment horizontal="center"/>
    </xf>
    <xf numFmtId="166" fontId="13" fillId="0" borderId="0" xfId="0" applyNumberFormat="1" applyFont="1"/>
    <xf numFmtId="0" fontId="6" fillId="0" borderId="0" xfId="0" applyFont="1"/>
    <xf numFmtId="0" fontId="3" fillId="0" borderId="0" xfId="0" applyFont="1" applyAlignment="1">
      <alignment horizontal="left"/>
    </xf>
    <xf numFmtId="164" fontId="3" fillId="0" borderId="0" xfId="0" applyNumberFormat="1" applyFont="1" applyAlignment="1">
      <alignment horizontal="left"/>
    </xf>
    <xf numFmtId="167" fontId="13" fillId="0" borderId="0" xfId="0" applyNumberFormat="1" applyFont="1"/>
  </cellXfs>
  <cellStyles count="1">
    <cellStyle name="Normal" xfId="0" builtinId="0"/>
  </cellStyles>
  <dxfs count="28">
    <dxf>
      <fill>
        <patternFill patternType="solid">
          <fgColor rgb="FFCFE2F3"/>
          <bgColor rgb="FFCFE2F3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D9EAD3"/>
          <bgColor rgb="FFD9EAD3"/>
        </patternFill>
      </fill>
    </dxf>
    <dxf>
      <font>
        <color rgb="FFC53929"/>
      </font>
      <fill>
        <patternFill patternType="none"/>
      </fill>
    </dxf>
    <dxf>
      <font>
        <color rgb="FFD9D9D9"/>
      </font>
      <fill>
        <patternFill patternType="none"/>
      </fill>
    </dxf>
    <dxf>
      <font>
        <color rgb="FFC53929"/>
      </font>
      <fill>
        <patternFill patternType="none"/>
      </fill>
    </dxf>
    <dxf>
      <font>
        <color rgb="FFD9D9D9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Descrição dos Gastos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Resumo!$O$17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rgbClr val="4285F4"/>
              </a:solidFill>
            </c:spPr>
            <c:extLst>
              <c:ext xmlns:c16="http://schemas.microsoft.com/office/drawing/2014/chart" uri="{C3380CC4-5D6E-409C-BE32-E72D297353CC}">
                <c16:uniqueId val="{00000001-A3EF-41A6-8CDB-E6FB063D74DE}"/>
              </c:ext>
            </c:extLst>
          </c:dPt>
          <c:dPt>
            <c:idx val="1"/>
            <c:bubble3D val="0"/>
            <c:spPr>
              <a:solidFill>
                <a:srgbClr val="EA4335"/>
              </a:solidFill>
            </c:spPr>
            <c:extLst>
              <c:ext xmlns:c16="http://schemas.microsoft.com/office/drawing/2014/chart" uri="{C3380CC4-5D6E-409C-BE32-E72D297353CC}">
                <c16:uniqueId val="{00000003-A3EF-41A6-8CDB-E6FB063D74DE}"/>
              </c:ext>
            </c:extLst>
          </c:dPt>
          <c:dPt>
            <c:idx val="2"/>
            <c:bubble3D val="0"/>
            <c:spPr>
              <a:solidFill>
                <a:srgbClr val="FBBC04"/>
              </a:solidFill>
            </c:spPr>
            <c:extLst>
              <c:ext xmlns:c16="http://schemas.microsoft.com/office/drawing/2014/chart" uri="{C3380CC4-5D6E-409C-BE32-E72D297353CC}">
                <c16:uniqueId val="{00000005-A3EF-41A6-8CDB-E6FB063D74DE}"/>
              </c:ext>
            </c:extLst>
          </c:dPt>
          <c:dPt>
            <c:idx val="3"/>
            <c:bubble3D val="0"/>
            <c:spPr>
              <a:solidFill>
                <a:srgbClr val="34A853"/>
              </a:solidFill>
            </c:spPr>
            <c:extLst>
              <c:ext xmlns:c16="http://schemas.microsoft.com/office/drawing/2014/chart" uri="{C3380CC4-5D6E-409C-BE32-E72D297353CC}">
                <c16:uniqueId val="{00000007-A3EF-41A6-8CDB-E6FB063D74DE}"/>
              </c:ext>
            </c:extLst>
          </c:dPt>
          <c:dPt>
            <c:idx val="4"/>
            <c:bubble3D val="0"/>
            <c:spPr>
              <a:solidFill>
                <a:srgbClr val="FF6D01"/>
              </a:solidFill>
            </c:spPr>
            <c:extLst>
              <c:ext xmlns:c16="http://schemas.microsoft.com/office/drawing/2014/chart" uri="{C3380CC4-5D6E-409C-BE32-E72D297353CC}">
                <c16:uniqueId val="{00000009-A3EF-41A6-8CDB-E6FB063D74DE}"/>
              </c:ext>
            </c:extLst>
          </c:dPt>
          <c:dPt>
            <c:idx val="5"/>
            <c:bubble3D val="0"/>
            <c:spPr>
              <a:solidFill>
                <a:srgbClr val="46BDC6"/>
              </a:solidFill>
            </c:spPr>
            <c:extLst>
              <c:ext xmlns:c16="http://schemas.microsoft.com/office/drawing/2014/chart" uri="{C3380CC4-5D6E-409C-BE32-E72D297353CC}">
                <c16:uniqueId val="{0000000B-A3EF-41A6-8CDB-E6FB063D74DE}"/>
              </c:ext>
            </c:extLst>
          </c:dPt>
          <c:dPt>
            <c:idx val="6"/>
            <c:bubble3D val="0"/>
            <c:spPr>
              <a:solidFill>
                <a:srgbClr val="7BAAF7"/>
              </a:solidFill>
            </c:spPr>
            <c:extLst>
              <c:ext xmlns:c16="http://schemas.microsoft.com/office/drawing/2014/chart" uri="{C3380CC4-5D6E-409C-BE32-E72D297353CC}">
                <c16:uniqueId val="{0000000D-A3EF-41A6-8CDB-E6FB063D74DE}"/>
              </c:ext>
            </c:extLst>
          </c:dPt>
          <c:dPt>
            <c:idx val="7"/>
            <c:bubble3D val="0"/>
            <c:spPr>
              <a:solidFill>
                <a:srgbClr val="F07B72"/>
              </a:solidFill>
            </c:spPr>
            <c:extLst>
              <c:ext xmlns:c16="http://schemas.microsoft.com/office/drawing/2014/chart" uri="{C3380CC4-5D6E-409C-BE32-E72D297353CC}">
                <c16:uniqueId val="{0000000F-A3EF-41A6-8CDB-E6FB063D74DE}"/>
              </c:ext>
            </c:extLst>
          </c:dPt>
          <c:dPt>
            <c:idx val="8"/>
            <c:bubble3D val="0"/>
            <c:spPr>
              <a:solidFill>
                <a:srgbClr val="FCD04F"/>
              </a:solidFill>
            </c:spPr>
            <c:extLst>
              <c:ext xmlns:c16="http://schemas.microsoft.com/office/drawing/2014/chart" uri="{C3380CC4-5D6E-409C-BE32-E72D297353CC}">
                <c16:uniqueId val="{00000011-A3EF-41A6-8CDB-E6FB063D74DE}"/>
              </c:ext>
            </c:extLst>
          </c:dPt>
          <c:dPt>
            <c:idx val="9"/>
            <c:bubble3D val="0"/>
            <c:spPr>
              <a:solidFill>
                <a:srgbClr val="71C287"/>
              </a:solidFill>
            </c:spPr>
            <c:extLst>
              <c:ext xmlns:c16="http://schemas.microsoft.com/office/drawing/2014/chart" uri="{C3380CC4-5D6E-409C-BE32-E72D297353CC}">
                <c16:uniqueId val="{00000013-A3EF-41A6-8CDB-E6FB063D74DE}"/>
              </c:ext>
            </c:extLst>
          </c:dPt>
          <c:dPt>
            <c:idx val="10"/>
            <c:bubble3D val="0"/>
            <c:spPr>
              <a:solidFill>
                <a:srgbClr val="FF994D"/>
              </a:solidFill>
            </c:spPr>
            <c:extLst>
              <c:ext xmlns:c16="http://schemas.microsoft.com/office/drawing/2014/chart" uri="{C3380CC4-5D6E-409C-BE32-E72D297353CC}">
                <c16:uniqueId val="{00000015-A3EF-41A6-8CDB-E6FB063D74DE}"/>
              </c:ext>
            </c:extLst>
          </c:dPt>
          <c:dPt>
            <c:idx val="11"/>
            <c:bubble3D val="0"/>
            <c:spPr>
              <a:solidFill>
                <a:srgbClr val="7ED1D7"/>
              </a:solidFill>
            </c:spPr>
            <c:extLst>
              <c:ext xmlns:c16="http://schemas.microsoft.com/office/drawing/2014/chart" uri="{C3380CC4-5D6E-409C-BE32-E72D297353CC}">
                <c16:uniqueId val="{00000017-A3EF-41A6-8CDB-E6FB063D74DE}"/>
              </c:ext>
            </c:extLst>
          </c:dPt>
          <c:dPt>
            <c:idx val="12"/>
            <c:bubble3D val="0"/>
            <c:spPr>
              <a:solidFill>
                <a:srgbClr val="B3CEFB"/>
              </a:solidFill>
            </c:spPr>
            <c:extLst>
              <c:ext xmlns:c16="http://schemas.microsoft.com/office/drawing/2014/chart" uri="{C3380CC4-5D6E-409C-BE32-E72D297353CC}">
                <c16:uniqueId val="{00000019-A3EF-41A6-8CDB-E6FB063D74DE}"/>
              </c:ext>
            </c:extLst>
          </c:dPt>
          <c:dPt>
            <c:idx val="13"/>
            <c:bubble3D val="0"/>
            <c:spPr>
              <a:solidFill>
                <a:srgbClr val="F7B4AE"/>
              </a:solidFill>
            </c:spPr>
            <c:extLst>
              <c:ext xmlns:c16="http://schemas.microsoft.com/office/drawing/2014/chart" uri="{C3380CC4-5D6E-409C-BE32-E72D297353CC}">
                <c16:uniqueId val="{0000001B-A3EF-41A6-8CDB-E6FB063D74DE}"/>
              </c:ext>
            </c:extLst>
          </c:dPt>
          <c:dPt>
            <c:idx val="14"/>
            <c:bubble3D val="0"/>
            <c:spPr>
              <a:solidFill>
                <a:srgbClr val="FDE49B"/>
              </a:solidFill>
            </c:spPr>
            <c:extLst>
              <c:ext xmlns:c16="http://schemas.microsoft.com/office/drawing/2014/chart" uri="{C3380CC4-5D6E-409C-BE32-E72D297353CC}">
                <c16:uniqueId val="{0000001D-A3EF-41A6-8CDB-E6FB063D74DE}"/>
              </c:ext>
            </c:extLst>
          </c:dPt>
          <c:dPt>
            <c:idx val="15"/>
            <c:bubble3D val="0"/>
            <c:spPr>
              <a:solidFill>
                <a:srgbClr val="AEDCBA"/>
              </a:solidFill>
            </c:spPr>
            <c:extLst>
              <c:ext xmlns:c16="http://schemas.microsoft.com/office/drawing/2014/chart" uri="{C3380CC4-5D6E-409C-BE32-E72D297353CC}">
                <c16:uniqueId val="{0000001F-A3EF-41A6-8CDB-E6FB063D74DE}"/>
              </c:ext>
            </c:extLst>
          </c:dPt>
          <c:dPt>
            <c:idx val="16"/>
            <c:bubble3D val="0"/>
            <c:spPr>
              <a:solidFill>
                <a:srgbClr val="FFC599"/>
              </a:solidFill>
            </c:spPr>
            <c:extLst>
              <c:ext xmlns:c16="http://schemas.microsoft.com/office/drawing/2014/chart" uri="{C3380CC4-5D6E-409C-BE32-E72D297353CC}">
                <c16:uniqueId val="{00000021-A3EF-41A6-8CDB-E6FB063D74DE}"/>
              </c:ext>
            </c:extLst>
          </c:dPt>
          <c:dPt>
            <c:idx val="17"/>
            <c:bubble3D val="0"/>
            <c:spPr>
              <a:solidFill>
                <a:srgbClr val="B5E5E8"/>
              </a:solidFill>
            </c:spPr>
            <c:extLst>
              <c:ext xmlns:c16="http://schemas.microsoft.com/office/drawing/2014/chart" uri="{C3380CC4-5D6E-409C-BE32-E72D297353CC}">
                <c16:uniqueId val="{00000023-A3EF-41A6-8CDB-E6FB063D74DE}"/>
              </c:ext>
            </c:extLst>
          </c:dPt>
          <c:dPt>
            <c:idx val="18"/>
            <c:bubble3D val="0"/>
            <c:spPr>
              <a:solidFill>
                <a:srgbClr val="ECF3FE"/>
              </a:solidFill>
            </c:spPr>
            <c:extLst>
              <c:ext xmlns:c16="http://schemas.microsoft.com/office/drawing/2014/chart" uri="{C3380CC4-5D6E-409C-BE32-E72D297353CC}">
                <c16:uniqueId val="{00000025-A3EF-41A6-8CDB-E6FB063D74DE}"/>
              </c:ext>
            </c:extLst>
          </c:dPt>
          <c:dPt>
            <c:idx val="19"/>
            <c:bubble3D val="0"/>
            <c:spPr>
              <a:solidFill>
                <a:srgbClr val="FDECEB"/>
              </a:solidFill>
            </c:spPr>
            <c:extLst>
              <c:ext xmlns:c16="http://schemas.microsoft.com/office/drawing/2014/chart" uri="{C3380CC4-5D6E-409C-BE32-E72D297353CC}">
                <c16:uniqueId val="{00000027-A3EF-41A6-8CDB-E6FB063D74DE}"/>
              </c:ext>
            </c:extLst>
          </c:dPt>
          <c:dPt>
            <c:idx val="20"/>
            <c:bubble3D val="0"/>
            <c:spPr>
              <a:solidFill>
                <a:srgbClr val="FFF8E6"/>
              </a:solidFill>
            </c:spPr>
            <c:extLst>
              <c:ext xmlns:c16="http://schemas.microsoft.com/office/drawing/2014/chart" uri="{C3380CC4-5D6E-409C-BE32-E72D297353CC}">
                <c16:uniqueId val="{00000029-A3EF-41A6-8CDB-E6FB063D74DE}"/>
              </c:ext>
            </c:extLst>
          </c:dPt>
          <c:dPt>
            <c:idx val="21"/>
            <c:bubble3D val="0"/>
            <c:spPr>
              <a:solidFill>
                <a:srgbClr val="EBF6EE"/>
              </a:solidFill>
            </c:spPr>
            <c:extLst>
              <c:ext xmlns:c16="http://schemas.microsoft.com/office/drawing/2014/chart" uri="{C3380CC4-5D6E-409C-BE32-E72D297353CC}">
                <c16:uniqueId val="{0000002B-A3EF-41A6-8CDB-E6FB063D74DE}"/>
              </c:ext>
            </c:extLst>
          </c:dPt>
          <c:dPt>
            <c:idx val="22"/>
            <c:bubble3D val="0"/>
            <c:spPr>
              <a:solidFill>
                <a:srgbClr val="FFF0E6"/>
              </a:solidFill>
            </c:spPr>
            <c:extLst>
              <c:ext xmlns:c16="http://schemas.microsoft.com/office/drawing/2014/chart" uri="{C3380CC4-5D6E-409C-BE32-E72D297353CC}">
                <c16:uniqueId val="{0000002D-A3EF-41A6-8CDB-E6FB063D74DE}"/>
              </c:ext>
            </c:extLst>
          </c:dPt>
          <c:dPt>
            <c:idx val="23"/>
            <c:bubble3D val="0"/>
            <c:spPr>
              <a:solidFill>
                <a:srgbClr val="EDF8F9"/>
              </a:solidFill>
            </c:spPr>
            <c:extLst>
              <c:ext xmlns:c16="http://schemas.microsoft.com/office/drawing/2014/chart" uri="{C3380CC4-5D6E-409C-BE32-E72D297353CC}">
                <c16:uniqueId val="{0000002F-A3EF-41A6-8CDB-E6FB063D74DE}"/>
              </c:ext>
            </c:extLst>
          </c:dPt>
          <c:dPt>
            <c:idx val="24"/>
            <c:bubble3D val="0"/>
            <c:spPr>
              <a:solidFill>
                <a:srgbClr val="251701"/>
              </a:solidFill>
            </c:spPr>
            <c:extLst>
              <c:ext xmlns:c16="http://schemas.microsoft.com/office/drawing/2014/chart" uri="{C3380CC4-5D6E-409C-BE32-E72D297353CC}">
                <c16:uniqueId val="{00000031-A3EF-41A6-8CDB-E6FB063D74DE}"/>
              </c:ext>
            </c:extLst>
          </c:dPt>
          <c:dPt>
            <c:idx val="25"/>
            <c:bubble3D val="0"/>
            <c:spPr>
              <a:solidFill>
                <a:srgbClr val="032527"/>
              </a:solidFill>
            </c:spPr>
            <c:extLst>
              <c:ext xmlns:c16="http://schemas.microsoft.com/office/drawing/2014/chart" uri="{C3380CC4-5D6E-409C-BE32-E72D297353CC}">
                <c16:uniqueId val="{00000033-A3EF-41A6-8CDB-E6FB063D74DE}"/>
              </c:ext>
            </c:extLst>
          </c:dPt>
          <c:dPt>
            <c:idx val="26"/>
            <c:bubble3D val="0"/>
            <c:spPr>
              <a:solidFill>
                <a:srgbClr val="000C31"/>
              </a:solidFill>
            </c:spPr>
            <c:extLst>
              <c:ext xmlns:c16="http://schemas.microsoft.com/office/drawing/2014/chart" uri="{C3380CC4-5D6E-409C-BE32-E72D297353CC}">
                <c16:uniqueId val="{00000035-A3EF-41A6-8CDB-E6FB063D74DE}"/>
              </c:ext>
            </c:extLst>
          </c:dPt>
          <c:dPt>
            <c:idx val="27"/>
            <c:bubble3D val="0"/>
            <c:spPr>
              <a:solidFill>
                <a:srgbClr val="281021"/>
              </a:solidFill>
            </c:spPr>
            <c:extLst>
              <c:ext xmlns:c16="http://schemas.microsoft.com/office/drawing/2014/chart" uri="{C3380CC4-5D6E-409C-BE32-E72D297353CC}">
                <c16:uniqueId val="{00000037-A3EF-41A6-8CDB-E6FB063D74DE}"/>
              </c:ext>
            </c:extLst>
          </c:dPt>
          <c:dPt>
            <c:idx val="28"/>
            <c:bubble3D val="0"/>
            <c:spPr>
              <a:solidFill>
                <a:srgbClr val="FF1C32"/>
              </a:solidFill>
            </c:spPr>
            <c:extLst>
              <c:ext xmlns:c16="http://schemas.microsoft.com/office/drawing/2014/chart" uri="{C3380CC4-5D6E-409C-BE32-E72D297353CC}">
                <c16:uniqueId val="{00000039-A3EF-41A6-8CDB-E6FB063D74DE}"/>
              </c:ext>
            </c:extLst>
          </c:dPt>
          <c:dPt>
            <c:idx val="29"/>
            <c:bubble3D val="0"/>
            <c:spPr>
              <a:solidFill>
                <a:srgbClr val="240C0A"/>
              </a:solidFill>
            </c:spPr>
            <c:extLst>
              <c:ext xmlns:c16="http://schemas.microsoft.com/office/drawing/2014/chart" uri="{C3380CC4-5D6E-409C-BE32-E72D297353CC}">
                <c16:uniqueId val="{0000003B-A3EF-41A6-8CDB-E6FB063D74DE}"/>
              </c:ext>
            </c:extLst>
          </c:dPt>
          <c:dPt>
            <c:idx val="30"/>
            <c:bubble3D val="0"/>
            <c:spPr>
              <a:solidFill>
                <a:srgbClr val="5E3C05"/>
              </a:solidFill>
            </c:spPr>
            <c:extLst>
              <c:ext xmlns:c16="http://schemas.microsoft.com/office/drawing/2014/chart" uri="{C3380CC4-5D6E-409C-BE32-E72D297353CC}">
                <c16:uniqueId val="{0000003D-A3EF-41A6-8CDB-E6FB063D74DE}"/>
              </c:ext>
            </c:extLst>
          </c:dPt>
          <c:cat>
            <c:strRef>
              <c:f>Resumo!$A$18:$A$48</c:f>
              <c:strCache>
                <c:ptCount val="21"/>
                <c:pt idx="0">
                  <c:v>  </c:v>
                </c:pt>
                <c:pt idx="1">
                  <c:v>  Aluguel_Cond  </c:v>
                </c:pt>
                <c:pt idx="2">
                  <c:v>  Gasto Pessoal  </c:v>
                </c:pt>
                <c:pt idx="3">
                  <c:v>  Academia &amp; Fitness  </c:v>
                </c:pt>
                <c:pt idx="4">
                  <c:v>  Work-related  </c:v>
                </c:pt>
                <c:pt idx="5">
                  <c:v>  Manutenção_Casa  </c:v>
                </c:pt>
                <c:pt idx="6">
                  <c:v>  Outros  </c:v>
                </c:pt>
                <c:pt idx="7">
                  <c:v>  Saúde  </c:v>
                </c:pt>
                <c:pt idx="8">
                  <c:v>  Home Supplies  </c:v>
                </c:pt>
                <c:pt idx="9">
                  <c:v>  Energia_Gás_Água_Esgoto  </c:v>
                </c:pt>
                <c:pt idx="10">
                  <c:v>  Móveis_Aparelhos_Decoração  </c:v>
                </c:pt>
                <c:pt idx="11">
                  <c:v>  Imposto (IPVA-IPTU-etc)  </c:v>
                </c:pt>
                <c:pt idx="12">
                  <c:v>  Entretenimento_&amp;_Restaurantes  </c:v>
                </c:pt>
                <c:pt idx="13">
                  <c:v>  Comida_Alimentação  </c:v>
                </c:pt>
                <c:pt idx="14">
                  <c:v>  Investimento (aporte)  </c:v>
                </c:pt>
                <c:pt idx="15">
                  <c:v>  Internet_Telefonia  </c:v>
                </c:pt>
                <c:pt idx="16">
                  <c:v>  Transporte Geral &amp; Coletivo  </c:v>
                </c:pt>
                <c:pt idx="17">
                  <c:v>  Transporte Uber &amp; Apps  </c:v>
                </c:pt>
                <c:pt idx="18">
                  <c:v>  Educação  </c:v>
                </c:pt>
                <c:pt idx="19">
                  <c:v>  Roupa_Acessorios  </c:v>
                </c:pt>
                <c:pt idx="20">
                  <c:v>  Viagem/Vacation  </c:v>
                </c:pt>
              </c:strCache>
            </c:strRef>
          </c:cat>
          <c:val>
            <c:numRef>
              <c:f>Resumo!$O$18:$O$48</c:f>
              <c:numCache>
                <c:formatCode>[$R$ -416]#,##0.00</c:formatCode>
                <c:ptCount val="31"/>
                <c:pt idx="0">
                  <c:v>0</c:v>
                </c:pt>
                <c:pt idx="1">
                  <c:v>2859.8548508977274</c:v>
                </c:pt>
                <c:pt idx="2">
                  <c:v>1373.4784581212059</c:v>
                </c:pt>
                <c:pt idx="3">
                  <c:v>5078.3756166164185</c:v>
                </c:pt>
                <c:pt idx="4">
                  <c:v>7705.1199624885203</c:v>
                </c:pt>
                <c:pt idx="5">
                  <c:v>5544.9912158065454</c:v>
                </c:pt>
                <c:pt idx="6">
                  <c:v>4058.9278355459851</c:v>
                </c:pt>
                <c:pt idx="7">
                  <c:v>4157.5459295888822</c:v>
                </c:pt>
                <c:pt idx="8">
                  <c:v>5246.9909995825619</c:v>
                </c:pt>
                <c:pt idx="9">
                  <c:v>4279.7925294926054</c:v>
                </c:pt>
                <c:pt idx="10">
                  <c:v>4690.8750579714369</c:v>
                </c:pt>
                <c:pt idx="11">
                  <c:v>2899.9231092211639</c:v>
                </c:pt>
                <c:pt idx="12">
                  <c:v>4404.9270238803874</c:v>
                </c:pt>
                <c:pt idx="13">
                  <c:v>2343.0265733177093</c:v>
                </c:pt>
                <c:pt idx="14">
                  <c:v>7343.4227237914265</c:v>
                </c:pt>
                <c:pt idx="15">
                  <c:v>2344.9577371484525</c:v>
                </c:pt>
                <c:pt idx="16">
                  <c:v>3640.3933657335651</c:v>
                </c:pt>
                <c:pt idx="17">
                  <c:v>3598.1125609847436</c:v>
                </c:pt>
                <c:pt idx="18">
                  <c:v>3425.6628515111961</c:v>
                </c:pt>
                <c:pt idx="19">
                  <c:v>3360.9226455424887</c:v>
                </c:pt>
                <c:pt idx="20">
                  <c:v>1167.5092669837293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A3EF-41A6-8CDB-E6FB063D74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Mensal: Entrada vs Saída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Gastos</c:v>
          </c:tx>
          <c:spPr>
            <a:ln cmpd="sng">
              <a:solidFill>
                <a:srgbClr val="CC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Resumo!$A$49:$M$49</c:f>
              <c:strCache>
                <c:ptCount val="13"/>
                <c:pt idx="1">
                  <c:v>janeiro</c:v>
                </c:pt>
                <c:pt idx="2">
                  <c:v>fevereiro</c:v>
                </c:pt>
                <c:pt idx="3">
                  <c:v>março</c:v>
                </c:pt>
                <c:pt idx="4">
                  <c:v>abril</c:v>
                </c:pt>
                <c:pt idx="5">
                  <c:v>maio</c:v>
                </c:pt>
                <c:pt idx="6">
                  <c:v>junho</c:v>
                </c:pt>
                <c:pt idx="7">
                  <c:v>julho</c:v>
                </c:pt>
                <c:pt idx="8">
                  <c:v>agosto</c:v>
                </c:pt>
                <c:pt idx="9">
                  <c:v>setembro</c:v>
                </c:pt>
                <c:pt idx="10">
                  <c:v>outubro</c:v>
                </c:pt>
                <c:pt idx="11">
                  <c:v>novembro</c:v>
                </c:pt>
                <c:pt idx="12">
                  <c:v>dezembro</c:v>
                </c:pt>
              </c:strCache>
            </c:strRef>
          </c:cat>
          <c:val>
            <c:numRef>
              <c:f>Resumo!$A$50:$M$50</c:f>
              <c:numCache>
                <c:formatCode>[$R$ -416]#,##0.00</c:formatCode>
                <c:ptCount val="13"/>
                <c:pt idx="0" formatCode="General">
                  <c:v>0</c:v>
                </c:pt>
                <c:pt idx="1">
                  <c:v>7767.9518009978865</c:v>
                </c:pt>
                <c:pt idx="2">
                  <c:v>9996.2379914723915</c:v>
                </c:pt>
                <c:pt idx="3">
                  <c:v>5390.5925032365412</c:v>
                </c:pt>
                <c:pt idx="4">
                  <c:v>6855.8358605765834</c:v>
                </c:pt>
                <c:pt idx="5">
                  <c:v>5027.8111179843172</c:v>
                </c:pt>
                <c:pt idx="6">
                  <c:v>5182.2091724842421</c:v>
                </c:pt>
                <c:pt idx="7">
                  <c:v>8610.7107187909223</c:v>
                </c:pt>
                <c:pt idx="8">
                  <c:v>7685.0303174293977</c:v>
                </c:pt>
                <c:pt idx="9">
                  <c:v>7387.4875723564501</c:v>
                </c:pt>
                <c:pt idx="10">
                  <c:v>4756.2249344021366</c:v>
                </c:pt>
                <c:pt idx="11">
                  <c:v>4839.2565232682209</c:v>
                </c:pt>
                <c:pt idx="12">
                  <c:v>6025.461801227656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2A15-4596-9A2B-29E24060A8B4}"/>
            </c:ext>
          </c:extLst>
        </c:ser>
        <c:ser>
          <c:idx val="1"/>
          <c:order val="1"/>
          <c:tx>
            <c:v>Receita</c:v>
          </c:tx>
          <c:spPr>
            <a:ln cmpd="sng">
              <a:solidFill>
                <a:srgbClr val="6AA84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Resumo!$A$49:$M$49</c:f>
              <c:strCache>
                <c:ptCount val="13"/>
                <c:pt idx="1">
                  <c:v>janeiro</c:v>
                </c:pt>
                <c:pt idx="2">
                  <c:v>fevereiro</c:v>
                </c:pt>
                <c:pt idx="3">
                  <c:v>março</c:v>
                </c:pt>
                <c:pt idx="4">
                  <c:v>abril</c:v>
                </c:pt>
                <c:pt idx="5">
                  <c:v>maio</c:v>
                </c:pt>
                <c:pt idx="6">
                  <c:v>junho</c:v>
                </c:pt>
                <c:pt idx="7">
                  <c:v>julho</c:v>
                </c:pt>
                <c:pt idx="8">
                  <c:v>agosto</c:v>
                </c:pt>
                <c:pt idx="9">
                  <c:v>setembro</c:v>
                </c:pt>
                <c:pt idx="10">
                  <c:v>outubro</c:v>
                </c:pt>
                <c:pt idx="11">
                  <c:v>novembro</c:v>
                </c:pt>
                <c:pt idx="12">
                  <c:v>dezembro</c:v>
                </c:pt>
              </c:strCache>
            </c:strRef>
          </c:cat>
          <c:val>
            <c:numRef>
              <c:f>Resumo!$A$51:$M$51</c:f>
              <c:numCache>
                <c:formatCode>General</c:formatCode>
                <c:ptCount val="13"/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2A15-4596-9A2B-29E24060A8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8882459"/>
        <c:axId val="1193641791"/>
      </c:lineChart>
      <c:catAx>
        <c:axId val="8388824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93641791"/>
        <c:crosses val="autoZero"/>
        <c:auto val="1"/>
        <c:lblAlgn val="ctr"/>
        <c:lblOffset val="100"/>
        <c:noMultiLvlLbl val="1"/>
      </c:catAx>
      <c:valAx>
        <c:axId val="1193641791"/>
        <c:scaling>
          <c:orientation val="minMax"/>
          <c:max val="1550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38882459"/>
        <c:crosses val="autoZero"/>
        <c:crossBetween val="between"/>
      </c:valAx>
    </c:plotArea>
    <c:legend>
      <c:legendPos val="r"/>
      <c:legendEntry>
        <c:idx val="0"/>
        <c:txPr>
          <a:bodyPr/>
          <a:lstStyle/>
          <a:p>
            <a:pPr lvl="0">
              <a:defRPr b="0" i="1"/>
            </a:pPr>
            <a:endParaRPr lang="en-US"/>
          </a:p>
        </c:txPr>
      </c:legendEntry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Acumulado : Entrada vs Saída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Despesas Acum.</c:v>
          </c:tx>
          <c:spPr>
            <a:ln cmpd="sng">
              <a:solidFill>
                <a:srgbClr val="CC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Resumo!$B$53:$M$53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Resumo!$B$54:$M$54</c:f>
              <c:numCache>
                <c:formatCode>[$R$ -416]#,##0.00</c:formatCode>
                <c:ptCount val="12"/>
                <c:pt idx="0">
                  <c:v>7767.9518009978865</c:v>
                </c:pt>
                <c:pt idx="1">
                  <c:v>17764.189792470279</c:v>
                </c:pt>
                <c:pt idx="2">
                  <c:v>23154.78229570682</c:v>
                </c:pt>
                <c:pt idx="3">
                  <c:v>30010.618156283403</c:v>
                </c:pt>
                <c:pt idx="4">
                  <c:v>35038.429274267721</c:v>
                </c:pt>
                <c:pt idx="5">
                  <c:v>40220.63844675196</c:v>
                </c:pt>
                <c:pt idx="6">
                  <c:v>48831.349165542881</c:v>
                </c:pt>
                <c:pt idx="7">
                  <c:v>56516.379482972276</c:v>
                </c:pt>
                <c:pt idx="8">
                  <c:v>63903.867055328723</c:v>
                </c:pt>
                <c:pt idx="9">
                  <c:v>68660.091989730863</c:v>
                </c:pt>
                <c:pt idx="10">
                  <c:v>73499.348512999088</c:v>
                </c:pt>
                <c:pt idx="11">
                  <c:v>79524.81031422675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67-4CC0-BFCE-14F5ED4018F9}"/>
            </c:ext>
          </c:extLst>
        </c:ser>
        <c:ser>
          <c:idx val="1"/>
          <c:order val="1"/>
          <c:tx>
            <c:v>Ganhos Acum.</c:v>
          </c:tx>
          <c:spPr>
            <a:ln cmpd="sng">
              <a:solidFill>
                <a:srgbClr val="6AA84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Resumo!$B$53:$M$53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Resumo!$B$55:$M$55</c:f>
              <c:numCache>
                <c:formatCode>_([$R$ -416]* #,##0.00_);_([$R$ -416]* \(#,##0.00\);_([$R$ -416]* "-"??_);_(@_)</c:formatCode>
                <c:ptCount val="12"/>
                <c:pt idx="0">
                  <c:v>6484.3121951219509</c:v>
                </c:pt>
                <c:pt idx="1">
                  <c:v>13076.774390243902</c:v>
                </c:pt>
                <c:pt idx="2">
                  <c:v>19894.736585365852</c:v>
                </c:pt>
                <c:pt idx="3">
                  <c:v>29343.55308943089</c:v>
                </c:pt>
                <c:pt idx="4">
                  <c:v>34105.565609756093</c:v>
                </c:pt>
                <c:pt idx="5">
                  <c:v>41653.255609756096</c:v>
                </c:pt>
                <c:pt idx="6">
                  <c:v>52614.928130081302</c:v>
                </c:pt>
                <c:pt idx="7">
                  <c:v>60404.738130081299</c:v>
                </c:pt>
                <c:pt idx="8">
                  <c:v>69395.481219512192</c:v>
                </c:pt>
                <c:pt idx="9">
                  <c:v>77862.534308943083</c:v>
                </c:pt>
                <c:pt idx="10">
                  <c:v>86329.587398373973</c:v>
                </c:pt>
                <c:pt idx="11">
                  <c:v>94796.640487804863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67-4CC0-BFCE-14F5ED4018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1563687"/>
        <c:axId val="1937569713"/>
      </c:lineChart>
      <c:catAx>
        <c:axId val="7915636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37569713"/>
        <c:crosses val="autoZero"/>
        <c:auto val="1"/>
        <c:lblAlgn val="ctr"/>
        <c:lblOffset val="100"/>
        <c:noMultiLvlLbl val="1"/>
      </c:catAx>
      <c:valAx>
        <c:axId val="193756971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[$R$ -416]#,##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91563687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247650</xdr:colOff>
      <xdr:row>0</xdr:row>
      <xdr:rowOff>0</xdr:rowOff>
    </xdr:from>
    <xdr:ext cx="5257800" cy="291465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13</xdr:col>
      <xdr:colOff>542925</xdr:colOff>
      <xdr:row>0</xdr:row>
      <xdr:rowOff>0</xdr:rowOff>
    </xdr:from>
    <xdr:ext cx="4800600" cy="2971800"/>
    <xdr:graphicFrame macro="">
      <xdr:nvGraphicFramePr>
        <xdr:cNvPr id="3" name="Chart 2" title="Chart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19</xdr:col>
      <xdr:colOff>31750</xdr:colOff>
      <xdr:row>0</xdr:row>
      <xdr:rowOff>0</xdr:rowOff>
    </xdr:from>
    <xdr:ext cx="4724400" cy="2971800"/>
    <xdr:graphicFrame macro="">
      <xdr:nvGraphicFramePr>
        <xdr:cNvPr id="4" name="Chart 3" title="Chart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6AA84F"/>
    <outlinePr summaryBelow="0" summaryRight="0"/>
  </sheetPr>
  <dimension ref="A1:Z99"/>
  <sheetViews>
    <sheetView tabSelected="1" workbookViewId="0">
      <pane xSplit="1" topLeftCell="B1" activePane="topRight" state="frozen"/>
      <selection pane="topRight" activeCell="N13" sqref="N13"/>
    </sheetView>
  </sheetViews>
  <sheetFormatPr defaultColWidth="12.6328125" defaultRowHeight="15.75" customHeight="1"/>
  <cols>
    <col min="1" max="1" width="25.453125" customWidth="1"/>
    <col min="2" max="2" width="14.26953125" customWidth="1"/>
    <col min="4" max="4" width="14.6328125" customWidth="1"/>
    <col min="6" max="6" width="11.08984375" customWidth="1"/>
  </cols>
  <sheetData>
    <row r="1" spans="1:26" ht="15.75" customHeight="1">
      <c r="A1" s="1" t="s">
        <v>0</v>
      </c>
      <c r="B1" s="1"/>
      <c r="D1" s="2" t="s">
        <v>1</v>
      </c>
      <c r="E1" s="3" t="s">
        <v>2</v>
      </c>
    </row>
    <row r="2" spans="1:26" ht="15.75" customHeight="1">
      <c r="A2" s="4"/>
      <c r="B2" s="4"/>
      <c r="D2" s="5" t="s">
        <v>3</v>
      </c>
      <c r="E2" s="6">
        <f>SUM('Mes01'!C:C)</f>
        <v>7767.9518009979001</v>
      </c>
    </row>
    <row r="3" spans="1:26">
      <c r="A3" s="7" t="s">
        <v>4</v>
      </c>
      <c r="B3" s="8">
        <f ca="1">$O$50</f>
        <v>79524.81031422675</v>
      </c>
      <c r="D3" s="5" t="s">
        <v>5</v>
      </c>
      <c r="E3" s="6">
        <f>SUM('Mes02'!C:C)</f>
        <v>9996.2379914724152</v>
      </c>
    </row>
    <row r="4" spans="1:26">
      <c r="A4" s="7" t="s">
        <v>6</v>
      </c>
      <c r="B4" s="8">
        <f ca="1">IFERROR(__xludf.DUMMYFUNCTION("IFERROR(AVERAGE(FILTER(B50:M50,B50:M50&gt;0)),""---"")"),6627.06752618557)</f>
        <v>6627.0675261855704</v>
      </c>
      <c r="D4" s="5" t="s">
        <v>7</v>
      </c>
      <c r="E4" s="6">
        <f>SUM('Mes03'!C:C)</f>
        <v>5390.5925032365558</v>
      </c>
    </row>
    <row r="5" spans="1:26">
      <c r="A5" s="7" t="s">
        <v>8</v>
      </c>
      <c r="B5" s="8">
        <f ca="1">IFERROR(__xludf.DUMMYFUNCTION("IFERROR(MEDIAN(FILTER(B50:M50,B50:M50&gt;0)),""---"")"),6440.64883090213)</f>
        <v>6440.6488309021297</v>
      </c>
      <c r="D5" s="5" t="s">
        <v>9</v>
      </c>
      <c r="E5" s="6">
        <f>SUM('Mes04'!C:C)</f>
        <v>6855.8358605765916</v>
      </c>
    </row>
    <row r="6" spans="1:26">
      <c r="A6" s="7" t="s">
        <v>10</v>
      </c>
      <c r="B6" s="8">
        <f ca="1">IFERROR(__xludf.DUMMYFUNCTION("IFERROR(STDEV(FILTER(B50:M50,B50:M50&gt;0)), ""---"")"),1694.10696696828)</f>
        <v>1694.1069669682799</v>
      </c>
      <c r="D6" s="5" t="s">
        <v>11</v>
      </c>
      <c r="E6" s="6">
        <f>SUM('Mes05'!C:C)</f>
        <v>5027.8111179843254</v>
      </c>
    </row>
    <row r="7" spans="1:26">
      <c r="A7" s="7" t="s">
        <v>12</v>
      </c>
      <c r="B7" s="9">
        <f ca="1">$Q$50</f>
        <v>0.25928125782274503</v>
      </c>
      <c r="D7" s="5" t="s">
        <v>13</v>
      </c>
      <c r="E7" s="6">
        <f>SUM('Mes06'!C:C)</f>
        <v>5182.2091724842467</v>
      </c>
    </row>
    <row r="8" spans="1:26" ht="15.75" customHeight="1">
      <c r="D8" s="5" t="s">
        <v>14</v>
      </c>
      <c r="E8" s="6">
        <f>SUM('Mes07'!C:C)</f>
        <v>8610.7107187909423</v>
      </c>
    </row>
    <row r="9" spans="1:26">
      <c r="A9" s="10" t="s">
        <v>15</v>
      </c>
      <c r="B9" s="11">
        <f ca="1">SUM(Rendimentos!B17:M17)+SUM(Rendimentos!B2:M2)-OutputTotal+TotalInvested</f>
        <v>16439.339440561871</v>
      </c>
      <c r="D9" s="5" t="s">
        <v>16</v>
      </c>
      <c r="E9" s="6">
        <f>SUM('Mes08'!C:C)</f>
        <v>7685.0303174294049</v>
      </c>
    </row>
    <row r="10" spans="1:26">
      <c r="A10" s="12" t="s">
        <v>17</v>
      </c>
      <c r="B10" s="6">
        <f ca="1">VLOOKUP("Investimento (aporte)",$A$17:$Q$50,15)</f>
        <v>1167.5092669837293</v>
      </c>
      <c r="D10" s="5" t="s">
        <v>18</v>
      </c>
      <c r="E10" s="6">
        <f>SUM('Mes09'!C:C)</f>
        <v>7387.4875723564701</v>
      </c>
    </row>
    <row r="11" spans="1:26" ht="15.75" customHeight="1">
      <c r="D11" s="5" t="s">
        <v>19</v>
      </c>
      <c r="E11" s="6">
        <f>SUM('Mes10'!C:C)</f>
        <v>4756.2249344021511</v>
      </c>
    </row>
    <row r="12" spans="1:26" ht="15.75" customHeight="1">
      <c r="D12" s="5" t="s">
        <v>20</v>
      </c>
      <c r="E12" s="6">
        <f>SUM('Mes11'!C:C)</f>
        <v>4839.2565232682246</v>
      </c>
    </row>
    <row r="13" spans="1:26" ht="15.75" customHeight="1">
      <c r="D13" s="5" t="s">
        <v>21</v>
      </c>
      <c r="E13" s="6">
        <f>SUM('Mes12'!C:C)</f>
        <v>6025.461801227666</v>
      </c>
    </row>
    <row r="15" spans="1:26" ht="15.75" customHeight="1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7" spans="1:17">
      <c r="A17" s="12" t="s">
        <v>22</v>
      </c>
      <c r="B17" s="14" t="s">
        <v>3</v>
      </c>
      <c r="C17" s="14" t="s">
        <v>5</v>
      </c>
      <c r="D17" s="14" t="s">
        <v>7</v>
      </c>
      <c r="E17" s="14" t="s">
        <v>9</v>
      </c>
      <c r="F17" s="14" t="s">
        <v>11</v>
      </c>
      <c r="G17" s="14" t="s">
        <v>13</v>
      </c>
      <c r="H17" s="14" t="s">
        <v>14</v>
      </c>
      <c r="I17" s="14" t="s">
        <v>16</v>
      </c>
      <c r="J17" s="14" t="s">
        <v>18</v>
      </c>
      <c r="K17" s="14" t="s">
        <v>19</v>
      </c>
      <c r="L17" s="14" t="s">
        <v>20</v>
      </c>
      <c r="M17" s="14" t="s">
        <v>21</v>
      </c>
      <c r="O17" s="14" t="s">
        <v>2</v>
      </c>
      <c r="P17" s="14" t="s">
        <v>23</v>
      </c>
      <c r="Q17" s="14" t="s">
        <v>24</v>
      </c>
    </row>
    <row r="18" spans="1:17" ht="15.75" customHeight="1">
      <c r="A18" s="15" t="str">
        <f ca="1">IFERROR(__xludf.DUMMYFUNCTION("ArrayFormula(UNIQUE({'Mes01'!B2:B1541;'Mes02'!B2:B1541;'Mes03'!B2:B1541;'Mes04'!B2:B1541;'Mes05'!B2:B1541;'Mes06'!B2:B1541;'Mes07'!B2:B1541;'Mes08'!B2:B1541;'Mes09'!B2:B1541;'Mes10'!B2:B1541;'Mes11'!B2:B1541;'Mes12'!B2:B1541}, FALSE, FALSE))"),"")</f>
        <v/>
      </c>
      <c r="B18" s="16">
        <f ca="1">IFERROR(__xludf.DUMMYFUNCTION("IFERROR(sum(QUERY('Mes01'!$B$2:$C1541, ""SELECT C WHERE B = '""&amp;$A18&amp;""'"")),0)"),0)</f>
        <v>0</v>
      </c>
      <c r="C18" s="16">
        <f ca="1">IFERROR(__xludf.DUMMYFUNCTION("IFERROR(sum(QUERY('Mes02'!$B$2:$C1541, ""SELECT C WHERE B = '""&amp;$A18&amp;""'"")),0)"),0)</f>
        <v>0</v>
      </c>
      <c r="D18" s="16">
        <f ca="1">IFERROR(__xludf.DUMMYFUNCTION("IFERROR(sum(QUERY('Mes03'!$B$2:$C1541, ""SELECT C WHERE B = '""&amp;$A18&amp;""'"")),0)"),0)</f>
        <v>0</v>
      </c>
      <c r="E18" s="16">
        <f ca="1">IFERROR(__xludf.DUMMYFUNCTION("IFERROR(sum(QUERY('Mes04'!$B$2:$C1541, ""SELECT C WHERE B = '""&amp;$A18&amp;""'"")),0)"),0)</f>
        <v>0</v>
      </c>
      <c r="F18" s="16">
        <f ca="1">IFERROR(__xludf.DUMMYFUNCTION("IFERROR(sum(QUERY('Mes05'!$B$2:$C1541, ""SELECT C WHERE B = '""&amp;$A18&amp;""'"")),0)"),0)</f>
        <v>0</v>
      </c>
      <c r="G18" s="16">
        <f ca="1">IFERROR(__xludf.DUMMYFUNCTION("IFERROR(sum(QUERY('Mes06'!$B$2:$C1541, ""SELECT C WHERE B = '""&amp;$A18&amp;""'"")),0)"),0)</f>
        <v>0</v>
      </c>
      <c r="H18" s="16">
        <f ca="1">IFERROR(__xludf.DUMMYFUNCTION("IFERROR(sum(QUERY('Mes07'!$B$2:$C1541, ""SELECT C WHERE B = '""&amp;$A18&amp;""'"")),0)"),0)</f>
        <v>0</v>
      </c>
      <c r="I18" s="16">
        <f ca="1">IFERROR(__xludf.DUMMYFUNCTION("IFERROR(sum(QUERY('Mes08'!$B$2:$C1541, ""SELECT C WHERE B = '""&amp;$A18&amp;""'"")),0)"),0)</f>
        <v>0</v>
      </c>
      <c r="J18" s="16">
        <f ca="1">IFERROR(__xludf.DUMMYFUNCTION("IFERROR(sum(QUERY('Mes09'!$B$2:$C1541, ""SELECT C WHERE B = '""&amp;$A18&amp;""'"")),0)"),0)</f>
        <v>0</v>
      </c>
      <c r="K18" s="16">
        <f ca="1">IFERROR(__xludf.DUMMYFUNCTION("IFERROR(sum(QUERY('Mes10'!$B$2:$C1541, ""SELECT C WHERE B = '""&amp;$A18&amp;""'"")),0)"),0)</f>
        <v>0</v>
      </c>
      <c r="L18" s="16">
        <f ca="1">IFERROR(__xludf.DUMMYFUNCTION("IFERROR(sum(QUERY('Mes11'!$B$2:$C1541, ""SELECT C WHERE B = '""&amp;$A18&amp;""'"")),0)"),0)</f>
        <v>0</v>
      </c>
      <c r="M18" s="16">
        <f ca="1">IFERROR(__xludf.DUMMYFUNCTION("IFERROR(sum(QUERY('Mes12'!$B$2:$C1541, ""SELECT C WHERE B = '""&amp;$A18&amp;""'"")),0)"),0)</f>
        <v>0</v>
      </c>
      <c r="O18" s="16">
        <f t="shared" ref="O18:O48" ca="1" si="0">SUM(B18:M18)</f>
        <v>0</v>
      </c>
      <c r="P18" s="16" t="str">
        <f ca="1">IFERROR(__xludf.DUMMYFUNCTION("IFERROR((AVERAGEIF(B18:M18,""&lt;&gt;0"")+(MEDIAN(FILTER(B18:M18,B18:M18&gt;0))))/2,""---"")"),"---")</f>
        <v>---</v>
      </c>
      <c r="Q18" s="17" t="str">
        <f ca="1">IFERROR(__xludf.DUMMYFUNCTION("IFERROR(STDEV(FILTER(B18:M18,B18:M18&gt;0))/P18,""---"")"),"---")</f>
        <v>---</v>
      </c>
    </row>
    <row r="19" spans="1:17" ht="15.75" customHeight="1">
      <c r="A19" s="18" t="str">
        <f ca="1">IFERROR(__xludf.DUMMYFUNCTION("""COMPUTED_VALUE""")," Aluguel_Cond ")</f>
        <v xml:space="preserve"> Aluguel_Cond </v>
      </c>
      <c r="B19" s="16">
        <f ca="1">IFERROR(__xludf.DUMMYFUNCTION("IFERROR(sum(QUERY('Mes01'!$B$2:$C1541, ""SELECT C WHERE B = '""&amp;$A19&amp;""'"")),0)"),219.473542686534)</f>
        <v>219.47354268653399</v>
      </c>
      <c r="C19" s="16">
        <f ca="1">IFERROR(__xludf.DUMMYFUNCTION("IFERROR(sum(QUERY('Mes02'!$B$2:$C1541, ""SELECT C WHERE B = '""&amp;$A19&amp;""'"")),0)"),64.2341562610376)</f>
        <v>64.234156261037597</v>
      </c>
      <c r="D19" s="16">
        <f ca="1">IFERROR(__xludf.DUMMYFUNCTION("IFERROR(sum(QUERY('Mes03'!$B$2:$C1541, ""SELECT C WHERE B = '""&amp;$A19&amp;""'"")),0)"),183.284918267978)</f>
        <v>183.28491826797799</v>
      </c>
      <c r="E19" s="16">
        <f ca="1">IFERROR(__xludf.DUMMYFUNCTION("IFERROR(sum(QUERY('Mes04'!$B$2:$C1541, ""SELECT C WHERE B = '""&amp;$A19&amp;""'"")),0)"),0)</f>
        <v>0</v>
      </c>
      <c r="F19" s="16">
        <f ca="1">IFERROR(__xludf.DUMMYFUNCTION("IFERROR(sum(QUERY('Mes05'!$B$2:$C1541, ""SELECT C WHERE B = '""&amp;$A19&amp;""'"")),0)"),1476.54154859038)</f>
        <v>1476.54154859038</v>
      </c>
      <c r="G19" s="16">
        <f ca="1">IFERROR(__xludf.DUMMYFUNCTION("IFERROR(sum(QUERY('Mes06'!$B$2:$C1541, ""SELECT C WHERE B = '""&amp;$A19&amp;""'"")),0)"),54.2661357623233)</f>
        <v>54.266135762323302</v>
      </c>
      <c r="H19" s="16">
        <f ca="1">IFERROR(__xludf.DUMMYFUNCTION("IFERROR(sum(QUERY('Mes07'!$B$2:$C1541, ""SELECT C WHERE B = '""&amp;$A19&amp;""'"")),0)"),96.1931666428327)</f>
        <v>96.193166642832693</v>
      </c>
      <c r="I19" s="16">
        <f ca="1">IFERROR(__xludf.DUMMYFUNCTION("IFERROR(sum(QUERY('Mes08'!$B$2:$C1541, ""SELECT C WHERE B = '""&amp;$A19&amp;""'"")),0)"),20.6732688671863)</f>
        <v>20.673268867186302</v>
      </c>
      <c r="J19" s="16">
        <f ca="1">IFERROR(__xludf.DUMMYFUNCTION("IFERROR(sum(QUERY('Mes09'!$B$2:$C1541, ""SELECT C WHERE B = '""&amp;$A19&amp;""'"")),0)"),0)</f>
        <v>0</v>
      </c>
      <c r="K19" s="16">
        <f ca="1">IFERROR(__xludf.DUMMYFUNCTION("IFERROR(sum(QUERY('Mes10'!$B$2:$C1541, ""SELECT C WHERE B = '""&amp;$A19&amp;""'"")),0)"),339.032144945912)</f>
        <v>339.03214494591202</v>
      </c>
      <c r="L19" s="16">
        <f ca="1">IFERROR(__xludf.DUMMYFUNCTION("IFERROR(sum(QUERY('Mes11'!$B$2:$C1541, ""SELECT C WHERE B = '""&amp;$A19&amp;""'"")),0)"),269.061369255023)</f>
        <v>269.06136925502301</v>
      </c>
      <c r="M19" s="16">
        <f ca="1">IFERROR(__xludf.DUMMYFUNCTION("IFERROR(sum(QUERY('Mes12'!$B$2:$C1541, ""SELECT C WHERE B = '""&amp;$A19&amp;""'"")),0)"),137.09459961852)</f>
        <v>137.09459961851999</v>
      </c>
      <c r="O19" s="16">
        <f t="shared" ca="1" si="0"/>
        <v>2859.8548508977274</v>
      </c>
      <c r="P19" s="16">
        <f ca="1">IFERROR(__xludf.DUMMYFUNCTION("IFERROR((AVERAGEIF(B19:M19,""&lt;&gt;0"")+(MEDIAN(FILTER(B19:M19,B19:M19&gt;0))))/2,""---"")"),223.087622016511)</f>
        <v>223.08762201651101</v>
      </c>
      <c r="Q19" s="17">
        <f ca="1">IFERROR(__xludf.DUMMYFUNCTION("IFERROR(STDEV(FILTER(B19:M19,B19:M19&gt;0))/P19,""---"")"),1.9291395897994)</f>
        <v>1.9291395897993999</v>
      </c>
    </row>
    <row r="20" spans="1:17" ht="15.75" customHeight="1">
      <c r="A20" s="18" t="str">
        <f ca="1">IFERROR(__xludf.DUMMYFUNCTION("""COMPUTED_VALUE""")," Gasto Pessoal ")</f>
        <v xml:space="preserve"> Gasto Pessoal </v>
      </c>
      <c r="B20" s="16">
        <f ca="1">IFERROR(__xludf.DUMMYFUNCTION("IFERROR(sum(QUERY('Mes01'!$B$2:$C1541, ""SELECT C WHERE B = '""&amp;$A20&amp;""'"")),0)"),354.572709296863)</f>
        <v>354.57270929686302</v>
      </c>
      <c r="C20" s="16">
        <f ca="1">IFERROR(__xludf.DUMMYFUNCTION("IFERROR(sum(QUERY('Mes02'!$B$2:$C1541, ""SELECT C WHERE B = '""&amp;$A20&amp;""'"")),0)"),61.6026362649457)</f>
        <v>61.602636264945701</v>
      </c>
      <c r="D20" s="16">
        <f ca="1">IFERROR(__xludf.DUMMYFUNCTION("IFERROR(sum(QUERY('Mes03'!$B$2:$C1541, ""SELECT C WHERE B = '""&amp;$A20&amp;""'"")),0)"),0)</f>
        <v>0</v>
      </c>
      <c r="E20" s="16">
        <f ca="1">IFERROR(__xludf.DUMMYFUNCTION("IFERROR(sum(QUERY('Mes04'!$B$2:$C1541, ""SELECT C WHERE B = '""&amp;$A20&amp;""'"")),0)"),0)</f>
        <v>0</v>
      </c>
      <c r="F20" s="16">
        <f ca="1">IFERROR(__xludf.DUMMYFUNCTION("IFERROR(sum(QUERY('Mes05'!$B$2:$C1541, ""SELECT C WHERE B = '""&amp;$A20&amp;""'"")),0)"),0)</f>
        <v>0</v>
      </c>
      <c r="G20" s="16">
        <f ca="1">IFERROR(__xludf.DUMMYFUNCTION("IFERROR(sum(QUERY('Mes06'!$B$2:$C1541, ""SELECT C WHERE B = '""&amp;$A20&amp;""'"")),0)"),869.092408282472)</f>
        <v>869.09240828247198</v>
      </c>
      <c r="H20" s="16">
        <f ca="1">IFERROR(__xludf.DUMMYFUNCTION("IFERROR(sum(QUERY('Mes07'!$B$2:$C1541, ""SELECT C WHERE B = '""&amp;$A20&amp;""'"")),0)"),0)</f>
        <v>0</v>
      </c>
      <c r="I20" s="16">
        <f ca="1">IFERROR(__xludf.DUMMYFUNCTION("IFERROR(sum(QUERY('Mes08'!$B$2:$C1541, ""SELECT C WHERE B = '""&amp;$A20&amp;""'"")),0)"),0)</f>
        <v>0</v>
      </c>
      <c r="J20" s="16">
        <f ca="1">IFERROR(__xludf.DUMMYFUNCTION("IFERROR(sum(QUERY('Mes09'!$B$2:$C1541, ""SELECT C WHERE B = '""&amp;$A20&amp;""'"")),0)"),88.2107042769251)</f>
        <v>88.2107042769251</v>
      </c>
      <c r="K20" s="16">
        <f ca="1">IFERROR(__xludf.DUMMYFUNCTION("IFERROR(sum(QUERY('Mes10'!$B$2:$C1541, ""SELECT C WHERE B = '""&amp;$A20&amp;""'"")),0)"),0)</f>
        <v>0</v>
      </c>
      <c r="L20" s="16">
        <f ca="1">IFERROR(__xludf.DUMMYFUNCTION("IFERROR(sum(QUERY('Mes11'!$B$2:$C1541, ""SELECT C WHERE B = '""&amp;$A20&amp;""'"")),0)"),0)</f>
        <v>0</v>
      </c>
      <c r="M20" s="16">
        <f ca="1">IFERROR(__xludf.DUMMYFUNCTION("IFERROR(sum(QUERY('Mes12'!$B$2:$C1541, ""SELECT C WHERE B = '""&amp;$A20&amp;""'"")),0)"),0)</f>
        <v>0</v>
      </c>
      <c r="O20" s="16">
        <f t="shared" ca="1" si="0"/>
        <v>1373.4784581212059</v>
      </c>
      <c r="P20" s="16">
        <f ca="1">IFERROR(__xludf.DUMMYFUNCTION("IFERROR((AVERAGEIF(B20:M20,""&lt;&gt;0"")+(MEDIAN(FILTER(B20:M20,B20:M20&gt;0))))/2,""---"")"),282.380660658598)</f>
        <v>282.380660658598</v>
      </c>
      <c r="Q20" s="17">
        <f ca="1">IFERROR(__xludf.DUMMYFUNCTION("IFERROR(STDEV(FILTER(B20:M20,B20:M20&gt;0))/P20,""---"")"),1.32663038379115)</f>
        <v>1.3266303837911499</v>
      </c>
    </row>
    <row r="21" spans="1:17" ht="15.75" customHeight="1">
      <c r="A21" s="18" t="str">
        <f ca="1">IFERROR(__xludf.DUMMYFUNCTION("""COMPUTED_VALUE""")," Academia &amp; Fitness ")</f>
        <v xml:space="preserve"> Academia &amp; Fitness </v>
      </c>
      <c r="B21" s="16">
        <f ca="1">IFERROR(__xludf.DUMMYFUNCTION("IFERROR(sum(QUERY('Mes01'!$B$2:$C1541, ""SELECT C WHERE B = '""&amp;$A21&amp;""'"")),0)"),504.036192399526)</f>
        <v>504.03619239952599</v>
      </c>
      <c r="C21" s="16">
        <f ca="1">IFERROR(__xludf.DUMMYFUNCTION("IFERROR(sum(QUERY('Mes02'!$B$2:$C1541, ""SELECT C WHERE B = '""&amp;$A21&amp;""'"")),0)"),1150.62526570699)</f>
        <v>1150.6252657069899</v>
      </c>
      <c r="D21" s="16">
        <f ca="1">IFERROR(__xludf.DUMMYFUNCTION("IFERROR(sum(QUERY('Mes03'!$B$2:$C1541, ""SELECT C WHERE B = '""&amp;$A21&amp;""'"")),0)"),0)</f>
        <v>0</v>
      </c>
      <c r="E21" s="16">
        <f ca="1">IFERROR(__xludf.DUMMYFUNCTION("IFERROR(sum(QUERY('Mes04'!$B$2:$C1541, ""SELECT C WHERE B = '""&amp;$A21&amp;""'"")),0)"),568.616945392145)</f>
        <v>568.616945392145</v>
      </c>
      <c r="F21" s="16">
        <f ca="1">IFERROR(__xludf.DUMMYFUNCTION("IFERROR(sum(QUERY('Mes05'!$B$2:$C1541, ""SELECT C WHERE B = '""&amp;$A21&amp;""'"")),0)"),410.956041864941)</f>
        <v>410.95604186494103</v>
      </c>
      <c r="G21" s="16">
        <f ca="1">IFERROR(__xludf.DUMMYFUNCTION("IFERROR(sum(QUERY('Mes06'!$B$2:$C1541, ""SELECT C WHERE B = '""&amp;$A21&amp;""'"")),0)"),0)</f>
        <v>0</v>
      </c>
      <c r="H21" s="16">
        <f ca="1">IFERROR(__xludf.DUMMYFUNCTION("IFERROR(sum(QUERY('Mes07'!$B$2:$C1541, ""SELECT C WHERE B = '""&amp;$A21&amp;""'"")),0)"),0)</f>
        <v>0</v>
      </c>
      <c r="I21" s="16">
        <f ca="1">IFERROR(__xludf.DUMMYFUNCTION("IFERROR(sum(QUERY('Mes08'!$B$2:$C1541, ""SELECT C WHERE B = '""&amp;$A21&amp;""'"")),0)"),580.06980911793)</f>
        <v>580.06980911793005</v>
      </c>
      <c r="J21" s="16">
        <f ca="1">IFERROR(__xludf.DUMMYFUNCTION("IFERROR(sum(QUERY('Mes09'!$B$2:$C1541, ""SELECT C WHERE B = '""&amp;$A21&amp;""'"")),0)"),723.293916691652)</f>
        <v>723.29391669165204</v>
      </c>
      <c r="K21" s="16">
        <f ca="1">IFERROR(__xludf.DUMMYFUNCTION("IFERROR(sum(QUERY('Mes10'!$B$2:$C1541, ""SELECT C WHERE B = '""&amp;$A21&amp;""'"")),0)"),301.684656664625)</f>
        <v>301.68465666462498</v>
      </c>
      <c r="L21" s="16">
        <f ca="1">IFERROR(__xludf.DUMMYFUNCTION("IFERROR(sum(QUERY('Mes11'!$B$2:$C1541, ""SELECT C WHERE B = '""&amp;$A21&amp;""'"")),0)"),256.342330343388)</f>
        <v>256.34233034338803</v>
      </c>
      <c r="M21" s="16">
        <f ca="1">IFERROR(__xludf.DUMMYFUNCTION("IFERROR(sum(QUERY('Mes12'!$B$2:$C1541, ""SELECT C WHERE B = '""&amp;$A21&amp;""'"")),0)"),582.750458435221)</f>
        <v>582.75045843522105</v>
      </c>
      <c r="O21" s="16">
        <f t="shared" ca="1" si="0"/>
        <v>5078.3756166164185</v>
      </c>
      <c r="P21" s="16">
        <f ca="1">IFERROR(__xludf.DUMMYFUNCTION("IFERROR((AVERAGEIF(B21:M21,""&lt;&gt;0"")+(MEDIAN(FILTER(B21:M21,B21:M21&gt;0))))/2,""---"")"),566.440451396985)</f>
        <v>566.44045139698505</v>
      </c>
      <c r="Q21" s="17">
        <f ca="1">IFERROR(__xludf.DUMMYFUNCTION("IFERROR(STDEV(FILTER(B21:M21,B21:M21&gt;0))/P21,""---"")"),0.467340141186673)</f>
        <v>0.467340141186673</v>
      </c>
    </row>
    <row r="22" spans="1:17" ht="15.75" customHeight="1">
      <c r="A22" s="18" t="str">
        <f ca="1">IFERROR(__xludf.DUMMYFUNCTION("""COMPUTED_VALUE""")," Work-related ")</f>
        <v xml:space="preserve"> Work-related </v>
      </c>
      <c r="B22" s="16">
        <f ca="1">IFERROR(__xludf.DUMMYFUNCTION("IFERROR(sum(QUERY('Mes01'!$B$2:$C1541, ""SELECT C WHERE B = '""&amp;$A22&amp;""'"")),0)"),1254.20428353619)</f>
        <v>1254.2042835361899</v>
      </c>
      <c r="C22" s="16">
        <f ca="1">IFERROR(__xludf.DUMMYFUNCTION("IFERROR(sum(QUERY('Mes02'!$B$2:$C1541, ""SELECT C WHERE B = '""&amp;$A22&amp;""'"")),0)"),435.986916582916)</f>
        <v>435.98691658291602</v>
      </c>
      <c r="D22" s="16">
        <f ca="1">IFERROR(__xludf.DUMMYFUNCTION("IFERROR(sum(QUERY('Mes03'!$B$2:$C1541, ""SELECT C WHERE B = '""&amp;$A22&amp;""'"")),0)"),187.463580117777)</f>
        <v>187.46358011777701</v>
      </c>
      <c r="E22" s="16">
        <f ca="1">IFERROR(__xludf.DUMMYFUNCTION("IFERROR(sum(QUERY('Mes04'!$B$2:$C1541, ""SELECT C WHERE B = '""&amp;$A22&amp;""'"")),0)"),0)</f>
        <v>0</v>
      </c>
      <c r="F22" s="16">
        <f ca="1">IFERROR(__xludf.DUMMYFUNCTION("IFERROR(sum(QUERY('Mes05'!$B$2:$C1541, ""SELECT C WHERE B = '""&amp;$A22&amp;""'"")),0)"),797.308804108712)</f>
        <v>797.30880410871202</v>
      </c>
      <c r="G22" s="16">
        <f ca="1">IFERROR(__xludf.DUMMYFUNCTION("IFERROR(sum(QUERY('Mes06'!$B$2:$C1541, ""SELECT C WHERE B = '""&amp;$A22&amp;""'"")),0)"),529.413401354442)</f>
        <v>529.41340135444204</v>
      </c>
      <c r="H22" s="16">
        <f ca="1">IFERROR(__xludf.DUMMYFUNCTION("IFERROR(sum(QUERY('Mes07'!$B$2:$C1541, ""SELECT C WHERE B = '""&amp;$A22&amp;""'"")),0)"),563.438092384294)</f>
        <v>563.43809238429401</v>
      </c>
      <c r="I22" s="16">
        <f ca="1">IFERROR(__xludf.DUMMYFUNCTION("IFERROR(sum(QUERY('Mes08'!$B$2:$C1541, ""SELECT C WHERE B = '""&amp;$A22&amp;""'"")),0)"),0)</f>
        <v>0</v>
      </c>
      <c r="J22" s="16">
        <f ca="1">IFERROR(__xludf.DUMMYFUNCTION("IFERROR(sum(QUERY('Mes09'!$B$2:$C1541, ""SELECT C WHERE B = '""&amp;$A22&amp;""'"")),0)"),1249.22113038235)</f>
        <v>1249.2211303823501</v>
      </c>
      <c r="K22" s="16">
        <f ca="1">IFERROR(__xludf.DUMMYFUNCTION("IFERROR(sum(QUERY('Mes10'!$B$2:$C1541, ""SELECT C WHERE B = '""&amp;$A22&amp;""'"")),0)"),333.246042668087)</f>
        <v>333.246042668087</v>
      </c>
      <c r="L22" s="16">
        <f ca="1">IFERROR(__xludf.DUMMYFUNCTION("IFERROR(sum(QUERY('Mes11'!$B$2:$C1541, ""SELECT C WHERE B = '""&amp;$A22&amp;""'"")),0)"),160.078762564822)</f>
        <v>160.078762564822</v>
      </c>
      <c r="M22" s="16">
        <f ca="1">IFERROR(__xludf.DUMMYFUNCTION("IFERROR(sum(QUERY('Mes12'!$B$2:$C1541, ""SELECT C WHERE B = '""&amp;$A22&amp;""'"")),0)"),2194.75894878893)</f>
        <v>2194.75894878893</v>
      </c>
      <c r="O22" s="16">
        <f t="shared" ca="1" si="0"/>
        <v>7705.1199624885203</v>
      </c>
      <c r="P22" s="16">
        <f ca="1">IFERROR(__xludf.DUMMYFUNCTION("IFERROR((AVERAGEIF(B22:M22,""&lt;&gt;0"")+(MEDIAN(FILTER(B22:M22,B22:M22&gt;0))))/2,""---"")"),658.468871559111)</f>
        <v>658.46887155911099</v>
      </c>
      <c r="Q22" s="17">
        <f ca="1">IFERROR(__xludf.DUMMYFUNCTION("IFERROR(STDEV(FILTER(B22:M22,B22:M22&gt;0))/P22,""---"")"),0.96169526480772)</f>
        <v>0.96169526480772005</v>
      </c>
    </row>
    <row r="23" spans="1:17" ht="15.75" customHeight="1">
      <c r="A23" s="18" t="str">
        <f ca="1">IFERROR(__xludf.DUMMYFUNCTION("""COMPUTED_VALUE""")," Manutenção_Casa ")</f>
        <v xml:space="preserve"> Manutenção_Casa </v>
      </c>
      <c r="B23" s="16">
        <f ca="1">IFERROR(__xludf.DUMMYFUNCTION("IFERROR(sum(QUERY('Mes01'!$B$2:$C1541, ""SELECT C WHERE B = '""&amp;$A23&amp;""'"")),0)"),928.970433469962)</f>
        <v>928.97043346996202</v>
      </c>
      <c r="C23" s="16">
        <f ca="1">IFERROR(__xludf.DUMMYFUNCTION("IFERROR(sum(QUERY('Mes02'!$B$2:$C1541, ""SELECT C WHERE B = '""&amp;$A23&amp;""'"")),0)"),633.213615637506)</f>
        <v>633.213615637506</v>
      </c>
      <c r="D23" s="16">
        <f ca="1">IFERROR(__xludf.DUMMYFUNCTION("IFERROR(sum(QUERY('Mes03'!$B$2:$C1541, ""SELECT C WHERE B = '""&amp;$A23&amp;""'"")),0)"),45.6851282875321)</f>
        <v>45.685128287532102</v>
      </c>
      <c r="E23" s="16">
        <f ca="1">IFERROR(__xludf.DUMMYFUNCTION("IFERROR(sum(QUERY('Mes04'!$B$2:$C1541, ""SELECT C WHERE B = '""&amp;$A23&amp;""'"")),0)"),105.489273558586)</f>
        <v>105.48927355858601</v>
      </c>
      <c r="F23" s="16">
        <f ca="1">IFERROR(__xludf.DUMMYFUNCTION("IFERROR(sum(QUERY('Mes05'!$B$2:$C1541, ""SELECT C WHERE B = '""&amp;$A23&amp;""'"")),0)"),591.30972442786)</f>
        <v>591.30972442786003</v>
      </c>
      <c r="G23" s="16">
        <f ca="1">IFERROR(__xludf.DUMMYFUNCTION("IFERROR(sum(QUERY('Mes06'!$B$2:$C1541, ""SELECT C WHERE B = '""&amp;$A23&amp;""'"")),0)"),0)</f>
        <v>0</v>
      </c>
      <c r="H23" s="16">
        <f ca="1">IFERROR(__xludf.DUMMYFUNCTION("IFERROR(sum(QUERY('Mes07'!$B$2:$C1541, ""SELECT C WHERE B = '""&amp;$A23&amp;""'"")),0)"),290.816785756061)</f>
        <v>290.81678575606099</v>
      </c>
      <c r="I23" s="16">
        <f ca="1">IFERROR(__xludf.DUMMYFUNCTION("IFERROR(sum(QUERY('Mes08'!$B$2:$C1541, ""SELECT C WHERE B = '""&amp;$A23&amp;""'"")),0)"),345.508037048057)</f>
        <v>345.50803704805702</v>
      </c>
      <c r="J23" s="16">
        <f ca="1">IFERROR(__xludf.DUMMYFUNCTION("IFERROR(sum(QUERY('Mes09'!$B$2:$C1541, ""SELECT C WHERE B = '""&amp;$A23&amp;""'"")),0)"),1017.06517378302)</f>
        <v>1017.06517378302</v>
      </c>
      <c r="K23" s="16">
        <f ca="1">IFERROR(__xludf.DUMMYFUNCTION("IFERROR(sum(QUERY('Mes10'!$B$2:$C1541, ""SELECT C WHERE B = '""&amp;$A23&amp;""'"")),0)"),196.09007207514)</f>
        <v>196.09007207514</v>
      </c>
      <c r="L23" s="16">
        <f ca="1">IFERROR(__xludf.DUMMYFUNCTION("IFERROR(sum(QUERY('Mes11'!$B$2:$C1541, ""SELECT C WHERE B = '""&amp;$A23&amp;""'"")),0)"),696.109957383216)</f>
        <v>696.10995738321606</v>
      </c>
      <c r="M23" s="16">
        <f ca="1">IFERROR(__xludf.DUMMYFUNCTION("IFERROR(sum(QUERY('Mes12'!$B$2:$C1541, ""SELECT C WHERE B = '""&amp;$A23&amp;""'"")),0)"),694.733014379605)</f>
        <v>694.73301437960504</v>
      </c>
      <c r="O23" s="16">
        <f t="shared" ca="1" si="0"/>
        <v>5544.9912158065454</v>
      </c>
      <c r="P23" s="16">
        <f ca="1">IFERROR(__xludf.DUMMYFUNCTION("IFERROR((AVERAGEIF(B23:M23,""&lt;&gt;0"")+(MEDIAN(FILTER(B23:M23,B23:M23&gt;0))))/2,""---"")"),547.699917477864)</f>
        <v>547.69991747786401</v>
      </c>
      <c r="Q23" s="17">
        <f ca="1">IFERROR(__xludf.DUMMYFUNCTION("IFERROR(STDEV(FILTER(B23:M23,B23:M23&gt;0))/P23,""---"")"),0.598823201130149)</f>
        <v>0.59882320113014897</v>
      </c>
    </row>
    <row r="24" spans="1:17" ht="15.75" customHeight="1">
      <c r="A24" s="18" t="str">
        <f ca="1">IFERROR(__xludf.DUMMYFUNCTION("""COMPUTED_VALUE""")," Outros ")</f>
        <v xml:space="preserve"> Outros </v>
      </c>
      <c r="B24" s="16">
        <f ca="1">IFERROR(__xludf.DUMMYFUNCTION("IFERROR(sum(QUERY('Mes01'!$B$2:$C1541, ""SELECT C WHERE B = '""&amp;$A24&amp;""'"")),0)"),133.712311914919)</f>
        <v>133.71231191491901</v>
      </c>
      <c r="C24" s="16">
        <f ca="1">IFERROR(__xludf.DUMMYFUNCTION("IFERROR(sum(QUERY('Mes02'!$B$2:$C1541, ""SELECT C WHERE B = '""&amp;$A24&amp;""'"")),0)"),0)</f>
        <v>0</v>
      </c>
      <c r="D24" s="16">
        <f ca="1">IFERROR(__xludf.DUMMYFUNCTION("IFERROR(sum(QUERY('Mes03'!$B$2:$C1541, ""SELECT C WHERE B = '""&amp;$A24&amp;""'"")),0)"),992.08998738763)</f>
        <v>992.08998738763</v>
      </c>
      <c r="E24" s="16">
        <f ca="1">IFERROR(__xludf.DUMMYFUNCTION("IFERROR(sum(QUERY('Mes04'!$B$2:$C1541, ""SELECT C WHERE B = '""&amp;$A24&amp;""'"")),0)"),0)</f>
        <v>0</v>
      </c>
      <c r="F24" s="16">
        <f ca="1">IFERROR(__xludf.DUMMYFUNCTION("IFERROR(sum(QUERY('Mes05'!$B$2:$C1541, ""SELECT C WHERE B = '""&amp;$A24&amp;""'"")),0)"),251.211777258558)</f>
        <v>251.21177725855799</v>
      </c>
      <c r="G24" s="16">
        <f ca="1">IFERROR(__xludf.DUMMYFUNCTION("IFERROR(sum(QUERY('Mes06'!$B$2:$C1541, ""SELECT C WHERE B = '""&amp;$A24&amp;""'"")),0)"),0)</f>
        <v>0</v>
      </c>
      <c r="H24" s="16">
        <f ca="1">IFERROR(__xludf.DUMMYFUNCTION("IFERROR(sum(QUERY('Mes07'!$B$2:$C1541, ""SELECT C WHERE B = '""&amp;$A24&amp;""'"")),0)"),1313.52895258155)</f>
        <v>1313.5289525815499</v>
      </c>
      <c r="I24" s="16">
        <f ca="1">IFERROR(__xludf.DUMMYFUNCTION("IFERROR(sum(QUERY('Mes08'!$B$2:$C1541, ""SELECT C WHERE B = '""&amp;$A24&amp;""'"")),0)"),266.956668749623)</f>
        <v>266.95666874962302</v>
      </c>
      <c r="J24" s="16">
        <f ca="1">IFERROR(__xludf.DUMMYFUNCTION("IFERROR(sum(QUERY('Mes09'!$B$2:$C1541, ""SELECT C WHERE B = '""&amp;$A24&amp;""'"")),0)"),143.052426812522)</f>
        <v>143.05242681252199</v>
      </c>
      <c r="K24" s="16">
        <f ca="1">IFERROR(__xludf.DUMMYFUNCTION("IFERROR(sum(QUERY('Mes10'!$B$2:$C1541, ""SELECT C WHERE B = '""&amp;$A24&amp;""'"")),0)"),165.389800602596)</f>
        <v>165.38980060259601</v>
      </c>
      <c r="L24" s="16">
        <f ca="1">IFERROR(__xludf.DUMMYFUNCTION("IFERROR(sum(QUERY('Mes11'!$B$2:$C1541, ""SELECT C WHERE B = '""&amp;$A24&amp;""'"")),0)"),561.153138103354)</f>
        <v>561.15313810335397</v>
      </c>
      <c r="M24" s="16">
        <f ca="1">IFERROR(__xludf.DUMMYFUNCTION("IFERROR(sum(QUERY('Mes12'!$B$2:$C1541, ""SELECT C WHERE B = '""&amp;$A24&amp;""'"")),0)"),231.832772135233)</f>
        <v>231.832772135233</v>
      </c>
      <c r="O24" s="16">
        <f t="shared" ca="1" si="0"/>
        <v>4058.9278355459851</v>
      </c>
      <c r="P24" s="16">
        <f ca="1">IFERROR(__xludf.DUMMYFUNCTION("IFERROR((AVERAGEIF(B24:M24,""&lt;&gt;0"")+(MEDIAN(FILTER(B24:M24,B24:M24&gt;0))))/2,""---"")"),351.101879492945)</f>
        <v>351.10187949294499</v>
      </c>
      <c r="Q24" s="17">
        <f ca="1">IFERROR(__xludf.DUMMYFUNCTION("IFERROR(STDEV(FILTER(B24:M24,B24:M24&gt;0))/P24,""---"")"),1.21163293520891)</f>
        <v>1.2116329352089099</v>
      </c>
    </row>
    <row r="25" spans="1:17" ht="15.75" customHeight="1">
      <c r="A25" s="18" t="str">
        <f ca="1">IFERROR(__xludf.DUMMYFUNCTION("""COMPUTED_VALUE""")," Saúde ")</f>
        <v xml:space="preserve"> Saúde </v>
      </c>
      <c r="B25" s="16">
        <f ca="1">IFERROR(__xludf.DUMMYFUNCTION("IFERROR(sum(QUERY('Mes01'!$B$2:$C1541, ""SELECT C WHERE B = '""&amp;$A25&amp;""'"")),0)"),890.115947576933)</f>
        <v>890.11594757693297</v>
      </c>
      <c r="C25" s="16">
        <f ca="1">IFERROR(__xludf.DUMMYFUNCTION("IFERROR(sum(QUERY('Mes02'!$B$2:$C1541, ""SELECT C WHERE B = '""&amp;$A25&amp;""'"")),0)"),517.337749396063)</f>
        <v>517.33774939606303</v>
      </c>
      <c r="D25" s="16">
        <f ca="1">IFERROR(__xludf.DUMMYFUNCTION("IFERROR(sum(QUERY('Mes03'!$B$2:$C1541, ""SELECT C WHERE B = '""&amp;$A25&amp;""'"")),0)"),159.210922390994)</f>
        <v>159.210922390994</v>
      </c>
      <c r="E25" s="16">
        <f ca="1">IFERROR(__xludf.DUMMYFUNCTION("IFERROR(sum(QUERY('Mes04'!$B$2:$C1541, ""SELECT C WHERE B = '""&amp;$A25&amp;""'"")),0)"),1278.28655116889)</f>
        <v>1278.2865511688899</v>
      </c>
      <c r="F25" s="16">
        <f ca="1">IFERROR(__xludf.DUMMYFUNCTION("IFERROR(sum(QUERY('Mes05'!$B$2:$C1541, ""SELECT C WHERE B = '""&amp;$A25&amp;""'"")),0)"),0)</f>
        <v>0</v>
      </c>
      <c r="G25" s="16">
        <f ca="1">IFERROR(__xludf.DUMMYFUNCTION("IFERROR(sum(QUERY('Mes06'!$B$2:$C1541, ""SELECT C WHERE B = '""&amp;$A25&amp;""'"")),0)"),157.618735780274)</f>
        <v>157.61873578027399</v>
      </c>
      <c r="H25" s="16">
        <f ca="1">IFERROR(__xludf.DUMMYFUNCTION("IFERROR(sum(QUERY('Mes07'!$B$2:$C1541, ""SELECT C WHERE B = '""&amp;$A25&amp;""'"")),0)"),0)</f>
        <v>0</v>
      </c>
      <c r="I25" s="16">
        <f ca="1">IFERROR(__xludf.DUMMYFUNCTION("IFERROR(sum(QUERY('Mes08'!$B$2:$C1541, ""SELECT C WHERE B = '""&amp;$A25&amp;""'"")),0)"),559.366064551121)</f>
        <v>559.36606455112099</v>
      </c>
      <c r="J25" s="16">
        <f ca="1">IFERROR(__xludf.DUMMYFUNCTION("IFERROR(sum(QUERY('Mes09'!$B$2:$C1541, ""SELECT C WHERE B = '""&amp;$A25&amp;""'"")),0)"),595.609958724607)</f>
        <v>595.60995872460705</v>
      </c>
      <c r="K25" s="16">
        <f ca="1">IFERROR(__xludf.DUMMYFUNCTION("IFERROR(sum(QUERY('Mes10'!$B$2:$C1541, ""SELECT C WHERE B = '""&amp;$A25&amp;""'"")),0)"),0)</f>
        <v>0</v>
      </c>
      <c r="L25" s="16">
        <f ca="1">IFERROR(__xludf.DUMMYFUNCTION("IFERROR(sum(QUERY('Mes11'!$B$2:$C1541, ""SELECT C WHERE B = '""&amp;$A25&amp;""'"")),0)"),0)</f>
        <v>0</v>
      </c>
      <c r="M25" s="16">
        <f ca="1">IFERROR(__xludf.DUMMYFUNCTION("IFERROR(sum(QUERY('Mes12'!$B$2:$C1541, ""SELECT C WHERE B = '""&amp;$A25&amp;""'"")),0)"),0)</f>
        <v>0</v>
      </c>
      <c r="O25" s="16">
        <f t="shared" ca="1" si="0"/>
        <v>4157.5459295888822</v>
      </c>
      <c r="P25" s="16">
        <f ca="1">IFERROR(__xludf.DUMMYFUNCTION("IFERROR((AVERAGEIF(B25:M25,""&lt;&gt;0"")+(MEDIAN(FILTER(B25:M25,B25:M25&gt;0))))/2,""---"")"),576.650598674766)</f>
        <v>576.650598674766</v>
      </c>
      <c r="Q25" s="17">
        <f ca="1">IFERROR(__xludf.DUMMYFUNCTION("IFERROR(STDEV(FILTER(B25:M25,B25:M25&gt;0))/P25,""---"")"),0.687302896083326)</f>
        <v>0.68730289608332595</v>
      </c>
    </row>
    <row r="26" spans="1:17" ht="15.75" customHeight="1">
      <c r="A26" s="18" t="str">
        <f ca="1">IFERROR(__xludf.DUMMYFUNCTION("""COMPUTED_VALUE""")," Home Supplies ")</f>
        <v xml:space="preserve"> Home Supplies </v>
      </c>
      <c r="B26" s="16">
        <f ca="1">IFERROR(__xludf.DUMMYFUNCTION("IFERROR(sum(QUERY('Mes01'!$B$2:$C1541, ""SELECT C WHERE B = '""&amp;$A26&amp;""'"")),0)"),759.004732259801)</f>
        <v>759.00473225980102</v>
      </c>
      <c r="C26" s="16">
        <f ca="1">IFERROR(__xludf.DUMMYFUNCTION("IFERROR(sum(QUERY('Mes02'!$B$2:$C1541, ""SELECT C WHERE B = '""&amp;$A26&amp;""'"")),0)"),1097.04782431184)</f>
        <v>1097.04782431184</v>
      </c>
      <c r="D26" s="16">
        <f ca="1">IFERROR(__xludf.DUMMYFUNCTION("IFERROR(sum(QUERY('Mes03'!$B$2:$C1541, ""SELECT C WHERE B = '""&amp;$A26&amp;""'"")),0)"),594.957342121784)</f>
        <v>594.957342121784</v>
      </c>
      <c r="E26" s="16">
        <f ca="1">IFERROR(__xludf.DUMMYFUNCTION("IFERROR(sum(QUERY('Mes04'!$B$2:$C1541, ""SELECT C WHERE B = '""&amp;$A26&amp;""'"")),0)"),529.037922156369)</f>
        <v>529.03792215636895</v>
      </c>
      <c r="F26" s="16">
        <f ca="1">IFERROR(__xludf.DUMMYFUNCTION("IFERROR(sum(QUERY('Mes05'!$B$2:$C1541, ""SELECT C WHERE B = '""&amp;$A26&amp;""'"")),0)"),0)</f>
        <v>0</v>
      </c>
      <c r="G26" s="16">
        <f ca="1">IFERROR(__xludf.DUMMYFUNCTION("IFERROR(sum(QUERY('Mes06'!$B$2:$C1541, ""SELECT C WHERE B = '""&amp;$A26&amp;""'"")),0)"),593.029821211857)</f>
        <v>593.02982121185698</v>
      </c>
      <c r="H26" s="16">
        <f ca="1">IFERROR(__xludf.DUMMYFUNCTION("IFERROR(sum(QUERY('Mes07'!$B$2:$C1541, ""SELECT C WHERE B = '""&amp;$A26&amp;""'"")),0)"),351.141038167778)</f>
        <v>351.14103816777799</v>
      </c>
      <c r="I26" s="16">
        <f ca="1">IFERROR(__xludf.DUMMYFUNCTION("IFERROR(sum(QUERY('Mes08'!$B$2:$C1541, ""SELECT C WHERE B = '""&amp;$A26&amp;""'"")),0)"),742.039320348284)</f>
        <v>742.03932034828404</v>
      </c>
      <c r="J26" s="16">
        <f ca="1">IFERROR(__xludf.DUMMYFUNCTION("IFERROR(sum(QUERY('Mes09'!$B$2:$C1541, ""SELECT C WHERE B = '""&amp;$A26&amp;""'"")),0)"),0)</f>
        <v>0</v>
      </c>
      <c r="K26" s="16">
        <f ca="1">IFERROR(__xludf.DUMMYFUNCTION("IFERROR(sum(QUERY('Mes10'!$B$2:$C1541, ""SELECT C WHERE B = '""&amp;$A26&amp;""'"")),0)"),0)</f>
        <v>0</v>
      </c>
      <c r="L26" s="16">
        <f ca="1">IFERROR(__xludf.DUMMYFUNCTION("IFERROR(sum(QUERY('Mes11'!$B$2:$C1541, ""SELECT C WHERE B = '""&amp;$A26&amp;""'"")),0)"),43.0220158354493)</f>
        <v>43.022015835449302</v>
      </c>
      <c r="M26" s="16">
        <f ca="1">IFERROR(__xludf.DUMMYFUNCTION("IFERROR(sum(QUERY('Mes12'!$B$2:$C1541, ""SELECT C WHERE B = '""&amp;$A26&amp;""'"")),0)"),537.7109831694)</f>
        <v>537.71098316940004</v>
      </c>
      <c r="O26" s="16">
        <f t="shared" ca="1" si="0"/>
        <v>5246.9909995825619</v>
      </c>
      <c r="P26" s="16">
        <f ca="1">IFERROR(__xludf.DUMMYFUNCTION("IFERROR((AVERAGEIF(B26:M26,""&lt;&gt;0"")+(MEDIAN(FILTER(B26:M26,B26:M26&gt;0))))/2,""---"")"),588.014410582738)</f>
        <v>588.01441058273804</v>
      </c>
      <c r="Q26" s="17">
        <f ca="1">IFERROR(__xludf.DUMMYFUNCTION("IFERROR(STDEV(FILTER(B26:M26,B26:M26&gt;0))/P26,""---"")"),0.492546200992452)</f>
        <v>0.492546200992452</v>
      </c>
    </row>
    <row r="27" spans="1:17" ht="15.75" customHeight="1">
      <c r="A27" s="15" t="str">
        <f ca="1">IFERROR(__xludf.DUMMYFUNCTION("""COMPUTED_VALUE""")," Energia_Gás_Água_Esgoto ")</f>
        <v xml:space="preserve"> Energia_Gás_Água_Esgoto </v>
      </c>
      <c r="B27" s="16">
        <f ca="1">IFERROR(__xludf.DUMMYFUNCTION("IFERROR(sum(QUERY('Mes01'!$B$2:$C1541, ""SELECT C WHERE B = '""&amp;$A27&amp;""'"")),0)"),550.793161255713)</f>
        <v>550.79316125571302</v>
      </c>
      <c r="C27" s="16">
        <f ca="1">IFERROR(__xludf.DUMMYFUNCTION("IFERROR(sum(QUERY('Mes02'!$B$2:$C1541, ""SELECT C WHERE B = '""&amp;$A27&amp;""'"")),0)"),0)</f>
        <v>0</v>
      </c>
      <c r="D27" s="16">
        <f ca="1">IFERROR(__xludf.DUMMYFUNCTION("IFERROR(sum(QUERY('Mes03'!$B$2:$C1541, ""SELECT C WHERE B = '""&amp;$A27&amp;""'"")),0)"),0)</f>
        <v>0</v>
      </c>
      <c r="E27" s="16">
        <f ca="1">IFERROR(__xludf.DUMMYFUNCTION("IFERROR(sum(QUERY('Mes04'!$B$2:$C1541, ""SELECT C WHERE B = '""&amp;$A27&amp;""'"")),0)"),0)</f>
        <v>0</v>
      </c>
      <c r="F27" s="16">
        <f ca="1">IFERROR(__xludf.DUMMYFUNCTION("IFERROR(sum(QUERY('Mes05'!$B$2:$C1541, ""SELECT C WHERE B = '""&amp;$A27&amp;""'"")),0)"),37.6439343263139)</f>
        <v>37.643934326313897</v>
      </c>
      <c r="G27" s="16">
        <f ca="1">IFERROR(__xludf.DUMMYFUNCTION("IFERROR(sum(QUERY('Mes06'!$B$2:$C1541, ""SELECT C WHERE B = '""&amp;$A27&amp;""'"")),0)"),467.986453099742)</f>
        <v>467.98645309974199</v>
      </c>
      <c r="H27" s="16">
        <f ca="1">IFERROR(__xludf.DUMMYFUNCTION("IFERROR(sum(QUERY('Mes07'!$B$2:$C1541, ""SELECT C WHERE B = '""&amp;$A27&amp;""'"")),0)"),878.080529127315)</f>
        <v>878.080529127315</v>
      </c>
      <c r="I27" s="16">
        <f ca="1">IFERROR(__xludf.DUMMYFUNCTION("IFERROR(sum(QUERY('Mes08'!$B$2:$C1541, ""SELECT C WHERE B = '""&amp;$A27&amp;""'"")),0)"),554.058304040801)</f>
        <v>554.05830404080098</v>
      </c>
      <c r="J27" s="16">
        <f ca="1">IFERROR(__xludf.DUMMYFUNCTION("IFERROR(sum(QUERY('Mes09'!$B$2:$C1541, ""SELECT C WHERE B = '""&amp;$A27&amp;""'"")),0)"),142.053496447648)</f>
        <v>142.053496447648</v>
      </c>
      <c r="K27" s="16">
        <f ca="1">IFERROR(__xludf.DUMMYFUNCTION("IFERROR(sum(QUERY('Mes10'!$B$2:$C1541, ""SELECT C WHERE B = '""&amp;$A27&amp;""'"")),0)"),1009.13235301904)</f>
        <v>1009.13235301904</v>
      </c>
      <c r="L27" s="16">
        <f ca="1">IFERROR(__xludf.DUMMYFUNCTION("IFERROR(sum(QUERY('Mes11'!$B$2:$C1541, ""SELECT C WHERE B = '""&amp;$A27&amp;""'"")),0)"),543.8511315332)</f>
        <v>543.85113153320003</v>
      </c>
      <c r="M27" s="16">
        <f ca="1">IFERROR(__xludf.DUMMYFUNCTION("IFERROR(sum(QUERY('Mes12'!$B$2:$C1541, ""SELECT C WHERE B = '""&amp;$A27&amp;""'"")),0)"),96.1931666428327)</f>
        <v>96.193166642832693</v>
      </c>
      <c r="O27" s="16">
        <f t="shared" ca="1" si="0"/>
        <v>4279.7925294926054</v>
      </c>
      <c r="P27" s="16">
        <f ca="1">IFERROR(__xludf.DUMMYFUNCTION("IFERROR((AVERAGEIF(B27:M27,""&lt;&gt;0"")+(MEDIAN(FILTER(B27:M27,B27:M27&gt;0))))/2,""---"")"),509.691817405078)</f>
        <v>509.69181740507798</v>
      </c>
      <c r="Q27" s="17">
        <f ca="1">IFERROR(__xludf.DUMMYFUNCTION("IFERROR(STDEV(FILTER(B27:M27,B27:M27&gt;0))/P27,""---"")"),0.661776522733082)</f>
        <v>0.66177652273308196</v>
      </c>
    </row>
    <row r="28" spans="1:17" ht="15.75" customHeight="1">
      <c r="A28" s="15" t="str">
        <f ca="1">IFERROR(__xludf.DUMMYFUNCTION("""COMPUTED_VALUE""")," Móveis_Aparelhos_Decoração ")</f>
        <v xml:space="preserve"> Móveis_Aparelhos_Decoração </v>
      </c>
      <c r="B28" s="16">
        <f ca="1">IFERROR(__xludf.DUMMYFUNCTION("IFERROR(sum(QUERY('Mes01'!$B$2:$C1541, ""SELECT C WHERE B = '""&amp;$A28&amp;""'"")),0)"),96.119005313004)</f>
        <v>96.119005313003996</v>
      </c>
      <c r="C28" s="16">
        <f ca="1">IFERROR(__xludf.DUMMYFUNCTION("IFERROR(sum(QUERY('Mes02'!$B$2:$C1541, ""SELECT C WHERE B = '""&amp;$A28&amp;""'"")),0)"),2217.24318250278)</f>
        <v>2217.2431825027802</v>
      </c>
      <c r="D28" s="16">
        <f ca="1">IFERROR(__xludf.DUMMYFUNCTION("IFERROR(sum(QUERY('Mes03'!$B$2:$C1541, ""SELECT C WHERE B = '""&amp;$A28&amp;""'"")),0)"),0)</f>
        <v>0</v>
      </c>
      <c r="E28" s="16">
        <f ca="1">IFERROR(__xludf.DUMMYFUNCTION("IFERROR(sum(QUERY('Mes04'!$B$2:$C1541, ""SELECT C WHERE B = '""&amp;$A28&amp;""'"")),0)"),529.17831371739)</f>
        <v>529.17831371738998</v>
      </c>
      <c r="F28" s="16">
        <f ca="1">IFERROR(__xludf.DUMMYFUNCTION("IFERROR(sum(QUERY('Mes05'!$B$2:$C1541, ""SELECT C WHERE B = '""&amp;$A28&amp;""'"")),0)"),594.884395357278)</f>
        <v>594.88439535727798</v>
      </c>
      <c r="G28" s="16">
        <f ca="1">IFERROR(__xludf.DUMMYFUNCTION("IFERROR(sum(QUERY('Mes06'!$B$2:$C1541, ""SELECT C WHERE B = '""&amp;$A28&amp;""'"")),0)"),0)</f>
        <v>0</v>
      </c>
      <c r="H28" s="16">
        <f ca="1">IFERROR(__xludf.DUMMYFUNCTION("IFERROR(sum(QUERY('Mes07'!$B$2:$C1541, ""SELECT C WHERE B = '""&amp;$A28&amp;""'"")),0)"),689.298413034981)</f>
        <v>689.29841303498097</v>
      </c>
      <c r="I28" s="16">
        <f ca="1">IFERROR(__xludf.DUMMYFUNCTION("IFERROR(sum(QUERY('Mes08'!$B$2:$C1541, ""SELECT C WHERE B = '""&amp;$A28&amp;""'"")),0)"),516.321113305668)</f>
        <v>516.32111330566795</v>
      </c>
      <c r="J28" s="16">
        <f ca="1">IFERROR(__xludf.DUMMYFUNCTION("IFERROR(sum(QUERY('Mes09'!$B$2:$C1541, ""SELECT C WHERE B = '""&amp;$A28&amp;""'"")),0)"),0)</f>
        <v>0</v>
      </c>
      <c r="K28" s="16">
        <f ca="1">IFERROR(__xludf.DUMMYFUNCTION("IFERROR(sum(QUERY('Mes10'!$B$2:$C1541, ""SELECT C WHERE B = '""&amp;$A28&amp;""'"")),0)"),0)</f>
        <v>0</v>
      </c>
      <c r="L28" s="16">
        <f ca="1">IFERROR(__xludf.DUMMYFUNCTION("IFERROR(sum(QUERY('Mes11'!$B$2:$C1541, ""SELECT C WHERE B = '""&amp;$A28&amp;""'"")),0)"),0)</f>
        <v>0</v>
      </c>
      <c r="M28" s="16">
        <f ca="1">IFERROR(__xludf.DUMMYFUNCTION("IFERROR(sum(QUERY('Mes12'!$B$2:$C1541, ""SELECT C WHERE B = '""&amp;$A28&amp;""'"")),0)"),47.8306347403348)</f>
        <v>47.830634740334801</v>
      </c>
      <c r="O28" s="16">
        <f t="shared" ca="1" si="0"/>
        <v>4690.8750579714369</v>
      </c>
      <c r="P28" s="16">
        <f ca="1">IFERROR(__xludf.DUMMYFUNCTION("IFERROR((AVERAGEIF(B28:M28,""&lt;&gt;0"")+(MEDIAN(FILTER(B28:M28,B28:M28&gt;0))))/2,""---"")"),599.651660999513)</f>
        <v>599.65166099951296</v>
      </c>
      <c r="Q28" s="17">
        <f ca="1">IFERROR(__xludf.DUMMYFUNCTION("IFERROR(STDEV(FILTER(B28:M28,B28:M28&gt;0))/P28,""---"")"),1.21020552388133)</f>
        <v>1.2102055238813301</v>
      </c>
    </row>
    <row r="29" spans="1:17" ht="15.75" customHeight="1">
      <c r="A29" s="15" t="str">
        <f ca="1">IFERROR(__xludf.DUMMYFUNCTION("""COMPUTED_VALUE""")," Imposto (IPVA-IPTU-etc) ")</f>
        <v xml:space="preserve"> Imposto (IPVA-IPTU-etc) </v>
      </c>
      <c r="B29" s="16">
        <f ca="1">IFERROR(__xludf.DUMMYFUNCTION("IFERROR(sum(QUERY('Mes01'!$B$2:$C1541, ""SELECT C WHERE B = '""&amp;$A29&amp;""'"")),0)"),620.015707607646)</f>
        <v>620.01570760764605</v>
      </c>
      <c r="C29" s="16">
        <f ca="1">IFERROR(__xludf.DUMMYFUNCTION("IFERROR(sum(QUERY('Mes02'!$B$2:$C1541, ""SELECT C WHERE B = '""&amp;$A29&amp;""'"")),0)"),91.637465663822)</f>
        <v>91.637465663821999</v>
      </c>
      <c r="D29" s="16">
        <f ca="1">IFERROR(__xludf.DUMMYFUNCTION("IFERROR(sum(QUERY('Mes03'!$B$2:$C1541, ""SELECT C WHERE B = '""&amp;$A29&amp;""'"")),0)"),0)</f>
        <v>0</v>
      </c>
      <c r="E29" s="16">
        <f ca="1">IFERROR(__xludf.DUMMYFUNCTION("IFERROR(sum(QUERY('Mes04'!$B$2:$C1541, ""SELECT C WHERE B = '""&amp;$A29&amp;""'"")),0)"),223.092936151219)</f>
        <v>223.09293615121899</v>
      </c>
      <c r="F29" s="16">
        <f ca="1">IFERROR(__xludf.DUMMYFUNCTION("IFERROR(sum(QUERY('Mes05'!$B$2:$C1541, ""SELECT C WHERE B = '""&amp;$A29&amp;""'"")),0)"),283.549162906572)</f>
        <v>283.54916290657201</v>
      </c>
      <c r="G29" s="16">
        <f ca="1">IFERROR(__xludf.DUMMYFUNCTION("IFERROR(sum(QUERY('Mes06'!$B$2:$C1541, ""SELECT C WHERE B = '""&amp;$A29&amp;""'"")),0)"),758.44739394723)</f>
        <v>758.44739394723001</v>
      </c>
      <c r="H29" s="16">
        <f ca="1">IFERROR(__xludf.DUMMYFUNCTION("IFERROR(sum(QUERY('Mes07'!$B$2:$C1541, ""SELECT C WHERE B = '""&amp;$A29&amp;""'"")),0)"),923.180442944675)</f>
        <v>923.18044294467495</v>
      </c>
      <c r="I29" s="16">
        <f ca="1">IFERROR(__xludf.DUMMYFUNCTION("IFERROR(sum(QUERY('Mes08'!$B$2:$C1541, ""SELECT C WHERE B = '""&amp;$A29&amp;""'"")),0)"),0)</f>
        <v>0</v>
      </c>
      <c r="J29" s="16">
        <f ca="1">IFERROR(__xludf.DUMMYFUNCTION("IFERROR(sum(QUERY('Mes09'!$B$2:$C1541, ""SELECT C WHERE B = '""&amp;$A29&amp;""'"")),0)"),0)</f>
        <v>0</v>
      </c>
      <c r="K29" s="16">
        <f ca="1">IFERROR(__xludf.DUMMYFUNCTION("IFERROR(sum(QUERY('Mes10'!$B$2:$C1541, ""SELECT C WHERE B = '""&amp;$A29&amp;""'"")),0)"),0)</f>
        <v>0</v>
      </c>
      <c r="L29" s="16">
        <f ca="1">IFERROR(__xludf.DUMMYFUNCTION("IFERROR(sum(QUERY('Mes11'!$B$2:$C1541, ""SELECT C WHERE B = '""&amp;$A29&amp;""'"")),0)"),0)</f>
        <v>0</v>
      </c>
      <c r="M29" s="16">
        <f ca="1">IFERROR(__xludf.DUMMYFUNCTION("IFERROR(sum(QUERY('Mes12'!$B$2:$C1541, ""SELECT C WHERE B = '""&amp;$A29&amp;""'"")),0)"),0)</f>
        <v>0</v>
      </c>
      <c r="O29" s="16">
        <f t="shared" ca="1" si="0"/>
        <v>2899.9231092211639</v>
      </c>
      <c r="P29" s="16">
        <f ca="1">IFERROR(__xludf.DUMMYFUNCTION("IFERROR((AVERAGEIF(B29:M29,""&lt;&gt;0"")+(MEDIAN(FILTER(B29:M29,B29:M29&gt;0))))/2,""---"")"),467.551476730318)</f>
        <v>467.55147673031797</v>
      </c>
      <c r="Q29" s="17">
        <f ca="1">IFERROR(__xludf.DUMMYFUNCTION("IFERROR(STDEV(FILTER(B29:M29,B29:M29&gt;0))/P29,""---"")"),0.708650459029951)</f>
        <v>0.70865045902995105</v>
      </c>
    </row>
    <row r="30" spans="1:17" ht="15.75" customHeight="1">
      <c r="A30" s="15" t="str">
        <f ca="1">IFERROR(__xludf.DUMMYFUNCTION("""COMPUTED_VALUE""")," Entretenimento_&amp;_Restaurantes ")</f>
        <v xml:space="preserve"> Entretenimento_&amp;_Restaurantes </v>
      </c>
      <c r="B30" s="16">
        <f ca="1">IFERROR(__xludf.DUMMYFUNCTION("IFERROR(sum(QUERY('Mes01'!$B$2:$C1541, ""SELECT C WHERE B = '""&amp;$A30&amp;""'"")),0)"),451.308772147367)</f>
        <v>451.30877214736699</v>
      </c>
      <c r="C30" s="16">
        <f ca="1">IFERROR(__xludf.DUMMYFUNCTION("IFERROR(sum(QUERY('Mes02'!$B$2:$C1541, ""SELECT C WHERE B = '""&amp;$A30&amp;""'"")),0)"),119.395561333031)</f>
        <v>119.395561333031</v>
      </c>
      <c r="D30" s="16">
        <f ca="1">IFERROR(__xludf.DUMMYFUNCTION("IFERROR(sum(QUERY('Mes03'!$B$2:$C1541, ""SELECT C WHERE B = '""&amp;$A30&amp;""'"")),0)"),0)</f>
        <v>0</v>
      </c>
      <c r="E30" s="16">
        <f ca="1">IFERROR(__xludf.DUMMYFUNCTION("IFERROR(sum(QUERY('Mes04'!$B$2:$C1541, ""SELECT C WHERE B = '""&amp;$A30&amp;""'"")),0)"),467.380019093555)</f>
        <v>467.38001909355501</v>
      </c>
      <c r="F30" s="16">
        <f ca="1">IFERROR(__xludf.DUMMYFUNCTION("IFERROR(sum(QUERY('Mes05'!$B$2:$C1541, ""SELECT C WHERE B = '""&amp;$A30&amp;""'"")),0)"),0)</f>
        <v>0</v>
      </c>
      <c r="G30" s="16">
        <f ca="1">IFERROR(__xludf.DUMMYFUNCTION("IFERROR(sum(QUERY('Mes06'!$B$2:$C1541, ""SELECT C WHERE B = '""&amp;$A30&amp;""'"")),0)"),0)</f>
        <v>0</v>
      </c>
      <c r="H30" s="16">
        <f ca="1">IFERROR(__xludf.DUMMYFUNCTION("IFERROR(sum(QUERY('Mes07'!$B$2:$C1541, ""SELECT C WHERE B = '""&amp;$A30&amp;""'"")),0)"),492.633181323317)</f>
        <v>492.63318132331699</v>
      </c>
      <c r="I30" s="16">
        <f ca="1">IFERROR(__xludf.DUMMYFUNCTION("IFERROR(sum(QUERY('Mes08'!$B$2:$C1541, ""SELECT C WHERE B = '""&amp;$A30&amp;""'"")),0)"),347.429579166463)</f>
        <v>347.42957916646299</v>
      </c>
      <c r="J30" s="16">
        <f ca="1">IFERROR(__xludf.DUMMYFUNCTION("IFERROR(sum(QUERY('Mes09'!$B$2:$C1541, ""SELECT C WHERE B = '""&amp;$A30&amp;""'"")),0)"),1969.06578665285)</f>
        <v>1969.06578665285</v>
      </c>
      <c r="K30" s="16">
        <f ca="1">IFERROR(__xludf.DUMMYFUNCTION("IFERROR(sum(QUERY('Mes10'!$B$2:$C1541, ""SELECT C WHERE B = '""&amp;$A30&amp;""'"")),0)"),183.71142964456)</f>
        <v>183.71142964456001</v>
      </c>
      <c r="L30" s="16">
        <f ca="1">IFERROR(__xludf.DUMMYFUNCTION("IFERROR(sum(QUERY('Mes11'!$B$2:$C1541, ""SELECT C WHERE B = '""&amp;$A30&amp;""'"")),0)"),0)</f>
        <v>0</v>
      </c>
      <c r="M30" s="16">
        <f ca="1">IFERROR(__xludf.DUMMYFUNCTION("IFERROR(sum(QUERY('Mes12'!$B$2:$C1541, ""SELECT C WHERE B = '""&amp;$A30&amp;""'"")),0)"),374.002694519244)</f>
        <v>374.00269451924402</v>
      </c>
      <c r="O30" s="16">
        <f t="shared" ca="1" si="0"/>
        <v>4404.9270238803874</v>
      </c>
      <c r="P30" s="16">
        <f ca="1">IFERROR(__xludf.DUMMYFUNCTION("IFERROR((AVERAGEIF(B30:M30,""&lt;&gt;0"")+(MEDIAN(FILTER(B30:M30,B30:M30&gt;0))))/2,""---"")"),481.635805659177)</f>
        <v>481.63580565917698</v>
      </c>
      <c r="Q30" s="17">
        <f ca="1">IFERROR(__xludf.DUMMYFUNCTION("IFERROR(STDEV(FILTER(B30:M30,B30:M30&gt;0))/P30,""---"")"),1.22209763007838)</f>
        <v>1.2220976300783799</v>
      </c>
    </row>
    <row r="31" spans="1:17" ht="15.75" customHeight="1">
      <c r="A31" s="15" t="str">
        <f ca="1">IFERROR(__xludf.DUMMYFUNCTION("""COMPUTED_VALUE""")," Comida_Alimentação ")</f>
        <v xml:space="preserve"> Comida_Alimentação </v>
      </c>
      <c r="B31" s="16">
        <f ca="1">IFERROR(__xludf.DUMMYFUNCTION("IFERROR(sum(QUERY('Mes01'!$B$2:$C1541, ""SELECT C WHERE B = '""&amp;$A31&amp;""'"")),0)"),388.617687782793)</f>
        <v>388.61768778279298</v>
      </c>
      <c r="C31" s="16">
        <f ca="1">IFERROR(__xludf.DUMMYFUNCTION("IFERROR(sum(QUERY('Mes02'!$B$2:$C1541, ""SELECT C WHERE B = '""&amp;$A31&amp;""'"")),0)"),176.782945943839)</f>
        <v>176.782945943839</v>
      </c>
      <c r="D31" s="16">
        <f ca="1">IFERROR(__xludf.DUMMYFUNCTION("IFERROR(sum(QUERY('Mes03'!$B$2:$C1541, ""SELECT C WHERE B = '""&amp;$A31&amp;""'"")),0)"),680.828497144171)</f>
        <v>680.82849714417102</v>
      </c>
      <c r="E31" s="16">
        <f ca="1">IFERROR(__xludf.DUMMYFUNCTION("IFERROR(sum(QUERY('Mes04'!$B$2:$C1541, ""SELECT C WHERE B = '""&amp;$A31&amp;""'"")),0)"),202.293565457698)</f>
        <v>202.29356545769801</v>
      </c>
      <c r="F31" s="16">
        <f ca="1">IFERROR(__xludf.DUMMYFUNCTION("IFERROR(sum(QUERY('Mes05'!$B$2:$C1541, ""SELECT C WHERE B = '""&amp;$A31&amp;""'"")),0)"),0)</f>
        <v>0</v>
      </c>
      <c r="G31" s="16">
        <f ca="1">IFERROR(__xludf.DUMMYFUNCTION("IFERROR(sum(QUERY('Mes06'!$B$2:$C1541, ""SELECT C WHERE B = '""&amp;$A31&amp;""'"")),0)"),0)</f>
        <v>0</v>
      </c>
      <c r="H31" s="16">
        <f ca="1">IFERROR(__xludf.DUMMYFUNCTION("IFERROR(sum(QUERY('Mes07'!$B$2:$C1541, ""SELECT C WHERE B = '""&amp;$A31&amp;""'"")),0)"),547.745966144069)</f>
        <v>547.74596614406903</v>
      </c>
      <c r="I31" s="16">
        <f ca="1">IFERROR(__xludf.DUMMYFUNCTION("IFERROR(sum(QUERY('Mes08'!$B$2:$C1541, ""SELECT C WHERE B = '""&amp;$A31&amp;""'"")),0)"),346.757910845139)</f>
        <v>346.75791084513901</v>
      </c>
      <c r="J31" s="16">
        <f ca="1">IFERROR(__xludf.DUMMYFUNCTION("IFERROR(sum(QUERY('Mes09'!$B$2:$C1541, ""SELECT C WHERE B = '""&amp;$A31&amp;""'"")),0)"),0)</f>
        <v>0</v>
      </c>
      <c r="K31" s="16">
        <f ca="1">IFERROR(__xludf.DUMMYFUNCTION("IFERROR(sum(QUERY('Mes10'!$B$2:$C1541, ""SELECT C WHERE B = '""&amp;$A31&amp;""'"")),0)"),0)</f>
        <v>0</v>
      </c>
      <c r="L31" s="16">
        <f ca="1">IFERROR(__xludf.DUMMYFUNCTION("IFERROR(sum(QUERY('Mes11'!$B$2:$C1541, ""SELECT C WHERE B = '""&amp;$A31&amp;""'"")),0)"),0)</f>
        <v>0</v>
      </c>
      <c r="M31" s="16">
        <f ca="1">IFERROR(__xludf.DUMMYFUNCTION("IFERROR(sum(QUERY('Mes12'!$B$2:$C1541, ""SELECT C WHERE B = '""&amp;$A31&amp;""'"")),0)"),0)</f>
        <v>0</v>
      </c>
      <c r="O31" s="16">
        <f t="shared" ca="1" si="0"/>
        <v>2343.0265733177093</v>
      </c>
      <c r="P31" s="16">
        <f ca="1">IFERROR(__xludf.DUMMYFUNCTION("IFERROR((AVERAGEIF(B31:M31,""&lt;&gt;0"")+(MEDIAN(FILTER(B31:M31,B31:M31&gt;0))))/2,""---"")"),379.096114100125)</f>
        <v>379.09611410012502</v>
      </c>
      <c r="Q31" s="17">
        <f ca="1">IFERROR(__xludf.DUMMYFUNCTION("IFERROR(STDEV(FILTER(B31:M31,B31:M31&gt;0))/P31,""---"")"),0.516952635906199)</f>
        <v>0.516952635906199</v>
      </c>
    </row>
    <row r="32" spans="1:17" ht="15.75" customHeight="1">
      <c r="A32" s="15" t="str">
        <f ca="1">IFERROR(__xludf.DUMMYFUNCTION("""COMPUTED_VALUE""")," Investimento (aporte) ")</f>
        <v xml:space="preserve"> Investimento (aporte) </v>
      </c>
      <c r="B32" s="16">
        <f ca="1">IFERROR(__xludf.DUMMYFUNCTION("IFERROR(sum(QUERY('Mes01'!$B$2:$C1541, ""SELECT C WHERE B = '""&amp;$A32&amp;""'"")),0)"),617.007313750636)</f>
        <v>617.00731375063594</v>
      </c>
      <c r="C32" s="16">
        <f ca="1">IFERROR(__xludf.DUMMYFUNCTION("IFERROR(sum(QUERY('Mes02'!$B$2:$C1541, ""SELECT C WHERE B = '""&amp;$A32&amp;""'"")),0)"),973.675241259154)</f>
        <v>973.67524125915395</v>
      </c>
      <c r="D32" s="16">
        <f ca="1">IFERROR(__xludf.DUMMYFUNCTION("IFERROR(sum(QUERY('Mes03'!$B$2:$C1541, ""SELECT C WHERE B = '""&amp;$A32&amp;""'"")),0)"),279.214825003328)</f>
        <v>279.21482500332797</v>
      </c>
      <c r="E32" s="16">
        <f ca="1">IFERROR(__xludf.DUMMYFUNCTION("IFERROR(sum(QUERY('Mes04'!$B$2:$C1541, ""SELECT C WHERE B = '""&amp;$A32&amp;""'"")),0)"),679.63487425635)</f>
        <v>679.63487425635003</v>
      </c>
      <c r="F32" s="16">
        <f ca="1">IFERROR(__xludf.DUMMYFUNCTION("IFERROR(sum(QUERY('Mes05'!$B$2:$C1541, ""SELECT C WHERE B = '""&amp;$A32&amp;""'"")),0)"),584.405729143703)</f>
        <v>584.40572914370296</v>
      </c>
      <c r="G32" s="16">
        <f ca="1">IFERROR(__xludf.DUMMYFUNCTION("IFERROR(sum(QUERY('Mes06'!$B$2:$C1541, ""SELECT C WHERE B = '""&amp;$A32&amp;""'"")),0)"),461.615802459893)</f>
        <v>461.61580245989302</v>
      </c>
      <c r="H32" s="16">
        <f ca="1">IFERROR(__xludf.DUMMYFUNCTION("IFERROR(sum(QUERY('Mes07'!$B$2:$C1541, ""SELECT C WHERE B = '""&amp;$A32&amp;""'"")),0)"),537.961401200101)</f>
        <v>537.96140120010102</v>
      </c>
      <c r="I32" s="16">
        <f ca="1">IFERROR(__xludf.DUMMYFUNCTION("IFERROR(sum(QUERY('Mes08'!$B$2:$C1541, ""SELECT C WHERE B = '""&amp;$A32&amp;""'"")),0)"),843.881982045806)</f>
        <v>843.88198204580601</v>
      </c>
      <c r="J32" s="16">
        <f ca="1">IFERROR(__xludf.DUMMYFUNCTION("IFERROR(sum(QUERY('Mes09'!$B$2:$C1541, ""SELECT C WHERE B = '""&amp;$A32&amp;""'"")),0)"),412.470421473972)</f>
        <v>412.47042147397201</v>
      </c>
      <c r="K32" s="16">
        <f ca="1">IFERROR(__xludf.DUMMYFUNCTION("IFERROR(sum(QUERY('Mes10'!$B$2:$C1541, ""SELECT C WHERE B = '""&amp;$A32&amp;""'"")),0)"),518.066770640654)</f>
        <v>518.066770640654</v>
      </c>
      <c r="L32" s="16">
        <f ca="1">IFERROR(__xludf.DUMMYFUNCTION("IFERROR(sum(QUERY('Mes11'!$B$2:$C1541, ""SELECT C WHERE B = '""&amp;$A32&amp;""'"")),0)"),1143.7974118372)</f>
        <v>1143.7974118371999</v>
      </c>
      <c r="M32" s="16">
        <f ca="1">IFERROR(__xludf.DUMMYFUNCTION("IFERROR(sum(QUERY('Mes12'!$B$2:$C1541, ""SELECT C WHERE B = '""&amp;$A32&amp;""'"")),0)"),291.69095072063)</f>
        <v>291.69095072062998</v>
      </c>
      <c r="O32" s="16">
        <f t="shared" ca="1" si="0"/>
        <v>7343.4227237914265</v>
      </c>
      <c r="P32" s="16">
        <f ca="1">IFERROR(__xludf.DUMMYFUNCTION("IFERROR((AVERAGEIF(B32:M32,""&lt;&gt;0"")+(MEDIAN(FILTER(B32:M32,B32:M32&gt;0))))/2,""---"")"),586.567729410594)</f>
        <v>586.56772941059398</v>
      </c>
      <c r="Q32" s="17">
        <f ca="1">IFERROR(__xludf.DUMMYFUNCTION("IFERROR(STDEV(FILTER(B32:M32,B32:M32&gt;0))/P32,""---"")"),0.448949729506632)</f>
        <v>0.44894972950663198</v>
      </c>
    </row>
    <row r="33" spans="1:17" ht="15.75" customHeight="1">
      <c r="A33" s="15" t="str">
        <f ca="1">IFERROR(__xludf.DUMMYFUNCTION("""COMPUTED_VALUE""")," Internet_Telefonia ")</f>
        <v xml:space="preserve"> Internet_Telefonia </v>
      </c>
      <c r="B33" s="16">
        <f ca="1">IFERROR(__xludf.DUMMYFUNCTION("IFERROR(sum(QUERY('Mes01'!$B$2:$C1541, ""SELECT C WHERE B = '""&amp;$A33&amp;""'"")),0)"),0)</f>
        <v>0</v>
      </c>
      <c r="C33" s="16">
        <f ca="1">IFERROR(__xludf.DUMMYFUNCTION("IFERROR(sum(QUERY('Mes02'!$B$2:$C1541, ""SELECT C WHERE B = '""&amp;$A33&amp;""'"")),0)"),169.021163065982)</f>
        <v>169.02116306598199</v>
      </c>
      <c r="D33" s="16">
        <f ca="1">IFERROR(__xludf.DUMMYFUNCTION("IFERROR(sum(QUERY('Mes03'!$B$2:$C1541, ""SELECT C WHERE B = '""&amp;$A33&amp;""'"")),0)"),190.055894883563)</f>
        <v>190.05589488356301</v>
      </c>
      <c r="E33" s="16">
        <f ca="1">IFERROR(__xludf.DUMMYFUNCTION("IFERROR(sum(QUERY('Mes04'!$B$2:$C1541, ""SELECT C WHERE B = '""&amp;$A33&amp;""'"")),0)"),38.4217760338284)</f>
        <v>38.421776033828401</v>
      </c>
      <c r="F33" s="16">
        <f ca="1">IFERROR(__xludf.DUMMYFUNCTION("IFERROR(sum(QUERY('Mes05'!$B$2:$C1541, ""SELECT C WHERE B = '""&amp;$A33&amp;""'"")),0)"),0)</f>
        <v>0</v>
      </c>
      <c r="G33" s="16">
        <f ca="1">IFERROR(__xludf.DUMMYFUNCTION("IFERROR(sum(QUERY('Mes06'!$B$2:$C1541, ""SELECT C WHERE B = '""&amp;$A33&amp;""'"")),0)"),0)</f>
        <v>0</v>
      </c>
      <c r="H33" s="16">
        <f ca="1">IFERROR(__xludf.DUMMYFUNCTION("IFERROR(sum(QUERY('Mes07'!$B$2:$C1541, ""SELECT C WHERE B = '""&amp;$A33&amp;""'"")),0)"),33.6723019167969)</f>
        <v>33.672301916796897</v>
      </c>
      <c r="I33" s="16">
        <f ca="1">IFERROR(__xludf.DUMMYFUNCTION("IFERROR(sum(QUERY('Mes08'!$B$2:$C1541, ""SELECT C WHERE B = '""&amp;$A33&amp;""'"")),0)"),438.101704659396)</f>
        <v>438.10170465939598</v>
      </c>
      <c r="J33" s="16">
        <f ca="1">IFERROR(__xludf.DUMMYFUNCTION("IFERROR(sum(QUERY('Mes09'!$B$2:$C1541, ""SELECT C WHERE B = '""&amp;$A33&amp;""'"")),0)"),0)</f>
        <v>0</v>
      </c>
      <c r="K33" s="16">
        <f ca="1">IFERROR(__xludf.DUMMYFUNCTION("IFERROR(sum(QUERY('Mes10'!$B$2:$C1541, ""SELECT C WHERE B = '""&amp;$A33&amp;""'"")),0)"),1442.61616574453)</f>
        <v>1442.61616574453</v>
      </c>
      <c r="L33" s="16">
        <f ca="1">IFERROR(__xludf.DUMMYFUNCTION("IFERROR(sum(QUERY('Mes11'!$B$2:$C1541, ""SELECT C WHERE B = '""&amp;$A33&amp;""'"")),0)"),33.0687308443563)</f>
        <v>33.068730844356303</v>
      </c>
      <c r="M33" s="16">
        <f ca="1">IFERROR(__xludf.DUMMYFUNCTION("IFERROR(sum(QUERY('Mes12'!$B$2:$C1541, ""SELECT C WHERE B = '""&amp;$A33&amp;""'"")),0)"),0)</f>
        <v>0</v>
      </c>
      <c r="O33" s="16">
        <f t="shared" ca="1" si="0"/>
        <v>2344.9577371484525</v>
      </c>
      <c r="P33" s="16">
        <f ca="1">IFERROR(__xludf.DUMMYFUNCTION("IFERROR((AVERAGEIF(B33:M33,""&lt;&gt;0"")+(MEDIAN(FILTER(B33:M33,B33:M33&gt;0))))/2,""---"")"),252.007562757881)</f>
        <v>252.007562757881</v>
      </c>
      <c r="Q33" s="17">
        <f ca="1">IFERROR(__xludf.DUMMYFUNCTION("IFERROR(STDEV(FILTER(B33:M33,B33:M33&gt;0))/P33,""---"")"),2.02071258437535)</f>
        <v>2.02071258437535</v>
      </c>
    </row>
    <row r="34" spans="1:17" ht="15.75" customHeight="1">
      <c r="A34" s="15" t="str">
        <f ca="1">IFERROR(__xludf.DUMMYFUNCTION("""COMPUTED_VALUE""")," Transporte Geral &amp; Coletivo ")</f>
        <v xml:space="preserve"> Transporte Geral &amp; Coletivo </v>
      </c>
      <c r="B34" s="16">
        <f ca="1">IFERROR(__xludf.DUMMYFUNCTION("IFERROR(sum(QUERY('Mes01'!$B$2:$C1541, ""SELECT C WHERE B = '""&amp;$A34&amp;""'"")),0)"),0)</f>
        <v>0</v>
      </c>
      <c r="C34" s="16">
        <f ca="1">IFERROR(__xludf.DUMMYFUNCTION("IFERROR(sum(QUERY('Mes02'!$B$2:$C1541, ""SELECT C WHERE B = '""&amp;$A34&amp;""'"")),0)"),192.336165427992)</f>
        <v>192.336165427992</v>
      </c>
      <c r="D34" s="16">
        <f ca="1">IFERROR(__xludf.DUMMYFUNCTION("IFERROR(sum(QUERY('Mes03'!$B$2:$C1541, ""SELECT C WHERE B = '""&amp;$A34&amp;""'"")),0)"),1023.01246564424)</f>
        <v>1023.01246564424</v>
      </c>
      <c r="E34" s="16">
        <f ca="1">IFERROR(__xludf.DUMMYFUNCTION("IFERROR(sum(QUERY('Mes04'!$B$2:$C1541, ""SELECT C WHERE B = '""&amp;$A34&amp;""'"")),0)"),697.431919284778)</f>
        <v>697.43191928477802</v>
      </c>
      <c r="F34" s="16">
        <f ca="1">IFERROR(__xludf.DUMMYFUNCTION("IFERROR(sum(QUERY('Mes05'!$B$2:$C1541, ""SELECT C WHERE B = '""&amp;$A34&amp;""'"")),0)"),0)</f>
        <v>0</v>
      </c>
      <c r="G34" s="16">
        <f ca="1">IFERROR(__xludf.DUMMYFUNCTION("IFERROR(sum(QUERY('Mes06'!$B$2:$C1541, ""SELECT C WHERE B = '""&amp;$A34&amp;""'"")),0)"),0)</f>
        <v>0</v>
      </c>
      <c r="H34" s="16">
        <f ca="1">IFERROR(__xludf.DUMMYFUNCTION("IFERROR(sum(QUERY('Mes07'!$B$2:$C1541, ""SELECT C WHERE B = '""&amp;$A34&amp;""'"")),0)"),583.2854603686)</f>
        <v>583.28546036859996</v>
      </c>
      <c r="I34" s="16">
        <f ca="1">IFERROR(__xludf.DUMMYFUNCTION("IFERROR(sum(QUERY('Mes08'!$B$2:$C1541, ""SELECT C WHERE B = '""&amp;$A34&amp;""'"")),0)"),0)</f>
        <v>0</v>
      </c>
      <c r="J34" s="16">
        <f ca="1">IFERROR(__xludf.DUMMYFUNCTION("IFERROR(sum(QUERY('Mes09'!$B$2:$C1541, ""SELECT C WHERE B = '""&amp;$A34&amp;""'"")),0)"),570.098176089033)</f>
        <v>570.09817608903302</v>
      </c>
      <c r="K34" s="16">
        <f ca="1">IFERROR(__xludf.DUMMYFUNCTION("IFERROR(sum(QUERY('Mes10'!$B$2:$C1541, ""SELECT C WHERE B = '""&amp;$A34&amp;""'"")),0)"),0)</f>
        <v>0</v>
      </c>
      <c r="L34" s="16">
        <f ca="1">IFERROR(__xludf.DUMMYFUNCTION("IFERROR(sum(QUERY('Mes11'!$B$2:$C1541, ""SELECT C WHERE B = '""&amp;$A34&amp;""'"")),0)"),574.229178918922)</f>
        <v>574.229178918922</v>
      </c>
      <c r="M34" s="16">
        <f ca="1">IFERROR(__xludf.DUMMYFUNCTION("IFERROR(sum(QUERY('Mes12'!$B$2:$C1541, ""SELECT C WHERE B = '""&amp;$A34&amp;""'"")),0)"),0)</f>
        <v>0</v>
      </c>
      <c r="O34" s="16">
        <f t="shared" ca="1" si="0"/>
        <v>3640.3933657335651</v>
      </c>
      <c r="P34" s="16">
        <f ca="1">IFERROR(__xludf.DUMMYFUNCTION("IFERROR((AVERAGEIF(B34:M34,""&lt;&gt;0"")+(MEDIAN(FILTER(B34:M34,B34:M34&gt;0))))/2,""---"")"),592.744773633011)</f>
        <v>592.74477363301105</v>
      </c>
      <c r="Q34" s="17">
        <f ca="1">IFERROR(__xludf.DUMMYFUNCTION("IFERROR(STDEV(FILTER(B34:M34,B34:M34&gt;0))/P34,""---"")"),0.450284417935993)</f>
        <v>0.450284417935993</v>
      </c>
    </row>
    <row r="35" spans="1:17" ht="15.75" customHeight="1">
      <c r="A35" s="15" t="str">
        <f ca="1">IFERROR(__xludf.DUMMYFUNCTION("""COMPUTED_VALUE""")," Transporte Uber &amp; Apps ")</f>
        <v xml:space="preserve"> Transporte Uber &amp; Apps </v>
      </c>
      <c r="B35" s="16">
        <f ca="1">IFERROR(__xludf.DUMMYFUNCTION("IFERROR(sum(QUERY('Mes01'!$B$2:$C1541, ""SELECT C WHERE B = '""&amp;$A35&amp;""'"")),0)"),0)</f>
        <v>0</v>
      </c>
      <c r="C35" s="16">
        <f ca="1">IFERROR(__xludf.DUMMYFUNCTION("IFERROR(sum(QUERY('Mes02'!$B$2:$C1541, ""SELECT C WHERE B = '""&amp;$A35&amp;""'"")),0)"),685.698482241944)</f>
        <v>685.69848224194402</v>
      </c>
      <c r="D35" s="16">
        <f ca="1">IFERROR(__xludf.DUMMYFUNCTION("IFERROR(sum(QUERY('Mes03'!$B$2:$C1541, ""SELECT C WHERE B = '""&amp;$A35&amp;""'"")),0)"),728.507399406178)</f>
        <v>728.50739940617802</v>
      </c>
      <c r="E35" s="16">
        <f ca="1">IFERROR(__xludf.DUMMYFUNCTION("IFERROR(sum(QUERY('Mes04'!$B$2:$C1541, ""SELECT C WHERE B = '""&amp;$A35&amp;""'"")),0)"),356.4569859626)</f>
        <v>356.45698596260002</v>
      </c>
      <c r="F35" s="16">
        <f ca="1">IFERROR(__xludf.DUMMYFUNCTION("IFERROR(sum(QUERY('Mes05'!$B$2:$C1541, ""SELECT C WHERE B = '""&amp;$A35&amp;""'"")),0)"),0)</f>
        <v>0</v>
      </c>
      <c r="G35" s="16">
        <f ca="1">IFERROR(__xludf.DUMMYFUNCTION("IFERROR(sum(QUERY('Mes06'!$B$2:$C1541, ""SELECT C WHERE B = '""&amp;$A35&amp;""'"")),0)"),971.189226595112)</f>
        <v>971.18922659511202</v>
      </c>
      <c r="H35" s="16">
        <f ca="1">IFERROR(__xludf.DUMMYFUNCTION("IFERROR(sum(QUERY('Mes07'!$B$2:$C1541, ""SELECT C WHERE B = '""&amp;$A35&amp;""'"")),0)"),55.4517937316545)</f>
        <v>55.451793731654497</v>
      </c>
      <c r="I35" s="16">
        <f ca="1">IFERROR(__xludf.DUMMYFUNCTION("IFERROR(sum(QUERY('Mes08'!$B$2:$C1541, ""SELECT C WHERE B = '""&amp;$A35&amp;""'"")),0)"),0)</f>
        <v>0</v>
      </c>
      <c r="J35" s="16">
        <f ca="1">IFERROR(__xludf.DUMMYFUNCTION("IFERROR(sum(QUERY('Mes09'!$B$2:$C1541, ""SELECT C WHERE B = '""&amp;$A35&amp;""'"")),0)"),47.8306347403348)</f>
        <v>47.830634740334801</v>
      </c>
      <c r="K35" s="16">
        <f ca="1">IFERROR(__xludf.DUMMYFUNCTION("IFERROR(sum(QUERY('Mes10'!$B$2:$C1541, ""SELECT C WHERE B = '""&amp;$A35&amp;""'"")),0)"),267.255498396993)</f>
        <v>267.255498396993</v>
      </c>
      <c r="L35" s="16">
        <f ca="1">IFERROR(__xludf.DUMMYFUNCTION("IFERROR(sum(QUERY('Mes11'!$B$2:$C1541, ""SELECT C WHERE B = '""&amp;$A35&amp;""'"")),0)"),0)</f>
        <v>0</v>
      </c>
      <c r="M35" s="16">
        <f ca="1">IFERROR(__xludf.DUMMYFUNCTION("IFERROR(sum(QUERY('Mes12'!$B$2:$C1541, ""SELECT C WHERE B = '""&amp;$A35&amp;""'"")),0)"),485.722539909927)</f>
        <v>485.72253990992698</v>
      </c>
      <c r="O35" s="16">
        <f t="shared" ca="1" si="0"/>
        <v>3598.1125609847436</v>
      </c>
      <c r="P35" s="16">
        <f ca="1">IFERROR(__xludf.DUMMYFUNCTION("IFERROR((AVERAGEIF(B35:M35,""&lt;&gt;0"")+(MEDIAN(FILTER(B35:M35,B35:M35&gt;0))))/2,""---"")"),435.426916529678)</f>
        <v>435.42691652967801</v>
      </c>
      <c r="Q35" s="17">
        <f ca="1">IFERROR(__xludf.DUMMYFUNCTION("IFERROR(STDEV(FILTER(B35:M35,B35:M35&gt;0))/P35,""---"")"),0.759509769252224)</f>
        <v>0.75950976925222402</v>
      </c>
    </row>
    <row r="36" spans="1:17" ht="15.75" customHeight="1">
      <c r="A36" s="15" t="str">
        <f ca="1">IFERROR(__xludf.DUMMYFUNCTION("""COMPUTED_VALUE""")," Educação ")</f>
        <v xml:space="preserve"> Educação </v>
      </c>
      <c r="B36" s="16">
        <f ca="1">IFERROR(__xludf.DUMMYFUNCTION("IFERROR(sum(QUERY('Mes01'!$B$2:$C1541, ""SELECT C WHERE B = '""&amp;$A36&amp;""'"")),0)"),0)</f>
        <v>0</v>
      </c>
      <c r="C36" s="16">
        <f ca="1">IFERROR(__xludf.DUMMYFUNCTION("IFERROR(sum(QUERY('Mes02'!$B$2:$C1541, ""SELECT C WHERE B = '""&amp;$A36&amp;""'"")),0)"),588.682120648299)</f>
        <v>588.68212064829902</v>
      </c>
      <c r="D36" s="16">
        <f ca="1">IFERROR(__xludf.DUMMYFUNCTION("IFERROR(sum(QUERY('Mes03'!$B$2:$C1541, ""SELECT C WHERE B = '""&amp;$A36&amp;""'"")),0)"),320.960811415951)</f>
        <v>320.96081141595101</v>
      </c>
      <c r="E36" s="16">
        <f ca="1">IFERROR(__xludf.DUMMYFUNCTION("IFERROR(sum(QUERY('Mes04'!$B$2:$C1541, ""SELECT C WHERE B = '""&amp;$A36&amp;""'"")),0)"),943.295926090578)</f>
        <v>943.29592609057795</v>
      </c>
      <c r="F36" s="16">
        <f ca="1">IFERROR(__xludf.DUMMYFUNCTION("IFERROR(sum(QUERY('Mes05'!$B$2:$C1541, ""SELECT C WHERE B = '""&amp;$A36&amp;""'"")),0)"),0)</f>
        <v>0</v>
      </c>
      <c r="G36" s="16">
        <f ca="1">IFERROR(__xludf.DUMMYFUNCTION("IFERROR(sum(QUERY('Mes06'!$B$2:$C1541, ""SELECT C WHERE B = '""&amp;$A36&amp;""'"")),0)"),0)</f>
        <v>0</v>
      </c>
      <c r="H36" s="16">
        <f ca="1">IFERROR(__xludf.DUMMYFUNCTION("IFERROR(sum(QUERY('Mes07'!$B$2:$C1541, ""SELECT C WHERE B = '""&amp;$A36&amp;""'"")),0)"),0)</f>
        <v>0</v>
      </c>
      <c r="I36" s="16">
        <f ca="1">IFERROR(__xludf.DUMMYFUNCTION("IFERROR(sum(QUERY('Mes08'!$B$2:$C1541, ""SELECT C WHERE B = '""&amp;$A36&amp;""'"")),0)"),584.665750425542)</f>
        <v>584.665750425542</v>
      </c>
      <c r="J36" s="16">
        <f ca="1">IFERROR(__xludf.DUMMYFUNCTION("IFERROR(sum(QUERY('Mes09'!$B$2:$C1541, ""SELECT C WHERE B = '""&amp;$A36&amp;""'"")),0)"),429.515746281536)</f>
        <v>429.515746281536</v>
      </c>
      <c r="K36" s="16">
        <f ca="1">IFERROR(__xludf.DUMMYFUNCTION("IFERROR(sum(QUERY('Mes10'!$B$2:$C1541, ""SELECT C WHERE B = '""&amp;$A36&amp;""'"")),0)"),0)</f>
        <v>0</v>
      </c>
      <c r="L36" s="16">
        <f ca="1">IFERROR(__xludf.DUMMYFUNCTION("IFERROR(sum(QUERY('Mes11'!$B$2:$C1541, ""SELECT C WHERE B = '""&amp;$A36&amp;""'"")),0)"),558.54249664929)</f>
        <v>558.54249664929</v>
      </c>
      <c r="M36" s="16">
        <f ca="1">IFERROR(__xludf.DUMMYFUNCTION("IFERROR(sum(QUERY('Mes12'!$B$2:$C1541, ""SELECT C WHERE B = '""&amp;$A36&amp;""'"")),0)"),0)</f>
        <v>0</v>
      </c>
      <c r="O36" s="16">
        <f t="shared" ca="1" si="0"/>
        <v>3425.6628515111961</v>
      </c>
      <c r="P36" s="16">
        <f ca="1">IFERROR(__xludf.DUMMYFUNCTION("IFERROR((AVERAGEIF(B36:M36,""&lt;&gt;0"")+(MEDIAN(FILTER(B36:M36,B36:M36&gt;0))))/2,""---"")"),571.273966061308)</f>
        <v>571.27396606130799</v>
      </c>
      <c r="Q36" s="17">
        <f ca="1">IFERROR(__xludf.DUMMYFUNCTION("IFERROR(STDEV(FILTER(B36:M36,B36:M36&gt;0))/P36,""---"")"),0.36867835573948)</f>
        <v>0.36867835573947999</v>
      </c>
    </row>
    <row r="37" spans="1:17" ht="15.75" customHeight="1">
      <c r="A37" s="15" t="str">
        <f ca="1">IFERROR(__xludf.DUMMYFUNCTION("""COMPUTED_VALUE""")," Roupa_Acessorios ")</f>
        <v xml:space="preserve"> Roupa_Acessorios </v>
      </c>
      <c r="B37" s="16">
        <f ca="1">IFERROR(__xludf.DUMMYFUNCTION("IFERROR(sum(QUERY('Mes01'!$B$2:$C1541, ""SELECT C WHERE B = '""&amp;$A37&amp;""'"")),0)"),0)</f>
        <v>0</v>
      </c>
      <c r="C37" s="16">
        <f ca="1">IFERROR(__xludf.DUMMYFUNCTION("IFERROR(sum(QUERY('Mes02'!$B$2:$C1541, ""SELECT C WHERE B = '""&amp;$A37&amp;""'"")),0)"),624.04242911443)</f>
        <v>624.04242911442998</v>
      </c>
      <c r="D37" s="16">
        <f ca="1">IFERROR(__xludf.DUMMYFUNCTION("IFERROR(sum(QUERY('Mes03'!$B$2:$C1541, ""SELECT C WHERE B = '""&amp;$A37&amp;""'"")),0)"),0)</f>
        <v>0</v>
      </c>
      <c r="E37" s="16">
        <f ca="1">IFERROR(__xludf.DUMMYFUNCTION("IFERROR(sum(QUERY('Mes04'!$B$2:$C1541, ""SELECT C WHERE B = '""&amp;$A37&amp;""'"")),0)"),237.218852252597)</f>
        <v>237.218852252597</v>
      </c>
      <c r="F37" s="16">
        <f ca="1">IFERROR(__xludf.DUMMYFUNCTION("IFERROR(sum(QUERY('Mes05'!$B$2:$C1541, ""SELECT C WHERE B = '""&amp;$A37&amp;""'"")),0)"),0)</f>
        <v>0</v>
      </c>
      <c r="G37" s="16">
        <f ca="1">IFERROR(__xludf.DUMMYFUNCTION("IFERROR(sum(QUERY('Mes06'!$B$2:$C1541, ""SELECT C WHERE B = '""&amp;$A37&amp;""'"")),0)"),297.06478180223)</f>
        <v>297.06478180223002</v>
      </c>
      <c r="H37" s="16">
        <f ca="1">IFERROR(__xludf.DUMMYFUNCTION("IFERROR(sum(QUERY('Mes07'!$B$2:$C1541, ""SELECT C WHERE B = '""&amp;$A37&amp;""'"")),0)"),1121.94116750176)</f>
        <v>1121.94116750176</v>
      </c>
      <c r="I37" s="16">
        <f ca="1">IFERROR(__xludf.DUMMYFUNCTION("IFERROR(sum(QUERY('Mes08'!$B$2:$C1541, ""SELECT C WHERE B = '""&amp;$A37&amp;""'"")),0)"),729.514376703694)</f>
        <v>729.51437670369398</v>
      </c>
      <c r="J37" s="16">
        <f ca="1">IFERROR(__xludf.DUMMYFUNCTION("IFERROR(sum(QUERY('Mes09'!$B$2:$C1541, ""SELECT C WHERE B = '""&amp;$A37&amp;""'"")),0)"),0)</f>
        <v>0</v>
      </c>
      <c r="K37" s="16">
        <f ca="1">IFERROR(__xludf.DUMMYFUNCTION("IFERROR(sum(QUERY('Mes10'!$B$2:$C1541, ""SELECT C WHERE B = '""&amp;$A37&amp;""'"")),0)"),0)</f>
        <v>0</v>
      </c>
      <c r="L37" s="16">
        <f ca="1">IFERROR(__xludf.DUMMYFUNCTION("IFERROR(sum(QUERY('Mes11'!$B$2:$C1541, ""SELECT C WHERE B = '""&amp;$A37&amp;""'"")),0)"),0)</f>
        <v>0</v>
      </c>
      <c r="M37" s="16">
        <f ca="1">IFERROR(__xludf.DUMMYFUNCTION("IFERROR(sum(QUERY('Mes12'!$B$2:$C1541, ""SELECT C WHERE B = '""&amp;$A37&amp;""'"")),0)"),351.141038167778)</f>
        <v>351.14103816777799</v>
      </c>
      <c r="O37" s="16">
        <f t="shared" ca="1" si="0"/>
        <v>3360.9226455424887</v>
      </c>
      <c r="P37" s="16">
        <f ca="1">IFERROR(__xludf.DUMMYFUNCTION("IFERROR((AVERAGEIF(B37:M37,""&lt;&gt;0"")+(MEDIAN(FILTER(B37:M37,B37:M37&gt;0))))/2,""---"")"),523.872753949093)</f>
        <v>523.87275394909295</v>
      </c>
      <c r="Q37" s="17">
        <f ca="1">IFERROR(__xludf.DUMMYFUNCTION("IFERROR(STDEV(FILTER(B37:M37,B37:M37&gt;0))/P37,""---"")"),0.641989799327371)</f>
        <v>0.64198979932737099</v>
      </c>
    </row>
    <row r="38" spans="1:17" ht="15.75" customHeight="1">
      <c r="A38" s="15" t="str">
        <f ca="1">IFERROR(__xludf.DUMMYFUNCTION("""COMPUTED_VALUE""")," Viagem/Vacation ")</f>
        <v xml:space="preserve"> Viagem/Vacation </v>
      </c>
      <c r="B38" s="16">
        <f ca="1">IFERROR(__xludf.DUMMYFUNCTION("IFERROR(sum(QUERY('Mes01'!$B$2:$C1541, ""SELECT C WHERE B = '""&amp;$A38&amp;""'"")),0)"),0)</f>
        <v>0</v>
      </c>
      <c r="C38" s="16">
        <f ca="1">IFERROR(__xludf.DUMMYFUNCTION("IFERROR(sum(QUERY('Mes02'!$B$2:$C1541, ""SELECT C WHERE B = '""&amp;$A38&amp;""'"")),0)"),197.67507010982)</f>
        <v>197.67507010982001</v>
      </c>
      <c r="D38" s="16">
        <f ca="1">IFERROR(__xludf.DUMMYFUNCTION("IFERROR(sum(QUERY('Mes03'!$B$2:$C1541, ""SELECT C WHERE B = '""&amp;$A38&amp;""'"")),0)"),5.3207311654163)</f>
        <v>5.3207311654162996</v>
      </c>
      <c r="E38" s="16">
        <f ca="1">IFERROR(__xludf.DUMMYFUNCTION("IFERROR(sum(QUERY('Mes04'!$B$2:$C1541, ""SELECT C WHERE B = '""&amp;$A38&amp;""'"")),0)"),0)</f>
        <v>0</v>
      </c>
      <c r="F38" s="16">
        <f ca="1">IFERROR(__xludf.DUMMYFUNCTION("IFERROR(sum(QUERY('Mes05'!$B$2:$C1541, ""SELECT C WHERE B = '""&amp;$A38&amp;""'"")),0)"),0)</f>
        <v>0</v>
      </c>
      <c r="G38" s="16">
        <f ca="1">IFERROR(__xludf.DUMMYFUNCTION("IFERROR(sum(QUERY('Mes06'!$B$2:$C1541, ""SELECT C WHERE B = '""&amp;$A38&amp;""'"")),0)"),22.485012188667)</f>
        <v>22.485012188667</v>
      </c>
      <c r="H38" s="16">
        <f ca="1">IFERROR(__xludf.DUMMYFUNCTION("IFERROR(sum(QUERY('Mes07'!$B$2:$C1541, ""SELECT C WHERE B = '""&amp;$A38&amp;""'"")),0)"),132.342025965138)</f>
        <v>132.34202596513799</v>
      </c>
      <c r="I38" s="16">
        <f ca="1">IFERROR(__xludf.DUMMYFUNCTION("IFERROR(sum(QUERY('Mes08'!$B$2:$C1541, ""SELECT C WHERE B = '""&amp;$A38&amp;""'"")),0)"),809.686427554688)</f>
        <v>809.68642755468795</v>
      </c>
      <c r="J38" s="16">
        <f ca="1">IFERROR(__xludf.DUMMYFUNCTION("IFERROR(sum(QUERY('Mes09'!$B$2:$C1541, ""SELECT C WHERE B = '""&amp;$A38&amp;""'"")),0)"),0)</f>
        <v>0</v>
      </c>
      <c r="K38" s="16">
        <f ca="1">IFERROR(__xludf.DUMMYFUNCTION("IFERROR(sum(QUERY('Mes10'!$B$2:$C1541, ""SELECT C WHERE B = '""&amp;$A38&amp;""'"")),0)"),0)</f>
        <v>0</v>
      </c>
      <c r="L38" s="16">
        <f ca="1">IFERROR(__xludf.DUMMYFUNCTION("IFERROR(sum(QUERY('Mes11'!$B$2:$C1541, ""SELECT C WHERE B = '""&amp;$A38&amp;""'"")),0)"),0)</f>
        <v>0</v>
      </c>
      <c r="M38" s="16">
        <f ca="1">IFERROR(__xludf.DUMMYFUNCTION("IFERROR(sum(QUERY('Mes12'!$B$2:$C1541, ""SELECT C WHERE B = '""&amp;$A38&amp;""'"")),0)"),0)</f>
        <v>0</v>
      </c>
      <c r="O38" s="16">
        <f t="shared" ca="1" si="0"/>
        <v>1167.5092669837293</v>
      </c>
      <c r="P38" s="16">
        <f ca="1">IFERROR(__xludf.DUMMYFUNCTION("IFERROR((AVERAGEIF(B38:M38,""&lt;&gt;0"")+(MEDIAN(FILTER(B38:M38,B38:M38&gt;0))))/2,""---"")"),182.921939680942)</f>
        <v>182.92193968094199</v>
      </c>
      <c r="Q38" s="17">
        <f ca="1">IFERROR(__xludf.DUMMYFUNCTION("IFERROR(STDEV(FILTER(B38:M38,B38:M38&gt;0))/P38,""---"")"),1.81334325466549)</f>
        <v>1.81334325466549</v>
      </c>
    </row>
    <row r="39" spans="1:17" ht="15.75" customHeight="1">
      <c r="B39" s="16">
        <f ca="1">IFERROR(__xludf.DUMMYFUNCTION("IFERROR(sum(QUERY('Mes01'!$B$2:$C1541, ""SELECT C WHERE B = '""&amp;$A39&amp;""'"")),0)"),0)</f>
        <v>0</v>
      </c>
      <c r="C39" s="16">
        <f ca="1">IFERROR(__xludf.DUMMYFUNCTION("IFERROR(sum(QUERY('Mes02'!$B$2:$C1541, ""SELECT C WHERE B = '""&amp;$A39&amp;""'"")),0)"),0)</f>
        <v>0</v>
      </c>
      <c r="D39" s="16">
        <f ca="1">IFERROR(__xludf.DUMMYFUNCTION("IFERROR(sum(QUERY('Mes03'!$B$2:$C1541, ""SELECT C WHERE B = '""&amp;$A39&amp;""'"")),0)"),0)</f>
        <v>0</v>
      </c>
      <c r="E39" s="16">
        <f ca="1">IFERROR(__xludf.DUMMYFUNCTION("IFERROR(sum(QUERY('Mes04'!$B$2:$C1541, ""SELECT C WHERE B = '""&amp;$A39&amp;""'"")),0)"),0)</f>
        <v>0</v>
      </c>
      <c r="F39" s="16">
        <f ca="1">IFERROR(__xludf.DUMMYFUNCTION("IFERROR(sum(QUERY('Mes05'!$B$2:$C1541, ""SELECT C WHERE B = '""&amp;$A39&amp;""'"")),0)"),0)</f>
        <v>0</v>
      </c>
      <c r="G39" s="16">
        <f ca="1">IFERROR(__xludf.DUMMYFUNCTION("IFERROR(sum(QUERY('Mes06'!$B$2:$C1541, ""SELECT C WHERE B = '""&amp;$A39&amp;""'"")),0)"),0)</f>
        <v>0</v>
      </c>
      <c r="H39" s="16">
        <f ca="1">IFERROR(__xludf.DUMMYFUNCTION("IFERROR(sum(QUERY('Mes07'!$B$2:$C1541, ""SELECT C WHERE B = '""&amp;$A39&amp;""'"")),0)"),0)</f>
        <v>0</v>
      </c>
      <c r="I39" s="16">
        <f ca="1">IFERROR(__xludf.DUMMYFUNCTION("IFERROR(sum(QUERY('Mes08'!$B$2:$C1541, ""SELECT C WHERE B = '""&amp;$A39&amp;""'"")),0)"),0)</f>
        <v>0</v>
      </c>
      <c r="J39" s="16">
        <f ca="1">IFERROR(__xludf.DUMMYFUNCTION("IFERROR(sum(QUERY('Mes09'!$B$2:$C1541, ""SELECT C WHERE B = '""&amp;$A39&amp;""'"")),0)"),0)</f>
        <v>0</v>
      </c>
      <c r="K39" s="16">
        <f ca="1">IFERROR(__xludf.DUMMYFUNCTION("IFERROR(sum(QUERY('Mes10'!$B$2:$C1541, ""SELECT C WHERE B = '""&amp;$A39&amp;""'"")),0)"),0)</f>
        <v>0</v>
      </c>
      <c r="L39" s="16">
        <f ca="1">IFERROR(__xludf.DUMMYFUNCTION("IFERROR(sum(QUERY('Mes11'!$B$2:$C1541, ""SELECT C WHERE B = '""&amp;$A39&amp;""'"")),0)"),0)</f>
        <v>0</v>
      </c>
      <c r="M39" s="16">
        <f ca="1">IFERROR(__xludf.DUMMYFUNCTION("IFERROR(sum(QUERY('Mes12'!$B$2:$C1541, ""SELECT C WHERE B = '""&amp;$A39&amp;""'"")),0)"),0)</f>
        <v>0</v>
      </c>
      <c r="O39" s="16">
        <f t="shared" ca="1" si="0"/>
        <v>0</v>
      </c>
      <c r="P39" s="16" t="str">
        <f ca="1">IFERROR(__xludf.DUMMYFUNCTION("IFERROR((AVERAGEIF(B39:M39,""&lt;&gt;0"")+(MEDIAN(FILTER(B39:M39,B39:M39&gt;0))))/2,""---"")"),"---")</f>
        <v>---</v>
      </c>
      <c r="Q39" s="17" t="str">
        <f ca="1">IFERROR(__xludf.DUMMYFUNCTION("IFERROR(STDEV(FILTER(B39:M39,B39:M39&gt;0))/P39,""---"")"),"---")</f>
        <v>---</v>
      </c>
    </row>
    <row r="40" spans="1:17" ht="15.75" customHeight="1">
      <c r="B40" s="16">
        <f ca="1">IFERROR(__xludf.DUMMYFUNCTION("IFERROR(sum(QUERY('Mes01'!$B$2:$C1541, ""SELECT C WHERE B = '""&amp;$A40&amp;""'"")),0)"),0)</f>
        <v>0</v>
      </c>
      <c r="C40" s="16">
        <f ca="1">IFERROR(__xludf.DUMMYFUNCTION("IFERROR(sum(QUERY('Mes02'!$B$2:$C1541, ""SELECT C WHERE B = '""&amp;$A40&amp;""'"")),0)"),0)</f>
        <v>0</v>
      </c>
      <c r="D40" s="16">
        <f ca="1">IFERROR(__xludf.DUMMYFUNCTION("IFERROR(sum(QUERY('Mes03'!$B$2:$C1541, ""SELECT C WHERE B = '""&amp;$A40&amp;""'"")),0)"),0)</f>
        <v>0</v>
      </c>
      <c r="E40" s="16">
        <f ca="1">IFERROR(__xludf.DUMMYFUNCTION("IFERROR(sum(QUERY('Mes04'!$B$2:$C1541, ""SELECT C WHERE B = '""&amp;$A40&amp;""'"")),0)"),0)</f>
        <v>0</v>
      </c>
      <c r="F40" s="16">
        <f ca="1">IFERROR(__xludf.DUMMYFUNCTION("IFERROR(sum(QUERY('Mes05'!$B$2:$C1541, ""SELECT C WHERE B = '""&amp;$A40&amp;""'"")),0)"),0)</f>
        <v>0</v>
      </c>
      <c r="G40" s="16">
        <f ca="1">IFERROR(__xludf.DUMMYFUNCTION("IFERROR(sum(QUERY('Mes06'!$B$2:$C1541, ""SELECT C WHERE B = '""&amp;$A40&amp;""'"")),0)"),0)</f>
        <v>0</v>
      </c>
      <c r="H40" s="16">
        <f ca="1">IFERROR(__xludf.DUMMYFUNCTION("IFERROR(sum(QUERY('Mes07'!$B$2:$C1541, ""SELECT C WHERE B = '""&amp;$A40&amp;""'"")),0)"),0)</f>
        <v>0</v>
      </c>
      <c r="I40" s="16">
        <f ca="1">IFERROR(__xludf.DUMMYFUNCTION("IFERROR(sum(QUERY('Mes08'!$B$2:$C1541, ""SELECT C WHERE B = '""&amp;$A40&amp;""'"")),0)"),0)</f>
        <v>0</v>
      </c>
      <c r="J40" s="16">
        <f ca="1">IFERROR(__xludf.DUMMYFUNCTION("IFERROR(sum(QUERY('Mes09'!$B$2:$C1541, ""SELECT C WHERE B = '""&amp;$A40&amp;""'"")),0)"),0)</f>
        <v>0</v>
      </c>
      <c r="K40" s="16">
        <f ca="1">IFERROR(__xludf.DUMMYFUNCTION("IFERROR(sum(QUERY('Mes10'!$B$2:$C1541, ""SELECT C WHERE B = '""&amp;$A40&amp;""'"")),0)"),0)</f>
        <v>0</v>
      </c>
      <c r="L40" s="16">
        <f ca="1">IFERROR(__xludf.DUMMYFUNCTION("IFERROR(sum(QUERY('Mes11'!$B$2:$C1541, ""SELECT C WHERE B = '""&amp;$A40&amp;""'"")),0)"),0)</f>
        <v>0</v>
      </c>
      <c r="M40" s="16">
        <f ca="1">IFERROR(__xludf.DUMMYFUNCTION("IFERROR(sum(QUERY('Mes12'!$B$2:$C1541, ""SELECT C WHERE B = '""&amp;$A40&amp;""'"")),0)"),0)</f>
        <v>0</v>
      </c>
      <c r="O40" s="16">
        <f t="shared" ca="1" si="0"/>
        <v>0</v>
      </c>
      <c r="P40" s="16" t="str">
        <f ca="1">IFERROR(__xludf.DUMMYFUNCTION("IFERROR((AVERAGEIF(B40:M40,""&lt;&gt;0"")+(MEDIAN(FILTER(B40:M40,B40:M40&gt;0))))/2,""---"")"),"---")</f>
        <v>---</v>
      </c>
      <c r="Q40" s="17" t="str">
        <f ca="1">IFERROR(__xludf.DUMMYFUNCTION("IFERROR(STDEV(FILTER(B40:M40,B40:M40&gt;0))/P40,""---"")"),"---")</f>
        <v>---</v>
      </c>
    </row>
    <row r="41" spans="1:17" ht="15.75" customHeight="1">
      <c r="B41" s="16">
        <f ca="1">IFERROR(__xludf.DUMMYFUNCTION("IFERROR(sum(QUERY('Mes01'!$B$2:$C1541, ""SELECT C WHERE B = '""&amp;$A41&amp;""'"")),0)"),0)</f>
        <v>0</v>
      </c>
      <c r="C41" s="16">
        <f ca="1">IFERROR(__xludf.DUMMYFUNCTION("IFERROR(sum(QUERY('Mes02'!$B$2:$C1541, ""SELECT C WHERE B = '""&amp;$A41&amp;""'"")),0)"),0)</f>
        <v>0</v>
      </c>
      <c r="D41" s="16">
        <f ca="1">IFERROR(__xludf.DUMMYFUNCTION("IFERROR(sum(QUERY('Mes03'!$B$2:$C1541, ""SELECT C WHERE B = '""&amp;$A41&amp;""'"")),0)"),0)</f>
        <v>0</v>
      </c>
      <c r="E41" s="16">
        <f ca="1">IFERROR(__xludf.DUMMYFUNCTION("IFERROR(sum(QUERY('Mes04'!$B$2:$C1541, ""SELECT C WHERE B = '""&amp;$A41&amp;""'"")),0)"),0)</f>
        <v>0</v>
      </c>
      <c r="F41" s="16">
        <f ca="1">IFERROR(__xludf.DUMMYFUNCTION("IFERROR(sum(QUERY('Mes05'!$B$2:$C1541, ""SELECT C WHERE B = '""&amp;$A41&amp;""'"")),0)"),0)</f>
        <v>0</v>
      </c>
      <c r="G41" s="16">
        <f ca="1">IFERROR(__xludf.DUMMYFUNCTION("IFERROR(sum(QUERY('Mes06'!$B$2:$C1541, ""SELECT C WHERE B = '""&amp;$A41&amp;""'"")),0)"),0)</f>
        <v>0</v>
      </c>
      <c r="H41" s="16">
        <f ca="1">IFERROR(__xludf.DUMMYFUNCTION("IFERROR(sum(QUERY('Mes07'!$B$2:$C1541, ""SELECT C WHERE B = '""&amp;$A41&amp;""'"")),0)"),0)</f>
        <v>0</v>
      </c>
      <c r="I41" s="16">
        <f ca="1">IFERROR(__xludf.DUMMYFUNCTION("IFERROR(sum(QUERY('Mes08'!$B$2:$C1541, ""SELECT C WHERE B = '""&amp;$A41&amp;""'"")),0)"),0)</f>
        <v>0</v>
      </c>
      <c r="J41" s="16">
        <f ca="1">IFERROR(__xludf.DUMMYFUNCTION("IFERROR(sum(QUERY('Mes09'!$B$2:$C1541, ""SELECT C WHERE B = '""&amp;$A41&amp;""'"")),0)"),0)</f>
        <v>0</v>
      </c>
      <c r="K41" s="16">
        <f ca="1">IFERROR(__xludf.DUMMYFUNCTION("IFERROR(sum(QUERY('Mes10'!$B$2:$C1541, ""SELECT C WHERE B = '""&amp;$A41&amp;""'"")),0)"),0)</f>
        <v>0</v>
      </c>
      <c r="L41" s="16">
        <f ca="1">IFERROR(__xludf.DUMMYFUNCTION("IFERROR(sum(QUERY('Mes11'!$B$2:$C1541, ""SELECT C WHERE B = '""&amp;$A41&amp;""'"")),0)"),0)</f>
        <v>0</v>
      </c>
      <c r="M41" s="16">
        <f ca="1">IFERROR(__xludf.DUMMYFUNCTION("IFERROR(sum(QUERY('Mes12'!$B$2:$C1541, ""SELECT C WHERE B = '""&amp;$A41&amp;""'"")),0)"),0)</f>
        <v>0</v>
      </c>
      <c r="O41" s="16">
        <f t="shared" ca="1" si="0"/>
        <v>0</v>
      </c>
      <c r="P41" s="16" t="str">
        <f ca="1">IFERROR(__xludf.DUMMYFUNCTION("IFERROR((AVERAGEIF(B41:M41,""&lt;&gt;0"")+(MEDIAN(FILTER(B41:M41,B41:M41&gt;0))))/2,""---"")"),"---")</f>
        <v>---</v>
      </c>
      <c r="Q41" s="17" t="str">
        <f ca="1">IFERROR(__xludf.DUMMYFUNCTION("IFERROR(STDEV(FILTER(B41:M41,B41:M41&gt;0))/P41,""---"")"),"---")</f>
        <v>---</v>
      </c>
    </row>
    <row r="42" spans="1:17" ht="15.75" customHeight="1">
      <c r="B42" s="16">
        <f ca="1">IFERROR(__xludf.DUMMYFUNCTION("IFERROR(sum(QUERY('Mes01'!$B$2:$C1541, ""SELECT C WHERE B = '""&amp;$A42&amp;""'"")),0)"),0)</f>
        <v>0</v>
      </c>
      <c r="C42" s="16">
        <f ca="1">IFERROR(__xludf.DUMMYFUNCTION("IFERROR(sum(QUERY('Mes02'!$B$2:$C1541, ""SELECT C WHERE B = '""&amp;$A42&amp;""'"")),0)"),0)</f>
        <v>0</v>
      </c>
      <c r="D42" s="16">
        <f ca="1">IFERROR(__xludf.DUMMYFUNCTION("IFERROR(sum(QUERY('Mes03'!$B$2:$C1541, ""SELECT C WHERE B = '""&amp;$A42&amp;""'"")),0)"),0)</f>
        <v>0</v>
      </c>
      <c r="E42" s="16">
        <f ca="1">IFERROR(__xludf.DUMMYFUNCTION("IFERROR(sum(QUERY('Mes04'!$B$2:$C1541, ""SELECT C WHERE B = '""&amp;$A42&amp;""'"")),0)"),0)</f>
        <v>0</v>
      </c>
      <c r="F42" s="16">
        <f ca="1">IFERROR(__xludf.DUMMYFUNCTION("IFERROR(sum(QUERY('Mes05'!$B$2:$C1541, ""SELECT C WHERE B = '""&amp;$A42&amp;""'"")),0)"),0)</f>
        <v>0</v>
      </c>
      <c r="G42" s="16">
        <f ca="1">IFERROR(__xludf.DUMMYFUNCTION("IFERROR(sum(QUERY('Mes06'!$B$2:$C1541, ""SELECT C WHERE B = '""&amp;$A42&amp;""'"")),0)"),0)</f>
        <v>0</v>
      </c>
      <c r="H42" s="16">
        <f ca="1">IFERROR(__xludf.DUMMYFUNCTION("IFERROR(sum(QUERY('Mes07'!$B$2:$C1541, ""SELECT C WHERE B = '""&amp;$A42&amp;""'"")),0)"),0)</f>
        <v>0</v>
      </c>
      <c r="I42" s="16">
        <f ca="1">IFERROR(__xludf.DUMMYFUNCTION("IFERROR(sum(QUERY('Mes08'!$B$2:$C1541, ""SELECT C WHERE B = '""&amp;$A42&amp;""'"")),0)"),0)</f>
        <v>0</v>
      </c>
      <c r="J42" s="16">
        <f ca="1">IFERROR(__xludf.DUMMYFUNCTION("IFERROR(sum(QUERY('Mes09'!$B$2:$C1541, ""SELECT C WHERE B = '""&amp;$A42&amp;""'"")),0)"),0)</f>
        <v>0</v>
      </c>
      <c r="K42" s="16">
        <f ca="1">IFERROR(__xludf.DUMMYFUNCTION("IFERROR(sum(QUERY('Mes10'!$B$2:$C1541, ""SELECT C WHERE B = '""&amp;$A42&amp;""'"")),0)"),0)</f>
        <v>0</v>
      </c>
      <c r="L42" s="16">
        <f ca="1">IFERROR(__xludf.DUMMYFUNCTION("IFERROR(sum(QUERY('Mes11'!$B$2:$C1541, ""SELECT C WHERE B = '""&amp;$A42&amp;""'"")),0)"),0)</f>
        <v>0</v>
      </c>
      <c r="M42" s="16">
        <f ca="1">IFERROR(__xludf.DUMMYFUNCTION("IFERROR(sum(QUERY('Mes12'!$B$2:$C1541, ""SELECT C WHERE B = '""&amp;$A42&amp;""'"")),0)"),0)</f>
        <v>0</v>
      </c>
      <c r="O42" s="16">
        <f t="shared" ca="1" si="0"/>
        <v>0</v>
      </c>
      <c r="P42" s="16" t="str">
        <f ca="1">IFERROR(__xludf.DUMMYFUNCTION("IFERROR((AVERAGEIF(B42:M42,""&lt;&gt;0"")+(MEDIAN(FILTER(B42:M42,B42:M42&gt;0))))/2,""---"")"),"---")</f>
        <v>---</v>
      </c>
      <c r="Q42" s="17" t="str">
        <f ca="1">IFERROR(__xludf.DUMMYFUNCTION("IFERROR(STDEV(FILTER(B42:M42,B42:M42&gt;0))/P42,""---"")"),"---")</f>
        <v>---</v>
      </c>
    </row>
    <row r="43" spans="1:17" ht="15.75" customHeight="1">
      <c r="B43" s="16">
        <f ca="1">IFERROR(__xludf.DUMMYFUNCTION("IFERROR(sum(QUERY('Mes01'!$B$2:$C1541, ""SELECT C WHERE B = '""&amp;$A43&amp;""'"")),0)"),0)</f>
        <v>0</v>
      </c>
      <c r="C43" s="16">
        <f ca="1">IFERROR(__xludf.DUMMYFUNCTION("IFERROR(sum(QUERY('Mes02'!$B$2:$C1541, ""SELECT C WHERE B = '""&amp;$A43&amp;""'"")),0)"),0)</f>
        <v>0</v>
      </c>
      <c r="D43" s="16">
        <f ca="1">IFERROR(__xludf.DUMMYFUNCTION("IFERROR(sum(QUERY('Mes03'!$B$2:$C1541, ""SELECT C WHERE B = '""&amp;$A43&amp;""'"")),0)"),0)</f>
        <v>0</v>
      </c>
      <c r="E43" s="16">
        <f ca="1">IFERROR(__xludf.DUMMYFUNCTION("IFERROR(sum(QUERY('Mes04'!$B$2:$C1541, ""SELECT C WHERE B = '""&amp;$A43&amp;""'"")),0)"),0)</f>
        <v>0</v>
      </c>
      <c r="F43" s="16">
        <f ca="1">IFERROR(__xludf.DUMMYFUNCTION("IFERROR(sum(QUERY('Mes05'!$B$2:$C1541, ""SELECT C WHERE B = '""&amp;$A43&amp;""'"")),0)"),0)</f>
        <v>0</v>
      </c>
      <c r="G43" s="16">
        <f ca="1">IFERROR(__xludf.DUMMYFUNCTION("IFERROR(sum(QUERY('Mes06'!$B$2:$C1541, ""SELECT C WHERE B = '""&amp;$A43&amp;""'"")),0)"),0)</f>
        <v>0</v>
      </c>
      <c r="H43" s="16">
        <f ca="1">IFERROR(__xludf.DUMMYFUNCTION("IFERROR(sum(QUERY('Mes07'!$B$2:$C1541, ""SELECT C WHERE B = '""&amp;$A43&amp;""'"")),0)"),0)</f>
        <v>0</v>
      </c>
      <c r="I43" s="16">
        <f ca="1">IFERROR(__xludf.DUMMYFUNCTION("IFERROR(sum(QUERY('Mes08'!$B$2:$C1541, ""SELECT C WHERE B = '""&amp;$A43&amp;""'"")),0)"),0)</f>
        <v>0</v>
      </c>
      <c r="J43" s="16">
        <f ca="1">IFERROR(__xludf.DUMMYFUNCTION("IFERROR(sum(QUERY('Mes09'!$B$2:$C1541, ""SELECT C WHERE B = '""&amp;$A43&amp;""'"")),0)"),0)</f>
        <v>0</v>
      </c>
      <c r="K43" s="16">
        <f ca="1">IFERROR(__xludf.DUMMYFUNCTION("IFERROR(sum(QUERY('Mes10'!$B$2:$C1541, ""SELECT C WHERE B = '""&amp;$A43&amp;""'"")),0)"),0)</f>
        <v>0</v>
      </c>
      <c r="L43" s="16">
        <f ca="1">IFERROR(__xludf.DUMMYFUNCTION("IFERROR(sum(QUERY('Mes11'!$B$2:$C1541, ""SELECT C WHERE B = '""&amp;$A43&amp;""'"")),0)"),0)</f>
        <v>0</v>
      </c>
      <c r="M43" s="16">
        <f ca="1">IFERROR(__xludf.DUMMYFUNCTION("IFERROR(sum(QUERY('Mes12'!$B$2:$C1541, ""SELECT C WHERE B = '""&amp;$A43&amp;""'"")),0)"),0)</f>
        <v>0</v>
      </c>
      <c r="O43" s="16">
        <f t="shared" ca="1" si="0"/>
        <v>0</v>
      </c>
      <c r="P43" s="16" t="str">
        <f ca="1">IFERROR(__xludf.DUMMYFUNCTION("IFERROR((AVERAGEIF(B43:M43,""&lt;&gt;0"")+(MEDIAN(FILTER(B43:M43,B43:M43&gt;0))))/2,""---"")"),"---")</f>
        <v>---</v>
      </c>
      <c r="Q43" s="17" t="str">
        <f ca="1">IFERROR(__xludf.DUMMYFUNCTION("IFERROR(STDEV(FILTER(B43:M43,B43:M43&gt;0))/P43,""---"")"),"---")</f>
        <v>---</v>
      </c>
    </row>
    <row r="44" spans="1:17" ht="15.75" customHeight="1">
      <c r="B44" s="16">
        <f ca="1">IFERROR(__xludf.DUMMYFUNCTION("IFERROR(sum(QUERY('Mes01'!$B$2:$C1541, ""SELECT C WHERE B = '""&amp;$A44&amp;""'"")),0)"),0)</f>
        <v>0</v>
      </c>
      <c r="C44" s="16">
        <f ca="1">IFERROR(__xludf.DUMMYFUNCTION("IFERROR(sum(QUERY('Mes02'!$B$2:$C1541, ""SELECT C WHERE B = '""&amp;$A44&amp;""'"")),0)"),0)</f>
        <v>0</v>
      </c>
      <c r="D44" s="16">
        <f ca="1">IFERROR(__xludf.DUMMYFUNCTION("IFERROR(sum(QUERY('Mes03'!$B$2:$C1541, ""SELECT C WHERE B = '""&amp;$A44&amp;""'"")),0)"),0)</f>
        <v>0</v>
      </c>
      <c r="E44" s="16">
        <f ca="1">IFERROR(__xludf.DUMMYFUNCTION("IFERROR(sum(QUERY('Mes04'!$B$2:$C1541, ""SELECT C WHERE B = '""&amp;$A44&amp;""'"")),0)"),0)</f>
        <v>0</v>
      </c>
      <c r="F44" s="16">
        <f ca="1">IFERROR(__xludf.DUMMYFUNCTION("IFERROR(sum(QUERY('Mes05'!$B$2:$C1541, ""SELECT C WHERE B = '""&amp;$A44&amp;""'"")),0)"),0)</f>
        <v>0</v>
      </c>
      <c r="G44" s="16">
        <f ca="1">IFERROR(__xludf.DUMMYFUNCTION("IFERROR(sum(QUERY('Mes06'!$B$2:$C1541, ""SELECT C WHERE B = '""&amp;$A44&amp;""'"")),0)"),0)</f>
        <v>0</v>
      </c>
      <c r="H44" s="16">
        <f ca="1">IFERROR(__xludf.DUMMYFUNCTION("IFERROR(sum(QUERY('Mes07'!$B$2:$C1541, ""SELECT C WHERE B = '""&amp;$A44&amp;""'"")),0)"),0)</f>
        <v>0</v>
      </c>
      <c r="I44" s="16">
        <f ca="1">IFERROR(__xludf.DUMMYFUNCTION("IFERROR(sum(QUERY('Mes08'!$B$2:$C1541, ""SELECT C WHERE B = '""&amp;$A44&amp;""'"")),0)"),0)</f>
        <v>0</v>
      </c>
      <c r="J44" s="16">
        <f ca="1">IFERROR(__xludf.DUMMYFUNCTION("IFERROR(sum(QUERY('Mes09'!$B$2:$C1541, ""SELECT C WHERE B = '""&amp;$A44&amp;""'"")),0)"),0)</f>
        <v>0</v>
      </c>
      <c r="K44" s="16">
        <f ca="1">IFERROR(__xludf.DUMMYFUNCTION("IFERROR(sum(QUERY('Mes10'!$B$2:$C1541, ""SELECT C WHERE B = '""&amp;$A44&amp;""'"")),0)"),0)</f>
        <v>0</v>
      </c>
      <c r="L44" s="16">
        <f ca="1">IFERROR(__xludf.DUMMYFUNCTION("IFERROR(sum(QUERY('Mes11'!$B$2:$C1541, ""SELECT C WHERE B = '""&amp;$A44&amp;""'"")),0)"),0)</f>
        <v>0</v>
      </c>
      <c r="M44" s="16">
        <f ca="1">IFERROR(__xludf.DUMMYFUNCTION("IFERROR(sum(QUERY('Mes12'!$B$2:$C1541, ""SELECT C WHERE B = '""&amp;$A44&amp;""'"")),0)"),0)</f>
        <v>0</v>
      </c>
      <c r="O44" s="16">
        <f t="shared" ca="1" si="0"/>
        <v>0</v>
      </c>
      <c r="P44" s="16" t="str">
        <f ca="1">IFERROR(__xludf.DUMMYFUNCTION("IFERROR((AVERAGEIF(B44:M44,""&lt;&gt;0"")+(MEDIAN(FILTER(B44:M44,B44:M44&gt;0))))/2,""---"")"),"---")</f>
        <v>---</v>
      </c>
      <c r="Q44" s="17" t="str">
        <f ca="1">IFERROR(__xludf.DUMMYFUNCTION("IFERROR(STDEV(FILTER(B44:M44,B44:M44&gt;0))/P44,""---"")"),"---")</f>
        <v>---</v>
      </c>
    </row>
    <row r="45" spans="1:17" ht="15.75" customHeight="1">
      <c r="B45" s="16">
        <f ca="1">IFERROR(__xludf.DUMMYFUNCTION("IFERROR(sum(QUERY('Mes01'!$B$2:$C1541, ""SELECT C WHERE B = '""&amp;$A45&amp;""'"")),0)"),0)</f>
        <v>0</v>
      </c>
      <c r="C45" s="16">
        <f ca="1">IFERROR(__xludf.DUMMYFUNCTION("IFERROR(sum(QUERY('Mes02'!$B$2:$C1541, ""SELECT C WHERE B = '""&amp;$A45&amp;""'"")),0)"),0)</f>
        <v>0</v>
      </c>
      <c r="D45" s="16">
        <f ca="1">IFERROR(__xludf.DUMMYFUNCTION("IFERROR(sum(QUERY('Mes03'!$B$2:$C1541, ""SELECT C WHERE B = '""&amp;$A45&amp;""'"")),0)"),0)</f>
        <v>0</v>
      </c>
      <c r="E45" s="16">
        <f ca="1">IFERROR(__xludf.DUMMYFUNCTION("IFERROR(sum(QUERY('Mes04'!$B$2:$C1541, ""SELECT C WHERE B = '""&amp;$A45&amp;""'"")),0)"),0)</f>
        <v>0</v>
      </c>
      <c r="F45" s="16">
        <f ca="1">IFERROR(__xludf.DUMMYFUNCTION("IFERROR(sum(QUERY('Mes05'!$B$2:$C1541, ""SELECT C WHERE B = '""&amp;$A45&amp;""'"")),0)"),0)</f>
        <v>0</v>
      </c>
      <c r="G45" s="16">
        <f ca="1">IFERROR(__xludf.DUMMYFUNCTION("IFERROR(sum(QUERY('Mes06'!$B$2:$C1541, ""SELECT C WHERE B = '""&amp;$A45&amp;""'"")),0)"),0)</f>
        <v>0</v>
      </c>
      <c r="H45" s="16">
        <f ca="1">IFERROR(__xludf.DUMMYFUNCTION("IFERROR(sum(QUERY('Mes07'!$B$2:$C1541, ""SELECT C WHERE B = '""&amp;$A45&amp;""'"")),0)"),0)</f>
        <v>0</v>
      </c>
      <c r="I45" s="16">
        <f ca="1">IFERROR(__xludf.DUMMYFUNCTION("IFERROR(sum(QUERY('Mes08'!$B$2:$C1541, ""SELECT C WHERE B = '""&amp;$A45&amp;""'"")),0)"),0)</f>
        <v>0</v>
      </c>
      <c r="J45" s="16">
        <f ca="1">IFERROR(__xludf.DUMMYFUNCTION("IFERROR(sum(QUERY('Mes09'!$B$2:$C1541, ""SELECT C WHERE B = '""&amp;$A45&amp;""'"")),0)"),0)</f>
        <v>0</v>
      </c>
      <c r="K45" s="16">
        <f ca="1">IFERROR(__xludf.DUMMYFUNCTION("IFERROR(sum(QUERY('Mes10'!$B$2:$C1541, ""SELECT C WHERE B = '""&amp;$A45&amp;""'"")),0)"),0)</f>
        <v>0</v>
      </c>
      <c r="L45" s="16">
        <f ca="1">IFERROR(__xludf.DUMMYFUNCTION("IFERROR(sum(QUERY('Mes11'!$B$2:$C1541, ""SELECT C WHERE B = '""&amp;$A45&amp;""'"")),0)"),0)</f>
        <v>0</v>
      </c>
      <c r="M45" s="16">
        <f ca="1">IFERROR(__xludf.DUMMYFUNCTION("IFERROR(sum(QUERY('Mes12'!$B$2:$C1541, ""SELECT C WHERE B = '""&amp;$A45&amp;""'"")),0)"),0)</f>
        <v>0</v>
      </c>
      <c r="O45" s="16">
        <f t="shared" ca="1" si="0"/>
        <v>0</v>
      </c>
      <c r="P45" s="16" t="str">
        <f ca="1">IFERROR(__xludf.DUMMYFUNCTION("IFERROR((AVERAGEIF(B45:M45,""&lt;&gt;0"")+(MEDIAN(FILTER(B45:M45,B45:M45&gt;0))))/2,""---"")"),"---")</f>
        <v>---</v>
      </c>
      <c r="Q45" s="17" t="str">
        <f ca="1">IFERROR(__xludf.DUMMYFUNCTION("IFERROR(STDEV(FILTER(B45:M45,B45:M45&gt;0))/P45,""---"")"),"---")</f>
        <v>---</v>
      </c>
    </row>
    <row r="46" spans="1:17" ht="15.75" customHeight="1">
      <c r="B46" s="16">
        <f ca="1">IFERROR(__xludf.DUMMYFUNCTION("IFERROR(sum(QUERY('Mes01'!$B$2:$C1541, ""SELECT C WHERE B = '""&amp;$A46&amp;""'"")),0)"),0)</f>
        <v>0</v>
      </c>
      <c r="C46" s="16">
        <f ca="1">IFERROR(__xludf.DUMMYFUNCTION("IFERROR(sum(QUERY('Mes02'!$B$2:$C1541, ""SELECT C WHERE B = '""&amp;$A46&amp;""'"")),0)"),0)</f>
        <v>0</v>
      </c>
      <c r="D46" s="16">
        <f ca="1">IFERROR(__xludf.DUMMYFUNCTION("IFERROR(sum(QUERY('Mes03'!$B$2:$C1541, ""SELECT C WHERE B = '""&amp;$A46&amp;""'"")),0)"),0)</f>
        <v>0</v>
      </c>
      <c r="E46" s="16">
        <f ca="1">IFERROR(__xludf.DUMMYFUNCTION("IFERROR(sum(QUERY('Mes04'!$B$2:$C1541, ""SELECT C WHERE B = '""&amp;$A46&amp;""'"")),0)"),0)</f>
        <v>0</v>
      </c>
      <c r="F46" s="16">
        <f ca="1">IFERROR(__xludf.DUMMYFUNCTION("IFERROR(sum(QUERY('Mes05'!$B$2:$C1541, ""SELECT C WHERE B = '""&amp;$A46&amp;""'"")),0)"),0)</f>
        <v>0</v>
      </c>
      <c r="G46" s="16">
        <f ca="1">IFERROR(__xludf.DUMMYFUNCTION("IFERROR(sum(QUERY('Mes06'!$B$2:$C1541, ""SELECT C WHERE B = '""&amp;$A46&amp;""'"")),0)"),0)</f>
        <v>0</v>
      </c>
      <c r="H46" s="16">
        <f ca="1">IFERROR(__xludf.DUMMYFUNCTION("IFERROR(sum(QUERY('Mes07'!$B$2:$C1541, ""SELECT C WHERE B = '""&amp;$A46&amp;""'"")),0)"),0)</f>
        <v>0</v>
      </c>
      <c r="I46" s="16">
        <f ca="1">IFERROR(__xludf.DUMMYFUNCTION("IFERROR(sum(QUERY('Mes08'!$B$2:$C1541, ""SELECT C WHERE B = '""&amp;$A46&amp;""'"")),0)"),0)</f>
        <v>0</v>
      </c>
      <c r="J46" s="16">
        <f ca="1">IFERROR(__xludf.DUMMYFUNCTION("IFERROR(sum(QUERY('Mes09'!$B$2:$C1541, ""SELECT C WHERE B = '""&amp;$A46&amp;""'"")),0)"),0)</f>
        <v>0</v>
      </c>
      <c r="K46" s="16">
        <f ca="1">IFERROR(__xludf.DUMMYFUNCTION("IFERROR(sum(QUERY('Mes10'!$B$2:$C1541, ""SELECT C WHERE B = '""&amp;$A46&amp;""'"")),0)"),0)</f>
        <v>0</v>
      </c>
      <c r="L46" s="16">
        <f ca="1">IFERROR(__xludf.DUMMYFUNCTION("IFERROR(sum(QUERY('Mes11'!$B$2:$C1541, ""SELECT C WHERE B = '""&amp;$A46&amp;""'"")),0)"),0)</f>
        <v>0</v>
      </c>
      <c r="M46" s="16">
        <f ca="1">IFERROR(__xludf.DUMMYFUNCTION("IFERROR(sum(QUERY('Mes12'!$B$2:$C1541, ""SELECT C WHERE B = '""&amp;$A46&amp;""'"")),0)"),0)</f>
        <v>0</v>
      </c>
      <c r="O46" s="16">
        <f t="shared" ca="1" si="0"/>
        <v>0</v>
      </c>
      <c r="P46" s="16" t="str">
        <f ca="1">IFERROR(__xludf.DUMMYFUNCTION("IFERROR((AVERAGEIF(B46:M46,""&lt;&gt;0"")+(MEDIAN(FILTER(B46:M46,B46:M46&gt;0))))/2,""---"")"),"---")</f>
        <v>---</v>
      </c>
      <c r="Q46" s="17" t="str">
        <f ca="1">IFERROR(__xludf.DUMMYFUNCTION("IFERROR(STDEV(FILTER(B46:M46,B46:M46&gt;0))/P46,""---"")"),"---")</f>
        <v>---</v>
      </c>
    </row>
    <row r="47" spans="1:17" ht="15.75" customHeight="1">
      <c r="B47" s="16">
        <f ca="1">IFERROR(__xludf.DUMMYFUNCTION("IFERROR(sum(QUERY('Mes01'!$B$2:$C1541, ""SELECT C WHERE B = '""&amp;$A47&amp;""'"")),0)"),0)</f>
        <v>0</v>
      </c>
      <c r="C47" s="16">
        <f ca="1">IFERROR(__xludf.DUMMYFUNCTION("IFERROR(sum(QUERY('Mes02'!$B$2:$C1541, ""SELECT C WHERE B = '""&amp;$A47&amp;""'"")),0)"),0)</f>
        <v>0</v>
      </c>
      <c r="D47" s="16">
        <f ca="1">IFERROR(__xludf.DUMMYFUNCTION("IFERROR(sum(QUERY('Mes03'!$B$2:$C1541, ""SELECT C WHERE B = '""&amp;$A47&amp;""'"")),0)"),0)</f>
        <v>0</v>
      </c>
      <c r="E47" s="16">
        <f ca="1">IFERROR(__xludf.DUMMYFUNCTION("IFERROR(sum(QUERY('Mes04'!$B$2:$C1541, ""SELECT C WHERE B = '""&amp;$A47&amp;""'"")),0)"),0)</f>
        <v>0</v>
      </c>
      <c r="F47" s="16">
        <f ca="1">IFERROR(__xludf.DUMMYFUNCTION("IFERROR(sum(QUERY('Mes05'!$B$2:$C1541, ""SELECT C WHERE B = '""&amp;$A47&amp;""'"")),0)"),0)</f>
        <v>0</v>
      </c>
      <c r="G47" s="16">
        <f ca="1">IFERROR(__xludf.DUMMYFUNCTION("IFERROR(sum(QUERY('Mes06'!$B$2:$C1541, ""SELECT C WHERE B = '""&amp;$A47&amp;""'"")),0)"),0)</f>
        <v>0</v>
      </c>
      <c r="H47" s="16">
        <f ca="1">IFERROR(__xludf.DUMMYFUNCTION("IFERROR(sum(QUERY('Mes07'!$B$2:$C1541, ""SELECT C WHERE B = '""&amp;$A47&amp;""'"")),0)"),0)</f>
        <v>0</v>
      </c>
      <c r="I47" s="16">
        <f ca="1">IFERROR(__xludf.DUMMYFUNCTION("IFERROR(sum(QUERY('Mes08'!$B$2:$C1541, ""SELECT C WHERE B = '""&amp;$A47&amp;""'"")),0)"),0)</f>
        <v>0</v>
      </c>
      <c r="J47" s="16">
        <f ca="1">IFERROR(__xludf.DUMMYFUNCTION("IFERROR(sum(QUERY('Mes09'!$B$2:$C1541, ""SELECT C WHERE B = '""&amp;$A47&amp;""'"")),0)"),0)</f>
        <v>0</v>
      </c>
      <c r="K47" s="16">
        <f ca="1">IFERROR(__xludf.DUMMYFUNCTION("IFERROR(sum(QUERY('Mes10'!$B$2:$C1541, ""SELECT C WHERE B = '""&amp;$A47&amp;""'"")),0)"),0)</f>
        <v>0</v>
      </c>
      <c r="L47" s="16">
        <f ca="1">IFERROR(__xludf.DUMMYFUNCTION("IFERROR(sum(QUERY('Mes11'!$B$2:$C1541, ""SELECT C WHERE B = '""&amp;$A47&amp;""'"")),0)"),0)</f>
        <v>0</v>
      </c>
      <c r="M47" s="16">
        <f ca="1">IFERROR(__xludf.DUMMYFUNCTION("IFERROR(sum(QUERY('Mes12'!$B$2:$C1541, ""SELECT C WHERE B = '""&amp;$A47&amp;""'"")),0)"),0)</f>
        <v>0</v>
      </c>
      <c r="O47" s="16">
        <f t="shared" ca="1" si="0"/>
        <v>0</v>
      </c>
      <c r="P47" s="16" t="str">
        <f ca="1">IFERROR(__xludf.DUMMYFUNCTION("IFERROR((AVERAGEIF(B47:M47,""&lt;&gt;0"")+(MEDIAN(FILTER(B47:M47,B47:M47&gt;0))))/2,""---"")"),"---")</f>
        <v>---</v>
      </c>
      <c r="Q47" s="17" t="str">
        <f ca="1">IFERROR(__xludf.DUMMYFUNCTION("IFERROR(STDEV(FILTER(B47:M47,B47:M47&gt;0))/P47,""---"")"),"---")</f>
        <v>---</v>
      </c>
    </row>
    <row r="48" spans="1:17" ht="15.75" customHeight="1">
      <c r="B48" s="16">
        <f ca="1">IFERROR(__xludf.DUMMYFUNCTION("IFERROR(sum(QUERY('Mes01'!$B$2:$C1541, ""SELECT C WHERE B = '""&amp;$A48&amp;""'"")),0)"),0)</f>
        <v>0</v>
      </c>
      <c r="C48" s="16">
        <f ca="1">IFERROR(__xludf.DUMMYFUNCTION("IFERROR(sum(QUERY('Mes02'!$B$2:$C1541, ""SELECT C WHERE B = '""&amp;$A48&amp;""'"")),0)"),0)</f>
        <v>0</v>
      </c>
      <c r="D48" s="16">
        <f ca="1">IFERROR(__xludf.DUMMYFUNCTION("IFERROR(sum(QUERY('Mes03'!$B$2:$C1541, ""SELECT C WHERE B = '""&amp;$A48&amp;""'"")),0)"),0)</f>
        <v>0</v>
      </c>
      <c r="E48" s="16">
        <f ca="1">IFERROR(__xludf.DUMMYFUNCTION("IFERROR(sum(QUERY('Mes04'!$B$2:$C1541, ""SELECT C WHERE B = '""&amp;$A48&amp;""'"")),0)"),0)</f>
        <v>0</v>
      </c>
      <c r="F48" s="16">
        <f ca="1">IFERROR(__xludf.DUMMYFUNCTION("IFERROR(sum(QUERY('Mes05'!$B$2:$C1541, ""SELECT C WHERE B = '""&amp;$A48&amp;""'"")),0)"),0)</f>
        <v>0</v>
      </c>
      <c r="G48" s="16">
        <f ca="1">IFERROR(__xludf.DUMMYFUNCTION("IFERROR(sum(QUERY('Mes06'!$B$2:$C1541, ""SELECT C WHERE B = '""&amp;$A48&amp;""'"")),0)"),0)</f>
        <v>0</v>
      </c>
      <c r="H48" s="16">
        <f ca="1">IFERROR(__xludf.DUMMYFUNCTION("IFERROR(sum(QUERY('Mes07'!$B$2:$C1541, ""SELECT C WHERE B = '""&amp;$A48&amp;""'"")),0)"),0)</f>
        <v>0</v>
      </c>
      <c r="I48" s="16">
        <f ca="1">IFERROR(__xludf.DUMMYFUNCTION("IFERROR(sum(QUERY('Mes08'!$B$2:$C1541, ""SELECT C WHERE B = '""&amp;$A48&amp;""'"")),0)"),0)</f>
        <v>0</v>
      </c>
      <c r="J48" s="16">
        <f ca="1">IFERROR(__xludf.DUMMYFUNCTION("IFERROR(sum(QUERY('Mes09'!$B$2:$C1541, ""SELECT C WHERE B = '""&amp;$A48&amp;""'"")),0)"),0)</f>
        <v>0</v>
      </c>
      <c r="K48" s="16">
        <f ca="1">IFERROR(__xludf.DUMMYFUNCTION("IFERROR(sum(QUERY('Mes10'!$B$2:$C1541, ""SELECT C WHERE B = '""&amp;$A48&amp;""'"")),0)"),0)</f>
        <v>0</v>
      </c>
      <c r="L48" s="16">
        <f ca="1">IFERROR(__xludf.DUMMYFUNCTION("IFERROR(sum(QUERY('Mes11'!$B$2:$C1541, ""SELECT C WHERE B = '""&amp;$A48&amp;""'"")),0)"),0)</f>
        <v>0</v>
      </c>
      <c r="M48" s="16">
        <f ca="1">IFERROR(__xludf.DUMMYFUNCTION("IFERROR(sum(QUERY('Mes12'!$B$2:$C1541, ""SELECT C WHERE B = '""&amp;$A48&amp;""'"")),0)"),0)</f>
        <v>0</v>
      </c>
      <c r="O48" s="16">
        <f t="shared" ca="1" si="0"/>
        <v>0</v>
      </c>
      <c r="P48" s="16" t="str">
        <f ca="1">IFERROR(__xludf.DUMMYFUNCTION("IFERROR((AVERAGEIF(B48:M48,""&lt;&gt;0"")+(MEDIAN(FILTER(B48:M48,B48:M48&gt;0))))/2,""---"")"),"---")</f>
        <v>---</v>
      </c>
      <c r="Q48" s="17" t="str">
        <f ca="1">IFERROR(__xludf.DUMMYFUNCTION("IFERROR(STDEV(FILTER(B48:M48,B48:M48&gt;0))/P48,""---"")"),"---")</f>
        <v>---</v>
      </c>
    </row>
    <row r="49" spans="1:17">
      <c r="B49" s="19" t="s">
        <v>3</v>
      </c>
      <c r="C49" s="19" t="s">
        <v>5</v>
      </c>
      <c r="D49" s="19" t="s">
        <v>7</v>
      </c>
      <c r="E49" s="19" t="s">
        <v>9</v>
      </c>
      <c r="F49" s="19" t="s">
        <v>11</v>
      </c>
      <c r="G49" s="19" t="s">
        <v>13</v>
      </c>
      <c r="H49" s="19" t="s">
        <v>14</v>
      </c>
      <c r="I49" s="19" t="s">
        <v>16</v>
      </c>
      <c r="J49" s="19" t="s">
        <v>18</v>
      </c>
      <c r="K49" s="19" t="s">
        <v>19</v>
      </c>
      <c r="L49" s="19" t="s">
        <v>20</v>
      </c>
      <c r="M49" s="19" t="s">
        <v>21</v>
      </c>
      <c r="O49" s="20"/>
      <c r="P49" s="16"/>
      <c r="Q49" s="17"/>
    </row>
    <row r="50" spans="1:17" ht="15.75" customHeight="1">
      <c r="A50" s="21" t="s">
        <v>25</v>
      </c>
      <c r="B50" s="6">
        <f t="shared" ref="B50:M50" ca="1" si="1">SUM(B19:B48)</f>
        <v>7767.9518009978865</v>
      </c>
      <c r="C50" s="6">
        <f t="shared" ca="1" si="1"/>
        <v>9996.2379914723915</v>
      </c>
      <c r="D50" s="6">
        <f t="shared" ca="1" si="1"/>
        <v>5390.5925032365412</v>
      </c>
      <c r="E50" s="6">
        <f t="shared" ca="1" si="1"/>
        <v>6855.8358605765834</v>
      </c>
      <c r="F50" s="6">
        <f t="shared" ca="1" si="1"/>
        <v>5027.8111179843172</v>
      </c>
      <c r="G50" s="6">
        <f t="shared" ca="1" si="1"/>
        <v>5182.2091724842421</v>
      </c>
      <c r="H50" s="6">
        <f t="shared" ca="1" si="1"/>
        <v>8610.7107187909223</v>
      </c>
      <c r="I50" s="6">
        <f t="shared" ca="1" si="1"/>
        <v>7685.0303174293977</v>
      </c>
      <c r="J50" s="6">
        <f t="shared" ca="1" si="1"/>
        <v>7387.4875723564501</v>
      </c>
      <c r="K50" s="6">
        <f t="shared" ca="1" si="1"/>
        <v>4756.2249344021366</v>
      </c>
      <c r="L50" s="6">
        <f t="shared" ca="1" si="1"/>
        <v>4839.2565232682209</v>
      </c>
      <c r="M50" s="6">
        <f t="shared" ca="1" si="1"/>
        <v>6025.461801227656</v>
      </c>
      <c r="O50" s="16">
        <f ca="1">SUM(B50:M50)</f>
        <v>79524.81031422675</v>
      </c>
      <c r="P50" s="16">
        <f ca="1">IFERROR(__xludf.DUMMYFUNCTION("IFERROR((AVERAGEIF(B50:M50,""&lt;&gt;0"")+(MEDIAN(FILTER(B50:M50,B50:M50&gt;0))))/2,""---"")"),6533.85817854385)</f>
        <v>6533.85817854385</v>
      </c>
      <c r="Q50" s="17">
        <f ca="1">IFERROR(__xludf.DUMMYFUNCTION("IFERROR(STDEV(FILTER(B50:M50,B50:M50&gt;0))/P50,""---"")"),0.259281257822745)</f>
        <v>0.25928125782274503</v>
      </c>
    </row>
    <row r="52" spans="1:17" ht="15.75" customHeight="1">
      <c r="A52" s="21" t="s">
        <v>26</v>
      </c>
      <c r="B52" s="15">
        <f>Rendimentos!B2+Rendimentos!B17</f>
        <v>6484.3121951219509</v>
      </c>
      <c r="C52" s="15">
        <f>Rendimentos!C2+Rendimentos!C17</f>
        <v>6592.4621951219506</v>
      </c>
      <c r="D52" s="15">
        <f>Rendimentos!D2+Rendimentos!D17</f>
        <v>6817.9621951219506</v>
      </c>
      <c r="E52" s="15">
        <f>Rendimentos!E2+Rendimentos!E17</f>
        <v>9448.8165040650401</v>
      </c>
      <c r="F52" s="15">
        <f>Rendimentos!F2+Rendimentos!F17</f>
        <v>4762.0125203252028</v>
      </c>
      <c r="G52" s="15">
        <f>Rendimentos!G2+Rendimentos!G17</f>
        <v>7547.6900000000005</v>
      </c>
      <c r="H52" s="15">
        <f>Rendimentos!H2+Rendimentos!H17</f>
        <v>10961.672520325204</v>
      </c>
      <c r="I52" s="15">
        <f>Rendimentos!I2+Rendimentos!I17</f>
        <v>7789.8099999999995</v>
      </c>
      <c r="J52" s="15">
        <f>Rendimentos!J2+Rendimentos!J17</f>
        <v>8990.7430894308945</v>
      </c>
      <c r="K52" s="15">
        <f>Rendimentos!K2+Rendimentos!K17</f>
        <v>8467.053089430894</v>
      </c>
      <c r="L52" s="15">
        <f>Rendimentos!L2+Rendimentos!L17</f>
        <v>8467.053089430894</v>
      </c>
      <c r="M52" s="15">
        <f>Rendimentos!M2+Rendimentos!M17</f>
        <v>8467.053089430894</v>
      </c>
    </row>
    <row r="53" spans="1:17">
      <c r="B53" s="19" t="s">
        <v>3</v>
      </c>
      <c r="C53" s="19" t="s">
        <v>5</v>
      </c>
      <c r="D53" s="19" t="s">
        <v>7</v>
      </c>
      <c r="E53" s="19" t="s">
        <v>9</v>
      </c>
      <c r="F53" s="19" t="s">
        <v>11</v>
      </c>
      <c r="G53" s="19" t="s">
        <v>13</v>
      </c>
      <c r="H53" s="19" t="s">
        <v>14</v>
      </c>
      <c r="I53" s="19" t="s">
        <v>16</v>
      </c>
      <c r="J53" s="19" t="s">
        <v>18</v>
      </c>
      <c r="K53" s="19" t="s">
        <v>19</v>
      </c>
      <c r="L53" s="19" t="s">
        <v>20</v>
      </c>
      <c r="M53" s="19" t="s">
        <v>21</v>
      </c>
    </row>
    <row r="54" spans="1:17" ht="15.75" customHeight="1">
      <c r="A54" s="21" t="s">
        <v>27</v>
      </c>
      <c r="B54" s="6">
        <f ca="1">B50</f>
        <v>7767.9518009978865</v>
      </c>
      <c r="C54" s="6">
        <f ca="1">C50+B50</f>
        <v>17764.189792470279</v>
      </c>
      <c r="D54" s="6">
        <f ca="1">D50+C50+B50</f>
        <v>23154.78229570682</v>
      </c>
      <c r="E54" s="6">
        <f t="shared" ref="E54:M54" ca="1" si="2">SUM($B$50:E50)</f>
        <v>30010.618156283403</v>
      </c>
      <c r="F54" s="6">
        <f t="shared" ca="1" si="2"/>
        <v>35038.429274267721</v>
      </c>
      <c r="G54" s="6">
        <f t="shared" ca="1" si="2"/>
        <v>40220.63844675196</v>
      </c>
      <c r="H54" s="6">
        <f t="shared" ca="1" si="2"/>
        <v>48831.349165542881</v>
      </c>
      <c r="I54" s="6">
        <f t="shared" ca="1" si="2"/>
        <v>56516.379482972276</v>
      </c>
      <c r="J54" s="6">
        <f t="shared" ca="1" si="2"/>
        <v>63903.867055328723</v>
      </c>
      <c r="K54" s="6">
        <f t="shared" ca="1" si="2"/>
        <v>68660.091989730863</v>
      </c>
      <c r="L54" s="6">
        <f t="shared" ca="1" si="2"/>
        <v>73499.348512999088</v>
      </c>
      <c r="M54" s="6">
        <f t="shared" ca="1" si="2"/>
        <v>79524.81031422675</v>
      </c>
    </row>
    <row r="55" spans="1:17" ht="12.5">
      <c r="A55" s="21" t="s">
        <v>28</v>
      </c>
      <c r="B55" s="15">
        <f>B52</f>
        <v>6484.3121951219509</v>
      </c>
      <c r="C55" s="15">
        <f t="shared" ref="C55:M55" si="3">SUM($B$52:C52)</f>
        <v>13076.774390243902</v>
      </c>
      <c r="D55" s="15">
        <f t="shared" si="3"/>
        <v>19894.736585365852</v>
      </c>
      <c r="E55" s="15">
        <f t="shared" si="3"/>
        <v>29343.55308943089</v>
      </c>
      <c r="F55" s="15">
        <f t="shared" si="3"/>
        <v>34105.565609756093</v>
      </c>
      <c r="G55" s="15">
        <f t="shared" si="3"/>
        <v>41653.255609756096</v>
      </c>
      <c r="H55" s="15">
        <f t="shared" si="3"/>
        <v>52614.928130081302</v>
      </c>
      <c r="I55" s="15">
        <f t="shared" si="3"/>
        <v>60404.738130081299</v>
      </c>
      <c r="J55" s="15">
        <f t="shared" si="3"/>
        <v>69395.481219512192</v>
      </c>
      <c r="K55" s="15">
        <f t="shared" si="3"/>
        <v>77862.534308943083</v>
      </c>
      <c r="L55" s="15">
        <f t="shared" si="3"/>
        <v>86329.587398373973</v>
      </c>
      <c r="M55" s="15">
        <f t="shared" si="3"/>
        <v>94796.640487804863</v>
      </c>
    </row>
    <row r="57" spans="1:17" ht="13">
      <c r="A57" s="12" t="s">
        <v>29</v>
      </c>
      <c r="B57" s="14" t="s">
        <v>30</v>
      </c>
      <c r="C57" s="14" t="s">
        <v>2</v>
      </c>
      <c r="E57" s="12"/>
    </row>
    <row r="59" spans="1:17" ht="12.5">
      <c r="A59" s="15" t="s">
        <v>31</v>
      </c>
      <c r="B59" s="5" t="s">
        <v>32</v>
      </c>
      <c r="C59" s="16" t="str">
        <f ca="1">IFERROR(VLOOKUP(A59,$A$18:$O$48,15,FALSE),"---")</f>
        <v>---</v>
      </c>
    </row>
    <row r="60" spans="1:17" ht="12.5">
      <c r="A60" s="15" t="s">
        <v>33</v>
      </c>
      <c r="B60" s="5" t="s">
        <v>34</v>
      </c>
      <c r="C60" s="16" t="str">
        <f ca="1">IFERROR(VLOOKUP(A60,$A$18:$O$48,15,FALSE),"---")</f>
        <v>---</v>
      </c>
    </row>
    <row r="61" spans="1:17" ht="12.5">
      <c r="A61" s="15" t="s">
        <v>35</v>
      </c>
      <c r="B61" s="5" t="s">
        <v>34</v>
      </c>
      <c r="C61" s="16" t="str">
        <f t="shared" ref="C59:C88" ca="1" si="4">IFERROR(VLOOKUP(A61,$A$18:$O$48,15,FALSE),"---")</f>
        <v>---</v>
      </c>
    </row>
    <row r="62" spans="1:17" ht="12.5">
      <c r="A62" s="15" t="s">
        <v>36</v>
      </c>
      <c r="B62" s="5" t="s">
        <v>34</v>
      </c>
      <c r="C62" s="16" t="str">
        <f t="shared" ca="1" si="4"/>
        <v>---</v>
      </c>
    </row>
    <row r="63" spans="1:17" ht="12.5">
      <c r="A63" s="15" t="s">
        <v>37</v>
      </c>
      <c r="B63" s="5" t="s">
        <v>34</v>
      </c>
      <c r="C63" s="16" t="str">
        <f t="shared" ca="1" si="4"/>
        <v>---</v>
      </c>
      <c r="O63" s="20"/>
      <c r="P63" s="16"/>
      <c r="Q63" s="17"/>
    </row>
    <row r="64" spans="1:17" ht="12.5">
      <c r="A64" s="15" t="s">
        <v>38</v>
      </c>
      <c r="B64" s="5" t="s">
        <v>34</v>
      </c>
      <c r="C64" s="16" t="str">
        <f t="shared" ca="1" si="4"/>
        <v>---</v>
      </c>
    </row>
    <row r="65" spans="1:3" ht="12.5">
      <c r="A65" s="15" t="s">
        <v>39</v>
      </c>
      <c r="B65" s="5" t="s">
        <v>34</v>
      </c>
      <c r="C65" s="16" t="str">
        <f t="shared" ca="1" si="4"/>
        <v>---</v>
      </c>
    </row>
    <row r="66" spans="1:3" ht="12.5">
      <c r="A66" s="15" t="s">
        <v>40</v>
      </c>
      <c r="B66" s="5" t="s">
        <v>32</v>
      </c>
      <c r="C66" s="16" t="str">
        <f t="shared" ca="1" si="4"/>
        <v>---</v>
      </c>
    </row>
    <row r="67" spans="1:3" ht="12.5">
      <c r="A67" s="15" t="s">
        <v>41</v>
      </c>
      <c r="B67" s="5" t="s">
        <v>32</v>
      </c>
      <c r="C67" s="16" t="str">
        <f t="shared" ca="1" si="4"/>
        <v>---</v>
      </c>
    </row>
    <row r="68" spans="1:3" ht="12.5">
      <c r="A68" s="15" t="s">
        <v>42</v>
      </c>
      <c r="B68" s="5" t="s">
        <v>34</v>
      </c>
      <c r="C68" s="16" t="str">
        <f t="shared" ca="1" si="4"/>
        <v>---</v>
      </c>
    </row>
    <row r="69" spans="1:3" ht="12.5">
      <c r="A69" s="15" t="s">
        <v>43</v>
      </c>
      <c r="B69" s="5" t="s">
        <v>32</v>
      </c>
      <c r="C69" s="16" t="str">
        <f t="shared" ca="1" si="4"/>
        <v>---</v>
      </c>
    </row>
    <row r="70" spans="1:3" ht="12.5">
      <c r="A70" s="15" t="s">
        <v>44</v>
      </c>
      <c r="B70" s="5" t="s">
        <v>32</v>
      </c>
      <c r="C70" s="16" t="str">
        <f t="shared" ca="1" si="4"/>
        <v>---</v>
      </c>
    </row>
    <row r="71" spans="1:3" ht="12.5">
      <c r="A71" s="15" t="s">
        <v>45</v>
      </c>
      <c r="B71" s="5" t="s">
        <v>32</v>
      </c>
      <c r="C71" s="16" t="str">
        <f t="shared" ca="1" si="4"/>
        <v>---</v>
      </c>
    </row>
    <row r="72" spans="1:3" ht="12.5">
      <c r="A72" s="15" t="s">
        <v>46</v>
      </c>
      <c r="B72" s="5" t="s">
        <v>32</v>
      </c>
      <c r="C72" s="16" t="str">
        <f t="shared" ca="1" si="4"/>
        <v>---</v>
      </c>
    </row>
    <row r="73" spans="1:3" ht="12.5">
      <c r="A73" s="15" t="s">
        <v>47</v>
      </c>
      <c r="B73" s="5" t="s">
        <v>32</v>
      </c>
      <c r="C73" s="16" t="str">
        <f t="shared" ca="1" si="4"/>
        <v>---</v>
      </c>
    </row>
    <row r="74" spans="1:3" ht="12.5">
      <c r="A74" s="15" t="s">
        <v>48</v>
      </c>
      <c r="B74" s="5" t="s">
        <v>32</v>
      </c>
      <c r="C74" s="16" t="str">
        <f t="shared" ca="1" si="4"/>
        <v>---</v>
      </c>
    </row>
    <row r="75" spans="1:3" ht="12.5">
      <c r="A75" s="15" t="s">
        <v>49</v>
      </c>
      <c r="B75" s="5" t="s">
        <v>32</v>
      </c>
      <c r="C75" s="16" t="str">
        <f t="shared" ca="1" si="4"/>
        <v>---</v>
      </c>
    </row>
    <row r="76" spans="1:3" ht="12.5">
      <c r="A76" s="15" t="s">
        <v>50</v>
      </c>
      <c r="B76" s="5" t="s">
        <v>34</v>
      </c>
      <c r="C76" s="16" t="str">
        <f t="shared" ca="1" si="4"/>
        <v>---</v>
      </c>
    </row>
    <row r="77" spans="1:3" ht="12.5">
      <c r="A77" s="15" t="s">
        <v>51</v>
      </c>
      <c r="B77" s="5" t="s">
        <v>32</v>
      </c>
      <c r="C77" s="16" t="str">
        <f t="shared" ca="1" si="4"/>
        <v>---</v>
      </c>
    </row>
    <row r="78" spans="1:3" ht="12.5">
      <c r="A78" s="5" t="s">
        <v>52</v>
      </c>
      <c r="B78" s="5" t="s">
        <v>32</v>
      </c>
      <c r="C78" s="16" t="str">
        <f t="shared" ca="1" si="4"/>
        <v>---</v>
      </c>
    </row>
    <row r="79" spans="1:3" ht="12.5">
      <c r="C79" s="16" t="str">
        <f t="shared" ca="1" si="4"/>
        <v>---</v>
      </c>
    </row>
    <row r="80" spans="1:3" ht="12.5">
      <c r="C80" s="16" t="str">
        <f t="shared" ca="1" si="4"/>
        <v>---</v>
      </c>
    </row>
    <row r="81" spans="3:4" ht="12.5">
      <c r="C81" s="16" t="str">
        <f t="shared" ca="1" si="4"/>
        <v>---</v>
      </c>
    </row>
    <row r="82" spans="3:4" ht="12.5">
      <c r="C82" s="16" t="str">
        <f t="shared" ca="1" si="4"/>
        <v>---</v>
      </c>
    </row>
    <row r="83" spans="3:4" ht="12.5">
      <c r="C83" s="16" t="str">
        <f t="shared" ca="1" si="4"/>
        <v>---</v>
      </c>
    </row>
    <row r="84" spans="3:4" ht="12.5">
      <c r="C84" s="16" t="str">
        <f t="shared" ca="1" si="4"/>
        <v>---</v>
      </c>
    </row>
    <row r="85" spans="3:4" ht="12.5">
      <c r="C85" s="16" t="str">
        <f t="shared" ca="1" si="4"/>
        <v>---</v>
      </c>
    </row>
    <row r="86" spans="3:4" ht="12.5">
      <c r="C86" s="16" t="str">
        <f t="shared" ca="1" si="4"/>
        <v>---</v>
      </c>
    </row>
    <row r="87" spans="3:4" ht="12.5">
      <c r="C87" s="16" t="str">
        <f t="shared" ca="1" si="4"/>
        <v>---</v>
      </c>
    </row>
    <row r="88" spans="3:4" ht="12.5">
      <c r="C88" s="16" t="str">
        <f t="shared" ca="1" si="4"/>
        <v>---</v>
      </c>
    </row>
    <row r="89" spans="3:4" ht="12.5">
      <c r="D89" s="20"/>
    </row>
    <row r="90" spans="3:4" ht="12.5">
      <c r="D90" s="20"/>
    </row>
    <row r="91" spans="3:4" ht="12.5">
      <c r="D91" s="20"/>
    </row>
    <row r="92" spans="3:4" ht="12.5">
      <c r="D92" s="20"/>
    </row>
    <row r="93" spans="3:4" ht="12.5">
      <c r="D93" s="20"/>
    </row>
    <row r="94" spans="3:4" ht="12.5">
      <c r="D94" s="20"/>
    </row>
    <row r="95" spans="3:4" ht="12.5">
      <c r="D95" s="20"/>
    </row>
    <row r="96" spans="3:4" ht="12.5">
      <c r="D96" s="20"/>
    </row>
    <row r="97" spans="4:4" ht="12.5">
      <c r="D97" s="20"/>
    </row>
    <row r="98" spans="4:4" ht="12.5">
      <c r="D98" s="20"/>
    </row>
    <row r="99" spans="4:4" ht="12.5">
      <c r="D99" s="20"/>
    </row>
  </sheetData>
  <conditionalFormatting sqref="B18:M48">
    <cfRule type="colorScale" priority="1">
      <colorScale>
        <cfvo type="formula" val="0"/>
        <cfvo type="formula" val="1200"/>
        <cfvo type="formula" val="2000"/>
        <color rgb="FFFFFFFF"/>
        <color rgb="FFFFE599"/>
        <color rgb="FFE67C73"/>
      </colorScale>
    </cfRule>
    <cfRule type="cellIs" dxfId="27" priority="2" operator="equal">
      <formula>0</formula>
    </cfRule>
  </conditionalFormatting>
  <conditionalFormatting sqref="Q18:Q50">
    <cfRule type="colorScale" priority="3">
      <colorScale>
        <cfvo type="formula" val="0"/>
        <cfvo type="formula" val="0.5"/>
        <cfvo type="formula" val="0.6"/>
        <color rgb="FFD9EAD3"/>
        <color rgb="FFFFE599"/>
        <color rgb="FFE67C73"/>
      </colorScale>
    </cfRule>
  </conditionalFormatting>
  <dataValidations count="1">
    <dataValidation type="list" allowBlank="1" showErrorMessage="1" sqref="B59:B78" xr:uid="{00000000-0002-0000-0000-000000000000}">
      <formula1>"Discricionário,Fixo"</formula1>
    </dataValidation>
  </dataValidation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6D9EEB"/>
    <outlinePr summaryBelow="0" summaryRight="0"/>
  </sheetPr>
  <dimension ref="A1:J100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2.6328125" defaultRowHeight="15.75" customHeight="1"/>
  <cols>
    <col min="1" max="1" width="18.08984375" customWidth="1"/>
    <col min="2" max="2" width="30.36328125" customWidth="1"/>
    <col min="3" max="3" width="22.36328125" customWidth="1"/>
    <col min="4" max="4" width="60.90625" customWidth="1"/>
    <col min="5" max="5" width="12.7265625" customWidth="1"/>
    <col min="6" max="6" width="44.90625" customWidth="1"/>
    <col min="7" max="7" width="6.90625" customWidth="1"/>
    <col min="9" max="9" width="43.08984375" customWidth="1"/>
  </cols>
  <sheetData>
    <row r="1" spans="1:10">
      <c r="A1" s="77" t="s">
        <v>277</v>
      </c>
      <c r="B1" s="14" t="s">
        <v>103</v>
      </c>
      <c r="C1" s="72" t="s">
        <v>104</v>
      </c>
      <c r="D1" s="14" t="s">
        <v>105</v>
      </c>
      <c r="E1" s="14" t="s">
        <v>106</v>
      </c>
      <c r="F1" s="12"/>
      <c r="H1" s="12"/>
      <c r="I1" s="12"/>
    </row>
    <row r="2" spans="1:10" ht="15.75" customHeight="1">
      <c r="A2" s="74">
        <v>45122</v>
      </c>
      <c r="B2" s="32" t="s">
        <v>40</v>
      </c>
      <c r="C2" s="75">
        <v>290.81678575606151</v>
      </c>
      <c r="D2" s="32" t="s">
        <v>278</v>
      </c>
      <c r="E2" s="32" t="s">
        <v>64</v>
      </c>
      <c r="F2" s="5"/>
      <c r="G2" s="5"/>
      <c r="H2" s="15"/>
      <c r="I2" s="5"/>
      <c r="J2" s="5"/>
    </row>
    <row r="3" spans="1:10" ht="15.75" customHeight="1">
      <c r="A3" s="74">
        <v>45129</v>
      </c>
      <c r="B3" s="38" t="s">
        <v>48</v>
      </c>
      <c r="C3" s="75">
        <v>211.53769248724245</v>
      </c>
      <c r="D3" s="32" t="s">
        <v>279</v>
      </c>
      <c r="E3" s="32" t="s">
        <v>65</v>
      </c>
      <c r="F3" s="5"/>
      <c r="G3" s="5"/>
      <c r="H3" s="15"/>
      <c r="I3" s="5"/>
      <c r="J3" s="5"/>
    </row>
    <row r="4" spans="1:10" ht="15.75" customHeight="1">
      <c r="A4" s="74">
        <v>45125</v>
      </c>
      <c r="B4" s="38" t="s">
        <v>51</v>
      </c>
      <c r="C4" s="75">
        <v>511.01003970490603</v>
      </c>
      <c r="D4" s="32" t="s">
        <v>280</v>
      </c>
      <c r="E4" s="32" t="s">
        <v>65</v>
      </c>
      <c r="F4" s="5"/>
      <c r="G4" s="5"/>
      <c r="H4" s="15"/>
      <c r="I4" s="5"/>
      <c r="J4" s="5"/>
    </row>
    <row r="5" spans="1:10" ht="15.75" customHeight="1">
      <c r="A5" s="74">
        <v>45111</v>
      </c>
      <c r="B5" s="38" t="s">
        <v>48</v>
      </c>
      <c r="C5" s="75">
        <v>144.00088921755517</v>
      </c>
      <c r="D5" s="32" t="s">
        <v>281</v>
      </c>
      <c r="E5" s="32" t="s">
        <v>64</v>
      </c>
      <c r="F5" s="5"/>
      <c r="G5" s="5"/>
      <c r="H5" s="15"/>
      <c r="I5" s="5"/>
      <c r="J5" s="5"/>
    </row>
    <row r="6" spans="1:10" ht="15.75" customHeight="1">
      <c r="A6" s="74">
        <v>45115</v>
      </c>
      <c r="B6" s="38" t="s">
        <v>42</v>
      </c>
      <c r="C6" s="75">
        <v>583.28546036860007</v>
      </c>
      <c r="D6" s="32" t="s">
        <v>282</v>
      </c>
      <c r="E6" s="32" t="s">
        <v>65</v>
      </c>
      <c r="F6" s="5"/>
      <c r="G6" s="5"/>
      <c r="H6" s="15"/>
      <c r="I6" s="5"/>
      <c r="J6" s="5"/>
    </row>
    <row r="7" spans="1:10" ht="15.75" customHeight="1">
      <c r="A7" s="74">
        <v>45123</v>
      </c>
      <c r="B7" s="38" t="s">
        <v>43</v>
      </c>
      <c r="C7" s="75">
        <v>55.451793731654547</v>
      </c>
      <c r="D7" s="32" t="s">
        <v>283</v>
      </c>
      <c r="E7" s="32" t="s">
        <v>64</v>
      </c>
      <c r="F7" s="5"/>
      <c r="G7" s="5"/>
      <c r="H7" s="15"/>
      <c r="I7" s="5"/>
      <c r="J7" s="5"/>
    </row>
    <row r="8" spans="1:10" ht="15.75" customHeight="1">
      <c r="A8" s="74">
        <v>45112</v>
      </c>
      <c r="B8" s="38" t="s">
        <v>47</v>
      </c>
      <c r="C8" s="75">
        <v>382.38570639507884</v>
      </c>
      <c r="D8" s="32" t="s">
        <v>284</v>
      </c>
      <c r="E8" s="32" t="s">
        <v>64</v>
      </c>
      <c r="F8" s="5"/>
      <c r="G8" s="5"/>
      <c r="H8" s="15"/>
      <c r="I8" s="5"/>
      <c r="J8" s="5"/>
    </row>
    <row r="9" spans="1:10" ht="15.75" customHeight="1">
      <c r="A9" s="74">
        <v>45133</v>
      </c>
      <c r="B9" s="38" t="s">
        <v>39</v>
      </c>
      <c r="C9" s="75">
        <v>41.248052062226975</v>
      </c>
      <c r="D9" s="32" t="s">
        <v>285</v>
      </c>
      <c r="E9" s="32" t="s">
        <v>65</v>
      </c>
      <c r="F9" s="5"/>
      <c r="G9" s="5"/>
      <c r="H9" s="15"/>
      <c r="I9" s="5"/>
      <c r="J9" s="5"/>
    </row>
    <row r="10" spans="1:10" ht="15.75" customHeight="1">
      <c r="A10" s="74">
        <v>45113</v>
      </c>
      <c r="B10" s="38" t="s">
        <v>37</v>
      </c>
      <c r="C10" s="75">
        <v>412.25929548454849</v>
      </c>
      <c r="D10" s="32" t="s">
        <v>286</v>
      </c>
      <c r="E10" s="32" t="s">
        <v>65</v>
      </c>
      <c r="F10" s="5"/>
      <c r="G10" s="5"/>
      <c r="H10" s="15"/>
      <c r="I10" s="5"/>
      <c r="J10" s="5"/>
    </row>
    <row r="11" spans="1:10" ht="15.75" customHeight="1">
      <c r="A11" s="74">
        <v>45130</v>
      </c>
      <c r="B11" s="32" t="s">
        <v>49</v>
      </c>
      <c r="C11" s="75">
        <v>132.34202596513879</v>
      </c>
      <c r="D11" s="32" t="s">
        <v>287</v>
      </c>
      <c r="E11" s="32" t="s">
        <v>65</v>
      </c>
      <c r="F11" s="5"/>
      <c r="G11" s="5"/>
      <c r="H11" s="15"/>
      <c r="I11" s="5"/>
      <c r="J11" s="5"/>
    </row>
    <row r="12" spans="1:10" ht="15.75" customHeight="1">
      <c r="A12" s="74">
        <v>45133</v>
      </c>
      <c r="B12" s="32" t="s">
        <v>47</v>
      </c>
      <c r="C12" s="75">
        <v>386.28001977533637</v>
      </c>
      <c r="D12" s="32" t="s">
        <v>288</v>
      </c>
      <c r="E12" s="32" t="s">
        <v>64</v>
      </c>
      <c r="F12" s="5"/>
      <c r="G12" s="5"/>
      <c r="H12" s="15"/>
      <c r="I12" s="5"/>
      <c r="J12" s="5"/>
    </row>
    <row r="13" spans="1:10" ht="15.75" customHeight="1">
      <c r="A13" s="74">
        <v>45133</v>
      </c>
      <c r="B13" s="32" t="s">
        <v>47</v>
      </c>
      <c r="C13" s="75">
        <v>61.584490610718184</v>
      </c>
      <c r="D13" s="32" t="s">
        <v>288</v>
      </c>
      <c r="E13" s="32" t="s">
        <v>65</v>
      </c>
      <c r="F13" s="5"/>
      <c r="G13" s="5"/>
      <c r="H13" s="15"/>
      <c r="I13" s="5"/>
      <c r="J13" s="5"/>
    </row>
    <row r="14" spans="1:10" ht="15.75" customHeight="1">
      <c r="A14" s="74">
        <v>45111</v>
      </c>
      <c r="B14" s="32" t="s">
        <v>52</v>
      </c>
      <c r="C14" s="75">
        <v>10.843680161752514</v>
      </c>
      <c r="D14" s="32" t="s">
        <v>289</v>
      </c>
      <c r="E14" s="32" t="s">
        <v>65</v>
      </c>
      <c r="F14" s="5"/>
      <c r="G14" s="5"/>
      <c r="H14" s="15"/>
      <c r="I14" s="5"/>
      <c r="J14" s="5"/>
    </row>
    <row r="15" spans="1:10" ht="15.75" customHeight="1">
      <c r="A15" s="74">
        <v>45115</v>
      </c>
      <c r="B15" s="32" t="s">
        <v>38</v>
      </c>
      <c r="C15" s="75">
        <v>33.672301916796975</v>
      </c>
      <c r="D15" s="32" t="s">
        <v>290</v>
      </c>
      <c r="E15" s="32" t="s">
        <v>65</v>
      </c>
      <c r="F15" s="5"/>
      <c r="G15" s="5"/>
      <c r="H15" s="15"/>
      <c r="I15" s="5"/>
      <c r="J15" s="5"/>
    </row>
    <row r="16" spans="1:10" ht="15.75" customHeight="1">
      <c r="A16" s="74">
        <v>45109</v>
      </c>
      <c r="B16" s="32" t="s">
        <v>51</v>
      </c>
      <c r="C16" s="75">
        <v>317.2611773844182</v>
      </c>
      <c r="D16" s="32" t="s">
        <v>291</v>
      </c>
      <c r="E16" s="32" t="s">
        <v>65</v>
      </c>
      <c r="F16" s="5"/>
      <c r="G16" s="5"/>
      <c r="H16" s="15"/>
      <c r="I16" s="5"/>
      <c r="J16" s="5"/>
    </row>
    <row r="17" spans="1:10" ht="15.75" customHeight="1">
      <c r="A17" s="74">
        <v>45128</v>
      </c>
      <c r="B17" s="38" t="s">
        <v>50</v>
      </c>
      <c r="C17" s="75">
        <v>415.06238103752122</v>
      </c>
      <c r="D17" s="32" t="s">
        <v>292</v>
      </c>
      <c r="E17" s="32" t="s">
        <v>65</v>
      </c>
      <c r="F17" s="5"/>
      <c r="G17" s="5"/>
      <c r="H17" s="15"/>
      <c r="I17" s="5"/>
      <c r="J17" s="5"/>
    </row>
    <row r="18" spans="1:10" ht="15.75" customHeight="1">
      <c r="A18" s="74">
        <v>45121</v>
      </c>
      <c r="B18" s="32" t="s">
        <v>41</v>
      </c>
      <c r="C18" s="75">
        <v>151.58742986558153</v>
      </c>
      <c r="D18" s="32" t="s">
        <v>293</v>
      </c>
      <c r="E18" s="32" t="s">
        <v>64</v>
      </c>
      <c r="F18" s="5"/>
      <c r="G18" s="5"/>
      <c r="H18" s="15"/>
      <c r="I18" s="5"/>
      <c r="J18" s="5"/>
    </row>
    <row r="19" spans="1:10" ht="15.75" customHeight="1">
      <c r="A19" s="74">
        <v>45112</v>
      </c>
      <c r="B19" s="32" t="s">
        <v>41</v>
      </c>
      <c r="C19" s="75">
        <v>537.71098316940004</v>
      </c>
      <c r="D19" s="32" t="s">
        <v>294</v>
      </c>
      <c r="E19" s="32" t="s">
        <v>64</v>
      </c>
      <c r="F19" s="5"/>
      <c r="G19" s="5"/>
      <c r="H19" s="15"/>
      <c r="I19" s="5"/>
      <c r="J19" s="5"/>
    </row>
    <row r="20" spans="1:10" ht="15.75" customHeight="1">
      <c r="A20" s="74">
        <v>45128</v>
      </c>
      <c r="B20" s="32" t="s">
        <v>36</v>
      </c>
      <c r="C20" s="75">
        <v>351.14103816777885</v>
      </c>
      <c r="D20" s="32" t="s">
        <v>295</v>
      </c>
      <c r="E20" s="32" t="s">
        <v>65</v>
      </c>
      <c r="F20" s="5"/>
      <c r="G20" s="5"/>
      <c r="H20" s="15"/>
      <c r="I20" s="5"/>
      <c r="J20" s="5"/>
    </row>
    <row r="21" spans="1:10" ht="15.75" customHeight="1">
      <c r="A21" s="74">
        <v>45133</v>
      </c>
      <c r="B21" s="32" t="s">
        <v>47</v>
      </c>
      <c r="C21" s="75">
        <v>291.69095072063004</v>
      </c>
      <c r="D21" s="32" t="s">
        <v>288</v>
      </c>
      <c r="E21" s="32" t="s">
        <v>64</v>
      </c>
      <c r="F21" s="5"/>
      <c r="G21" s="5"/>
      <c r="H21" s="15"/>
      <c r="I21" s="5"/>
      <c r="J21" s="5"/>
    </row>
    <row r="22" spans="1:10" ht="15.75" customHeight="1">
      <c r="A22" s="74">
        <v>45108</v>
      </c>
      <c r="B22" s="32" t="s">
        <v>52</v>
      </c>
      <c r="C22" s="75">
        <v>230.95026770672214</v>
      </c>
      <c r="D22" s="32" t="s">
        <v>296</v>
      </c>
      <c r="E22" s="32" t="s">
        <v>65</v>
      </c>
      <c r="F22" s="5"/>
      <c r="G22" s="5"/>
      <c r="H22" s="15"/>
      <c r="I22" s="5"/>
      <c r="J22" s="5"/>
    </row>
    <row r="23" spans="1:10" ht="15.75" customHeight="1">
      <c r="A23" s="74">
        <v>45129</v>
      </c>
      <c r="B23" s="38" t="s">
        <v>48</v>
      </c>
      <c r="C23" s="75">
        <v>137.09459961852031</v>
      </c>
      <c r="D23" s="32" t="s">
        <v>279</v>
      </c>
      <c r="E23" s="32" t="s">
        <v>64</v>
      </c>
      <c r="F23" s="5"/>
      <c r="G23" s="5"/>
      <c r="H23" s="15"/>
      <c r="I23" s="5"/>
      <c r="J23" s="5"/>
    </row>
    <row r="24" spans="1:10" ht="15.75" customHeight="1">
      <c r="A24" s="74">
        <v>45113</v>
      </c>
      <c r="B24" s="32" t="s">
        <v>35</v>
      </c>
      <c r="C24" s="75">
        <v>96.193166642832736</v>
      </c>
      <c r="D24" s="32" t="s">
        <v>297</v>
      </c>
      <c r="E24" s="32" t="s">
        <v>65</v>
      </c>
      <c r="F24" s="5"/>
      <c r="G24" s="5"/>
      <c r="H24" s="15"/>
      <c r="I24" s="5"/>
      <c r="J24" s="5"/>
    </row>
    <row r="25" spans="1:10" ht="15.75" customHeight="1">
      <c r="A25" s="74">
        <v>45115</v>
      </c>
      <c r="B25" s="38" t="s">
        <v>37</v>
      </c>
      <c r="C25" s="75">
        <v>465.82123364276669</v>
      </c>
      <c r="D25" s="32" t="s">
        <v>298</v>
      </c>
      <c r="E25" s="32" t="s">
        <v>65</v>
      </c>
      <c r="F25" s="5"/>
      <c r="G25" s="5"/>
      <c r="H25" s="15"/>
      <c r="I25" s="5"/>
      <c r="J25" s="5"/>
    </row>
    <row r="26" spans="1:10" ht="15.75" customHeight="1">
      <c r="A26" s="74">
        <v>45123</v>
      </c>
      <c r="B26" s="38" t="s">
        <v>51</v>
      </c>
      <c r="C26" s="75">
        <v>397.44188939818491</v>
      </c>
      <c r="D26" s="32" t="s">
        <v>299</v>
      </c>
      <c r="E26" s="32" t="s">
        <v>64</v>
      </c>
      <c r="F26" s="5"/>
      <c r="G26" s="5"/>
      <c r="H26" s="15"/>
      <c r="I26" s="5"/>
      <c r="J26" s="5"/>
    </row>
    <row r="27" spans="1:10" ht="15.75" customHeight="1">
      <c r="A27" s="74">
        <v>45119</v>
      </c>
      <c r="B27" s="38" t="s">
        <v>33</v>
      </c>
      <c r="C27" s="75">
        <v>563.43809238429401</v>
      </c>
      <c r="D27" s="32" t="s">
        <v>300</v>
      </c>
      <c r="E27" s="32" t="s">
        <v>64</v>
      </c>
      <c r="F27" s="5"/>
      <c r="G27" s="5"/>
      <c r="H27" s="15"/>
      <c r="I27" s="5"/>
      <c r="J27" s="5"/>
    </row>
    <row r="28" spans="1:10" ht="15.75" customHeight="1">
      <c r="A28" s="74">
        <v>45129</v>
      </c>
      <c r="B28" s="38" t="s">
        <v>50</v>
      </c>
      <c r="C28" s="75">
        <v>508.11806190715458</v>
      </c>
      <c r="D28" s="32" t="s">
        <v>301</v>
      </c>
      <c r="E28" s="32" t="s">
        <v>65</v>
      </c>
      <c r="F28" s="5"/>
      <c r="G28" s="5"/>
      <c r="H28" s="15"/>
      <c r="I28" s="5"/>
      <c r="J28" s="5"/>
    </row>
    <row r="29" spans="1:10" ht="15.75" customHeight="1">
      <c r="A29" s="74">
        <v>45123</v>
      </c>
      <c r="B29" s="38" t="s">
        <v>51</v>
      </c>
      <c r="C29" s="75">
        <v>87.815846094050613</v>
      </c>
      <c r="D29" s="32" t="s">
        <v>299</v>
      </c>
      <c r="E29" s="32" t="s">
        <v>65</v>
      </c>
      <c r="F29" s="5"/>
      <c r="G29" s="5"/>
      <c r="H29" s="15"/>
      <c r="I29" s="5"/>
      <c r="J29" s="5"/>
    </row>
    <row r="30" spans="1:10" ht="15.75" customHeight="1">
      <c r="A30" s="74">
        <v>45127</v>
      </c>
      <c r="B30" s="32" t="s">
        <v>39</v>
      </c>
      <c r="C30" s="75">
        <v>506.49791408184245</v>
      </c>
      <c r="D30" s="32" t="s">
        <v>302</v>
      </c>
      <c r="E30" s="32" t="s">
        <v>65</v>
      </c>
      <c r="F30" s="5"/>
      <c r="G30" s="5"/>
      <c r="H30" s="15"/>
      <c r="I30" s="5"/>
      <c r="J30" s="5"/>
    </row>
    <row r="31" spans="1:10" ht="15.75" customHeight="1">
      <c r="A31" s="74">
        <v>45135</v>
      </c>
      <c r="B31" s="32" t="s">
        <v>52</v>
      </c>
      <c r="C31" s="75">
        <v>296.16745333162726</v>
      </c>
      <c r="D31" s="32" t="s">
        <v>303</v>
      </c>
      <c r="E31" s="32" t="s">
        <v>65</v>
      </c>
      <c r="F31" s="5"/>
      <c r="G31" s="5"/>
      <c r="H31" s="15"/>
      <c r="I31" s="5"/>
      <c r="J31" s="5"/>
    </row>
    <row r="32" spans="1:10" ht="15.75" customHeight="1">
      <c r="A32" s="76"/>
      <c r="B32" s="5"/>
      <c r="C32" s="16"/>
      <c r="E32" s="5"/>
      <c r="H32" s="15"/>
    </row>
    <row r="33" spans="1:9" ht="15.75" customHeight="1">
      <c r="A33" s="76"/>
      <c r="B33" s="5"/>
      <c r="C33" s="16"/>
      <c r="E33" s="5"/>
      <c r="H33" s="15"/>
    </row>
    <row r="34" spans="1:9" ht="15.75" customHeight="1">
      <c r="A34" s="76"/>
      <c r="B34" s="5"/>
      <c r="C34" s="16"/>
      <c r="E34" s="5"/>
      <c r="H34" s="15"/>
    </row>
    <row r="35" spans="1:9" ht="15.75" customHeight="1">
      <c r="A35" s="76"/>
      <c r="B35" s="5"/>
      <c r="C35" s="16"/>
      <c r="E35" s="5"/>
      <c r="H35" s="15"/>
    </row>
    <row r="36" spans="1:9" ht="15.75" customHeight="1">
      <c r="A36" s="76"/>
      <c r="B36" s="5"/>
      <c r="C36" s="16"/>
      <c r="E36" s="5"/>
      <c r="H36" s="15"/>
    </row>
    <row r="37" spans="1:9" ht="15.75" customHeight="1">
      <c r="A37" s="76"/>
      <c r="B37" s="5"/>
      <c r="C37" s="16"/>
      <c r="E37" s="5"/>
      <c r="H37" s="15"/>
    </row>
    <row r="38" spans="1:9" ht="15.75" customHeight="1">
      <c r="A38" s="76"/>
      <c r="B38" s="5"/>
      <c r="C38" s="16"/>
      <c r="E38" s="5"/>
      <c r="H38" s="15"/>
    </row>
    <row r="39" spans="1:9" ht="15.75" customHeight="1">
      <c r="A39" s="76"/>
      <c r="B39" s="5"/>
      <c r="C39" s="16"/>
      <c r="E39" s="5"/>
      <c r="H39" s="15"/>
    </row>
    <row r="40" spans="1:9" ht="15.75" customHeight="1">
      <c r="A40" s="76"/>
      <c r="B40" s="15"/>
      <c r="C40" s="16"/>
      <c r="D40" s="80"/>
      <c r="E40" s="5"/>
      <c r="H40" s="15"/>
    </row>
    <row r="41" spans="1:9" ht="15.75" customHeight="1">
      <c r="A41" s="76"/>
      <c r="B41" s="15"/>
      <c r="C41" s="16"/>
      <c r="E41" s="5"/>
      <c r="H41" s="15"/>
    </row>
    <row r="42" spans="1:9" ht="15.75" customHeight="1">
      <c r="A42" s="76"/>
      <c r="B42" s="15"/>
      <c r="C42" s="16"/>
      <c r="E42" s="5"/>
      <c r="H42" s="15"/>
    </row>
    <row r="43" spans="1:9" ht="15.75" customHeight="1">
      <c r="A43" s="76"/>
      <c r="B43" s="15"/>
      <c r="C43" s="16"/>
      <c r="E43" s="5"/>
      <c r="H43" s="15"/>
    </row>
    <row r="44" spans="1:9" ht="15.75" customHeight="1">
      <c r="A44" s="76"/>
      <c r="B44" s="5"/>
      <c r="C44" s="16"/>
      <c r="E44" s="5"/>
      <c r="F44" s="32"/>
      <c r="H44" s="15"/>
      <c r="I44" s="5"/>
    </row>
    <row r="45" spans="1:9" ht="15.75" customHeight="1">
      <c r="A45" s="76"/>
      <c r="B45" s="15"/>
      <c r="C45" s="16"/>
      <c r="E45" s="5"/>
      <c r="F45" s="32"/>
      <c r="H45" s="15"/>
      <c r="I45" s="5"/>
    </row>
    <row r="46" spans="1:9" ht="15.75" customHeight="1">
      <c r="A46" s="76"/>
      <c r="B46" s="15"/>
      <c r="C46" s="16"/>
      <c r="E46" s="5"/>
      <c r="F46" s="32"/>
      <c r="H46" s="15"/>
    </row>
    <row r="47" spans="1:9" ht="15.75" customHeight="1">
      <c r="A47" s="76"/>
      <c r="B47" s="15"/>
      <c r="C47" s="16"/>
      <c r="E47" s="5"/>
      <c r="H47" s="15"/>
    </row>
    <row r="48" spans="1:9" ht="15.75" customHeight="1">
      <c r="A48" s="76"/>
      <c r="B48" s="15"/>
      <c r="C48" s="16"/>
      <c r="E48" s="5"/>
      <c r="H48" s="15"/>
    </row>
    <row r="49" spans="1:8" ht="15.75" customHeight="1">
      <c r="A49" s="76"/>
      <c r="B49" s="15"/>
      <c r="C49" s="16"/>
      <c r="E49" s="5"/>
      <c r="H49" s="15"/>
    </row>
    <row r="50" spans="1:8" ht="15.75" customHeight="1">
      <c r="A50" s="76"/>
      <c r="B50" s="15"/>
      <c r="C50" s="16"/>
      <c r="E50" s="5"/>
      <c r="H50" s="15"/>
    </row>
    <row r="51" spans="1:8" ht="15.75" customHeight="1">
      <c r="A51" s="76"/>
      <c r="B51" s="5"/>
      <c r="C51" s="16"/>
      <c r="E51" s="5"/>
      <c r="H51" s="15"/>
    </row>
    <row r="52" spans="1:8" ht="15.75" customHeight="1">
      <c r="A52" s="76"/>
      <c r="B52" s="15"/>
      <c r="C52" s="16"/>
      <c r="E52" s="5"/>
      <c r="H52" s="15"/>
    </row>
    <row r="53" spans="1:8" ht="15.75" customHeight="1">
      <c r="A53" s="76"/>
      <c r="B53" s="5"/>
      <c r="C53" s="16"/>
      <c r="E53" s="5"/>
      <c r="H53" s="15"/>
    </row>
    <row r="54" spans="1:8" ht="15.75" customHeight="1">
      <c r="A54" s="76"/>
      <c r="B54" s="15"/>
      <c r="C54" s="16"/>
      <c r="E54" s="5"/>
      <c r="H54" s="15"/>
    </row>
    <row r="55" spans="1:8" ht="15.75" customHeight="1">
      <c r="A55" s="76"/>
      <c r="B55" s="15"/>
      <c r="C55" s="16"/>
      <c r="E55" s="5"/>
      <c r="H55" s="15"/>
    </row>
    <row r="56" spans="1:8" ht="15.75" customHeight="1">
      <c r="A56" s="76"/>
      <c r="B56" s="15"/>
      <c r="C56" s="16"/>
      <c r="E56" s="5"/>
      <c r="H56" s="15"/>
    </row>
    <row r="57" spans="1:8" ht="12.5">
      <c r="A57" s="76"/>
      <c r="B57" s="15"/>
      <c r="C57" s="16"/>
      <c r="E57" s="5"/>
      <c r="H57" s="15"/>
    </row>
    <row r="58" spans="1:8" ht="12.5">
      <c r="A58" s="76"/>
      <c r="B58" s="5"/>
      <c r="C58" s="16"/>
      <c r="E58" s="5"/>
      <c r="H58" s="15"/>
    </row>
    <row r="59" spans="1:8" ht="12.5">
      <c r="A59" s="76"/>
      <c r="B59" s="5"/>
      <c r="C59" s="16"/>
      <c r="E59" s="5"/>
      <c r="H59" s="15"/>
    </row>
    <row r="60" spans="1:8" ht="12.5">
      <c r="A60" s="76"/>
      <c r="B60" s="5"/>
      <c r="C60" s="16"/>
      <c r="E60" s="5"/>
      <c r="H60" s="15"/>
    </row>
    <row r="61" spans="1:8" ht="12.5">
      <c r="A61" s="76"/>
      <c r="B61" s="15"/>
      <c r="C61" s="16"/>
      <c r="E61" s="5"/>
      <c r="H61" s="15"/>
    </row>
    <row r="62" spans="1:8" ht="12.5">
      <c r="A62" s="76"/>
      <c r="B62" s="15"/>
      <c r="C62" s="16"/>
      <c r="E62" s="5"/>
      <c r="H62" s="15"/>
    </row>
    <row r="63" spans="1:8" ht="12.5">
      <c r="A63" s="76"/>
      <c r="B63" s="15"/>
      <c r="C63" s="16"/>
      <c r="E63" s="5"/>
      <c r="H63" s="15"/>
    </row>
    <row r="64" spans="1:8" ht="12.5">
      <c r="A64" s="76"/>
      <c r="B64" s="5"/>
      <c r="C64" s="16"/>
      <c r="E64" s="5"/>
      <c r="H64" s="15"/>
    </row>
    <row r="65" spans="1:8" ht="12.5">
      <c r="A65" s="76"/>
      <c r="B65" s="5"/>
      <c r="C65" s="16"/>
      <c r="E65" s="5"/>
      <c r="H65" s="15"/>
    </row>
    <row r="66" spans="1:8" ht="12.5">
      <c r="A66" s="76"/>
      <c r="B66" s="5"/>
      <c r="C66" s="16"/>
      <c r="E66" s="5"/>
      <c r="H66" s="15"/>
    </row>
    <row r="67" spans="1:8" ht="12.5">
      <c r="A67" s="76"/>
      <c r="B67" s="5"/>
      <c r="C67" s="16"/>
      <c r="E67" s="5"/>
      <c r="H67" s="15"/>
    </row>
    <row r="68" spans="1:8" ht="12.5">
      <c r="A68" s="76"/>
      <c r="B68" s="15"/>
      <c r="C68" s="16"/>
      <c r="E68" s="5"/>
      <c r="H68" s="15"/>
    </row>
    <row r="69" spans="1:8" ht="12.5">
      <c r="A69" s="76"/>
      <c r="B69" s="15"/>
      <c r="C69" s="16"/>
      <c r="E69" s="5"/>
      <c r="H69" s="15"/>
    </row>
    <row r="70" spans="1:8" ht="12.5">
      <c r="A70" s="76"/>
      <c r="B70" s="15"/>
      <c r="C70" s="16"/>
      <c r="D70" s="80"/>
      <c r="E70" s="5"/>
      <c r="H70" s="15"/>
    </row>
    <row r="71" spans="1:8" ht="12.5">
      <c r="A71" s="76"/>
      <c r="B71" s="15"/>
      <c r="C71" s="16"/>
      <c r="D71" s="80"/>
      <c r="E71" s="5"/>
    </row>
    <row r="72" spans="1:8" ht="12.5">
      <c r="A72" s="76"/>
      <c r="B72" s="15"/>
      <c r="C72" s="16"/>
      <c r="D72" s="80"/>
      <c r="E72" s="5"/>
    </row>
    <row r="73" spans="1:8" ht="12.5">
      <c r="A73" s="76"/>
      <c r="B73" s="15"/>
      <c r="C73" s="16"/>
      <c r="E73" s="5"/>
    </row>
    <row r="74" spans="1:8" ht="12.5">
      <c r="A74" s="76"/>
      <c r="B74" s="15"/>
      <c r="C74" s="16"/>
      <c r="E74" s="5"/>
    </row>
    <row r="75" spans="1:8" ht="12.5">
      <c r="A75" s="76"/>
      <c r="B75" s="15"/>
      <c r="C75" s="16"/>
      <c r="E75" s="5"/>
    </row>
    <row r="76" spans="1:8" ht="12.5">
      <c r="A76" s="76"/>
      <c r="B76" s="15"/>
      <c r="C76" s="16"/>
      <c r="E76" s="5"/>
    </row>
    <row r="77" spans="1:8" ht="12.5">
      <c r="A77" s="76"/>
      <c r="B77" s="15"/>
      <c r="C77" s="16"/>
      <c r="E77" s="5"/>
    </row>
    <row r="78" spans="1:8" ht="12.5">
      <c r="A78" s="76"/>
      <c r="B78" s="15"/>
      <c r="C78" s="16"/>
      <c r="E78" s="5"/>
    </row>
    <row r="79" spans="1:8" ht="12.5">
      <c r="A79" s="76"/>
      <c r="B79" s="15"/>
      <c r="C79" s="16"/>
      <c r="E79" s="5"/>
    </row>
    <row r="80" spans="1:8" ht="12.5">
      <c r="A80" s="76"/>
      <c r="B80" s="15"/>
      <c r="C80" s="16"/>
      <c r="E80" s="5"/>
    </row>
    <row r="81" spans="1:5" ht="12.5">
      <c r="A81" s="76"/>
      <c r="B81" s="15"/>
      <c r="C81" s="16"/>
      <c r="D81" s="80"/>
      <c r="E81" s="5"/>
    </row>
    <row r="82" spans="1:5" ht="12.5">
      <c r="A82" s="76"/>
      <c r="B82" s="15"/>
      <c r="C82" s="16"/>
      <c r="E82" s="5"/>
    </row>
    <row r="83" spans="1:5" ht="12.5">
      <c r="A83" s="76"/>
      <c r="B83" s="15"/>
      <c r="C83" s="16"/>
      <c r="E83" s="5"/>
    </row>
    <row r="84" spans="1:5" ht="12.5">
      <c r="A84" s="76"/>
      <c r="B84" s="15"/>
      <c r="C84" s="16"/>
      <c r="D84" s="80"/>
      <c r="E84" s="5"/>
    </row>
    <row r="85" spans="1:5" ht="12.5">
      <c r="A85" s="76"/>
      <c r="B85" s="15"/>
      <c r="C85" s="16"/>
      <c r="E85" s="5"/>
    </row>
    <row r="86" spans="1:5" ht="12.5">
      <c r="A86" s="76"/>
      <c r="B86" s="15"/>
      <c r="C86" s="16"/>
      <c r="E86" s="5"/>
    </row>
    <row r="87" spans="1:5" ht="12.5">
      <c r="A87" s="76"/>
      <c r="B87" s="15"/>
      <c r="C87" s="16"/>
      <c r="E87" s="5"/>
    </row>
    <row r="88" spans="1:5" ht="12.5">
      <c r="A88" s="76"/>
      <c r="B88" s="5"/>
      <c r="C88" s="16"/>
      <c r="E88" s="5"/>
    </row>
    <row r="89" spans="1:5" ht="12.5">
      <c r="A89" s="76"/>
      <c r="B89" s="5"/>
      <c r="C89" s="16"/>
      <c r="E89" s="5"/>
    </row>
    <row r="90" spans="1:5" ht="12.5">
      <c r="A90" s="76"/>
      <c r="B90" s="15"/>
      <c r="C90" s="16"/>
      <c r="E90" s="5"/>
    </row>
    <row r="91" spans="1:5" ht="12.5">
      <c r="A91" s="76"/>
      <c r="B91" s="5"/>
      <c r="C91" s="16"/>
      <c r="E91" s="5"/>
    </row>
    <row r="92" spans="1:5" ht="12.5">
      <c r="A92" s="76"/>
      <c r="B92" s="15"/>
      <c r="C92" s="16"/>
      <c r="E92" s="5"/>
    </row>
    <row r="93" spans="1:5" ht="12.5">
      <c r="A93" s="76"/>
      <c r="B93" s="15"/>
      <c r="C93" s="16"/>
      <c r="E93" s="5"/>
    </row>
    <row r="94" spans="1:5" ht="12.5">
      <c r="A94" s="76"/>
      <c r="B94" s="15"/>
      <c r="C94" s="16"/>
      <c r="E94" s="5"/>
    </row>
    <row r="95" spans="1:5" ht="12.5">
      <c r="A95" s="76"/>
      <c r="B95" s="15"/>
      <c r="C95" s="16"/>
      <c r="E95" s="5"/>
    </row>
    <row r="96" spans="1:5" ht="12.5">
      <c r="A96" s="76"/>
      <c r="B96" s="15"/>
      <c r="C96" s="16"/>
      <c r="E96" s="5"/>
    </row>
    <row r="97" spans="1:5" ht="12.5">
      <c r="A97" s="76"/>
      <c r="B97" s="15"/>
      <c r="C97" s="16"/>
      <c r="E97" s="5"/>
    </row>
    <row r="98" spans="1:5" ht="12.5">
      <c r="A98" s="76"/>
      <c r="B98" s="5"/>
      <c r="C98" s="16"/>
      <c r="E98" s="5"/>
    </row>
    <row r="99" spans="1:5" ht="12.5">
      <c r="A99" s="76"/>
      <c r="B99" s="5"/>
      <c r="C99" s="16"/>
      <c r="E99" s="5"/>
    </row>
    <row r="100" spans="1:5" ht="12.5">
      <c r="A100" s="76"/>
      <c r="B100" s="15"/>
      <c r="C100" s="16"/>
      <c r="E100" s="5"/>
    </row>
    <row r="101" spans="1:5" ht="12.5">
      <c r="A101" s="76"/>
      <c r="B101" s="15"/>
      <c r="C101" s="16"/>
      <c r="E101" s="5"/>
    </row>
    <row r="102" spans="1:5" ht="12.5">
      <c r="A102" s="76"/>
      <c r="B102" s="15"/>
      <c r="C102" s="16"/>
      <c r="E102" s="5"/>
    </row>
    <row r="103" spans="1:5" ht="12.5">
      <c r="A103" s="76"/>
      <c r="B103" s="15"/>
      <c r="C103" s="16"/>
      <c r="D103" s="80"/>
      <c r="E103" s="5"/>
    </row>
    <row r="104" spans="1:5" ht="12.5">
      <c r="A104" s="76"/>
      <c r="B104" s="15"/>
      <c r="C104" s="16"/>
      <c r="D104" s="80"/>
      <c r="E104" s="5"/>
    </row>
    <row r="105" spans="1:5" ht="12.5">
      <c r="A105" s="76"/>
      <c r="B105" s="15"/>
      <c r="C105" s="16"/>
      <c r="E105" s="5"/>
    </row>
    <row r="106" spans="1:5" ht="12.5">
      <c r="A106" s="76"/>
      <c r="B106" s="15"/>
      <c r="C106" s="16"/>
      <c r="E106" s="5"/>
    </row>
    <row r="107" spans="1:5" ht="12.5">
      <c r="A107" s="76"/>
      <c r="B107" s="15"/>
      <c r="C107" s="16"/>
      <c r="E107" s="5"/>
    </row>
    <row r="108" spans="1:5" ht="12.5">
      <c r="A108" s="76"/>
      <c r="B108" s="15"/>
      <c r="C108" s="16"/>
      <c r="E108" s="5"/>
    </row>
    <row r="109" spans="1:5" ht="12.5">
      <c r="A109" s="76"/>
      <c r="B109" s="15"/>
      <c r="C109" s="16"/>
      <c r="E109" s="5"/>
    </row>
    <row r="110" spans="1:5" ht="12.5">
      <c r="A110" s="76"/>
      <c r="B110" s="15"/>
      <c r="C110" s="16"/>
      <c r="E110" s="5"/>
    </row>
    <row r="111" spans="1:5" ht="12.5">
      <c r="A111" s="76"/>
      <c r="B111" s="15"/>
      <c r="C111" s="16"/>
      <c r="E111" s="5"/>
    </row>
    <row r="112" spans="1:5" ht="12.5">
      <c r="A112" s="76"/>
      <c r="B112" s="15"/>
      <c r="C112" s="16"/>
      <c r="E112" s="5"/>
    </row>
    <row r="113" spans="1:5" ht="12.5">
      <c r="A113" s="76"/>
      <c r="B113" s="15"/>
      <c r="C113" s="16"/>
      <c r="E113" s="5"/>
    </row>
    <row r="114" spans="1:5" ht="12.5">
      <c r="A114" s="76"/>
      <c r="B114" s="5"/>
      <c r="C114" s="16"/>
      <c r="E114" s="5"/>
    </row>
    <row r="115" spans="1:5" ht="12.5">
      <c r="A115" s="76"/>
      <c r="B115" s="5"/>
      <c r="C115" s="16"/>
      <c r="E115" s="5"/>
    </row>
    <row r="116" spans="1:5" ht="12.5">
      <c r="A116" s="76"/>
      <c r="B116" s="5"/>
      <c r="C116" s="16"/>
      <c r="E116" s="5"/>
    </row>
    <row r="117" spans="1:5" ht="12.5">
      <c r="A117" s="76"/>
      <c r="B117" s="5"/>
      <c r="C117" s="16"/>
      <c r="E117" s="5"/>
    </row>
    <row r="118" spans="1:5" ht="12.5">
      <c r="A118" s="76"/>
      <c r="B118" s="5"/>
      <c r="C118" s="16"/>
      <c r="E118" s="5"/>
    </row>
    <row r="119" spans="1:5" ht="12.5">
      <c r="A119" s="76"/>
      <c r="B119" s="5"/>
      <c r="C119" s="16"/>
      <c r="E119" s="5"/>
    </row>
    <row r="120" spans="1:5" ht="12.5">
      <c r="A120" s="76"/>
      <c r="B120" s="5"/>
      <c r="C120" s="16"/>
      <c r="E120" s="5"/>
    </row>
    <row r="121" spans="1:5" ht="12.5">
      <c r="A121" s="76"/>
      <c r="B121" s="5"/>
      <c r="C121" s="16"/>
      <c r="E121" s="5"/>
    </row>
    <row r="122" spans="1:5" ht="12.5">
      <c r="A122" s="76"/>
      <c r="B122" s="5"/>
      <c r="C122" s="16"/>
      <c r="E122" s="5"/>
    </row>
    <row r="123" spans="1:5" ht="12.5">
      <c r="A123" s="76"/>
      <c r="B123" s="5"/>
      <c r="C123" s="16"/>
      <c r="E123" s="5"/>
    </row>
    <row r="124" spans="1:5" ht="12.5">
      <c r="A124" s="76"/>
      <c r="B124" s="5"/>
      <c r="C124" s="16"/>
      <c r="E124" s="5"/>
    </row>
    <row r="125" spans="1:5" ht="12.5">
      <c r="A125" s="76"/>
      <c r="B125" s="5"/>
      <c r="C125" s="16"/>
      <c r="E125" s="5"/>
    </row>
    <row r="126" spans="1:5" ht="12.5">
      <c r="A126" s="76"/>
      <c r="B126" s="5"/>
      <c r="C126" s="16"/>
      <c r="E126" s="5"/>
    </row>
    <row r="127" spans="1:5" ht="12.5">
      <c r="A127" s="76"/>
      <c r="B127" s="5"/>
      <c r="C127" s="16"/>
      <c r="E127" s="5"/>
    </row>
    <row r="128" spans="1:5" ht="12.5">
      <c r="A128" s="76"/>
      <c r="B128" s="5"/>
      <c r="C128" s="16"/>
      <c r="E128" s="5"/>
    </row>
    <row r="129" spans="1:5" ht="12.5">
      <c r="A129" s="76"/>
      <c r="B129" s="5"/>
      <c r="C129" s="16"/>
      <c r="E129" s="5"/>
    </row>
    <row r="130" spans="1:5" ht="12.5">
      <c r="A130" s="76"/>
      <c r="B130" s="5"/>
      <c r="C130" s="16"/>
      <c r="E130" s="5"/>
    </row>
    <row r="131" spans="1:5" ht="12.5">
      <c r="A131" s="76"/>
      <c r="B131" s="5"/>
      <c r="C131" s="16"/>
      <c r="E131" s="5"/>
    </row>
    <row r="132" spans="1:5" ht="12.5">
      <c r="A132" s="76"/>
      <c r="B132" s="5"/>
      <c r="C132" s="16"/>
      <c r="E132" s="5"/>
    </row>
    <row r="133" spans="1:5" ht="12.5">
      <c r="A133" s="76"/>
      <c r="B133" s="5"/>
      <c r="C133" s="16"/>
      <c r="E133" s="5"/>
    </row>
    <row r="134" spans="1:5" ht="12.5">
      <c r="A134" s="76"/>
      <c r="B134" s="5"/>
      <c r="C134" s="16"/>
      <c r="E134" s="5"/>
    </row>
    <row r="135" spans="1:5" ht="12.5">
      <c r="A135" s="76"/>
      <c r="B135" s="5"/>
      <c r="C135" s="16"/>
      <c r="E135" s="5"/>
    </row>
    <row r="136" spans="1:5" ht="12.5">
      <c r="A136" s="76"/>
      <c r="B136" s="5"/>
      <c r="C136" s="16"/>
      <c r="E136" s="5"/>
    </row>
    <row r="137" spans="1:5" ht="12.5">
      <c r="A137" s="76"/>
      <c r="B137" s="5"/>
      <c r="C137" s="16"/>
      <c r="E137" s="5"/>
    </row>
    <row r="138" spans="1:5" ht="12.5">
      <c r="A138" s="76"/>
      <c r="B138" s="5"/>
      <c r="C138" s="16"/>
      <c r="E138" s="5"/>
    </row>
    <row r="139" spans="1:5" ht="12.5">
      <c r="A139" s="76"/>
      <c r="B139" s="5"/>
      <c r="C139" s="16"/>
      <c r="E139" s="5"/>
    </row>
    <row r="140" spans="1:5" ht="12.5">
      <c r="A140" s="76"/>
      <c r="B140" s="5"/>
      <c r="C140" s="16"/>
      <c r="E140" s="5"/>
    </row>
    <row r="141" spans="1:5" ht="12.5">
      <c r="A141" s="76"/>
      <c r="B141" s="5"/>
      <c r="C141" s="16"/>
      <c r="E141" s="5"/>
    </row>
    <row r="142" spans="1:5" ht="12.5">
      <c r="A142" s="76"/>
      <c r="B142" s="5"/>
      <c r="C142" s="16"/>
      <c r="E142" s="5"/>
    </row>
    <row r="143" spans="1:5" ht="12.5">
      <c r="A143" s="76"/>
      <c r="B143" s="5"/>
      <c r="C143" s="16"/>
      <c r="E143" s="5"/>
    </row>
    <row r="144" spans="1:5" ht="12.5">
      <c r="A144" s="76"/>
      <c r="B144" s="5"/>
      <c r="C144" s="16"/>
      <c r="E144" s="5"/>
    </row>
    <row r="145" spans="1:5" ht="12.5">
      <c r="A145" s="76"/>
      <c r="B145" s="5"/>
      <c r="C145" s="16"/>
      <c r="E145" s="5"/>
    </row>
    <row r="146" spans="1:5" ht="12.5">
      <c r="A146" s="76"/>
      <c r="B146" s="5"/>
      <c r="C146" s="16"/>
      <c r="E146" s="5"/>
    </row>
    <row r="147" spans="1:5" ht="12.5">
      <c r="A147" s="76"/>
      <c r="B147" s="5"/>
      <c r="C147" s="16"/>
      <c r="E147" s="5"/>
    </row>
    <row r="148" spans="1:5" ht="12.5">
      <c r="A148" s="76"/>
      <c r="B148" s="5"/>
      <c r="C148" s="16"/>
      <c r="E148" s="5"/>
    </row>
    <row r="149" spans="1:5" ht="12.5">
      <c r="A149" s="76"/>
      <c r="B149" s="5"/>
      <c r="C149" s="16"/>
      <c r="E149" s="5"/>
    </row>
    <row r="150" spans="1:5" ht="12.5">
      <c r="A150" s="76"/>
      <c r="B150" s="5"/>
      <c r="C150" s="16"/>
      <c r="E150" s="5"/>
    </row>
    <row r="151" spans="1:5" ht="12.5">
      <c r="A151" s="76"/>
      <c r="B151" s="5"/>
      <c r="C151" s="16"/>
      <c r="E151" s="5"/>
    </row>
    <row r="152" spans="1:5" ht="12.5">
      <c r="A152" s="76"/>
      <c r="B152" s="5"/>
      <c r="C152" s="16"/>
      <c r="E152" s="5"/>
    </row>
    <row r="153" spans="1:5" ht="12.5">
      <c r="A153" s="76"/>
      <c r="B153" s="5"/>
      <c r="C153" s="16"/>
      <c r="E153" s="5"/>
    </row>
    <row r="154" spans="1:5" ht="12.5">
      <c r="A154" s="76"/>
      <c r="B154" s="5"/>
      <c r="C154" s="16"/>
      <c r="E154" s="5"/>
    </row>
    <row r="155" spans="1:5" ht="12.5">
      <c r="A155" s="76"/>
      <c r="B155" s="5"/>
      <c r="C155" s="16"/>
      <c r="E155" s="5"/>
    </row>
    <row r="156" spans="1:5" ht="12.5">
      <c r="A156" s="76"/>
      <c r="B156" s="5"/>
      <c r="C156" s="16"/>
      <c r="E156" s="5"/>
    </row>
    <row r="157" spans="1:5" ht="12.5">
      <c r="A157" s="76"/>
      <c r="B157" s="5"/>
      <c r="C157" s="16"/>
      <c r="E157" s="5"/>
    </row>
    <row r="158" spans="1:5" ht="12.5">
      <c r="A158" s="76"/>
      <c r="B158" s="5"/>
      <c r="C158" s="16"/>
      <c r="E158" s="5"/>
    </row>
    <row r="159" spans="1:5" ht="12.5">
      <c r="A159" s="76"/>
      <c r="B159" s="5"/>
      <c r="C159" s="16"/>
      <c r="E159" s="5"/>
    </row>
    <row r="160" spans="1:5" ht="12.5">
      <c r="A160" s="76"/>
      <c r="B160" s="5"/>
      <c r="C160" s="16"/>
      <c r="E160" s="5"/>
    </row>
    <row r="161" spans="1:5" ht="12.5">
      <c r="A161" s="76"/>
      <c r="B161" s="5"/>
      <c r="C161" s="16"/>
      <c r="E161" s="5"/>
    </row>
    <row r="162" spans="1:5" ht="12.5">
      <c r="A162" s="76"/>
      <c r="B162" s="5"/>
      <c r="C162" s="16"/>
      <c r="E162" s="5"/>
    </row>
    <row r="163" spans="1:5" ht="12.5">
      <c r="A163" s="76"/>
      <c r="B163" s="5"/>
      <c r="C163" s="16"/>
      <c r="E163" s="5"/>
    </row>
    <row r="164" spans="1:5" ht="12.5">
      <c r="A164" s="76"/>
      <c r="B164" s="5"/>
      <c r="C164" s="16"/>
      <c r="E164" s="5"/>
    </row>
    <row r="165" spans="1:5" ht="12.5">
      <c r="A165" s="76"/>
      <c r="B165" s="5"/>
      <c r="C165" s="16"/>
      <c r="E165" s="5"/>
    </row>
    <row r="166" spans="1:5" ht="12.5">
      <c r="A166" s="76"/>
      <c r="B166" s="5"/>
      <c r="C166" s="16"/>
      <c r="E166" s="5"/>
    </row>
    <row r="167" spans="1:5" ht="12.5">
      <c r="A167" s="76"/>
      <c r="B167" s="5"/>
      <c r="C167" s="16"/>
      <c r="E167" s="5"/>
    </row>
    <row r="168" spans="1:5" ht="12.5">
      <c r="A168" s="76"/>
      <c r="B168" s="5"/>
      <c r="C168" s="16"/>
      <c r="E168" s="5"/>
    </row>
    <row r="169" spans="1:5" ht="12.5">
      <c r="A169" s="76"/>
      <c r="B169" s="5"/>
      <c r="C169" s="16"/>
      <c r="E169" s="5"/>
    </row>
    <row r="170" spans="1:5" ht="12.5">
      <c r="A170" s="76"/>
      <c r="B170" s="5"/>
      <c r="C170" s="16"/>
      <c r="E170" s="5"/>
    </row>
    <row r="171" spans="1:5" ht="12.5">
      <c r="A171" s="76"/>
      <c r="B171" s="5"/>
      <c r="C171" s="16"/>
      <c r="E171" s="5"/>
    </row>
    <row r="172" spans="1:5" ht="12.5">
      <c r="A172" s="76"/>
      <c r="B172" s="5"/>
      <c r="C172" s="16"/>
      <c r="E172" s="5"/>
    </row>
    <row r="173" spans="1:5" ht="12.5">
      <c r="A173" s="76"/>
      <c r="B173" s="5"/>
      <c r="C173" s="16"/>
      <c r="E173" s="5"/>
    </row>
    <row r="174" spans="1:5" ht="12.5">
      <c r="A174" s="76"/>
      <c r="B174" s="5"/>
      <c r="C174" s="16"/>
      <c r="E174" s="5"/>
    </row>
    <row r="175" spans="1:5" ht="12.5">
      <c r="A175" s="76"/>
      <c r="B175" s="5"/>
      <c r="C175" s="16"/>
      <c r="E175" s="5"/>
    </row>
    <row r="176" spans="1:5" ht="12.5">
      <c r="A176" s="76"/>
      <c r="B176" s="5"/>
      <c r="C176" s="16"/>
      <c r="E176" s="5"/>
    </row>
    <row r="177" spans="1:5" ht="12.5">
      <c r="A177" s="76"/>
      <c r="B177" s="5"/>
      <c r="C177" s="16"/>
      <c r="E177" s="5"/>
    </row>
    <row r="178" spans="1:5" ht="12.5">
      <c r="A178" s="76"/>
      <c r="B178" s="5"/>
      <c r="C178" s="16"/>
      <c r="E178" s="5"/>
    </row>
    <row r="179" spans="1:5" ht="12.5">
      <c r="A179" s="76"/>
      <c r="B179" s="5"/>
      <c r="C179" s="16"/>
      <c r="E179" s="5"/>
    </row>
    <row r="180" spans="1:5" ht="12.5">
      <c r="A180" s="76"/>
      <c r="B180" s="5"/>
      <c r="C180" s="16"/>
      <c r="E180" s="5"/>
    </row>
    <row r="181" spans="1:5" ht="12.5">
      <c r="A181" s="76"/>
      <c r="B181" s="5"/>
      <c r="C181" s="16"/>
      <c r="E181" s="5"/>
    </row>
    <row r="182" spans="1:5" ht="12.5">
      <c r="A182" s="76"/>
      <c r="B182" s="5"/>
      <c r="C182" s="16"/>
      <c r="E182" s="5"/>
    </row>
    <row r="183" spans="1:5" ht="12.5">
      <c r="A183" s="76"/>
      <c r="B183" s="5"/>
      <c r="C183" s="16"/>
      <c r="E183" s="5"/>
    </row>
    <row r="184" spans="1:5" ht="12.5">
      <c r="A184" s="76"/>
      <c r="B184" s="5"/>
      <c r="C184" s="16"/>
      <c r="E184" s="5"/>
    </row>
    <row r="185" spans="1:5" ht="12.5">
      <c r="A185" s="76"/>
      <c r="B185" s="5"/>
      <c r="C185" s="16"/>
      <c r="E185" s="5"/>
    </row>
    <row r="186" spans="1:5" ht="12.5">
      <c r="A186" s="76"/>
      <c r="B186" s="5"/>
      <c r="C186" s="16"/>
      <c r="E186" s="5"/>
    </row>
    <row r="187" spans="1:5" ht="12.5">
      <c r="A187" s="76"/>
      <c r="B187" s="5"/>
      <c r="C187" s="16"/>
      <c r="E187" s="5"/>
    </row>
    <row r="188" spans="1:5" ht="12.5">
      <c r="A188" s="76"/>
      <c r="B188" s="5"/>
      <c r="C188" s="16"/>
      <c r="E188" s="5"/>
    </row>
    <row r="189" spans="1:5" ht="12.5">
      <c r="A189" s="76"/>
      <c r="B189" s="5"/>
      <c r="C189" s="16"/>
      <c r="E189" s="5"/>
    </row>
    <row r="190" spans="1:5" ht="12.5">
      <c r="A190" s="76"/>
      <c r="B190" s="5"/>
      <c r="C190" s="16"/>
      <c r="E190" s="5"/>
    </row>
    <row r="191" spans="1:5" ht="12.5">
      <c r="A191" s="76"/>
      <c r="B191" s="5"/>
      <c r="C191" s="16"/>
      <c r="E191" s="5"/>
    </row>
    <row r="192" spans="1:5" ht="12.5">
      <c r="A192" s="76"/>
      <c r="B192" s="5"/>
      <c r="C192" s="16"/>
      <c r="E192" s="5"/>
    </row>
    <row r="193" spans="1:5" ht="12.5">
      <c r="A193" s="76"/>
      <c r="B193" s="5"/>
      <c r="C193" s="16"/>
      <c r="E193" s="5"/>
    </row>
    <row r="194" spans="1:5" ht="12.5">
      <c r="A194" s="76"/>
      <c r="B194" s="5"/>
      <c r="C194" s="16"/>
      <c r="E194" s="5"/>
    </row>
    <row r="195" spans="1:5" ht="12.5">
      <c r="A195" s="76"/>
      <c r="B195" s="5"/>
      <c r="C195" s="16"/>
      <c r="E195" s="5"/>
    </row>
    <row r="196" spans="1:5" ht="12.5">
      <c r="A196" s="76"/>
      <c r="B196" s="5"/>
      <c r="C196" s="16"/>
      <c r="E196" s="5"/>
    </row>
    <row r="197" spans="1:5" ht="12.5">
      <c r="A197" s="76"/>
      <c r="B197" s="5"/>
      <c r="C197" s="16"/>
      <c r="E197" s="5"/>
    </row>
    <row r="198" spans="1:5" ht="12.5">
      <c r="A198" s="76"/>
      <c r="B198" s="5"/>
      <c r="C198" s="16"/>
      <c r="E198" s="5"/>
    </row>
    <row r="199" spans="1:5" ht="12.5">
      <c r="A199" s="76"/>
      <c r="B199" s="5"/>
      <c r="C199" s="16"/>
      <c r="E199" s="5"/>
    </row>
    <row r="200" spans="1:5" ht="12.5">
      <c r="A200" s="76"/>
      <c r="B200" s="5"/>
      <c r="C200" s="16"/>
      <c r="E200" s="5"/>
    </row>
    <row r="201" spans="1:5" ht="12.5">
      <c r="A201" s="76"/>
      <c r="B201" s="5"/>
      <c r="C201" s="16"/>
      <c r="E201" s="5"/>
    </row>
    <row r="202" spans="1:5" ht="12.5">
      <c r="A202" s="76"/>
      <c r="B202" s="5"/>
      <c r="C202" s="16"/>
      <c r="E202" s="5"/>
    </row>
    <row r="203" spans="1:5" ht="12.5">
      <c r="A203" s="76"/>
      <c r="B203" s="5"/>
      <c r="C203" s="16"/>
      <c r="E203" s="5"/>
    </row>
    <row r="204" spans="1:5" ht="12.5">
      <c r="A204" s="76"/>
      <c r="B204" s="5"/>
      <c r="C204" s="16"/>
      <c r="E204" s="5"/>
    </row>
    <row r="205" spans="1:5" ht="12.5">
      <c r="A205" s="76"/>
      <c r="B205" s="5"/>
      <c r="C205" s="16"/>
      <c r="E205" s="5"/>
    </row>
    <row r="206" spans="1:5" ht="12.5">
      <c r="A206" s="76"/>
      <c r="B206" s="5"/>
      <c r="C206" s="16"/>
      <c r="E206" s="5"/>
    </row>
    <row r="207" spans="1:5" ht="12.5">
      <c r="A207" s="76"/>
      <c r="B207" s="5"/>
      <c r="C207" s="16"/>
      <c r="E207" s="5"/>
    </row>
    <row r="208" spans="1:5" ht="12.5">
      <c r="A208" s="76"/>
      <c r="B208" s="5"/>
      <c r="C208" s="16"/>
      <c r="E208" s="5"/>
    </row>
    <row r="209" spans="1:5" ht="12.5">
      <c r="A209" s="76"/>
      <c r="B209" s="5"/>
      <c r="C209" s="16"/>
      <c r="E209" s="5"/>
    </row>
    <row r="210" spans="1:5" ht="12.5">
      <c r="A210" s="76"/>
      <c r="B210" s="5"/>
      <c r="C210" s="16"/>
      <c r="E210" s="5"/>
    </row>
    <row r="211" spans="1:5" ht="12.5">
      <c r="A211" s="76"/>
      <c r="B211" s="5"/>
      <c r="C211" s="16"/>
      <c r="E211" s="5"/>
    </row>
    <row r="212" spans="1:5" ht="12.5">
      <c r="A212" s="76"/>
      <c r="B212" s="5"/>
      <c r="C212" s="16"/>
      <c r="E212" s="5"/>
    </row>
    <row r="213" spans="1:5" ht="12.5">
      <c r="A213" s="76"/>
      <c r="B213" s="5"/>
      <c r="C213" s="16"/>
      <c r="E213" s="5"/>
    </row>
    <row r="214" spans="1:5" ht="12.5">
      <c r="A214" s="76"/>
      <c r="B214" s="5"/>
      <c r="C214" s="16"/>
      <c r="E214" s="5"/>
    </row>
    <row r="215" spans="1:5" ht="12.5">
      <c r="A215" s="76"/>
      <c r="B215" s="5"/>
      <c r="C215" s="16"/>
      <c r="E215" s="5"/>
    </row>
    <row r="216" spans="1:5" ht="12.5">
      <c r="A216" s="76"/>
      <c r="B216" s="5"/>
      <c r="C216" s="16"/>
      <c r="E216" s="5"/>
    </row>
    <row r="217" spans="1:5" ht="12.5">
      <c r="A217" s="76"/>
      <c r="B217" s="5"/>
      <c r="C217" s="16"/>
      <c r="E217" s="5"/>
    </row>
    <row r="218" spans="1:5" ht="12.5">
      <c r="A218" s="76"/>
      <c r="B218" s="5"/>
      <c r="C218" s="16"/>
      <c r="E218" s="5"/>
    </row>
    <row r="219" spans="1:5" ht="12.5">
      <c r="A219" s="76"/>
      <c r="B219" s="5"/>
      <c r="C219" s="16"/>
      <c r="E219" s="5"/>
    </row>
    <row r="220" spans="1:5" ht="12.5">
      <c r="A220" s="76"/>
      <c r="B220" s="5"/>
      <c r="C220" s="16"/>
      <c r="E220" s="5"/>
    </row>
    <row r="221" spans="1:5" ht="12.5">
      <c r="A221" s="76"/>
      <c r="B221" s="5"/>
      <c r="C221" s="16"/>
      <c r="E221" s="5"/>
    </row>
    <row r="222" spans="1:5" ht="12.5">
      <c r="A222" s="76"/>
      <c r="B222" s="5"/>
      <c r="C222" s="16"/>
      <c r="E222" s="5"/>
    </row>
    <row r="223" spans="1:5" ht="12.5">
      <c r="A223" s="76"/>
      <c r="B223" s="5"/>
      <c r="C223" s="16"/>
      <c r="E223" s="5"/>
    </row>
    <row r="224" spans="1:5" ht="12.5">
      <c r="A224" s="76"/>
      <c r="B224" s="5"/>
      <c r="C224" s="16"/>
      <c r="E224" s="5"/>
    </row>
    <row r="225" spans="1:5" ht="12.5">
      <c r="A225" s="76"/>
      <c r="B225" s="5"/>
      <c r="C225" s="16"/>
      <c r="E225" s="5"/>
    </row>
    <row r="226" spans="1:5" ht="12.5">
      <c r="A226" s="76"/>
      <c r="B226" s="5"/>
      <c r="C226" s="16"/>
      <c r="E226" s="5"/>
    </row>
    <row r="227" spans="1:5" ht="12.5">
      <c r="A227" s="76"/>
      <c r="B227" s="5"/>
      <c r="C227" s="16"/>
      <c r="E227" s="5"/>
    </row>
    <row r="228" spans="1:5" ht="12.5">
      <c r="A228" s="76"/>
      <c r="B228" s="5"/>
      <c r="C228" s="16"/>
      <c r="E228" s="5"/>
    </row>
    <row r="229" spans="1:5" ht="12.5">
      <c r="A229" s="76"/>
      <c r="B229" s="5"/>
      <c r="C229" s="16"/>
      <c r="E229" s="5"/>
    </row>
    <row r="230" spans="1:5" ht="12.5">
      <c r="A230" s="76"/>
      <c r="B230" s="5"/>
      <c r="C230" s="16"/>
      <c r="E230" s="5"/>
    </row>
    <row r="231" spans="1:5" ht="12.5">
      <c r="A231" s="76"/>
      <c r="B231" s="5"/>
      <c r="C231" s="16"/>
      <c r="E231" s="5"/>
    </row>
    <row r="232" spans="1:5" ht="12.5">
      <c r="A232" s="76"/>
      <c r="B232" s="5"/>
      <c r="C232" s="16"/>
      <c r="E232" s="5"/>
    </row>
    <row r="233" spans="1:5" ht="12.5">
      <c r="A233" s="76"/>
      <c r="B233" s="5"/>
      <c r="C233" s="16"/>
      <c r="E233" s="5"/>
    </row>
    <row r="234" spans="1:5" ht="12.5">
      <c r="A234" s="76"/>
      <c r="B234" s="5"/>
      <c r="C234" s="16"/>
      <c r="E234" s="5"/>
    </row>
    <row r="235" spans="1:5" ht="12.5">
      <c r="A235" s="76"/>
      <c r="B235" s="5"/>
      <c r="C235" s="16"/>
      <c r="E235" s="5"/>
    </row>
    <row r="236" spans="1:5" ht="12.5">
      <c r="A236" s="76"/>
      <c r="B236" s="5"/>
      <c r="C236" s="16"/>
      <c r="E236" s="5"/>
    </row>
    <row r="237" spans="1:5" ht="12.5">
      <c r="A237" s="76"/>
      <c r="B237" s="5"/>
      <c r="C237" s="16"/>
      <c r="E237" s="5"/>
    </row>
    <row r="238" spans="1:5" ht="12.5">
      <c r="A238" s="76"/>
      <c r="B238" s="5"/>
      <c r="C238" s="16"/>
      <c r="E238" s="5"/>
    </row>
    <row r="239" spans="1:5" ht="12.5">
      <c r="A239" s="76"/>
      <c r="B239" s="5"/>
      <c r="C239" s="16"/>
      <c r="E239" s="5"/>
    </row>
    <row r="240" spans="1:5" ht="12.5">
      <c r="A240" s="76"/>
      <c r="B240" s="5"/>
      <c r="C240" s="16"/>
      <c r="E240" s="5"/>
    </row>
    <row r="241" spans="1:5" ht="12.5">
      <c r="A241" s="76"/>
      <c r="B241" s="5"/>
      <c r="C241" s="16"/>
      <c r="E241" s="5"/>
    </row>
    <row r="242" spans="1:5" ht="12.5">
      <c r="A242" s="76"/>
      <c r="B242" s="5"/>
      <c r="C242" s="16"/>
      <c r="E242" s="5"/>
    </row>
    <row r="243" spans="1:5" ht="12.5">
      <c r="A243" s="76"/>
      <c r="B243" s="5"/>
      <c r="C243" s="16"/>
      <c r="E243" s="5"/>
    </row>
    <row r="244" spans="1:5" ht="12.5">
      <c r="A244" s="76"/>
      <c r="B244" s="5"/>
      <c r="C244" s="16"/>
      <c r="E244" s="5"/>
    </row>
    <row r="245" spans="1:5" ht="12.5">
      <c r="A245" s="76"/>
      <c r="B245" s="5"/>
      <c r="C245" s="16"/>
      <c r="E245" s="5"/>
    </row>
    <row r="246" spans="1:5" ht="12.5">
      <c r="A246" s="76"/>
      <c r="B246" s="5"/>
      <c r="C246" s="16"/>
      <c r="E246" s="5"/>
    </row>
    <row r="247" spans="1:5" ht="12.5">
      <c r="A247" s="76"/>
      <c r="B247" s="5"/>
      <c r="C247" s="16"/>
      <c r="E247" s="5"/>
    </row>
    <row r="248" spans="1:5" ht="12.5">
      <c r="A248" s="76"/>
      <c r="B248" s="5"/>
      <c r="C248" s="16"/>
      <c r="E248" s="5"/>
    </row>
    <row r="249" spans="1:5" ht="12.5">
      <c r="A249" s="76"/>
      <c r="B249" s="5"/>
      <c r="C249" s="16"/>
      <c r="E249" s="5"/>
    </row>
    <row r="250" spans="1:5" ht="12.5">
      <c r="A250" s="76"/>
      <c r="B250" s="5"/>
      <c r="C250" s="16"/>
      <c r="E250" s="5"/>
    </row>
    <row r="251" spans="1:5" ht="12.5">
      <c r="A251" s="76"/>
      <c r="B251" s="5"/>
      <c r="C251" s="16"/>
      <c r="E251" s="5"/>
    </row>
    <row r="252" spans="1:5" ht="12.5">
      <c r="A252" s="76"/>
      <c r="B252" s="5"/>
      <c r="C252" s="16"/>
      <c r="E252" s="5"/>
    </row>
    <row r="253" spans="1:5" ht="12.5">
      <c r="A253" s="76"/>
      <c r="B253" s="5"/>
      <c r="C253" s="16"/>
      <c r="E253" s="5"/>
    </row>
    <row r="254" spans="1:5" ht="12.5">
      <c r="A254" s="76"/>
      <c r="B254" s="5"/>
      <c r="C254" s="16"/>
      <c r="E254" s="5"/>
    </row>
    <row r="255" spans="1:5" ht="12.5">
      <c r="A255" s="76"/>
      <c r="B255" s="5"/>
      <c r="C255" s="16"/>
      <c r="E255" s="5"/>
    </row>
    <row r="256" spans="1:5" ht="12.5">
      <c r="A256" s="76"/>
      <c r="B256" s="5"/>
      <c r="C256" s="16"/>
      <c r="E256" s="5"/>
    </row>
    <row r="257" spans="1:5" ht="12.5">
      <c r="A257" s="76"/>
      <c r="B257" s="5"/>
      <c r="C257" s="16"/>
      <c r="E257" s="5"/>
    </row>
    <row r="258" spans="1:5" ht="12.5">
      <c r="A258" s="76"/>
      <c r="B258" s="5"/>
      <c r="C258" s="16"/>
      <c r="E258" s="5"/>
    </row>
    <row r="259" spans="1:5" ht="12.5">
      <c r="A259" s="76"/>
      <c r="B259" s="5"/>
      <c r="C259" s="16"/>
      <c r="E259" s="5"/>
    </row>
    <row r="260" spans="1:5" ht="12.5">
      <c r="A260" s="76"/>
      <c r="B260" s="5"/>
      <c r="C260" s="16"/>
      <c r="E260" s="5"/>
    </row>
    <row r="261" spans="1:5" ht="12.5">
      <c r="A261" s="76"/>
      <c r="B261" s="5"/>
      <c r="C261" s="16"/>
      <c r="E261" s="5"/>
    </row>
    <row r="262" spans="1:5" ht="12.5">
      <c r="A262" s="76"/>
      <c r="B262" s="5"/>
      <c r="C262" s="16"/>
      <c r="E262" s="5"/>
    </row>
    <row r="263" spans="1:5" ht="12.5">
      <c r="A263" s="76"/>
      <c r="B263" s="5"/>
      <c r="C263" s="16"/>
      <c r="E263" s="5"/>
    </row>
    <row r="264" spans="1:5" ht="12.5">
      <c r="A264" s="76"/>
      <c r="B264" s="5"/>
      <c r="C264" s="16"/>
      <c r="E264" s="5"/>
    </row>
    <row r="265" spans="1:5" ht="12.5">
      <c r="A265" s="76"/>
      <c r="B265" s="5"/>
      <c r="C265" s="16"/>
      <c r="E265" s="5"/>
    </row>
    <row r="266" spans="1:5" ht="12.5">
      <c r="A266" s="76"/>
      <c r="B266" s="5"/>
      <c r="C266" s="16"/>
      <c r="E266" s="5"/>
    </row>
    <row r="267" spans="1:5" ht="12.5">
      <c r="A267" s="76"/>
      <c r="B267" s="5"/>
      <c r="C267" s="16"/>
      <c r="E267" s="5"/>
    </row>
    <row r="268" spans="1:5" ht="12.5">
      <c r="A268" s="76"/>
      <c r="B268" s="5"/>
      <c r="C268" s="16"/>
      <c r="E268" s="5"/>
    </row>
    <row r="269" spans="1:5" ht="12.5">
      <c r="A269" s="76"/>
      <c r="B269" s="5"/>
      <c r="C269" s="16"/>
      <c r="E269" s="5"/>
    </row>
    <row r="270" spans="1:5" ht="12.5">
      <c r="A270" s="76"/>
      <c r="B270" s="5"/>
      <c r="C270" s="16"/>
      <c r="E270" s="5"/>
    </row>
    <row r="271" spans="1:5" ht="12.5">
      <c r="A271" s="76"/>
      <c r="B271" s="5"/>
      <c r="C271" s="16"/>
      <c r="E271" s="5"/>
    </row>
    <row r="272" spans="1:5" ht="12.5">
      <c r="A272" s="76"/>
      <c r="B272" s="5"/>
      <c r="C272" s="16"/>
      <c r="E272" s="5"/>
    </row>
    <row r="273" spans="1:5" ht="12.5">
      <c r="A273" s="76"/>
      <c r="B273" s="5"/>
      <c r="C273" s="16"/>
      <c r="E273" s="5"/>
    </row>
    <row r="274" spans="1:5" ht="12.5">
      <c r="A274" s="76"/>
      <c r="B274" s="5"/>
      <c r="C274" s="16"/>
      <c r="E274" s="5"/>
    </row>
    <row r="275" spans="1:5" ht="12.5">
      <c r="A275" s="76"/>
      <c r="B275" s="5"/>
      <c r="C275" s="16"/>
      <c r="E275" s="5"/>
    </row>
    <row r="276" spans="1:5" ht="12.5">
      <c r="A276" s="76"/>
      <c r="B276" s="5"/>
      <c r="C276" s="16"/>
      <c r="E276" s="5"/>
    </row>
    <row r="277" spans="1:5" ht="12.5">
      <c r="A277" s="76"/>
      <c r="B277" s="5"/>
      <c r="C277" s="16"/>
      <c r="E277" s="5"/>
    </row>
    <row r="278" spans="1:5" ht="12.5">
      <c r="A278" s="76"/>
      <c r="B278" s="5"/>
      <c r="C278" s="16"/>
      <c r="E278" s="5"/>
    </row>
    <row r="279" spans="1:5" ht="12.5">
      <c r="A279" s="76"/>
      <c r="B279" s="5"/>
      <c r="C279" s="16"/>
      <c r="E279" s="5"/>
    </row>
    <row r="280" spans="1:5" ht="12.5">
      <c r="A280" s="76"/>
      <c r="B280" s="5"/>
      <c r="C280" s="16"/>
      <c r="E280" s="5"/>
    </row>
    <row r="281" spans="1:5" ht="12.5">
      <c r="A281" s="76"/>
      <c r="B281" s="5"/>
      <c r="C281" s="16"/>
      <c r="E281" s="5"/>
    </row>
    <row r="282" spans="1:5" ht="12.5">
      <c r="A282" s="76"/>
      <c r="B282" s="5"/>
      <c r="C282" s="16"/>
      <c r="E282" s="5"/>
    </row>
    <row r="283" spans="1:5" ht="12.5">
      <c r="A283" s="76"/>
      <c r="B283" s="5"/>
      <c r="C283" s="16"/>
      <c r="E283" s="5"/>
    </row>
    <row r="284" spans="1:5" ht="12.5">
      <c r="A284" s="76"/>
      <c r="B284" s="5"/>
      <c r="C284" s="16"/>
      <c r="E284" s="5"/>
    </row>
    <row r="285" spans="1:5" ht="12.5">
      <c r="A285" s="76"/>
      <c r="B285" s="5"/>
      <c r="C285" s="16"/>
      <c r="E285" s="5"/>
    </row>
    <row r="286" spans="1:5" ht="12.5">
      <c r="A286" s="76"/>
      <c r="B286" s="5"/>
      <c r="C286" s="16"/>
      <c r="E286" s="5"/>
    </row>
    <row r="287" spans="1:5" ht="12.5">
      <c r="A287" s="76"/>
      <c r="B287" s="5"/>
      <c r="C287" s="16"/>
      <c r="E287" s="5"/>
    </row>
    <row r="288" spans="1:5" ht="12.5">
      <c r="A288" s="76"/>
      <c r="B288" s="5"/>
      <c r="C288" s="16"/>
      <c r="E288" s="5"/>
    </row>
    <row r="289" spans="1:5" ht="12.5">
      <c r="A289" s="76"/>
      <c r="B289" s="5"/>
      <c r="C289" s="16"/>
      <c r="E289" s="5"/>
    </row>
    <row r="290" spans="1:5" ht="12.5">
      <c r="A290" s="76"/>
      <c r="B290" s="5"/>
      <c r="C290" s="16"/>
      <c r="E290" s="5"/>
    </row>
    <row r="291" spans="1:5" ht="12.5">
      <c r="A291" s="76"/>
      <c r="B291" s="5"/>
      <c r="C291" s="16"/>
      <c r="E291" s="5"/>
    </row>
    <row r="292" spans="1:5" ht="12.5">
      <c r="A292" s="76"/>
      <c r="B292" s="5"/>
      <c r="C292" s="16"/>
      <c r="E292" s="5"/>
    </row>
    <row r="293" spans="1:5" ht="12.5">
      <c r="A293" s="76"/>
      <c r="B293" s="5"/>
      <c r="C293" s="16"/>
      <c r="E293" s="5"/>
    </row>
    <row r="294" spans="1:5" ht="12.5">
      <c r="A294" s="76"/>
      <c r="B294" s="5"/>
      <c r="C294" s="16"/>
      <c r="E294" s="5"/>
    </row>
    <row r="295" spans="1:5" ht="12.5">
      <c r="A295" s="76"/>
      <c r="B295" s="5"/>
      <c r="C295" s="16"/>
      <c r="E295" s="5"/>
    </row>
    <row r="296" spans="1:5" ht="12.5">
      <c r="A296" s="76"/>
      <c r="B296" s="5"/>
      <c r="C296" s="16"/>
      <c r="E296" s="5"/>
    </row>
    <row r="297" spans="1:5" ht="12.5">
      <c r="A297" s="76"/>
      <c r="B297" s="5"/>
      <c r="C297" s="16"/>
      <c r="E297" s="5"/>
    </row>
    <row r="298" spans="1:5" ht="12.5">
      <c r="A298" s="76"/>
      <c r="B298" s="5"/>
      <c r="C298" s="16"/>
      <c r="E298" s="5"/>
    </row>
    <row r="299" spans="1:5" ht="12.5">
      <c r="A299" s="76"/>
      <c r="B299" s="5"/>
      <c r="C299" s="16"/>
      <c r="E299" s="5"/>
    </row>
    <row r="300" spans="1:5" ht="12.5">
      <c r="A300" s="76"/>
      <c r="B300" s="5"/>
      <c r="C300" s="16"/>
      <c r="E300" s="5"/>
    </row>
    <row r="301" spans="1:5" ht="12.5">
      <c r="A301" s="76"/>
      <c r="B301" s="5"/>
      <c r="C301" s="16"/>
      <c r="E301" s="5"/>
    </row>
    <row r="302" spans="1:5" ht="12.5">
      <c r="A302" s="76"/>
      <c r="B302" s="5"/>
      <c r="C302" s="16"/>
      <c r="E302" s="5"/>
    </row>
    <row r="303" spans="1:5" ht="12.5">
      <c r="A303" s="76"/>
      <c r="B303" s="5"/>
      <c r="C303" s="16"/>
      <c r="E303" s="5"/>
    </row>
    <row r="304" spans="1:5" ht="12.5">
      <c r="A304" s="76"/>
      <c r="B304" s="5"/>
      <c r="C304" s="16"/>
      <c r="E304" s="5"/>
    </row>
    <row r="305" spans="1:5" ht="12.5">
      <c r="A305" s="76"/>
      <c r="B305" s="5"/>
      <c r="C305" s="16"/>
      <c r="E305" s="5"/>
    </row>
    <row r="306" spans="1:5" ht="12.5">
      <c r="A306" s="76"/>
      <c r="B306" s="5"/>
      <c r="C306" s="16"/>
      <c r="E306" s="5"/>
    </row>
    <row r="307" spans="1:5" ht="12.5">
      <c r="A307" s="76"/>
      <c r="B307" s="5"/>
      <c r="C307" s="16"/>
      <c r="E307" s="5"/>
    </row>
    <row r="308" spans="1:5" ht="12.5">
      <c r="A308" s="76"/>
      <c r="B308" s="5"/>
      <c r="C308" s="16"/>
      <c r="E308" s="5"/>
    </row>
    <row r="309" spans="1:5" ht="12.5">
      <c r="A309" s="76"/>
      <c r="B309" s="5"/>
      <c r="C309" s="16"/>
      <c r="E309" s="5"/>
    </row>
    <row r="310" spans="1:5" ht="12.5">
      <c r="A310" s="76"/>
      <c r="B310" s="5"/>
      <c r="C310" s="16"/>
      <c r="E310" s="5"/>
    </row>
    <row r="311" spans="1:5" ht="12.5">
      <c r="A311" s="76"/>
      <c r="B311" s="5"/>
      <c r="C311" s="16"/>
      <c r="E311" s="5"/>
    </row>
    <row r="312" spans="1:5" ht="12.5">
      <c r="A312" s="76"/>
      <c r="B312" s="5"/>
      <c r="C312" s="16"/>
      <c r="E312" s="5"/>
    </row>
    <row r="313" spans="1:5" ht="12.5">
      <c r="A313" s="76"/>
      <c r="B313" s="5"/>
      <c r="C313" s="16"/>
      <c r="E313" s="5"/>
    </row>
    <row r="314" spans="1:5" ht="12.5">
      <c r="A314" s="76"/>
      <c r="B314" s="5"/>
      <c r="C314" s="16"/>
      <c r="E314" s="5"/>
    </row>
    <row r="315" spans="1:5" ht="12.5">
      <c r="A315" s="76"/>
      <c r="B315" s="5"/>
      <c r="C315" s="16"/>
      <c r="E315" s="5"/>
    </row>
    <row r="316" spans="1:5" ht="12.5">
      <c r="A316" s="76"/>
      <c r="B316" s="5"/>
      <c r="C316" s="16"/>
      <c r="E316" s="5"/>
    </row>
    <row r="317" spans="1:5" ht="12.5">
      <c r="A317" s="76"/>
      <c r="B317" s="5"/>
      <c r="C317" s="16"/>
      <c r="E317" s="5"/>
    </row>
    <row r="318" spans="1:5" ht="12.5">
      <c r="A318" s="76"/>
      <c r="B318" s="5"/>
      <c r="C318" s="16"/>
      <c r="E318" s="5"/>
    </row>
    <row r="319" spans="1:5" ht="12.5">
      <c r="A319" s="76"/>
      <c r="B319" s="5"/>
      <c r="C319" s="16"/>
      <c r="E319" s="5"/>
    </row>
    <row r="320" spans="1:5" ht="12.5">
      <c r="A320" s="76"/>
      <c r="B320" s="5"/>
      <c r="C320" s="16"/>
      <c r="E320" s="5"/>
    </row>
    <row r="321" spans="1:5" ht="12.5">
      <c r="A321" s="76"/>
      <c r="B321" s="5"/>
      <c r="C321" s="16"/>
      <c r="E321" s="5"/>
    </row>
    <row r="322" spans="1:5" ht="12.5">
      <c r="A322" s="76"/>
      <c r="B322" s="5"/>
      <c r="C322" s="16"/>
      <c r="E322" s="5"/>
    </row>
    <row r="323" spans="1:5" ht="12.5">
      <c r="A323" s="76"/>
      <c r="B323" s="5"/>
      <c r="C323" s="16"/>
      <c r="E323" s="5"/>
    </row>
    <row r="324" spans="1:5" ht="12.5">
      <c r="A324" s="76"/>
      <c r="B324" s="5"/>
      <c r="C324" s="16"/>
      <c r="E324" s="5"/>
    </row>
    <row r="325" spans="1:5" ht="12.5">
      <c r="A325" s="76"/>
      <c r="B325" s="5"/>
      <c r="C325" s="16"/>
      <c r="E325" s="5"/>
    </row>
    <row r="326" spans="1:5" ht="12.5">
      <c r="A326" s="76"/>
      <c r="B326" s="5"/>
      <c r="C326" s="16"/>
      <c r="E326" s="5"/>
    </row>
    <row r="327" spans="1:5" ht="12.5">
      <c r="A327" s="76"/>
      <c r="B327" s="5"/>
      <c r="C327" s="16"/>
      <c r="E327" s="5"/>
    </row>
    <row r="328" spans="1:5" ht="12.5">
      <c r="A328" s="76"/>
      <c r="B328" s="5"/>
      <c r="C328" s="16"/>
      <c r="E328" s="5"/>
    </row>
    <row r="329" spans="1:5" ht="12.5">
      <c r="A329" s="76"/>
      <c r="B329" s="5"/>
      <c r="C329" s="16"/>
      <c r="E329" s="5"/>
    </row>
    <row r="330" spans="1:5" ht="12.5">
      <c r="A330" s="76"/>
      <c r="B330" s="5"/>
      <c r="C330" s="16"/>
      <c r="E330" s="5"/>
    </row>
    <row r="331" spans="1:5" ht="12.5">
      <c r="A331" s="76"/>
      <c r="B331" s="5"/>
      <c r="C331" s="16"/>
      <c r="E331" s="5"/>
    </row>
    <row r="332" spans="1:5" ht="12.5">
      <c r="A332" s="76"/>
      <c r="B332" s="5"/>
      <c r="C332" s="16"/>
      <c r="E332" s="5"/>
    </row>
    <row r="333" spans="1:5" ht="12.5">
      <c r="A333" s="76"/>
      <c r="B333" s="5"/>
      <c r="C333" s="16"/>
      <c r="E333" s="5"/>
    </row>
    <row r="334" spans="1:5" ht="12.5">
      <c r="A334" s="76"/>
      <c r="B334" s="5"/>
      <c r="C334" s="16"/>
      <c r="E334" s="5"/>
    </row>
    <row r="335" spans="1:5" ht="12.5">
      <c r="A335" s="76"/>
      <c r="B335" s="5"/>
      <c r="C335" s="16"/>
      <c r="E335" s="5"/>
    </row>
    <row r="336" spans="1:5" ht="12.5">
      <c r="A336" s="76"/>
      <c r="B336" s="5"/>
      <c r="C336" s="16"/>
      <c r="E336" s="5"/>
    </row>
    <row r="337" spans="1:5" ht="12.5">
      <c r="A337" s="76"/>
      <c r="B337" s="5"/>
      <c r="C337" s="16"/>
      <c r="E337" s="5"/>
    </row>
    <row r="338" spans="1:5" ht="12.5">
      <c r="A338" s="76"/>
      <c r="B338" s="5"/>
      <c r="C338" s="16"/>
      <c r="E338" s="5"/>
    </row>
    <row r="339" spans="1:5" ht="12.5">
      <c r="A339" s="76"/>
      <c r="B339" s="5"/>
      <c r="C339" s="16"/>
      <c r="E339" s="5"/>
    </row>
    <row r="340" spans="1:5" ht="12.5">
      <c r="A340" s="76"/>
      <c r="B340" s="5"/>
      <c r="C340" s="16"/>
      <c r="E340" s="5"/>
    </row>
    <row r="341" spans="1:5" ht="12.5">
      <c r="A341" s="76"/>
      <c r="B341" s="5"/>
      <c r="C341" s="16"/>
      <c r="E341" s="5"/>
    </row>
    <row r="342" spans="1:5" ht="12.5">
      <c r="A342" s="76"/>
      <c r="B342" s="5"/>
      <c r="C342" s="16"/>
      <c r="E342" s="5"/>
    </row>
    <row r="343" spans="1:5" ht="12.5">
      <c r="A343" s="76"/>
      <c r="B343" s="5"/>
      <c r="C343" s="16"/>
      <c r="E343" s="5"/>
    </row>
    <row r="344" spans="1:5" ht="12.5">
      <c r="A344" s="76"/>
      <c r="B344" s="5"/>
      <c r="C344" s="16"/>
      <c r="E344" s="5"/>
    </row>
    <row r="345" spans="1:5" ht="12.5">
      <c r="A345" s="76"/>
      <c r="B345" s="5"/>
      <c r="C345" s="16"/>
      <c r="E345" s="5"/>
    </row>
    <row r="346" spans="1:5" ht="12.5">
      <c r="A346" s="76"/>
      <c r="B346" s="5"/>
      <c r="C346" s="16"/>
      <c r="E346" s="5"/>
    </row>
    <row r="347" spans="1:5" ht="12.5">
      <c r="A347" s="76"/>
      <c r="B347" s="5"/>
      <c r="C347" s="16"/>
      <c r="E347" s="5"/>
    </row>
    <row r="348" spans="1:5" ht="12.5">
      <c r="A348" s="76"/>
      <c r="B348" s="5"/>
      <c r="C348" s="16"/>
      <c r="E348" s="5"/>
    </row>
    <row r="349" spans="1:5" ht="12.5">
      <c r="A349" s="76"/>
      <c r="B349" s="5"/>
      <c r="C349" s="16"/>
      <c r="E349" s="5"/>
    </row>
    <row r="350" spans="1:5" ht="12.5">
      <c r="A350" s="76"/>
      <c r="B350" s="5"/>
      <c r="C350" s="16"/>
      <c r="E350" s="5"/>
    </row>
    <row r="351" spans="1:5" ht="12.5">
      <c r="A351" s="76"/>
      <c r="B351" s="5"/>
      <c r="C351" s="16"/>
      <c r="E351" s="5"/>
    </row>
    <row r="352" spans="1:5" ht="12.5">
      <c r="A352" s="76"/>
      <c r="B352" s="5"/>
      <c r="C352" s="16"/>
      <c r="E352" s="5"/>
    </row>
    <row r="353" spans="1:5" ht="12.5">
      <c r="A353" s="76"/>
      <c r="B353" s="5"/>
      <c r="C353" s="16"/>
      <c r="E353" s="5"/>
    </row>
    <row r="354" spans="1:5" ht="12.5">
      <c r="A354" s="76"/>
      <c r="B354" s="5"/>
      <c r="C354" s="16"/>
      <c r="E354" s="5"/>
    </row>
    <row r="355" spans="1:5" ht="12.5">
      <c r="A355" s="76"/>
      <c r="B355" s="5"/>
      <c r="C355" s="16"/>
      <c r="E355" s="5"/>
    </row>
    <row r="356" spans="1:5" ht="12.5">
      <c r="A356" s="76"/>
      <c r="B356" s="5"/>
      <c r="C356" s="16"/>
      <c r="E356" s="5"/>
    </row>
    <row r="357" spans="1:5" ht="12.5">
      <c r="A357" s="76"/>
      <c r="B357" s="5"/>
      <c r="C357" s="16"/>
      <c r="E357" s="5"/>
    </row>
    <row r="358" spans="1:5" ht="12.5">
      <c r="A358" s="76"/>
      <c r="B358" s="5"/>
      <c r="C358" s="16"/>
      <c r="E358" s="5"/>
    </row>
    <row r="359" spans="1:5" ht="12.5">
      <c r="A359" s="76"/>
      <c r="B359" s="5"/>
      <c r="C359" s="16"/>
      <c r="E359" s="5"/>
    </row>
    <row r="360" spans="1:5" ht="12.5">
      <c r="A360" s="76"/>
      <c r="B360" s="5"/>
      <c r="C360" s="16"/>
      <c r="E360" s="5"/>
    </row>
    <row r="361" spans="1:5" ht="12.5">
      <c r="A361" s="76"/>
      <c r="B361" s="5"/>
      <c r="C361" s="16"/>
      <c r="E361" s="5"/>
    </row>
    <row r="362" spans="1:5" ht="12.5">
      <c r="A362" s="76"/>
      <c r="B362" s="5"/>
      <c r="C362" s="16"/>
      <c r="E362" s="5"/>
    </row>
    <row r="363" spans="1:5" ht="12.5">
      <c r="A363" s="76"/>
      <c r="B363" s="5"/>
      <c r="C363" s="16"/>
      <c r="E363" s="5"/>
    </row>
    <row r="364" spans="1:5" ht="12.5">
      <c r="A364" s="76"/>
      <c r="B364" s="5"/>
      <c r="C364" s="16"/>
      <c r="E364" s="5"/>
    </row>
    <row r="365" spans="1:5" ht="12.5">
      <c r="A365" s="76"/>
      <c r="B365" s="5"/>
      <c r="C365" s="16"/>
      <c r="E365" s="5"/>
    </row>
    <row r="366" spans="1:5" ht="12.5">
      <c r="A366" s="76"/>
      <c r="B366" s="5"/>
      <c r="C366" s="16"/>
      <c r="E366" s="5"/>
    </row>
    <row r="367" spans="1:5" ht="12.5">
      <c r="A367" s="76"/>
      <c r="B367" s="5"/>
      <c r="C367" s="16"/>
      <c r="E367" s="5"/>
    </row>
    <row r="368" spans="1:5" ht="12.5">
      <c r="A368" s="76"/>
      <c r="B368" s="5"/>
      <c r="C368" s="16"/>
      <c r="E368" s="5"/>
    </row>
    <row r="369" spans="1:5" ht="12.5">
      <c r="A369" s="76"/>
      <c r="B369" s="5"/>
      <c r="C369" s="16"/>
      <c r="E369" s="5"/>
    </row>
    <row r="370" spans="1:5" ht="12.5">
      <c r="A370" s="76"/>
      <c r="B370" s="5"/>
      <c r="C370" s="16"/>
      <c r="E370" s="5"/>
    </row>
    <row r="371" spans="1:5" ht="12.5">
      <c r="A371" s="76"/>
      <c r="B371" s="5"/>
      <c r="C371" s="16"/>
      <c r="E371" s="5"/>
    </row>
    <row r="372" spans="1:5" ht="12.5">
      <c r="A372" s="76"/>
      <c r="B372" s="5"/>
      <c r="C372" s="16"/>
      <c r="E372" s="5"/>
    </row>
    <row r="373" spans="1:5" ht="12.5">
      <c r="A373" s="76"/>
      <c r="B373" s="5"/>
      <c r="C373" s="16"/>
      <c r="E373" s="5"/>
    </row>
    <row r="374" spans="1:5" ht="12.5">
      <c r="A374" s="76"/>
      <c r="B374" s="5"/>
      <c r="C374" s="16"/>
      <c r="E374" s="5"/>
    </row>
    <row r="375" spans="1:5" ht="12.5">
      <c r="A375" s="76"/>
      <c r="B375" s="5"/>
      <c r="C375" s="16"/>
      <c r="E375" s="5"/>
    </row>
    <row r="376" spans="1:5" ht="12.5">
      <c r="A376" s="76"/>
      <c r="B376" s="5"/>
      <c r="C376" s="16"/>
      <c r="E376" s="5"/>
    </row>
    <row r="377" spans="1:5" ht="12.5">
      <c r="A377" s="76"/>
      <c r="B377" s="5"/>
      <c r="C377" s="16"/>
      <c r="E377" s="5"/>
    </row>
    <row r="378" spans="1:5" ht="12.5">
      <c r="A378" s="76"/>
      <c r="B378" s="5"/>
      <c r="C378" s="16"/>
      <c r="E378" s="5"/>
    </row>
    <row r="379" spans="1:5" ht="12.5">
      <c r="A379" s="76"/>
      <c r="B379" s="5"/>
      <c r="C379" s="16"/>
      <c r="E379" s="5"/>
    </row>
    <row r="380" spans="1:5" ht="12.5">
      <c r="A380" s="76"/>
      <c r="B380" s="5"/>
      <c r="C380" s="16"/>
      <c r="E380" s="5"/>
    </row>
    <row r="381" spans="1:5" ht="12.5">
      <c r="A381" s="76"/>
      <c r="B381" s="5"/>
      <c r="C381" s="16"/>
      <c r="E381" s="5"/>
    </row>
    <row r="382" spans="1:5" ht="12.5">
      <c r="A382" s="76"/>
      <c r="B382" s="5"/>
      <c r="C382" s="16"/>
      <c r="E382" s="5"/>
    </row>
    <row r="383" spans="1:5" ht="12.5">
      <c r="A383" s="76"/>
      <c r="B383" s="5"/>
      <c r="C383" s="16"/>
      <c r="E383" s="5"/>
    </row>
    <row r="384" spans="1:5" ht="12.5">
      <c r="A384" s="76"/>
      <c r="B384" s="5"/>
      <c r="C384" s="16"/>
      <c r="E384" s="5"/>
    </row>
    <row r="385" spans="1:5" ht="12.5">
      <c r="A385" s="76"/>
      <c r="B385" s="5"/>
      <c r="C385" s="16"/>
      <c r="E385" s="5"/>
    </row>
    <row r="386" spans="1:5" ht="12.5">
      <c r="A386" s="76"/>
      <c r="B386" s="5"/>
      <c r="C386" s="16"/>
      <c r="E386" s="5"/>
    </row>
    <row r="387" spans="1:5" ht="12.5">
      <c r="A387" s="76"/>
      <c r="B387" s="5"/>
      <c r="C387" s="16"/>
      <c r="E387" s="5"/>
    </row>
    <row r="388" spans="1:5" ht="12.5">
      <c r="A388" s="76"/>
      <c r="B388" s="5"/>
      <c r="C388" s="16"/>
      <c r="E388" s="5"/>
    </row>
    <row r="389" spans="1:5" ht="12.5">
      <c r="A389" s="76"/>
      <c r="B389" s="5"/>
      <c r="C389" s="16"/>
      <c r="E389" s="5"/>
    </row>
    <row r="390" spans="1:5" ht="12.5">
      <c r="A390" s="76"/>
      <c r="B390" s="5"/>
      <c r="C390" s="16"/>
      <c r="E390" s="5"/>
    </row>
    <row r="391" spans="1:5" ht="12.5">
      <c r="A391" s="76"/>
      <c r="B391" s="5"/>
      <c r="C391" s="16"/>
      <c r="E391" s="5"/>
    </row>
    <row r="392" spans="1:5" ht="12.5">
      <c r="A392" s="76"/>
      <c r="B392" s="5"/>
      <c r="C392" s="16"/>
      <c r="E392" s="5"/>
    </row>
    <row r="393" spans="1:5" ht="12.5">
      <c r="A393" s="76"/>
      <c r="B393" s="5"/>
      <c r="C393" s="16"/>
      <c r="E393" s="5"/>
    </row>
    <row r="394" spans="1:5" ht="12.5">
      <c r="A394" s="76"/>
      <c r="B394" s="5"/>
      <c r="C394" s="16"/>
      <c r="E394" s="5"/>
    </row>
    <row r="395" spans="1:5" ht="12.5">
      <c r="A395" s="76"/>
      <c r="B395" s="5"/>
      <c r="C395" s="16"/>
      <c r="E395" s="5"/>
    </row>
    <row r="396" spans="1:5" ht="12.5">
      <c r="A396" s="76"/>
      <c r="B396" s="5"/>
      <c r="C396" s="16"/>
      <c r="E396" s="5"/>
    </row>
    <row r="397" spans="1:5" ht="12.5">
      <c r="A397" s="76"/>
      <c r="B397" s="5"/>
      <c r="C397" s="16"/>
      <c r="E397" s="5"/>
    </row>
    <row r="398" spans="1:5" ht="12.5">
      <c r="A398" s="76"/>
      <c r="B398" s="5"/>
      <c r="C398" s="16"/>
      <c r="E398" s="5"/>
    </row>
    <row r="399" spans="1:5" ht="12.5">
      <c r="A399" s="76"/>
      <c r="B399" s="5"/>
      <c r="C399" s="16"/>
      <c r="E399" s="5"/>
    </row>
    <row r="400" spans="1:5" ht="12.5">
      <c r="A400" s="76"/>
      <c r="B400" s="5"/>
      <c r="C400" s="16"/>
      <c r="E400" s="5"/>
    </row>
    <row r="401" spans="1:5" ht="12.5">
      <c r="A401" s="76"/>
      <c r="B401" s="5"/>
      <c r="C401" s="16"/>
      <c r="E401" s="5"/>
    </row>
    <row r="402" spans="1:5" ht="12.5">
      <c r="A402" s="76"/>
      <c r="B402" s="5"/>
      <c r="C402" s="16"/>
      <c r="E402" s="5"/>
    </row>
    <row r="403" spans="1:5" ht="12.5">
      <c r="A403" s="76"/>
      <c r="B403" s="5"/>
      <c r="C403" s="16"/>
      <c r="E403" s="5"/>
    </row>
    <row r="404" spans="1:5" ht="12.5">
      <c r="A404" s="76"/>
      <c r="B404" s="5"/>
      <c r="C404" s="16"/>
      <c r="E404" s="5"/>
    </row>
    <row r="405" spans="1:5" ht="12.5">
      <c r="A405" s="76"/>
      <c r="B405" s="5"/>
      <c r="C405" s="16"/>
      <c r="E405" s="5"/>
    </row>
    <row r="406" spans="1:5" ht="12.5">
      <c r="A406" s="76"/>
      <c r="B406" s="5"/>
      <c r="C406" s="16"/>
      <c r="E406" s="5"/>
    </row>
    <row r="407" spans="1:5" ht="12.5">
      <c r="A407" s="76"/>
      <c r="B407" s="5"/>
      <c r="C407" s="16"/>
      <c r="E407" s="5"/>
    </row>
    <row r="408" spans="1:5" ht="12.5">
      <c r="A408" s="76"/>
      <c r="B408" s="5"/>
      <c r="C408" s="16"/>
      <c r="E408" s="5"/>
    </row>
    <row r="409" spans="1:5" ht="12.5">
      <c r="A409" s="76"/>
      <c r="B409" s="5"/>
      <c r="C409" s="16"/>
      <c r="E409" s="5"/>
    </row>
    <row r="410" spans="1:5" ht="12.5">
      <c r="A410" s="76"/>
      <c r="B410" s="5"/>
      <c r="C410" s="16"/>
      <c r="E410" s="5"/>
    </row>
    <row r="411" spans="1:5" ht="12.5">
      <c r="A411" s="76"/>
      <c r="B411" s="5"/>
      <c r="C411" s="16"/>
      <c r="E411" s="5"/>
    </row>
    <row r="412" spans="1:5" ht="12.5">
      <c r="A412" s="76"/>
      <c r="B412" s="5"/>
      <c r="C412" s="16"/>
      <c r="E412" s="5"/>
    </row>
    <row r="413" spans="1:5" ht="12.5">
      <c r="A413" s="76"/>
      <c r="B413" s="5"/>
      <c r="C413" s="16"/>
      <c r="E413" s="5"/>
    </row>
    <row r="414" spans="1:5" ht="12.5">
      <c r="A414" s="76"/>
      <c r="B414" s="5"/>
      <c r="C414" s="16"/>
      <c r="E414" s="5"/>
    </row>
    <row r="415" spans="1:5" ht="12.5">
      <c r="A415" s="76"/>
      <c r="B415" s="5"/>
      <c r="C415" s="16"/>
      <c r="E415" s="5"/>
    </row>
    <row r="416" spans="1:5" ht="12.5">
      <c r="A416" s="76"/>
      <c r="B416" s="5"/>
      <c r="C416" s="16"/>
      <c r="E416" s="5"/>
    </row>
    <row r="417" spans="1:5" ht="12.5">
      <c r="A417" s="76"/>
      <c r="B417" s="5"/>
      <c r="C417" s="16"/>
      <c r="E417" s="5"/>
    </row>
    <row r="418" spans="1:5" ht="12.5">
      <c r="A418" s="76"/>
      <c r="B418" s="5"/>
      <c r="C418" s="16"/>
      <c r="E418" s="5"/>
    </row>
    <row r="419" spans="1:5" ht="12.5">
      <c r="A419" s="76"/>
      <c r="B419" s="5"/>
      <c r="C419" s="16"/>
      <c r="E419" s="5"/>
    </row>
    <row r="420" spans="1:5" ht="12.5">
      <c r="A420" s="76"/>
      <c r="B420" s="5"/>
      <c r="C420" s="16"/>
      <c r="E420" s="5"/>
    </row>
    <row r="421" spans="1:5" ht="12.5">
      <c r="A421" s="76"/>
      <c r="B421" s="5"/>
      <c r="C421" s="16"/>
      <c r="E421" s="5"/>
    </row>
    <row r="422" spans="1:5" ht="12.5">
      <c r="A422" s="76"/>
      <c r="B422" s="5"/>
      <c r="C422" s="16"/>
      <c r="E422" s="5"/>
    </row>
    <row r="423" spans="1:5" ht="12.5">
      <c r="A423" s="76"/>
      <c r="B423" s="5"/>
      <c r="C423" s="16"/>
      <c r="E423" s="5"/>
    </row>
    <row r="424" spans="1:5" ht="12.5">
      <c r="A424" s="76"/>
      <c r="B424" s="5"/>
      <c r="C424" s="16"/>
      <c r="E424" s="5"/>
    </row>
    <row r="425" spans="1:5" ht="12.5">
      <c r="A425" s="76"/>
      <c r="B425" s="5"/>
      <c r="C425" s="16"/>
      <c r="E425" s="5"/>
    </row>
    <row r="426" spans="1:5" ht="12.5">
      <c r="A426" s="76"/>
      <c r="B426" s="5"/>
      <c r="C426" s="16"/>
      <c r="E426" s="5"/>
    </row>
    <row r="427" spans="1:5" ht="12.5">
      <c r="A427" s="76"/>
      <c r="B427" s="5"/>
      <c r="C427" s="16"/>
      <c r="E427" s="5"/>
    </row>
    <row r="428" spans="1:5" ht="12.5">
      <c r="A428" s="76"/>
      <c r="B428" s="5"/>
      <c r="C428" s="16"/>
      <c r="E428" s="5"/>
    </row>
    <row r="429" spans="1:5" ht="12.5">
      <c r="A429" s="76"/>
      <c r="B429" s="5"/>
      <c r="C429" s="16"/>
      <c r="E429" s="5"/>
    </row>
    <row r="430" spans="1:5" ht="12.5">
      <c r="A430" s="76"/>
      <c r="B430" s="5"/>
      <c r="C430" s="16"/>
      <c r="E430" s="5"/>
    </row>
    <row r="431" spans="1:5" ht="12.5">
      <c r="A431" s="76"/>
      <c r="B431" s="5"/>
      <c r="C431" s="16"/>
      <c r="E431" s="5"/>
    </row>
    <row r="432" spans="1:5" ht="12.5">
      <c r="A432" s="76"/>
      <c r="B432" s="5"/>
      <c r="C432" s="16"/>
      <c r="E432" s="5"/>
    </row>
    <row r="433" spans="1:5" ht="12.5">
      <c r="A433" s="76"/>
      <c r="B433" s="5"/>
      <c r="C433" s="16"/>
      <c r="E433" s="5"/>
    </row>
    <row r="434" spans="1:5" ht="12.5">
      <c r="A434" s="76"/>
      <c r="B434" s="5"/>
      <c r="C434" s="16"/>
      <c r="E434" s="5"/>
    </row>
    <row r="435" spans="1:5" ht="12.5">
      <c r="A435" s="76"/>
      <c r="B435" s="5"/>
      <c r="C435" s="16"/>
      <c r="E435" s="5"/>
    </row>
    <row r="436" spans="1:5" ht="12.5">
      <c r="A436" s="76"/>
      <c r="B436" s="5"/>
      <c r="C436" s="16"/>
      <c r="E436" s="5"/>
    </row>
    <row r="437" spans="1:5" ht="12.5">
      <c r="A437" s="76"/>
      <c r="B437" s="5"/>
      <c r="C437" s="16"/>
      <c r="E437" s="5"/>
    </row>
    <row r="438" spans="1:5" ht="12.5">
      <c r="A438" s="76"/>
      <c r="B438" s="5"/>
      <c r="C438" s="16"/>
      <c r="E438" s="5"/>
    </row>
    <row r="439" spans="1:5" ht="12.5">
      <c r="A439" s="76"/>
      <c r="B439" s="5"/>
      <c r="C439" s="16"/>
      <c r="E439" s="5"/>
    </row>
    <row r="440" spans="1:5" ht="12.5">
      <c r="A440" s="76"/>
      <c r="B440" s="5"/>
      <c r="C440" s="16"/>
      <c r="E440" s="5"/>
    </row>
    <row r="441" spans="1:5" ht="12.5">
      <c r="A441" s="76"/>
      <c r="B441" s="5"/>
      <c r="C441" s="16"/>
      <c r="E441" s="5"/>
    </row>
    <row r="442" spans="1:5" ht="12.5">
      <c r="A442" s="76"/>
      <c r="B442" s="5"/>
      <c r="C442" s="16"/>
      <c r="E442" s="5"/>
    </row>
    <row r="443" spans="1:5" ht="12.5">
      <c r="A443" s="76"/>
      <c r="B443" s="5"/>
      <c r="C443" s="16"/>
      <c r="E443" s="5"/>
    </row>
    <row r="444" spans="1:5" ht="12.5">
      <c r="A444" s="76"/>
      <c r="B444" s="5"/>
      <c r="C444" s="16"/>
      <c r="E444" s="5"/>
    </row>
    <row r="445" spans="1:5" ht="12.5">
      <c r="A445" s="76"/>
      <c r="B445" s="5"/>
      <c r="C445" s="16"/>
      <c r="E445" s="5"/>
    </row>
    <row r="446" spans="1:5" ht="12.5">
      <c r="A446" s="76"/>
      <c r="B446" s="5"/>
      <c r="C446" s="16"/>
      <c r="E446" s="5"/>
    </row>
    <row r="447" spans="1:5" ht="12.5">
      <c r="A447" s="76"/>
      <c r="B447" s="5"/>
      <c r="C447" s="16"/>
      <c r="E447" s="5"/>
    </row>
    <row r="448" spans="1:5" ht="12.5">
      <c r="A448" s="76"/>
      <c r="B448" s="5"/>
      <c r="C448" s="16"/>
      <c r="E448" s="5"/>
    </row>
    <row r="449" spans="1:5" ht="12.5">
      <c r="A449" s="76"/>
      <c r="B449" s="5"/>
      <c r="C449" s="16"/>
      <c r="E449" s="5"/>
    </row>
    <row r="450" spans="1:5" ht="12.5">
      <c r="A450" s="76"/>
      <c r="B450" s="5"/>
      <c r="C450" s="16"/>
      <c r="E450" s="5"/>
    </row>
    <row r="451" spans="1:5" ht="12.5">
      <c r="A451" s="76"/>
      <c r="B451" s="5"/>
      <c r="C451" s="16"/>
      <c r="E451" s="5"/>
    </row>
    <row r="452" spans="1:5" ht="12.5">
      <c r="A452" s="76"/>
      <c r="B452" s="5"/>
      <c r="C452" s="16"/>
      <c r="E452" s="5"/>
    </row>
    <row r="453" spans="1:5" ht="12.5">
      <c r="A453" s="76"/>
      <c r="B453" s="5"/>
      <c r="C453" s="16"/>
      <c r="E453" s="5"/>
    </row>
    <row r="454" spans="1:5" ht="12.5">
      <c r="A454" s="76"/>
      <c r="B454" s="5"/>
      <c r="C454" s="16"/>
      <c r="E454" s="5"/>
    </row>
    <row r="455" spans="1:5" ht="12.5">
      <c r="A455" s="76"/>
      <c r="B455" s="5"/>
      <c r="C455" s="16"/>
      <c r="E455" s="5"/>
    </row>
    <row r="456" spans="1:5" ht="12.5">
      <c r="A456" s="76"/>
      <c r="B456" s="5"/>
      <c r="C456" s="16"/>
      <c r="E456" s="5"/>
    </row>
    <row r="457" spans="1:5" ht="12.5">
      <c r="A457" s="76"/>
      <c r="B457" s="5"/>
      <c r="C457" s="16"/>
      <c r="E457" s="5"/>
    </row>
    <row r="458" spans="1:5" ht="12.5">
      <c r="A458" s="76"/>
      <c r="B458" s="5"/>
      <c r="C458" s="16"/>
      <c r="E458" s="5"/>
    </row>
    <row r="459" spans="1:5" ht="12.5">
      <c r="A459" s="76"/>
      <c r="B459" s="5"/>
      <c r="C459" s="16"/>
      <c r="E459" s="5"/>
    </row>
    <row r="460" spans="1:5" ht="12.5">
      <c r="A460" s="76"/>
      <c r="B460" s="5"/>
      <c r="C460" s="16"/>
      <c r="E460" s="5"/>
    </row>
    <row r="461" spans="1:5" ht="12.5">
      <c r="A461" s="76"/>
      <c r="B461" s="5"/>
      <c r="C461" s="16"/>
      <c r="E461" s="5"/>
    </row>
    <row r="462" spans="1:5" ht="12.5">
      <c r="A462" s="76"/>
      <c r="B462" s="5"/>
      <c r="C462" s="16"/>
      <c r="E462" s="5"/>
    </row>
    <row r="463" spans="1:5" ht="12.5">
      <c r="A463" s="76"/>
      <c r="B463" s="5"/>
      <c r="C463" s="16"/>
      <c r="E463" s="5"/>
    </row>
    <row r="464" spans="1:5" ht="12.5">
      <c r="A464" s="76"/>
      <c r="B464" s="5"/>
      <c r="C464" s="16"/>
      <c r="E464" s="5"/>
    </row>
    <row r="465" spans="1:5" ht="12.5">
      <c r="A465" s="76"/>
      <c r="B465" s="5"/>
      <c r="C465" s="16"/>
      <c r="E465" s="5"/>
    </row>
    <row r="466" spans="1:5" ht="12.5">
      <c r="A466" s="76"/>
      <c r="B466" s="5"/>
      <c r="C466" s="16"/>
      <c r="E466" s="5"/>
    </row>
    <row r="467" spans="1:5" ht="12.5">
      <c r="A467" s="76"/>
      <c r="B467" s="5"/>
      <c r="C467" s="16"/>
      <c r="E467" s="5"/>
    </row>
    <row r="468" spans="1:5" ht="12.5">
      <c r="A468" s="76"/>
      <c r="B468" s="5"/>
      <c r="C468" s="16"/>
      <c r="E468" s="5"/>
    </row>
    <row r="469" spans="1:5" ht="12.5">
      <c r="A469" s="76"/>
      <c r="B469" s="5"/>
      <c r="C469" s="16"/>
      <c r="E469" s="5"/>
    </row>
    <row r="470" spans="1:5" ht="12.5">
      <c r="A470" s="76"/>
      <c r="B470" s="5"/>
      <c r="C470" s="16"/>
      <c r="E470" s="5"/>
    </row>
    <row r="471" spans="1:5" ht="12.5">
      <c r="A471" s="76"/>
      <c r="B471" s="5"/>
      <c r="C471" s="16"/>
      <c r="E471" s="5"/>
    </row>
    <row r="472" spans="1:5" ht="12.5">
      <c r="A472" s="76"/>
      <c r="B472" s="5"/>
      <c r="C472" s="16"/>
      <c r="E472" s="5"/>
    </row>
    <row r="473" spans="1:5" ht="12.5">
      <c r="A473" s="76"/>
      <c r="B473" s="5"/>
      <c r="C473" s="16"/>
      <c r="E473" s="5"/>
    </row>
    <row r="474" spans="1:5" ht="12.5">
      <c r="A474" s="76"/>
      <c r="B474" s="5"/>
      <c r="C474" s="16"/>
      <c r="E474" s="5"/>
    </row>
    <row r="475" spans="1:5" ht="12.5">
      <c r="A475" s="76"/>
      <c r="B475" s="5"/>
      <c r="C475" s="16"/>
      <c r="E475" s="5"/>
    </row>
    <row r="476" spans="1:5" ht="12.5">
      <c r="A476" s="76"/>
      <c r="B476" s="5"/>
      <c r="C476" s="16"/>
      <c r="E476" s="5"/>
    </row>
    <row r="477" spans="1:5" ht="12.5">
      <c r="A477" s="76"/>
      <c r="B477" s="5"/>
      <c r="C477" s="16"/>
      <c r="E477" s="5"/>
    </row>
    <row r="478" spans="1:5" ht="12.5">
      <c r="A478" s="76"/>
      <c r="B478" s="5"/>
      <c r="C478" s="16"/>
      <c r="E478" s="5"/>
    </row>
    <row r="479" spans="1:5" ht="12.5">
      <c r="A479" s="76"/>
      <c r="B479" s="5"/>
      <c r="C479" s="16"/>
      <c r="E479" s="5"/>
    </row>
    <row r="480" spans="1:5" ht="12.5">
      <c r="A480" s="76"/>
      <c r="B480" s="5"/>
      <c r="C480" s="16"/>
      <c r="E480" s="5"/>
    </row>
    <row r="481" spans="1:5" ht="12.5">
      <c r="A481" s="76"/>
      <c r="B481" s="5"/>
      <c r="C481" s="16"/>
      <c r="E481" s="5"/>
    </row>
    <row r="482" spans="1:5" ht="12.5">
      <c r="A482" s="76"/>
      <c r="B482" s="5"/>
      <c r="C482" s="16"/>
      <c r="E482" s="5"/>
    </row>
    <row r="483" spans="1:5" ht="12.5">
      <c r="A483" s="76"/>
      <c r="B483" s="5"/>
      <c r="C483" s="16"/>
      <c r="E483" s="5"/>
    </row>
    <row r="484" spans="1:5" ht="12.5">
      <c r="A484" s="76"/>
      <c r="B484" s="5"/>
      <c r="C484" s="16"/>
      <c r="E484" s="5"/>
    </row>
    <row r="485" spans="1:5" ht="12.5">
      <c r="A485" s="76"/>
      <c r="B485" s="5"/>
      <c r="C485" s="16"/>
      <c r="E485" s="5"/>
    </row>
    <row r="486" spans="1:5" ht="12.5">
      <c r="A486" s="76"/>
      <c r="B486" s="5"/>
      <c r="C486" s="16"/>
      <c r="E486" s="5"/>
    </row>
    <row r="487" spans="1:5" ht="12.5">
      <c r="A487" s="76"/>
      <c r="B487" s="5"/>
      <c r="C487" s="16"/>
      <c r="E487" s="5"/>
    </row>
    <row r="488" spans="1:5" ht="12.5">
      <c r="A488" s="76"/>
      <c r="B488" s="5"/>
      <c r="C488" s="16"/>
      <c r="E488" s="5"/>
    </row>
    <row r="489" spans="1:5" ht="12.5">
      <c r="A489" s="76"/>
      <c r="B489" s="5"/>
      <c r="C489" s="16"/>
      <c r="E489" s="5"/>
    </row>
    <row r="490" spans="1:5" ht="12.5">
      <c r="A490" s="76"/>
      <c r="B490" s="5"/>
      <c r="C490" s="16"/>
      <c r="E490" s="5"/>
    </row>
    <row r="491" spans="1:5" ht="12.5">
      <c r="A491" s="76"/>
      <c r="B491" s="5"/>
      <c r="C491" s="16"/>
      <c r="E491" s="5"/>
    </row>
    <row r="492" spans="1:5" ht="12.5">
      <c r="A492" s="76"/>
      <c r="B492" s="5"/>
      <c r="C492" s="16"/>
      <c r="E492" s="5"/>
    </row>
    <row r="493" spans="1:5" ht="12.5">
      <c r="A493" s="76"/>
      <c r="B493" s="5"/>
      <c r="C493" s="16"/>
      <c r="E493" s="5"/>
    </row>
    <row r="494" spans="1:5" ht="12.5">
      <c r="A494" s="76"/>
      <c r="B494" s="5"/>
      <c r="C494" s="16"/>
      <c r="E494" s="5"/>
    </row>
    <row r="495" spans="1:5" ht="12.5">
      <c r="A495" s="76"/>
      <c r="B495" s="5"/>
      <c r="C495" s="16"/>
      <c r="E495" s="5"/>
    </row>
    <row r="496" spans="1:5" ht="12.5">
      <c r="A496" s="76"/>
      <c r="B496" s="5"/>
      <c r="C496" s="16"/>
      <c r="E496" s="5"/>
    </row>
    <row r="497" spans="1:5" ht="12.5">
      <c r="A497" s="76"/>
      <c r="B497" s="5"/>
      <c r="C497" s="16"/>
      <c r="E497" s="5"/>
    </row>
    <row r="498" spans="1:5" ht="12.5">
      <c r="A498" s="76"/>
      <c r="B498" s="5"/>
      <c r="C498" s="16"/>
      <c r="E498" s="5"/>
    </row>
    <row r="499" spans="1:5" ht="12.5">
      <c r="A499" s="76"/>
      <c r="B499" s="5"/>
      <c r="C499" s="16"/>
      <c r="E499" s="5"/>
    </row>
    <row r="500" spans="1:5" ht="12.5">
      <c r="A500" s="76"/>
      <c r="B500" s="5"/>
      <c r="C500" s="16"/>
      <c r="E500" s="5"/>
    </row>
    <row r="501" spans="1:5" ht="12.5">
      <c r="A501" s="76"/>
      <c r="B501" s="5"/>
      <c r="C501" s="16"/>
      <c r="E501" s="5"/>
    </row>
    <row r="502" spans="1:5" ht="12.5">
      <c r="A502" s="76"/>
      <c r="B502" s="5"/>
      <c r="C502" s="16"/>
      <c r="E502" s="5"/>
    </row>
    <row r="503" spans="1:5" ht="12.5">
      <c r="A503" s="76"/>
      <c r="B503" s="5"/>
      <c r="C503" s="16"/>
      <c r="E503" s="5"/>
    </row>
    <row r="504" spans="1:5" ht="12.5">
      <c r="A504" s="76"/>
      <c r="B504" s="5"/>
      <c r="C504" s="16"/>
      <c r="E504" s="5"/>
    </row>
    <row r="505" spans="1:5" ht="12.5">
      <c r="A505" s="76"/>
      <c r="B505" s="5"/>
      <c r="C505" s="16"/>
      <c r="E505" s="5"/>
    </row>
    <row r="506" spans="1:5" ht="12.5">
      <c r="A506" s="76"/>
      <c r="B506" s="5"/>
      <c r="C506" s="16"/>
      <c r="E506" s="5"/>
    </row>
    <row r="507" spans="1:5" ht="12.5">
      <c r="A507" s="76"/>
      <c r="B507" s="5"/>
      <c r="C507" s="16"/>
      <c r="E507" s="5"/>
    </row>
    <row r="508" spans="1:5" ht="12.5">
      <c r="A508" s="76"/>
      <c r="B508" s="5"/>
      <c r="C508" s="16"/>
      <c r="E508" s="5"/>
    </row>
    <row r="509" spans="1:5" ht="12.5">
      <c r="A509" s="76"/>
      <c r="B509" s="5"/>
      <c r="C509" s="16"/>
      <c r="E509" s="5"/>
    </row>
    <row r="510" spans="1:5" ht="12.5">
      <c r="A510" s="76"/>
      <c r="B510" s="5"/>
      <c r="C510" s="16"/>
      <c r="E510" s="5"/>
    </row>
    <row r="511" spans="1:5" ht="12.5">
      <c r="A511" s="76"/>
      <c r="B511" s="5"/>
      <c r="C511" s="16"/>
      <c r="E511" s="5"/>
    </row>
    <row r="512" spans="1:5" ht="12.5">
      <c r="A512" s="76"/>
      <c r="B512" s="5"/>
      <c r="C512" s="16"/>
      <c r="E512" s="5"/>
    </row>
    <row r="513" spans="1:5" ht="12.5">
      <c r="A513" s="76"/>
      <c r="B513" s="5"/>
      <c r="C513" s="16"/>
      <c r="E513" s="5"/>
    </row>
    <row r="514" spans="1:5" ht="12.5">
      <c r="A514" s="76"/>
      <c r="B514" s="5"/>
      <c r="C514" s="16"/>
      <c r="E514" s="5"/>
    </row>
    <row r="515" spans="1:5" ht="12.5">
      <c r="A515" s="76"/>
      <c r="B515" s="5"/>
      <c r="C515" s="16"/>
      <c r="E515" s="5"/>
    </row>
    <row r="516" spans="1:5" ht="12.5">
      <c r="A516" s="76"/>
      <c r="B516" s="5"/>
      <c r="C516" s="16"/>
      <c r="E516" s="5"/>
    </row>
    <row r="517" spans="1:5" ht="12.5">
      <c r="A517" s="76"/>
      <c r="B517" s="5"/>
      <c r="C517" s="16"/>
      <c r="E517" s="5"/>
    </row>
    <row r="518" spans="1:5" ht="12.5">
      <c r="A518" s="76"/>
      <c r="B518" s="5"/>
      <c r="C518" s="16"/>
      <c r="E518" s="5"/>
    </row>
    <row r="519" spans="1:5" ht="12.5">
      <c r="A519" s="76"/>
      <c r="B519" s="5"/>
      <c r="C519" s="16"/>
      <c r="E519" s="5"/>
    </row>
    <row r="520" spans="1:5" ht="12.5">
      <c r="A520" s="76"/>
      <c r="B520" s="5"/>
      <c r="C520" s="16"/>
      <c r="E520" s="5"/>
    </row>
    <row r="521" spans="1:5" ht="12.5">
      <c r="A521" s="76"/>
      <c r="B521" s="5"/>
      <c r="C521" s="16"/>
      <c r="E521" s="5"/>
    </row>
    <row r="522" spans="1:5" ht="12.5">
      <c r="A522" s="76"/>
      <c r="B522" s="5"/>
      <c r="C522" s="16"/>
      <c r="E522" s="5"/>
    </row>
    <row r="523" spans="1:5" ht="12.5">
      <c r="A523" s="76"/>
      <c r="B523" s="5"/>
      <c r="C523" s="16"/>
      <c r="E523" s="5"/>
    </row>
    <row r="524" spans="1:5" ht="12.5">
      <c r="A524" s="76"/>
      <c r="B524" s="5"/>
      <c r="C524" s="16"/>
      <c r="E524" s="5"/>
    </row>
    <row r="525" spans="1:5" ht="12.5">
      <c r="A525" s="76"/>
      <c r="B525" s="5"/>
      <c r="C525" s="16"/>
      <c r="E525" s="5"/>
    </row>
    <row r="526" spans="1:5" ht="12.5">
      <c r="A526" s="76"/>
      <c r="B526" s="5"/>
      <c r="C526" s="16"/>
      <c r="E526" s="5"/>
    </row>
    <row r="527" spans="1:5" ht="12.5">
      <c r="A527" s="76"/>
      <c r="B527" s="5"/>
      <c r="C527" s="16"/>
      <c r="E527" s="5"/>
    </row>
    <row r="528" spans="1:5" ht="12.5">
      <c r="A528" s="76"/>
      <c r="B528" s="5"/>
      <c r="C528" s="16"/>
      <c r="E528" s="5"/>
    </row>
    <row r="529" spans="1:5" ht="12.5">
      <c r="A529" s="76"/>
      <c r="B529" s="5"/>
      <c r="C529" s="16"/>
      <c r="E529" s="5"/>
    </row>
    <row r="530" spans="1:5" ht="12.5">
      <c r="A530" s="76"/>
      <c r="B530" s="5"/>
      <c r="C530" s="16"/>
      <c r="E530" s="5"/>
    </row>
    <row r="531" spans="1:5" ht="12.5">
      <c r="A531" s="76"/>
      <c r="B531" s="5"/>
      <c r="C531" s="16"/>
      <c r="E531" s="5"/>
    </row>
    <row r="532" spans="1:5" ht="12.5">
      <c r="A532" s="76"/>
      <c r="B532" s="5"/>
      <c r="C532" s="16"/>
      <c r="E532" s="5"/>
    </row>
    <row r="533" spans="1:5" ht="12.5">
      <c r="A533" s="76"/>
      <c r="B533" s="5"/>
      <c r="C533" s="16"/>
      <c r="E533" s="5"/>
    </row>
    <row r="534" spans="1:5" ht="12.5">
      <c r="A534" s="76"/>
      <c r="B534" s="5"/>
      <c r="C534" s="16"/>
      <c r="E534" s="5"/>
    </row>
    <row r="535" spans="1:5" ht="12.5">
      <c r="A535" s="76"/>
      <c r="B535" s="5"/>
      <c r="C535" s="16"/>
      <c r="E535" s="5"/>
    </row>
    <row r="536" spans="1:5" ht="12.5">
      <c r="A536" s="76"/>
      <c r="B536" s="5"/>
      <c r="C536" s="16"/>
      <c r="E536" s="5"/>
    </row>
    <row r="537" spans="1:5" ht="12.5">
      <c r="A537" s="76"/>
      <c r="B537" s="5"/>
      <c r="C537" s="16"/>
      <c r="E537" s="5"/>
    </row>
    <row r="538" spans="1:5" ht="12.5">
      <c r="A538" s="76"/>
      <c r="B538" s="5"/>
      <c r="C538" s="16"/>
      <c r="E538" s="5"/>
    </row>
    <row r="539" spans="1:5" ht="12.5">
      <c r="A539" s="76"/>
      <c r="B539" s="5"/>
      <c r="C539" s="16"/>
      <c r="E539" s="5"/>
    </row>
    <row r="540" spans="1:5" ht="12.5">
      <c r="A540" s="76"/>
      <c r="B540" s="5"/>
      <c r="C540" s="16"/>
      <c r="E540" s="5"/>
    </row>
    <row r="541" spans="1:5" ht="12.5">
      <c r="A541" s="76"/>
      <c r="B541" s="5"/>
      <c r="C541" s="16"/>
      <c r="E541" s="5"/>
    </row>
    <row r="542" spans="1:5" ht="12.5">
      <c r="A542" s="76"/>
      <c r="B542" s="5"/>
      <c r="C542" s="16"/>
      <c r="E542" s="5"/>
    </row>
    <row r="543" spans="1:5" ht="12.5">
      <c r="A543" s="76"/>
      <c r="B543" s="5"/>
      <c r="C543" s="16"/>
      <c r="E543" s="5"/>
    </row>
    <row r="544" spans="1:5" ht="12.5">
      <c r="A544" s="76"/>
      <c r="B544" s="5"/>
      <c r="C544" s="16"/>
      <c r="E544" s="5"/>
    </row>
    <row r="545" spans="1:5" ht="12.5">
      <c r="A545" s="76"/>
      <c r="B545" s="5"/>
      <c r="C545" s="16"/>
      <c r="E545" s="5"/>
    </row>
    <row r="546" spans="1:5" ht="12.5">
      <c r="A546" s="76"/>
      <c r="B546" s="5"/>
      <c r="C546" s="16"/>
      <c r="E546" s="5"/>
    </row>
    <row r="547" spans="1:5" ht="12.5">
      <c r="A547" s="76"/>
      <c r="B547" s="5"/>
      <c r="C547" s="16"/>
      <c r="E547" s="5"/>
    </row>
    <row r="548" spans="1:5" ht="12.5">
      <c r="A548" s="76"/>
      <c r="B548" s="5"/>
      <c r="C548" s="16"/>
      <c r="E548" s="5"/>
    </row>
    <row r="549" spans="1:5" ht="12.5">
      <c r="A549" s="76"/>
      <c r="B549" s="5"/>
      <c r="C549" s="16"/>
      <c r="E549" s="5"/>
    </row>
    <row r="550" spans="1:5" ht="12.5">
      <c r="A550" s="76"/>
      <c r="B550" s="5"/>
      <c r="C550" s="16"/>
      <c r="E550" s="5"/>
    </row>
    <row r="551" spans="1:5" ht="12.5">
      <c r="A551" s="76"/>
      <c r="B551" s="5"/>
      <c r="C551" s="16"/>
      <c r="E551" s="5"/>
    </row>
    <row r="552" spans="1:5" ht="12.5">
      <c r="A552" s="76"/>
      <c r="B552" s="5"/>
      <c r="C552" s="16"/>
      <c r="E552" s="5"/>
    </row>
    <row r="553" spans="1:5" ht="12.5">
      <c r="A553" s="76"/>
      <c r="B553" s="5"/>
      <c r="C553" s="16"/>
      <c r="E553" s="5"/>
    </row>
    <row r="554" spans="1:5" ht="12.5">
      <c r="A554" s="76"/>
      <c r="B554" s="5"/>
      <c r="C554" s="16"/>
      <c r="E554" s="5"/>
    </row>
    <row r="555" spans="1:5" ht="12.5">
      <c r="A555" s="76"/>
      <c r="B555" s="5"/>
      <c r="C555" s="16"/>
      <c r="E555" s="5"/>
    </row>
    <row r="556" spans="1:5" ht="12.5">
      <c r="A556" s="76"/>
      <c r="B556" s="5"/>
      <c r="C556" s="16"/>
      <c r="E556" s="5"/>
    </row>
    <row r="557" spans="1:5" ht="12.5">
      <c r="A557" s="76"/>
      <c r="B557" s="5"/>
      <c r="C557" s="16"/>
      <c r="E557" s="5"/>
    </row>
    <row r="558" spans="1:5" ht="12.5">
      <c r="A558" s="76"/>
      <c r="B558" s="5"/>
      <c r="C558" s="16"/>
      <c r="E558" s="5"/>
    </row>
    <row r="559" spans="1:5" ht="12.5">
      <c r="A559" s="76"/>
      <c r="B559" s="5"/>
      <c r="C559" s="16"/>
      <c r="E559" s="5"/>
    </row>
    <row r="560" spans="1:5" ht="12.5">
      <c r="A560" s="76"/>
      <c r="B560" s="5"/>
      <c r="C560" s="16"/>
      <c r="E560" s="5"/>
    </row>
    <row r="561" spans="1:5" ht="12.5">
      <c r="A561" s="76"/>
      <c r="B561" s="5"/>
      <c r="C561" s="16"/>
      <c r="E561" s="5"/>
    </row>
    <row r="562" spans="1:5" ht="12.5">
      <c r="A562" s="76"/>
      <c r="B562" s="5"/>
      <c r="C562" s="16"/>
      <c r="E562" s="5"/>
    </row>
    <row r="563" spans="1:5" ht="12.5">
      <c r="A563" s="76"/>
      <c r="B563" s="5"/>
      <c r="C563" s="16"/>
      <c r="E563" s="5"/>
    </row>
    <row r="564" spans="1:5" ht="12.5">
      <c r="A564" s="76"/>
      <c r="B564" s="5"/>
      <c r="C564" s="16"/>
      <c r="E564" s="5"/>
    </row>
    <row r="565" spans="1:5" ht="12.5">
      <c r="A565" s="76"/>
      <c r="B565" s="5"/>
      <c r="C565" s="16"/>
      <c r="E565" s="5"/>
    </row>
    <row r="566" spans="1:5" ht="12.5">
      <c r="A566" s="76"/>
      <c r="B566" s="5"/>
      <c r="C566" s="16"/>
      <c r="E566" s="5"/>
    </row>
    <row r="567" spans="1:5" ht="12.5">
      <c r="A567" s="76"/>
      <c r="B567" s="5"/>
      <c r="C567" s="16"/>
      <c r="E567" s="5"/>
    </row>
    <row r="568" spans="1:5" ht="12.5">
      <c r="A568" s="76"/>
      <c r="B568" s="5"/>
      <c r="C568" s="16"/>
      <c r="E568" s="5"/>
    </row>
    <row r="569" spans="1:5" ht="12.5">
      <c r="A569" s="76"/>
      <c r="B569" s="5"/>
      <c r="C569" s="16"/>
      <c r="E569" s="5"/>
    </row>
    <row r="570" spans="1:5" ht="12.5">
      <c r="A570" s="76"/>
      <c r="B570" s="5"/>
      <c r="C570" s="16"/>
      <c r="E570" s="5"/>
    </row>
    <row r="571" spans="1:5" ht="12.5">
      <c r="A571" s="76"/>
      <c r="B571" s="5"/>
      <c r="C571" s="16"/>
      <c r="E571" s="5"/>
    </row>
    <row r="572" spans="1:5" ht="12.5">
      <c r="A572" s="76"/>
      <c r="B572" s="5"/>
      <c r="C572" s="16"/>
      <c r="E572" s="5"/>
    </row>
    <row r="573" spans="1:5" ht="12.5">
      <c r="A573" s="76"/>
      <c r="B573" s="5"/>
      <c r="C573" s="16"/>
      <c r="E573" s="5"/>
    </row>
    <row r="574" spans="1:5" ht="12.5">
      <c r="A574" s="76"/>
      <c r="B574" s="5"/>
      <c r="C574" s="16"/>
      <c r="E574" s="5"/>
    </row>
    <row r="575" spans="1:5" ht="12.5">
      <c r="A575" s="76"/>
      <c r="B575" s="5"/>
      <c r="C575" s="16"/>
      <c r="E575" s="5"/>
    </row>
    <row r="576" spans="1:5" ht="12.5">
      <c r="A576" s="76"/>
      <c r="B576" s="5"/>
      <c r="C576" s="16"/>
      <c r="E576" s="5"/>
    </row>
    <row r="577" spans="1:5" ht="12.5">
      <c r="A577" s="76"/>
      <c r="B577" s="5"/>
      <c r="C577" s="16"/>
      <c r="E577" s="5"/>
    </row>
    <row r="578" spans="1:5" ht="12.5">
      <c r="A578" s="76"/>
      <c r="B578" s="5"/>
      <c r="C578" s="16"/>
      <c r="E578" s="5"/>
    </row>
    <row r="579" spans="1:5" ht="12.5">
      <c r="A579" s="76"/>
      <c r="B579" s="5"/>
      <c r="C579" s="16"/>
      <c r="E579" s="5"/>
    </row>
    <row r="580" spans="1:5" ht="12.5">
      <c r="A580" s="76"/>
      <c r="B580" s="5"/>
      <c r="C580" s="16"/>
      <c r="E580" s="5"/>
    </row>
    <row r="581" spans="1:5" ht="12.5">
      <c r="A581" s="76"/>
      <c r="B581" s="5"/>
      <c r="C581" s="16"/>
      <c r="E581" s="5"/>
    </row>
    <row r="582" spans="1:5" ht="12.5">
      <c r="A582" s="76"/>
      <c r="B582" s="5"/>
      <c r="C582" s="16"/>
      <c r="E582" s="5"/>
    </row>
    <row r="583" spans="1:5" ht="12.5">
      <c r="A583" s="76"/>
      <c r="B583" s="5"/>
      <c r="C583" s="16"/>
      <c r="E583" s="5"/>
    </row>
    <row r="584" spans="1:5" ht="12.5">
      <c r="A584" s="76"/>
      <c r="B584" s="5"/>
      <c r="C584" s="16"/>
      <c r="E584" s="5"/>
    </row>
    <row r="585" spans="1:5" ht="12.5">
      <c r="A585" s="76"/>
      <c r="B585" s="5"/>
      <c r="C585" s="16"/>
      <c r="E585" s="5"/>
    </row>
    <row r="586" spans="1:5" ht="12.5">
      <c r="A586" s="76"/>
      <c r="B586" s="5"/>
      <c r="C586" s="16"/>
      <c r="E586" s="5"/>
    </row>
    <row r="587" spans="1:5" ht="12.5">
      <c r="A587" s="76"/>
      <c r="B587" s="5"/>
      <c r="C587" s="16"/>
      <c r="E587" s="5"/>
    </row>
    <row r="588" spans="1:5" ht="12.5">
      <c r="A588" s="76"/>
      <c r="B588" s="5"/>
      <c r="C588" s="16"/>
      <c r="E588" s="5"/>
    </row>
    <row r="589" spans="1:5" ht="12.5">
      <c r="A589" s="76"/>
      <c r="B589" s="5"/>
      <c r="C589" s="16"/>
      <c r="E589" s="5"/>
    </row>
    <row r="590" spans="1:5" ht="12.5">
      <c r="A590" s="76"/>
      <c r="B590" s="5"/>
      <c r="C590" s="16"/>
      <c r="E590" s="5"/>
    </row>
    <row r="591" spans="1:5" ht="12.5">
      <c r="A591" s="76"/>
      <c r="B591" s="5"/>
      <c r="C591" s="16"/>
      <c r="E591" s="5"/>
    </row>
    <row r="592" spans="1:5" ht="12.5">
      <c r="A592" s="76"/>
      <c r="B592" s="5"/>
      <c r="C592" s="16"/>
      <c r="E592" s="5"/>
    </row>
    <row r="593" spans="1:5" ht="12.5">
      <c r="A593" s="76"/>
      <c r="B593" s="5"/>
      <c r="C593" s="16"/>
      <c r="E593" s="5"/>
    </row>
    <row r="594" spans="1:5" ht="12.5">
      <c r="A594" s="76"/>
      <c r="B594" s="5"/>
      <c r="C594" s="16"/>
      <c r="E594" s="5"/>
    </row>
    <row r="595" spans="1:5" ht="12.5">
      <c r="A595" s="76"/>
      <c r="B595" s="5"/>
      <c r="C595" s="16"/>
      <c r="E595" s="5"/>
    </row>
    <row r="596" spans="1:5" ht="12.5">
      <c r="A596" s="76"/>
      <c r="B596" s="5"/>
      <c r="C596" s="16"/>
      <c r="E596" s="5"/>
    </row>
    <row r="597" spans="1:5" ht="12.5">
      <c r="A597" s="76"/>
      <c r="B597" s="5"/>
      <c r="C597" s="16"/>
      <c r="E597" s="5"/>
    </row>
    <row r="598" spans="1:5" ht="12.5">
      <c r="A598" s="76"/>
      <c r="B598" s="5"/>
      <c r="C598" s="16"/>
      <c r="E598" s="5"/>
    </row>
    <row r="599" spans="1:5" ht="12.5">
      <c r="A599" s="76"/>
      <c r="B599" s="5"/>
      <c r="C599" s="16"/>
      <c r="E599" s="5"/>
    </row>
    <row r="600" spans="1:5" ht="12.5">
      <c r="A600" s="76"/>
      <c r="B600" s="5"/>
      <c r="C600" s="16"/>
      <c r="E600" s="5"/>
    </row>
    <row r="601" spans="1:5" ht="12.5">
      <c r="A601" s="76"/>
      <c r="B601" s="5"/>
      <c r="C601" s="16"/>
      <c r="E601" s="5"/>
    </row>
    <row r="602" spans="1:5" ht="12.5">
      <c r="A602" s="76"/>
      <c r="B602" s="5"/>
      <c r="C602" s="16"/>
      <c r="E602" s="5"/>
    </row>
    <row r="603" spans="1:5" ht="12.5">
      <c r="A603" s="76"/>
      <c r="B603" s="5"/>
      <c r="C603" s="16"/>
      <c r="E603" s="5"/>
    </row>
    <row r="604" spans="1:5" ht="12.5">
      <c r="A604" s="76"/>
      <c r="B604" s="5"/>
      <c r="C604" s="16"/>
      <c r="E604" s="5"/>
    </row>
    <row r="605" spans="1:5" ht="12.5">
      <c r="A605" s="76"/>
      <c r="B605" s="5"/>
      <c r="C605" s="16"/>
      <c r="E605" s="5"/>
    </row>
    <row r="606" spans="1:5" ht="12.5">
      <c r="A606" s="76"/>
      <c r="B606" s="5"/>
      <c r="C606" s="16"/>
      <c r="E606" s="5"/>
    </row>
    <row r="607" spans="1:5" ht="12.5">
      <c r="A607" s="76"/>
      <c r="B607" s="5"/>
      <c r="C607" s="16"/>
      <c r="E607" s="5"/>
    </row>
    <row r="608" spans="1:5" ht="12.5">
      <c r="A608" s="76"/>
      <c r="B608" s="5"/>
      <c r="C608" s="16"/>
      <c r="E608" s="5"/>
    </row>
    <row r="609" spans="1:5" ht="12.5">
      <c r="A609" s="76"/>
      <c r="B609" s="5"/>
      <c r="C609" s="16"/>
      <c r="E609" s="5"/>
    </row>
    <row r="610" spans="1:5" ht="12.5">
      <c r="A610" s="76"/>
      <c r="B610" s="5"/>
      <c r="C610" s="16"/>
      <c r="E610" s="5"/>
    </row>
    <row r="611" spans="1:5" ht="12.5">
      <c r="A611" s="76"/>
      <c r="B611" s="5"/>
      <c r="C611" s="16"/>
      <c r="E611" s="5"/>
    </row>
    <row r="612" spans="1:5" ht="12.5">
      <c r="A612" s="76"/>
      <c r="B612" s="5"/>
      <c r="C612" s="16"/>
      <c r="E612" s="5"/>
    </row>
    <row r="613" spans="1:5" ht="12.5">
      <c r="A613" s="76"/>
      <c r="B613" s="5"/>
      <c r="C613" s="16"/>
      <c r="E613" s="5"/>
    </row>
    <row r="614" spans="1:5" ht="12.5">
      <c r="A614" s="76"/>
      <c r="B614" s="5"/>
      <c r="C614" s="16"/>
      <c r="E614" s="5"/>
    </row>
    <row r="615" spans="1:5" ht="12.5">
      <c r="A615" s="76"/>
      <c r="B615" s="5"/>
      <c r="C615" s="16"/>
      <c r="E615" s="5"/>
    </row>
    <row r="616" spans="1:5" ht="12.5">
      <c r="A616" s="76"/>
      <c r="B616" s="5"/>
      <c r="C616" s="16"/>
      <c r="E616" s="5"/>
    </row>
    <row r="617" spans="1:5" ht="12.5">
      <c r="A617" s="76"/>
      <c r="B617" s="5"/>
      <c r="C617" s="16"/>
      <c r="E617" s="5"/>
    </row>
    <row r="618" spans="1:5" ht="12.5">
      <c r="A618" s="76"/>
      <c r="B618" s="5"/>
      <c r="C618" s="16"/>
      <c r="E618" s="5"/>
    </row>
    <row r="619" spans="1:5" ht="12.5">
      <c r="A619" s="76"/>
      <c r="B619" s="5"/>
      <c r="C619" s="16"/>
      <c r="E619" s="5"/>
    </row>
    <row r="620" spans="1:5" ht="12.5">
      <c r="A620" s="76"/>
      <c r="B620" s="5"/>
      <c r="C620" s="16"/>
      <c r="E620" s="5"/>
    </row>
    <row r="621" spans="1:5" ht="12.5">
      <c r="A621" s="76"/>
      <c r="B621" s="5"/>
      <c r="C621" s="16"/>
      <c r="E621" s="5"/>
    </row>
    <row r="622" spans="1:5" ht="12.5">
      <c r="A622" s="76"/>
      <c r="B622" s="5"/>
      <c r="C622" s="16"/>
      <c r="E622" s="5"/>
    </row>
    <row r="623" spans="1:5" ht="12.5">
      <c r="A623" s="76"/>
      <c r="B623" s="5"/>
      <c r="C623" s="16"/>
      <c r="E623" s="5"/>
    </row>
    <row r="624" spans="1:5" ht="12.5">
      <c r="A624" s="76"/>
      <c r="B624" s="5"/>
      <c r="C624" s="16"/>
      <c r="E624" s="5"/>
    </row>
    <row r="625" spans="1:5" ht="12.5">
      <c r="A625" s="76"/>
      <c r="B625" s="5"/>
      <c r="C625" s="16"/>
      <c r="E625" s="5"/>
    </row>
    <row r="626" spans="1:5" ht="12.5">
      <c r="A626" s="76"/>
      <c r="B626" s="5"/>
      <c r="C626" s="16"/>
      <c r="E626" s="5"/>
    </row>
    <row r="627" spans="1:5" ht="12.5">
      <c r="A627" s="76"/>
      <c r="B627" s="5"/>
      <c r="C627" s="16"/>
      <c r="E627" s="5"/>
    </row>
    <row r="628" spans="1:5" ht="12.5">
      <c r="A628" s="76"/>
      <c r="B628" s="5"/>
      <c r="C628" s="16"/>
      <c r="E628" s="5"/>
    </row>
    <row r="629" spans="1:5" ht="12.5">
      <c r="A629" s="76"/>
      <c r="B629" s="5"/>
      <c r="C629" s="16"/>
      <c r="E629" s="5"/>
    </row>
    <row r="630" spans="1:5" ht="12.5">
      <c r="A630" s="76"/>
      <c r="B630" s="5"/>
      <c r="C630" s="16"/>
      <c r="E630" s="5"/>
    </row>
    <row r="631" spans="1:5" ht="12.5">
      <c r="A631" s="76"/>
      <c r="B631" s="5"/>
      <c r="C631" s="16"/>
      <c r="E631" s="5"/>
    </row>
    <row r="632" spans="1:5" ht="12.5">
      <c r="A632" s="76"/>
      <c r="B632" s="5"/>
      <c r="C632" s="16"/>
      <c r="E632" s="5"/>
    </row>
    <row r="633" spans="1:5" ht="12.5">
      <c r="A633" s="76"/>
      <c r="B633" s="5"/>
      <c r="C633" s="16"/>
      <c r="E633" s="5"/>
    </row>
    <row r="634" spans="1:5" ht="12.5">
      <c r="A634" s="76"/>
      <c r="B634" s="5"/>
      <c r="C634" s="16"/>
      <c r="E634" s="5"/>
    </row>
    <row r="635" spans="1:5" ht="12.5">
      <c r="A635" s="76"/>
      <c r="B635" s="5"/>
      <c r="C635" s="16"/>
      <c r="E635" s="5"/>
    </row>
    <row r="636" spans="1:5" ht="12.5">
      <c r="A636" s="76"/>
      <c r="B636" s="5"/>
      <c r="C636" s="16"/>
      <c r="E636" s="5"/>
    </row>
    <row r="637" spans="1:5" ht="12.5">
      <c r="A637" s="76"/>
      <c r="B637" s="5"/>
      <c r="C637" s="16"/>
      <c r="E637" s="5"/>
    </row>
    <row r="638" spans="1:5" ht="12.5">
      <c r="A638" s="76"/>
      <c r="B638" s="5"/>
      <c r="C638" s="16"/>
      <c r="E638" s="5"/>
    </row>
    <row r="639" spans="1:5" ht="12.5">
      <c r="A639" s="76"/>
      <c r="B639" s="5"/>
      <c r="C639" s="16"/>
      <c r="E639" s="5"/>
    </row>
    <row r="640" spans="1:5" ht="12.5">
      <c r="A640" s="76"/>
      <c r="B640" s="5"/>
      <c r="C640" s="16"/>
      <c r="E640" s="5"/>
    </row>
    <row r="641" spans="1:5" ht="12.5">
      <c r="A641" s="76"/>
      <c r="B641" s="5"/>
      <c r="C641" s="16"/>
      <c r="E641" s="5"/>
    </row>
    <row r="642" spans="1:5" ht="12.5">
      <c r="A642" s="76"/>
      <c r="B642" s="5"/>
      <c r="C642" s="16"/>
      <c r="E642" s="5"/>
    </row>
    <row r="643" spans="1:5" ht="12.5">
      <c r="A643" s="76"/>
      <c r="B643" s="5"/>
      <c r="C643" s="16"/>
      <c r="E643" s="5"/>
    </row>
    <row r="644" spans="1:5" ht="12.5">
      <c r="A644" s="76"/>
      <c r="B644" s="5"/>
      <c r="C644" s="16"/>
      <c r="E644" s="5"/>
    </row>
    <row r="645" spans="1:5" ht="12.5">
      <c r="A645" s="76"/>
      <c r="B645" s="5"/>
      <c r="C645" s="16"/>
      <c r="E645" s="5"/>
    </row>
    <row r="646" spans="1:5" ht="12.5">
      <c r="A646" s="76"/>
      <c r="B646" s="5"/>
      <c r="C646" s="16"/>
      <c r="E646" s="5"/>
    </row>
    <row r="647" spans="1:5" ht="12.5">
      <c r="A647" s="76"/>
      <c r="B647" s="5"/>
      <c r="C647" s="16"/>
      <c r="E647" s="5"/>
    </row>
    <row r="648" spans="1:5" ht="12.5">
      <c r="A648" s="76"/>
      <c r="B648" s="5"/>
      <c r="C648" s="16"/>
      <c r="E648" s="5"/>
    </row>
    <row r="649" spans="1:5" ht="12.5">
      <c r="A649" s="76"/>
      <c r="B649" s="5"/>
      <c r="C649" s="16"/>
      <c r="E649" s="5"/>
    </row>
    <row r="650" spans="1:5" ht="12.5">
      <c r="A650" s="76"/>
      <c r="B650" s="5"/>
      <c r="C650" s="16"/>
      <c r="E650" s="5"/>
    </row>
    <row r="651" spans="1:5" ht="12.5">
      <c r="A651" s="76"/>
      <c r="B651" s="5"/>
      <c r="C651" s="16"/>
      <c r="E651" s="5"/>
    </row>
    <row r="652" spans="1:5" ht="12.5">
      <c r="A652" s="76"/>
      <c r="B652" s="5"/>
      <c r="C652" s="16"/>
      <c r="E652" s="5"/>
    </row>
    <row r="653" spans="1:5" ht="12.5">
      <c r="A653" s="76"/>
      <c r="B653" s="5"/>
      <c r="C653" s="16"/>
      <c r="E653" s="5"/>
    </row>
    <row r="654" spans="1:5" ht="12.5">
      <c r="A654" s="76"/>
      <c r="B654" s="5"/>
      <c r="C654" s="16"/>
      <c r="E654" s="5"/>
    </row>
    <row r="655" spans="1:5" ht="12.5">
      <c r="A655" s="76"/>
      <c r="B655" s="5"/>
      <c r="C655" s="16"/>
      <c r="E655" s="5"/>
    </row>
    <row r="656" spans="1:5" ht="12.5">
      <c r="A656" s="76"/>
      <c r="B656" s="5"/>
      <c r="C656" s="16"/>
      <c r="E656" s="5"/>
    </row>
    <row r="657" spans="1:5" ht="12.5">
      <c r="A657" s="76"/>
      <c r="B657" s="5"/>
      <c r="C657" s="16"/>
      <c r="E657" s="5"/>
    </row>
    <row r="658" spans="1:5" ht="12.5">
      <c r="A658" s="76"/>
      <c r="B658" s="5"/>
      <c r="C658" s="16"/>
      <c r="E658" s="5"/>
    </row>
    <row r="659" spans="1:5" ht="12.5">
      <c r="A659" s="76"/>
      <c r="B659" s="5"/>
      <c r="C659" s="16"/>
      <c r="E659" s="5"/>
    </row>
    <row r="660" spans="1:5" ht="12.5">
      <c r="A660" s="76"/>
      <c r="B660" s="5"/>
      <c r="C660" s="16"/>
      <c r="E660" s="5"/>
    </row>
    <row r="661" spans="1:5" ht="12.5">
      <c r="A661" s="76"/>
      <c r="B661" s="5"/>
      <c r="C661" s="16"/>
      <c r="E661" s="5"/>
    </row>
    <row r="662" spans="1:5" ht="12.5">
      <c r="A662" s="76"/>
      <c r="B662" s="5"/>
      <c r="C662" s="16"/>
      <c r="E662" s="5"/>
    </row>
    <row r="663" spans="1:5" ht="12.5">
      <c r="A663" s="76"/>
      <c r="B663" s="5"/>
      <c r="C663" s="16"/>
      <c r="E663" s="5"/>
    </row>
    <row r="664" spans="1:5" ht="12.5">
      <c r="A664" s="76"/>
      <c r="B664" s="5"/>
      <c r="C664" s="16"/>
      <c r="E664" s="5"/>
    </row>
    <row r="665" spans="1:5" ht="12.5">
      <c r="A665" s="76"/>
      <c r="B665" s="5"/>
      <c r="C665" s="16"/>
      <c r="E665" s="5"/>
    </row>
    <row r="666" spans="1:5" ht="12.5">
      <c r="A666" s="76"/>
      <c r="B666" s="5"/>
      <c r="C666" s="16"/>
      <c r="E666" s="5"/>
    </row>
    <row r="667" spans="1:5" ht="12.5">
      <c r="A667" s="76"/>
      <c r="B667" s="5"/>
      <c r="C667" s="16"/>
      <c r="E667" s="5"/>
    </row>
    <row r="668" spans="1:5" ht="12.5">
      <c r="A668" s="76"/>
      <c r="B668" s="5"/>
      <c r="C668" s="16"/>
      <c r="E668" s="5"/>
    </row>
    <row r="669" spans="1:5" ht="12.5">
      <c r="A669" s="76"/>
      <c r="B669" s="5"/>
      <c r="C669" s="16"/>
      <c r="E669" s="5"/>
    </row>
    <row r="670" spans="1:5" ht="12.5">
      <c r="A670" s="76"/>
      <c r="B670" s="5"/>
      <c r="C670" s="16"/>
      <c r="E670" s="5"/>
    </row>
    <row r="671" spans="1:5" ht="12.5">
      <c r="A671" s="76"/>
      <c r="B671" s="5"/>
      <c r="C671" s="16"/>
      <c r="E671" s="5"/>
    </row>
    <row r="672" spans="1:5" ht="12.5">
      <c r="A672" s="76"/>
      <c r="B672" s="5"/>
      <c r="C672" s="16"/>
      <c r="E672" s="5"/>
    </row>
    <row r="673" spans="1:5" ht="12.5">
      <c r="A673" s="76"/>
      <c r="B673" s="5"/>
      <c r="C673" s="16"/>
      <c r="E673" s="5"/>
    </row>
    <row r="674" spans="1:5" ht="12.5">
      <c r="A674" s="76"/>
      <c r="B674" s="5"/>
      <c r="C674" s="16"/>
      <c r="E674" s="5"/>
    </row>
    <row r="675" spans="1:5" ht="12.5">
      <c r="A675" s="76"/>
      <c r="B675" s="5"/>
      <c r="C675" s="16"/>
      <c r="E675" s="5"/>
    </row>
    <row r="676" spans="1:5" ht="12.5">
      <c r="A676" s="76"/>
      <c r="B676" s="5"/>
      <c r="C676" s="16"/>
      <c r="E676" s="5"/>
    </row>
    <row r="677" spans="1:5" ht="12.5">
      <c r="A677" s="76"/>
      <c r="B677" s="5"/>
      <c r="C677" s="16"/>
      <c r="E677" s="5"/>
    </row>
    <row r="678" spans="1:5" ht="12.5">
      <c r="A678" s="76"/>
      <c r="B678" s="5"/>
      <c r="C678" s="16"/>
      <c r="E678" s="5"/>
    </row>
    <row r="679" spans="1:5" ht="12.5">
      <c r="A679" s="76"/>
      <c r="B679" s="5"/>
      <c r="C679" s="16"/>
      <c r="E679" s="5"/>
    </row>
    <row r="680" spans="1:5" ht="12.5">
      <c r="A680" s="76"/>
      <c r="B680" s="5"/>
      <c r="C680" s="16"/>
      <c r="E680" s="5"/>
    </row>
    <row r="681" spans="1:5" ht="12.5">
      <c r="A681" s="76"/>
      <c r="B681" s="5"/>
      <c r="C681" s="16"/>
      <c r="E681" s="5"/>
    </row>
    <row r="682" spans="1:5" ht="12.5">
      <c r="A682" s="76"/>
      <c r="B682" s="5"/>
      <c r="C682" s="16"/>
      <c r="E682" s="5"/>
    </row>
    <row r="683" spans="1:5" ht="12.5">
      <c r="A683" s="76"/>
      <c r="B683" s="5"/>
      <c r="C683" s="16"/>
      <c r="E683" s="5"/>
    </row>
    <row r="684" spans="1:5" ht="12.5">
      <c r="A684" s="76"/>
      <c r="B684" s="5"/>
      <c r="C684" s="16"/>
      <c r="E684" s="5"/>
    </row>
    <row r="685" spans="1:5" ht="12.5">
      <c r="A685" s="76"/>
      <c r="B685" s="5"/>
      <c r="C685" s="16"/>
      <c r="E685" s="5"/>
    </row>
    <row r="686" spans="1:5" ht="12.5">
      <c r="A686" s="76"/>
      <c r="B686" s="5"/>
      <c r="C686" s="16"/>
      <c r="E686" s="5"/>
    </row>
    <row r="687" spans="1:5" ht="12.5">
      <c r="A687" s="76"/>
      <c r="B687" s="5"/>
      <c r="C687" s="16"/>
      <c r="E687" s="5"/>
    </row>
    <row r="688" spans="1:5" ht="12.5">
      <c r="A688" s="76"/>
      <c r="B688" s="5"/>
      <c r="C688" s="16"/>
      <c r="E688" s="5"/>
    </row>
    <row r="689" spans="1:5" ht="12.5">
      <c r="A689" s="76"/>
      <c r="B689" s="5"/>
      <c r="C689" s="16"/>
      <c r="E689" s="5"/>
    </row>
    <row r="690" spans="1:5" ht="12.5">
      <c r="A690" s="76"/>
      <c r="B690" s="5"/>
      <c r="C690" s="16"/>
      <c r="E690" s="5"/>
    </row>
    <row r="691" spans="1:5" ht="12.5">
      <c r="A691" s="76"/>
      <c r="B691" s="5"/>
      <c r="C691" s="16"/>
      <c r="E691" s="5"/>
    </row>
    <row r="692" spans="1:5" ht="12.5">
      <c r="A692" s="76"/>
      <c r="B692" s="5"/>
      <c r="C692" s="16"/>
      <c r="E692" s="5"/>
    </row>
    <row r="693" spans="1:5" ht="12.5">
      <c r="A693" s="76"/>
      <c r="B693" s="5"/>
      <c r="C693" s="16"/>
      <c r="E693" s="5"/>
    </row>
    <row r="694" spans="1:5" ht="12.5">
      <c r="A694" s="76"/>
      <c r="B694" s="5"/>
      <c r="C694" s="16"/>
      <c r="E694" s="5"/>
    </row>
    <row r="695" spans="1:5" ht="12.5">
      <c r="A695" s="76"/>
      <c r="B695" s="5"/>
      <c r="C695" s="16"/>
      <c r="E695" s="5"/>
    </row>
    <row r="696" spans="1:5" ht="12.5">
      <c r="A696" s="76"/>
      <c r="B696" s="5"/>
      <c r="C696" s="16"/>
      <c r="E696" s="5"/>
    </row>
    <row r="697" spans="1:5" ht="12.5">
      <c r="A697" s="76"/>
      <c r="B697" s="5"/>
      <c r="C697" s="16"/>
      <c r="E697" s="5"/>
    </row>
    <row r="698" spans="1:5" ht="12.5">
      <c r="A698" s="76"/>
      <c r="B698" s="5"/>
      <c r="C698" s="16"/>
      <c r="E698" s="5"/>
    </row>
    <row r="699" spans="1:5" ht="12.5">
      <c r="A699" s="76"/>
      <c r="B699" s="5"/>
      <c r="C699" s="16"/>
      <c r="E699" s="5"/>
    </row>
    <row r="700" spans="1:5" ht="12.5">
      <c r="A700" s="76"/>
      <c r="B700" s="5"/>
      <c r="C700" s="16"/>
      <c r="E700" s="5"/>
    </row>
    <row r="701" spans="1:5" ht="12.5">
      <c r="A701" s="76"/>
      <c r="B701" s="5"/>
      <c r="C701" s="16"/>
      <c r="E701" s="5"/>
    </row>
    <row r="702" spans="1:5" ht="12.5">
      <c r="A702" s="76"/>
      <c r="B702" s="5"/>
      <c r="C702" s="16"/>
      <c r="E702" s="5"/>
    </row>
    <row r="703" spans="1:5" ht="12.5">
      <c r="A703" s="76"/>
      <c r="B703" s="5"/>
      <c r="C703" s="16"/>
      <c r="E703" s="5"/>
    </row>
    <row r="704" spans="1:5" ht="12.5">
      <c r="A704" s="76"/>
      <c r="B704" s="5"/>
      <c r="C704" s="16"/>
      <c r="E704" s="5"/>
    </row>
    <row r="705" spans="1:5" ht="12.5">
      <c r="A705" s="76"/>
      <c r="B705" s="5"/>
      <c r="C705" s="16"/>
      <c r="E705" s="5"/>
    </row>
    <row r="706" spans="1:5" ht="12.5">
      <c r="A706" s="76"/>
      <c r="B706" s="5"/>
      <c r="C706" s="16"/>
      <c r="E706" s="5"/>
    </row>
    <row r="707" spans="1:5" ht="12.5">
      <c r="A707" s="76"/>
      <c r="B707" s="5"/>
      <c r="C707" s="16"/>
      <c r="E707" s="5"/>
    </row>
    <row r="708" spans="1:5" ht="12.5">
      <c r="A708" s="76"/>
      <c r="B708" s="5"/>
      <c r="C708" s="16"/>
      <c r="E708" s="5"/>
    </row>
    <row r="709" spans="1:5" ht="12.5">
      <c r="A709" s="76"/>
      <c r="B709" s="5"/>
      <c r="C709" s="16"/>
      <c r="E709" s="5"/>
    </row>
    <row r="710" spans="1:5" ht="12.5">
      <c r="A710" s="76"/>
      <c r="B710" s="5"/>
      <c r="C710" s="16"/>
      <c r="E710" s="5"/>
    </row>
    <row r="711" spans="1:5" ht="12.5">
      <c r="A711" s="76"/>
      <c r="B711" s="5"/>
      <c r="C711" s="16"/>
      <c r="E711" s="5"/>
    </row>
    <row r="712" spans="1:5" ht="12.5">
      <c r="A712" s="76"/>
      <c r="B712" s="5"/>
      <c r="C712" s="16"/>
      <c r="E712" s="5"/>
    </row>
    <row r="713" spans="1:5" ht="12.5">
      <c r="A713" s="76"/>
      <c r="B713" s="5"/>
      <c r="C713" s="16"/>
      <c r="E713" s="5"/>
    </row>
    <row r="714" spans="1:5" ht="12.5">
      <c r="A714" s="76"/>
      <c r="B714" s="5"/>
      <c r="C714" s="16"/>
      <c r="E714" s="5"/>
    </row>
    <row r="715" spans="1:5" ht="12.5">
      <c r="A715" s="76"/>
      <c r="B715" s="5"/>
      <c r="C715" s="16"/>
      <c r="E715" s="5"/>
    </row>
    <row r="716" spans="1:5" ht="12.5">
      <c r="A716" s="76"/>
      <c r="B716" s="5"/>
      <c r="C716" s="16"/>
      <c r="E716" s="5"/>
    </row>
    <row r="717" spans="1:5" ht="12.5">
      <c r="A717" s="76"/>
      <c r="B717" s="5"/>
      <c r="C717" s="16"/>
      <c r="E717" s="5"/>
    </row>
    <row r="718" spans="1:5" ht="12.5">
      <c r="A718" s="76"/>
      <c r="B718" s="5"/>
      <c r="C718" s="16"/>
      <c r="E718" s="5"/>
    </row>
    <row r="719" spans="1:5" ht="12.5">
      <c r="A719" s="76"/>
      <c r="B719" s="5"/>
      <c r="C719" s="16"/>
      <c r="E719" s="5"/>
    </row>
    <row r="720" spans="1:5" ht="12.5">
      <c r="A720" s="76"/>
      <c r="B720" s="5"/>
      <c r="C720" s="16"/>
      <c r="E720" s="5"/>
    </row>
    <row r="721" spans="1:5" ht="12.5">
      <c r="A721" s="76"/>
      <c r="B721" s="5"/>
      <c r="C721" s="16"/>
      <c r="E721" s="5"/>
    </row>
    <row r="722" spans="1:5" ht="12.5">
      <c r="A722" s="76"/>
      <c r="B722" s="5"/>
      <c r="C722" s="16"/>
      <c r="E722" s="5"/>
    </row>
    <row r="723" spans="1:5" ht="12.5">
      <c r="A723" s="76"/>
      <c r="B723" s="5"/>
      <c r="C723" s="16"/>
      <c r="E723" s="5"/>
    </row>
    <row r="724" spans="1:5" ht="12.5">
      <c r="A724" s="76"/>
      <c r="B724" s="5"/>
      <c r="C724" s="16"/>
      <c r="E724" s="5"/>
    </row>
    <row r="725" spans="1:5" ht="12.5">
      <c r="A725" s="76"/>
      <c r="B725" s="5"/>
      <c r="C725" s="16"/>
      <c r="E725" s="5"/>
    </row>
    <row r="726" spans="1:5" ht="12.5">
      <c r="A726" s="76"/>
      <c r="B726" s="5"/>
      <c r="C726" s="16"/>
      <c r="E726" s="5"/>
    </row>
    <row r="727" spans="1:5" ht="12.5">
      <c r="A727" s="76"/>
      <c r="B727" s="5"/>
      <c r="C727" s="16"/>
      <c r="E727" s="5"/>
    </row>
    <row r="728" spans="1:5" ht="12.5">
      <c r="A728" s="76"/>
      <c r="B728" s="5"/>
      <c r="C728" s="16"/>
      <c r="E728" s="5"/>
    </row>
    <row r="729" spans="1:5" ht="12.5">
      <c r="A729" s="76"/>
      <c r="B729" s="5"/>
      <c r="C729" s="16"/>
      <c r="E729" s="5"/>
    </row>
    <row r="730" spans="1:5" ht="12.5">
      <c r="A730" s="76"/>
      <c r="B730" s="5"/>
      <c r="C730" s="16"/>
      <c r="E730" s="5"/>
    </row>
    <row r="731" spans="1:5" ht="12.5">
      <c r="A731" s="76"/>
      <c r="B731" s="5"/>
      <c r="C731" s="16"/>
      <c r="E731" s="5"/>
    </row>
    <row r="732" spans="1:5" ht="12.5">
      <c r="A732" s="76"/>
      <c r="B732" s="5"/>
      <c r="C732" s="16"/>
      <c r="E732" s="5"/>
    </row>
    <row r="733" spans="1:5" ht="12.5">
      <c r="A733" s="76"/>
      <c r="B733" s="5"/>
      <c r="C733" s="16"/>
      <c r="E733" s="5"/>
    </row>
    <row r="734" spans="1:5" ht="12.5">
      <c r="A734" s="76"/>
      <c r="B734" s="5"/>
      <c r="C734" s="16"/>
      <c r="E734" s="5"/>
    </row>
    <row r="735" spans="1:5" ht="12.5">
      <c r="A735" s="76"/>
      <c r="B735" s="5"/>
      <c r="C735" s="16"/>
      <c r="E735" s="5"/>
    </row>
    <row r="736" spans="1:5" ht="12.5">
      <c r="A736" s="76"/>
      <c r="B736" s="5"/>
      <c r="C736" s="16"/>
      <c r="E736" s="5"/>
    </row>
    <row r="737" spans="1:5" ht="12.5">
      <c r="A737" s="76"/>
      <c r="B737" s="5"/>
      <c r="C737" s="16"/>
      <c r="E737" s="5"/>
    </row>
    <row r="738" spans="1:5" ht="12.5">
      <c r="A738" s="76"/>
      <c r="B738" s="5"/>
      <c r="C738" s="16"/>
      <c r="E738" s="5"/>
    </row>
    <row r="739" spans="1:5" ht="12.5">
      <c r="A739" s="76"/>
      <c r="B739" s="5"/>
      <c r="C739" s="16"/>
      <c r="E739" s="5"/>
    </row>
    <row r="740" spans="1:5" ht="12.5">
      <c r="A740" s="76"/>
      <c r="B740" s="5"/>
      <c r="C740" s="16"/>
      <c r="E740" s="5"/>
    </row>
    <row r="741" spans="1:5" ht="12.5">
      <c r="A741" s="76"/>
      <c r="B741" s="5"/>
      <c r="C741" s="16"/>
      <c r="E741" s="5"/>
    </row>
    <row r="742" spans="1:5" ht="12.5">
      <c r="A742" s="76"/>
      <c r="B742" s="5"/>
      <c r="C742" s="16"/>
      <c r="E742" s="5"/>
    </row>
    <row r="743" spans="1:5" ht="12.5">
      <c r="A743" s="76"/>
      <c r="B743" s="5"/>
      <c r="C743" s="16"/>
      <c r="E743" s="5"/>
    </row>
    <row r="744" spans="1:5" ht="12.5">
      <c r="A744" s="76"/>
      <c r="B744" s="5"/>
      <c r="C744" s="16"/>
      <c r="E744" s="5"/>
    </row>
    <row r="745" spans="1:5" ht="12.5">
      <c r="A745" s="76"/>
      <c r="B745" s="5"/>
      <c r="C745" s="16"/>
      <c r="E745" s="5"/>
    </row>
    <row r="746" spans="1:5" ht="12.5">
      <c r="A746" s="76"/>
      <c r="B746" s="5"/>
      <c r="C746" s="16"/>
      <c r="E746" s="5"/>
    </row>
    <row r="747" spans="1:5" ht="12.5">
      <c r="A747" s="76"/>
      <c r="B747" s="5"/>
      <c r="C747" s="16"/>
      <c r="E747" s="5"/>
    </row>
    <row r="748" spans="1:5" ht="12.5">
      <c r="A748" s="76"/>
      <c r="B748" s="5"/>
      <c r="C748" s="16"/>
      <c r="E748" s="5"/>
    </row>
    <row r="749" spans="1:5" ht="12.5">
      <c r="A749" s="76"/>
      <c r="B749" s="5"/>
      <c r="C749" s="16"/>
      <c r="E749" s="5"/>
    </row>
    <row r="750" spans="1:5" ht="12.5">
      <c r="A750" s="76"/>
      <c r="B750" s="5"/>
      <c r="C750" s="16"/>
      <c r="E750" s="5"/>
    </row>
    <row r="751" spans="1:5" ht="12.5">
      <c r="A751" s="76"/>
      <c r="B751" s="5"/>
      <c r="C751" s="16"/>
      <c r="E751" s="5"/>
    </row>
    <row r="752" spans="1:5" ht="12.5">
      <c r="A752" s="76"/>
      <c r="B752" s="5"/>
      <c r="C752" s="16"/>
      <c r="E752" s="5"/>
    </row>
    <row r="753" spans="1:5" ht="12.5">
      <c r="A753" s="76"/>
      <c r="B753" s="5"/>
      <c r="C753" s="16"/>
      <c r="E753" s="5"/>
    </row>
    <row r="754" spans="1:5" ht="12.5">
      <c r="A754" s="76"/>
      <c r="B754" s="5"/>
      <c r="C754" s="16"/>
      <c r="E754" s="5"/>
    </row>
    <row r="755" spans="1:5" ht="12.5">
      <c r="A755" s="76"/>
      <c r="B755" s="5"/>
      <c r="C755" s="16"/>
      <c r="E755" s="5"/>
    </row>
    <row r="756" spans="1:5" ht="12.5">
      <c r="A756" s="76"/>
      <c r="B756" s="5"/>
      <c r="C756" s="16"/>
      <c r="E756" s="5"/>
    </row>
    <row r="757" spans="1:5" ht="12.5">
      <c r="A757" s="76"/>
      <c r="B757" s="5"/>
      <c r="C757" s="16"/>
      <c r="E757" s="5"/>
    </row>
    <row r="758" spans="1:5" ht="12.5">
      <c r="A758" s="76"/>
      <c r="B758" s="5"/>
      <c r="C758" s="16"/>
      <c r="E758" s="5"/>
    </row>
    <row r="759" spans="1:5" ht="12.5">
      <c r="A759" s="76"/>
      <c r="B759" s="5"/>
      <c r="C759" s="16"/>
      <c r="E759" s="5"/>
    </row>
    <row r="760" spans="1:5" ht="12.5">
      <c r="A760" s="76"/>
      <c r="B760" s="5"/>
      <c r="C760" s="16"/>
      <c r="E760" s="5"/>
    </row>
    <row r="761" spans="1:5" ht="12.5">
      <c r="A761" s="76"/>
      <c r="B761" s="5"/>
      <c r="C761" s="16"/>
      <c r="E761" s="5"/>
    </row>
    <row r="762" spans="1:5" ht="12.5">
      <c r="A762" s="76"/>
      <c r="B762" s="5"/>
      <c r="C762" s="16"/>
      <c r="E762" s="5"/>
    </row>
    <row r="763" spans="1:5" ht="12.5">
      <c r="A763" s="76"/>
      <c r="B763" s="5"/>
      <c r="C763" s="16"/>
      <c r="E763" s="5"/>
    </row>
    <row r="764" spans="1:5" ht="12.5">
      <c r="A764" s="76"/>
      <c r="B764" s="5"/>
      <c r="C764" s="16"/>
      <c r="E764" s="5"/>
    </row>
    <row r="765" spans="1:5" ht="12.5">
      <c r="A765" s="76"/>
      <c r="B765" s="5"/>
      <c r="C765" s="16"/>
      <c r="E765" s="5"/>
    </row>
    <row r="766" spans="1:5" ht="12.5">
      <c r="A766" s="76"/>
      <c r="B766" s="5"/>
      <c r="C766" s="16"/>
      <c r="E766" s="5"/>
    </row>
    <row r="767" spans="1:5" ht="12.5">
      <c r="A767" s="76"/>
      <c r="B767" s="5"/>
      <c r="C767" s="16"/>
      <c r="E767" s="5"/>
    </row>
    <row r="768" spans="1:5" ht="12.5">
      <c r="A768" s="76"/>
      <c r="B768" s="5"/>
      <c r="C768" s="16"/>
      <c r="E768" s="5"/>
    </row>
    <row r="769" spans="1:5" ht="12.5">
      <c r="A769" s="76"/>
      <c r="B769" s="5"/>
      <c r="C769" s="16"/>
      <c r="E769" s="5"/>
    </row>
    <row r="770" spans="1:5" ht="12.5">
      <c r="A770" s="76"/>
      <c r="B770" s="5"/>
      <c r="C770" s="16"/>
      <c r="E770" s="5"/>
    </row>
    <row r="771" spans="1:5" ht="12.5">
      <c r="A771" s="76"/>
      <c r="B771" s="5"/>
      <c r="C771" s="16"/>
      <c r="E771" s="5"/>
    </row>
    <row r="772" spans="1:5" ht="12.5">
      <c r="A772" s="76"/>
      <c r="B772" s="5"/>
      <c r="C772" s="16"/>
      <c r="E772" s="5"/>
    </row>
    <row r="773" spans="1:5" ht="12.5">
      <c r="A773" s="76"/>
      <c r="B773" s="5"/>
      <c r="C773" s="16"/>
      <c r="E773" s="5"/>
    </row>
    <row r="774" spans="1:5" ht="12.5">
      <c r="A774" s="76"/>
      <c r="B774" s="5"/>
      <c r="C774" s="16"/>
      <c r="E774" s="5"/>
    </row>
    <row r="775" spans="1:5" ht="12.5">
      <c r="A775" s="76"/>
      <c r="B775" s="5"/>
      <c r="C775" s="16"/>
      <c r="E775" s="5"/>
    </row>
    <row r="776" spans="1:5" ht="12.5">
      <c r="A776" s="76"/>
      <c r="B776" s="5"/>
      <c r="C776" s="16"/>
      <c r="E776" s="5"/>
    </row>
    <row r="777" spans="1:5" ht="12.5">
      <c r="A777" s="76"/>
      <c r="B777" s="5"/>
      <c r="C777" s="16"/>
      <c r="E777" s="5"/>
    </row>
    <row r="778" spans="1:5" ht="12.5">
      <c r="A778" s="76"/>
      <c r="B778" s="5"/>
      <c r="C778" s="16"/>
      <c r="E778" s="5"/>
    </row>
    <row r="779" spans="1:5" ht="12.5">
      <c r="A779" s="76"/>
      <c r="B779" s="5"/>
      <c r="C779" s="16"/>
      <c r="E779" s="5"/>
    </row>
    <row r="780" spans="1:5" ht="12.5">
      <c r="A780" s="76"/>
      <c r="B780" s="5"/>
      <c r="C780" s="16"/>
      <c r="E780" s="5"/>
    </row>
    <row r="781" spans="1:5" ht="12.5">
      <c r="A781" s="76"/>
      <c r="B781" s="5"/>
      <c r="C781" s="16"/>
      <c r="E781" s="5"/>
    </row>
    <row r="782" spans="1:5" ht="12.5">
      <c r="A782" s="76"/>
      <c r="B782" s="5"/>
      <c r="C782" s="16"/>
      <c r="E782" s="5"/>
    </row>
    <row r="783" spans="1:5" ht="12.5">
      <c r="A783" s="76"/>
      <c r="B783" s="5"/>
      <c r="C783" s="16"/>
      <c r="E783" s="5"/>
    </row>
    <row r="784" spans="1:5" ht="12.5">
      <c r="A784" s="76"/>
      <c r="B784" s="5"/>
      <c r="C784" s="16"/>
      <c r="E784" s="5"/>
    </row>
    <row r="785" spans="1:5" ht="12.5">
      <c r="A785" s="76"/>
      <c r="B785" s="5"/>
      <c r="C785" s="16"/>
      <c r="E785" s="5"/>
    </row>
    <row r="786" spans="1:5" ht="12.5">
      <c r="A786" s="76"/>
      <c r="B786" s="5"/>
      <c r="C786" s="16"/>
      <c r="E786" s="5"/>
    </row>
    <row r="787" spans="1:5" ht="12.5">
      <c r="A787" s="76"/>
      <c r="B787" s="5"/>
      <c r="C787" s="16"/>
      <c r="E787" s="5"/>
    </row>
    <row r="788" spans="1:5" ht="12.5">
      <c r="A788" s="76"/>
      <c r="B788" s="5"/>
      <c r="C788" s="16"/>
      <c r="E788" s="5"/>
    </row>
    <row r="789" spans="1:5" ht="12.5">
      <c r="A789" s="76"/>
      <c r="B789" s="5"/>
      <c r="C789" s="16"/>
      <c r="E789" s="5"/>
    </row>
    <row r="790" spans="1:5" ht="12.5">
      <c r="A790" s="76"/>
      <c r="B790" s="5"/>
      <c r="C790" s="16"/>
      <c r="E790" s="5"/>
    </row>
    <row r="791" spans="1:5" ht="12.5">
      <c r="A791" s="76"/>
      <c r="B791" s="5"/>
      <c r="C791" s="16"/>
      <c r="E791" s="5"/>
    </row>
    <row r="792" spans="1:5" ht="12.5">
      <c r="A792" s="76"/>
      <c r="B792" s="5"/>
      <c r="C792" s="16"/>
      <c r="E792" s="5"/>
    </row>
    <row r="793" spans="1:5" ht="12.5">
      <c r="A793" s="76"/>
      <c r="B793" s="5"/>
      <c r="C793" s="16"/>
      <c r="E793" s="5"/>
    </row>
    <row r="794" spans="1:5" ht="12.5">
      <c r="A794" s="76"/>
      <c r="B794" s="5"/>
      <c r="C794" s="16"/>
      <c r="E794" s="5"/>
    </row>
    <row r="795" spans="1:5" ht="12.5">
      <c r="A795" s="76"/>
      <c r="B795" s="5"/>
      <c r="C795" s="16"/>
      <c r="E795" s="5"/>
    </row>
    <row r="796" spans="1:5" ht="12.5">
      <c r="A796" s="76"/>
      <c r="B796" s="5"/>
      <c r="C796" s="16"/>
      <c r="E796" s="5"/>
    </row>
    <row r="797" spans="1:5" ht="12.5">
      <c r="A797" s="76"/>
      <c r="B797" s="5"/>
      <c r="C797" s="16"/>
      <c r="E797" s="5"/>
    </row>
    <row r="798" spans="1:5" ht="12.5">
      <c r="A798" s="76"/>
      <c r="B798" s="5"/>
      <c r="C798" s="16"/>
      <c r="E798" s="5"/>
    </row>
    <row r="799" spans="1:5" ht="12.5">
      <c r="A799" s="76"/>
      <c r="B799" s="5"/>
      <c r="C799" s="16"/>
      <c r="E799" s="5"/>
    </row>
    <row r="800" spans="1:5" ht="12.5">
      <c r="A800" s="76"/>
      <c r="B800" s="5"/>
      <c r="C800" s="16"/>
      <c r="E800" s="5"/>
    </row>
    <row r="801" spans="1:5" ht="12.5">
      <c r="A801" s="76"/>
      <c r="B801" s="5"/>
      <c r="C801" s="16"/>
      <c r="E801" s="5"/>
    </row>
    <row r="802" spans="1:5" ht="12.5">
      <c r="A802" s="76"/>
      <c r="B802" s="5"/>
      <c r="C802" s="16"/>
      <c r="E802" s="5"/>
    </row>
    <row r="803" spans="1:5" ht="12.5">
      <c r="A803" s="76"/>
      <c r="B803" s="5"/>
      <c r="C803" s="16"/>
      <c r="E803" s="5"/>
    </row>
    <row r="804" spans="1:5" ht="12.5">
      <c r="A804" s="76"/>
      <c r="B804" s="5"/>
      <c r="C804" s="16"/>
      <c r="E804" s="5"/>
    </row>
    <row r="805" spans="1:5" ht="12.5">
      <c r="A805" s="76"/>
      <c r="B805" s="5"/>
      <c r="C805" s="16"/>
      <c r="E805" s="5"/>
    </row>
    <row r="806" spans="1:5" ht="12.5">
      <c r="A806" s="76"/>
      <c r="B806" s="5"/>
      <c r="C806" s="16"/>
      <c r="E806" s="5"/>
    </row>
    <row r="807" spans="1:5" ht="12.5">
      <c r="A807" s="76"/>
      <c r="B807" s="5"/>
      <c r="C807" s="16"/>
      <c r="E807" s="5"/>
    </row>
    <row r="808" spans="1:5" ht="12.5">
      <c r="A808" s="76"/>
      <c r="B808" s="5"/>
      <c r="C808" s="16"/>
      <c r="E808" s="5"/>
    </row>
    <row r="809" spans="1:5" ht="12.5">
      <c r="A809" s="76"/>
      <c r="B809" s="5"/>
      <c r="C809" s="16"/>
      <c r="E809" s="5"/>
    </row>
    <row r="810" spans="1:5" ht="12.5">
      <c r="A810" s="76"/>
      <c r="B810" s="5"/>
      <c r="C810" s="16"/>
      <c r="E810" s="5"/>
    </row>
    <row r="811" spans="1:5" ht="12.5">
      <c r="A811" s="76"/>
      <c r="B811" s="5"/>
      <c r="C811" s="16"/>
      <c r="E811" s="5"/>
    </row>
    <row r="812" spans="1:5" ht="12.5">
      <c r="A812" s="76"/>
      <c r="B812" s="5"/>
      <c r="C812" s="16"/>
      <c r="E812" s="5"/>
    </row>
    <row r="813" spans="1:5" ht="12.5">
      <c r="A813" s="76"/>
      <c r="B813" s="5"/>
      <c r="C813" s="16"/>
      <c r="E813" s="5"/>
    </row>
    <row r="814" spans="1:5" ht="12.5">
      <c r="A814" s="76"/>
      <c r="B814" s="5"/>
      <c r="C814" s="16"/>
      <c r="E814" s="5"/>
    </row>
    <row r="815" spans="1:5" ht="12.5">
      <c r="A815" s="76"/>
      <c r="B815" s="5"/>
      <c r="C815" s="16"/>
      <c r="E815" s="5"/>
    </row>
    <row r="816" spans="1:5" ht="12.5">
      <c r="A816" s="76"/>
      <c r="B816" s="5"/>
      <c r="C816" s="16"/>
      <c r="E816" s="5"/>
    </row>
    <row r="817" spans="1:5" ht="12.5">
      <c r="A817" s="76"/>
      <c r="B817" s="5"/>
      <c r="C817" s="16"/>
      <c r="E817" s="5"/>
    </row>
    <row r="818" spans="1:5" ht="12.5">
      <c r="A818" s="76"/>
      <c r="B818" s="5"/>
      <c r="C818" s="16"/>
      <c r="E818" s="5"/>
    </row>
    <row r="819" spans="1:5" ht="12.5">
      <c r="A819" s="76"/>
      <c r="B819" s="5"/>
      <c r="C819" s="16"/>
      <c r="E819" s="5"/>
    </row>
    <row r="820" spans="1:5" ht="12.5">
      <c r="A820" s="76"/>
      <c r="B820" s="5"/>
      <c r="C820" s="16"/>
      <c r="E820" s="5"/>
    </row>
    <row r="821" spans="1:5" ht="12.5">
      <c r="A821" s="76"/>
      <c r="B821" s="5"/>
      <c r="C821" s="16"/>
      <c r="E821" s="5"/>
    </row>
    <row r="822" spans="1:5" ht="12.5">
      <c r="A822" s="76"/>
      <c r="B822" s="5"/>
      <c r="C822" s="16"/>
      <c r="E822" s="5"/>
    </row>
    <row r="823" spans="1:5" ht="12.5">
      <c r="A823" s="76"/>
      <c r="B823" s="5"/>
      <c r="C823" s="16"/>
      <c r="E823" s="5"/>
    </row>
    <row r="824" spans="1:5" ht="12.5">
      <c r="A824" s="76"/>
      <c r="B824" s="5"/>
      <c r="C824" s="16"/>
      <c r="E824" s="5"/>
    </row>
    <row r="825" spans="1:5" ht="12.5">
      <c r="A825" s="76"/>
      <c r="B825" s="5"/>
      <c r="C825" s="16"/>
      <c r="E825" s="5"/>
    </row>
    <row r="826" spans="1:5" ht="12.5">
      <c r="A826" s="76"/>
      <c r="B826" s="5"/>
      <c r="C826" s="16"/>
      <c r="E826" s="5"/>
    </row>
    <row r="827" spans="1:5" ht="12.5">
      <c r="A827" s="76"/>
      <c r="B827" s="5"/>
      <c r="C827" s="16"/>
      <c r="E827" s="5"/>
    </row>
    <row r="828" spans="1:5" ht="12.5">
      <c r="A828" s="76"/>
      <c r="B828" s="5"/>
      <c r="C828" s="16"/>
      <c r="E828" s="5"/>
    </row>
    <row r="829" spans="1:5" ht="12.5">
      <c r="A829" s="76"/>
      <c r="B829" s="5"/>
      <c r="C829" s="16"/>
      <c r="E829" s="5"/>
    </row>
    <row r="830" spans="1:5" ht="12.5">
      <c r="A830" s="76"/>
      <c r="B830" s="5"/>
      <c r="C830" s="16"/>
      <c r="E830" s="5"/>
    </row>
    <row r="831" spans="1:5" ht="12.5">
      <c r="A831" s="76"/>
      <c r="B831" s="5"/>
      <c r="C831" s="16"/>
      <c r="E831" s="5"/>
    </row>
    <row r="832" spans="1:5" ht="12.5">
      <c r="A832" s="76"/>
      <c r="B832" s="5"/>
      <c r="C832" s="16"/>
      <c r="E832" s="5"/>
    </row>
    <row r="833" spans="1:5" ht="12.5">
      <c r="A833" s="76"/>
      <c r="B833" s="5"/>
      <c r="C833" s="16"/>
      <c r="E833" s="5"/>
    </row>
    <row r="834" spans="1:5" ht="12.5">
      <c r="A834" s="76"/>
      <c r="B834" s="5"/>
      <c r="C834" s="16"/>
      <c r="E834" s="5"/>
    </row>
    <row r="835" spans="1:5" ht="12.5">
      <c r="A835" s="76"/>
      <c r="B835" s="5"/>
      <c r="C835" s="16"/>
      <c r="E835" s="5"/>
    </row>
    <row r="836" spans="1:5" ht="12.5">
      <c r="A836" s="76"/>
      <c r="B836" s="5"/>
      <c r="C836" s="16"/>
      <c r="E836" s="5"/>
    </row>
    <row r="837" spans="1:5" ht="12.5">
      <c r="A837" s="76"/>
      <c r="B837" s="5"/>
      <c r="C837" s="16"/>
      <c r="E837" s="5"/>
    </row>
    <row r="838" spans="1:5" ht="12.5">
      <c r="A838" s="76"/>
      <c r="B838" s="5"/>
      <c r="C838" s="16"/>
      <c r="E838" s="5"/>
    </row>
    <row r="839" spans="1:5" ht="12.5">
      <c r="A839" s="76"/>
      <c r="B839" s="5"/>
      <c r="C839" s="16"/>
      <c r="E839" s="5"/>
    </row>
    <row r="840" spans="1:5" ht="12.5">
      <c r="A840" s="76"/>
      <c r="B840" s="5"/>
      <c r="C840" s="16"/>
      <c r="E840" s="5"/>
    </row>
    <row r="841" spans="1:5" ht="12.5">
      <c r="A841" s="76"/>
      <c r="B841" s="5"/>
      <c r="C841" s="16"/>
      <c r="E841" s="5"/>
    </row>
    <row r="842" spans="1:5" ht="12.5">
      <c r="A842" s="76"/>
      <c r="B842" s="5"/>
      <c r="C842" s="16"/>
      <c r="E842" s="5"/>
    </row>
    <row r="843" spans="1:5" ht="12.5">
      <c r="A843" s="76"/>
      <c r="B843" s="5"/>
      <c r="C843" s="16"/>
      <c r="E843" s="5"/>
    </row>
    <row r="844" spans="1:5" ht="12.5">
      <c r="A844" s="76"/>
      <c r="B844" s="5"/>
      <c r="C844" s="16"/>
      <c r="E844" s="5"/>
    </row>
    <row r="845" spans="1:5" ht="12.5">
      <c r="A845" s="76"/>
      <c r="B845" s="5"/>
      <c r="C845" s="16"/>
      <c r="E845" s="5"/>
    </row>
    <row r="846" spans="1:5" ht="12.5">
      <c r="A846" s="76"/>
      <c r="B846" s="5"/>
      <c r="C846" s="16"/>
      <c r="E846" s="5"/>
    </row>
    <row r="847" spans="1:5" ht="12.5">
      <c r="A847" s="76"/>
      <c r="B847" s="5"/>
      <c r="C847" s="16"/>
      <c r="E847" s="5"/>
    </row>
    <row r="848" spans="1:5" ht="12.5">
      <c r="A848" s="76"/>
      <c r="B848" s="5"/>
      <c r="C848" s="16"/>
      <c r="E848" s="5"/>
    </row>
    <row r="849" spans="1:5" ht="12.5">
      <c r="A849" s="76"/>
      <c r="B849" s="5"/>
      <c r="C849" s="16"/>
      <c r="E849" s="5"/>
    </row>
    <row r="850" spans="1:5" ht="12.5">
      <c r="A850" s="76"/>
      <c r="B850" s="5"/>
      <c r="C850" s="16"/>
      <c r="E850" s="5"/>
    </row>
    <row r="851" spans="1:5" ht="12.5">
      <c r="A851" s="76"/>
      <c r="B851" s="5"/>
      <c r="C851" s="16"/>
      <c r="E851" s="5"/>
    </row>
    <row r="852" spans="1:5" ht="12.5">
      <c r="A852" s="76"/>
      <c r="B852" s="5"/>
      <c r="C852" s="16"/>
      <c r="E852" s="5"/>
    </row>
    <row r="853" spans="1:5" ht="12.5">
      <c r="A853" s="76"/>
      <c r="B853" s="5"/>
      <c r="C853" s="16"/>
      <c r="E853" s="5"/>
    </row>
    <row r="854" spans="1:5" ht="12.5">
      <c r="A854" s="76"/>
      <c r="B854" s="5"/>
      <c r="C854" s="16"/>
      <c r="E854" s="5"/>
    </row>
    <row r="855" spans="1:5" ht="12.5">
      <c r="A855" s="76"/>
      <c r="B855" s="5"/>
      <c r="C855" s="16"/>
      <c r="E855" s="5"/>
    </row>
    <row r="856" spans="1:5" ht="12.5">
      <c r="A856" s="76"/>
      <c r="B856" s="5"/>
      <c r="C856" s="16"/>
      <c r="E856" s="5"/>
    </row>
    <row r="857" spans="1:5" ht="12.5">
      <c r="A857" s="76"/>
      <c r="B857" s="5"/>
      <c r="C857" s="16"/>
      <c r="E857" s="5"/>
    </row>
    <row r="858" spans="1:5" ht="12.5">
      <c r="A858" s="76"/>
      <c r="B858" s="5"/>
      <c r="C858" s="16"/>
      <c r="E858" s="5"/>
    </row>
    <row r="859" spans="1:5" ht="12.5">
      <c r="A859" s="76"/>
      <c r="B859" s="5"/>
      <c r="C859" s="16"/>
      <c r="E859" s="5"/>
    </row>
    <row r="860" spans="1:5" ht="12.5">
      <c r="A860" s="76"/>
      <c r="B860" s="5"/>
      <c r="C860" s="16"/>
      <c r="E860" s="5"/>
    </row>
    <row r="861" spans="1:5" ht="12.5">
      <c r="A861" s="76"/>
      <c r="B861" s="5"/>
      <c r="C861" s="16"/>
      <c r="E861" s="5"/>
    </row>
    <row r="862" spans="1:5" ht="12.5">
      <c r="A862" s="76"/>
      <c r="B862" s="5"/>
      <c r="C862" s="16"/>
      <c r="E862" s="5"/>
    </row>
    <row r="863" spans="1:5" ht="12.5">
      <c r="A863" s="76"/>
      <c r="B863" s="5"/>
      <c r="C863" s="16"/>
      <c r="E863" s="5"/>
    </row>
    <row r="864" spans="1:5" ht="12.5">
      <c r="A864" s="76"/>
      <c r="B864" s="5"/>
      <c r="C864" s="16"/>
      <c r="E864" s="5"/>
    </row>
    <row r="865" spans="1:5" ht="12.5">
      <c r="A865" s="76"/>
      <c r="B865" s="5"/>
      <c r="C865" s="16"/>
      <c r="E865" s="5"/>
    </row>
    <row r="866" spans="1:5" ht="12.5">
      <c r="A866" s="76"/>
      <c r="B866" s="5"/>
      <c r="C866" s="16"/>
      <c r="E866" s="5"/>
    </row>
    <row r="867" spans="1:5" ht="12.5">
      <c r="A867" s="76"/>
      <c r="B867" s="5"/>
      <c r="C867" s="16"/>
      <c r="E867" s="5"/>
    </row>
    <row r="868" spans="1:5" ht="12.5">
      <c r="A868" s="76"/>
      <c r="B868" s="5"/>
      <c r="C868" s="16"/>
      <c r="E868" s="5"/>
    </row>
    <row r="869" spans="1:5" ht="12.5">
      <c r="A869" s="76"/>
      <c r="B869" s="5"/>
      <c r="C869" s="16"/>
      <c r="E869" s="5"/>
    </row>
    <row r="870" spans="1:5" ht="12.5">
      <c r="A870" s="76"/>
      <c r="B870" s="5"/>
      <c r="C870" s="16"/>
      <c r="E870" s="5"/>
    </row>
    <row r="871" spans="1:5" ht="12.5">
      <c r="A871" s="76"/>
      <c r="B871" s="5"/>
      <c r="C871" s="16"/>
      <c r="E871" s="5"/>
    </row>
    <row r="872" spans="1:5" ht="12.5">
      <c r="A872" s="76"/>
      <c r="B872" s="5"/>
      <c r="C872" s="16"/>
      <c r="E872" s="5"/>
    </row>
    <row r="873" spans="1:5" ht="12.5">
      <c r="A873" s="76"/>
      <c r="B873" s="5"/>
      <c r="C873" s="16"/>
      <c r="E873" s="5"/>
    </row>
    <row r="874" spans="1:5" ht="12.5">
      <c r="A874" s="76"/>
      <c r="B874" s="5"/>
      <c r="C874" s="16"/>
      <c r="E874" s="5"/>
    </row>
    <row r="875" spans="1:5" ht="12.5">
      <c r="A875" s="76"/>
      <c r="B875" s="5"/>
      <c r="C875" s="16"/>
      <c r="E875" s="5"/>
    </row>
    <row r="876" spans="1:5" ht="12.5">
      <c r="A876" s="76"/>
      <c r="B876" s="5"/>
      <c r="C876" s="16"/>
      <c r="E876" s="5"/>
    </row>
    <row r="877" spans="1:5" ht="12.5">
      <c r="A877" s="76"/>
      <c r="B877" s="5"/>
      <c r="C877" s="16"/>
      <c r="E877" s="5"/>
    </row>
    <row r="878" spans="1:5" ht="12.5">
      <c r="A878" s="76"/>
      <c r="B878" s="5"/>
      <c r="C878" s="16"/>
      <c r="E878" s="5"/>
    </row>
    <row r="879" spans="1:5" ht="12.5">
      <c r="A879" s="76"/>
      <c r="B879" s="5"/>
      <c r="C879" s="16"/>
      <c r="E879" s="5"/>
    </row>
    <row r="880" spans="1:5" ht="12.5">
      <c r="A880" s="76"/>
      <c r="B880" s="5"/>
      <c r="C880" s="16"/>
      <c r="E880" s="5"/>
    </row>
    <row r="881" spans="1:5" ht="12.5">
      <c r="A881" s="76"/>
      <c r="B881" s="5"/>
      <c r="C881" s="16"/>
      <c r="E881" s="5"/>
    </row>
    <row r="882" spans="1:5" ht="12.5">
      <c r="A882" s="76"/>
      <c r="B882" s="5"/>
      <c r="C882" s="16"/>
      <c r="E882" s="5"/>
    </row>
    <row r="883" spans="1:5" ht="12.5">
      <c r="A883" s="76"/>
      <c r="B883" s="5"/>
      <c r="C883" s="16"/>
      <c r="E883" s="5"/>
    </row>
    <row r="884" spans="1:5" ht="12.5">
      <c r="A884" s="76"/>
      <c r="B884" s="5"/>
      <c r="C884" s="16"/>
      <c r="E884" s="5"/>
    </row>
    <row r="885" spans="1:5" ht="12.5">
      <c r="A885" s="76"/>
      <c r="B885" s="5"/>
      <c r="C885" s="16"/>
      <c r="E885" s="5"/>
    </row>
    <row r="886" spans="1:5" ht="12.5">
      <c r="A886" s="76"/>
      <c r="B886" s="5"/>
      <c r="C886" s="16"/>
      <c r="E886" s="5"/>
    </row>
    <row r="887" spans="1:5" ht="12.5">
      <c r="A887" s="76"/>
      <c r="B887" s="5"/>
      <c r="C887" s="16"/>
      <c r="E887" s="5"/>
    </row>
    <row r="888" spans="1:5" ht="12.5">
      <c r="A888" s="76"/>
      <c r="B888" s="5"/>
      <c r="C888" s="16"/>
      <c r="E888" s="5"/>
    </row>
    <row r="889" spans="1:5" ht="12.5">
      <c r="A889" s="76"/>
      <c r="B889" s="5"/>
      <c r="C889" s="16"/>
      <c r="E889" s="5"/>
    </row>
    <row r="890" spans="1:5" ht="12.5">
      <c r="A890" s="76"/>
      <c r="B890" s="5"/>
      <c r="C890" s="16"/>
      <c r="E890" s="5"/>
    </row>
    <row r="891" spans="1:5" ht="12.5">
      <c r="A891" s="76"/>
      <c r="B891" s="5"/>
      <c r="C891" s="16"/>
      <c r="E891" s="5"/>
    </row>
    <row r="892" spans="1:5" ht="12.5">
      <c r="A892" s="76"/>
      <c r="B892" s="5"/>
      <c r="C892" s="16"/>
      <c r="E892" s="5"/>
    </row>
    <row r="893" spans="1:5" ht="12.5">
      <c r="A893" s="76"/>
      <c r="B893" s="5"/>
      <c r="C893" s="16"/>
      <c r="E893" s="5"/>
    </row>
    <row r="894" spans="1:5" ht="12.5">
      <c r="A894" s="76"/>
      <c r="B894" s="5"/>
      <c r="C894" s="16"/>
      <c r="E894" s="5"/>
    </row>
    <row r="895" spans="1:5" ht="12.5">
      <c r="A895" s="76"/>
      <c r="B895" s="5"/>
      <c r="C895" s="16"/>
      <c r="E895" s="5"/>
    </row>
    <row r="896" spans="1:5" ht="12.5">
      <c r="A896" s="76"/>
      <c r="B896" s="5"/>
      <c r="C896" s="16"/>
      <c r="E896" s="5"/>
    </row>
    <row r="897" spans="1:5" ht="12.5">
      <c r="A897" s="76"/>
      <c r="B897" s="5"/>
      <c r="C897" s="16"/>
      <c r="E897" s="5"/>
    </row>
    <row r="898" spans="1:5" ht="12.5">
      <c r="A898" s="76"/>
      <c r="B898" s="5"/>
      <c r="C898" s="16"/>
      <c r="E898" s="5"/>
    </row>
    <row r="899" spans="1:5" ht="12.5">
      <c r="A899" s="76"/>
      <c r="B899" s="5"/>
      <c r="C899" s="16"/>
      <c r="E899" s="5"/>
    </row>
    <row r="900" spans="1:5" ht="12.5">
      <c r="A900" s="76"/>
      <c r="B900" s="5"/>
      <c r="C900" s="16"/>
      <c r="E900" s="5"/>
    </row>
    <row r="901" spans="1:5" ht="12.5">
      <c r="A901" s="76"/>
      <c r="B901" s="5"/>
      <c r="C901" s="16"/>
      <c r="E901" s="5"/>
    </row>
    <row r="902" spans="1:5" ht="12.5">
      <c r="A902" s="76"/>
      <c r="B902" s="5"/>
      <c r="C902" s="16"/>
      <c r="E902" s="5"/>
    </row>
    <row r="903" spans="1:5" ht="12.5">
      <c r="A903" s="76"/>
      <c r="B903" s="5"/>
      <c r="C903" s="16"/>
      <c r="E903" s="5"/>
    </row>
    <row r="904" spans="1:5" ht="12.5">
      <c r="A904" s="76"/>
      <c r="B904" s="5"/>
      <c r="C904" s="16"/>
      <c r="E904" s="5"/>
    </row>
    <row r="905" spans="1:5" ht="12.5">
      <c r="A905" s="76"/>
      <c r="B905" s="5"/>
      <c r="C905" s="16"/>
      <c r="E905" s="5"/>
    </row>
    <row r="906" spans="1:5" ht="12.5">
      <c r="A906" s="76"/>
      <c r="B906" s="5"/>
      <c r="C906" s="16"/>
      <c r="E906" s="5"/>
    </row>
    <row r="907" spans="1:5" ht="12.5">
      <c r="A907" s="76"/>
      <c r="B907" s="5"/>
      <c r="C907" s="16"/>
      <c r="E907" s="5"/>
    </row>
    <row r="908" spans="1:5" ht="12.5">
      <c r="A908" s="76"/>
      <c r="B908" s="5"/>
      <c r="C908" s="16"/>
      <c r="E908" s="5"/>
    </row>
    <row r="909" spans="1:5" ht="12.5">
      <c r="A909" s="76"/>
      <c r="B909" s="5"/>
      <c r="C909" s="16"/>
      <c r="E909" s="5"/>
    </row>
    <row r="910" spans="1:5" ht="12.5">
      <c r="A910" s="76"/>
      <c r="B910" s="5"/>
      <c r="C910" s="16"/>
      <c r="E910" s="5"/>
    </row>
    <row r="911" spans="1:5" ht="12.5">
      <c r="A911" s="76"/>
      <c r="B911" s="5"/>
      <c r="C911" s="16"/>
      <c r="E911" s="5"/>
    </row>
    <row r="912" spans="1:5" ht="12.5">
      <c r="A912" s="76"/>
      <c r="B912" s="5"/>
      <c r="C912" s="16"/>
      <c r="E912" s="5"/>
    </row>
    <row r="913" spans="1:5" ht="12.5">
      <c r="A913" s="76"/>
      <c r="B913" s="5"/>
      <c r="C913" s="16"/>
      <c r="E913" s="5"/>
    </row>
    <row r="914" spans="1:5" ht="12.5">
      <c r="A914" s="76"/>
      <c r="B914" s="5"/>
      <c r="C914" s="16"/>
      <c r="E914" s="5"/>
    </row>
    <row r="915" spans="1:5" ht="12.5">
      <c r="A915" s="76"/>
      <c r="B915" s="5"/>
      <c r="C915" s="16"/>
      <c r="E915" s="5"/>
    </row>
    <row r="916" spans="1:5" ht="12.5">
      <c r="A916" s="76"/>
      <c r="B916" s="5"/>
      <c r="C916" s="16"/>
      <c r="E916" s="5"/>
    </row>
    <row r="917" spans="1:5" ht="12.5">
      <c r="A917" s="76"/>
      <c r="B917" s="5"/>
      <c r="C917" s="16"/>
      <c r="E917" s="5"/>
    </row>
    <row r="918" spans="1:5" ht="12.5">
      <c r="A918" s="76"/>
      <c r="B918" s="5"/>
      <c r="C918" s="16"/>
      <c r="E918" s="5"/>
    </row>
    <row r="919" spans="1:5" ht="12.5">
      <c r="A919" s="76"/>
      <c r="B919" s="5"/>
      <c r="C919" s="16"/>
      <c r="E919" s="5"/>
    </row>
    <row r="920" spans="1:5" ht="12.5">
      <c r="A920" s="76"/>
      <c r="B920" s="5"/>
      <c r="C920" s="16"/>
      <c r="E920" s="5"/>
    </row>
    <row r="921" spans="1:5" ht="12.5">
      <c r="A921" s="76"/>
      <c r="B921" s="5"/>
      <c r="C921" s="16"/>
      <c r="E921" s="5"/>
    </row>
    <row r="922" spans="1:5" ht="12.5">
      <c r="A922" s="76"/>
      <c r="B922" s="5"/>
      <c r="C922" s="16"/>
      <c r="E922" s="5"/>
    </row>
    <row r="923" spans="1:5" ht="12.5">
      <c r="A923" s="76"/>
      <c r="B923" s="5"/>
      <c r="C923" s="16"/>
      <c r="E923" s="5"/>
    </row>
    <row r="924" spans="1:5" ht="12.5">
      <c r="A924" s="76"/>
      <c r="B924" s="5"/>
      <c r="C924" s="16"/>
      <c r="E924" s="5"/>
    </row>
    <row r="925" spans="1:5" ht="12.5">
      <c r="A925" s="76"/>
      <c r="B925" s="5"/>
      <c r="C925" s="16"/>
      <c r="E925" s="5"/>
    </row>
    <row r="926" spans="1:5" ht="12.5">
      <c r="A926" s="76"/>
      <c r="B926" s="5"/>
      <c r="C926" s="16"/>
      <c r="E926" s="5"/>
    </row>
    <row r="927" spans="1:5" ht="12.5">
      <c r="A927" s="76"/>
      <c r="B927" s="5"/>
      <c r="C927" s="16"/>
      <c r="E927" s="5"/>
    </row>
    <row r="928" spans="1:5" ht="12.5">
      <c r="A928" s="76"/>
      <c r="B928" s="5"/>
      <c r="C928" s="16"/>
      <c r="E928" s="5"/>
    </row>
    <row r="929" spans="1:5" ht="12.5">
      <c r="A929" s="76"/>
      <c r="B929" s="5"/>
      <c r="C929" s="16"/>
      <c r="E929" s="5"/>
    </row>
    <row r="930" spans="1:5" ht="12.5">
      <c r="A930" s="76"/>
      <c r="B930" s="5"/>
      <c r="C930" s="16"/>
      <c r="E930" s="5"/>
    </row>
    <row r="931" spans="1:5" ht="12.5">
      <c r="A931" s="76"/>
      <c r="B931" s="5"/>
      <c r="C931" s="16"/>
      <c r="E931" s="5"/>
    </row>
    <row r="932" spans="1:5" ht="12.5">
      <c r="A932" s="76"/>
      <c r="B932" s="5"/>
      <c r="C932" s="16"/>
      <c r="E932" s="5"/>
    </row>
    <row r="933" spans="1:5" ht="12.5">
      <c r="A933" s="76"/>
      <c r="B933" s="5"/>
      <c r="C933" s="16"/>
      <c r="E933" s="5"/>
    </row>
    <row r="934" spans="1:5" ht="12.5">
      <c r="A934" s="76"/>
      <c r="B934" s="5"/>
      <c r="C934" s="16"/>
      <c r="E934" s="5"/>
    </row>
    <row r="935" spans="1:5" ht="12.5">
      <c r="A935" s="76"/>
      <c r="B935" s="5"/>
      <c r="C935" s="16"/>
      <c r="E935" s="5"/>
    </row>
    <row r="936" spans="1:5" ht="12.5">
      <c r="A936" s="76"/>
      <c r="B936" s="5"/>
      <c r="C936" s="16"/>
      <c r="E936" s="5"/>
    </row>
    <row r="937" spans="1:5" ht="12.5">
      <c r="A937" s="76"/>
      <c r="B937" s="5"/>
      <c r="C937" s="16"/>
      <c r="E937" s="5"/>
    </row>
    <row r="938" spans="1:5" ht="12.5">
      <c r="A938" s="76"/>
      <c r="B938" s="5"/>
      <c r="C938" s="16"/>
      <c r="E938" s="5"/>
    </row>
    <row r="939" spans="1:5" ht="12.5">
      <c r="A939" s="76"/>
      <c r="B939" s="5"/>
      <c r="C939" s="16"/>
      <c r="E939" s="5"/>
    </row>
    <row r="940" spans="1:5" ht="12.5">
      <c r="A940" s="76"/>
      <c r="B940" s="5"/>
      <c r="C940" s="16"/>
      <c r="E940" s="5"/>
    </row>
    <row r="941" spans="1:5" ht="12.5">
      <c r="A941" s="76"/>
      <c r="B941" s="5"/>
      <c r="C941" s="16"/>
      <c r="E941" s="5"/>
    </row>
    <row r="942" spans="1:5" ht="12.5">
      <c r="A942" s="76"/>
      <c r="B942" s="5"/>
      <c r="C942" s="16"/>
      <c r="E942" s="5"/>
    </row>
    <row r="943" spans="1:5" ht="12.5">
      <c r="A943" s="76"/>
      <c r="B943" s="5"/>
      <c r="C943" s="16"/>
      <c r="E943" s="5"/>
    </row>
    <row r="944" spans="1:5" ht="12.5">
      <c r="A944" s="76"/>
      <c r="B944" s="5"/>
      <c r="C944" s="16"/>
      <c r="E944" s="5"/>
    </row>
    <row r="945" spans="1:5" ht="12.5">
      <c r="A945" s="76"/>
      <c r="B945" s="5"/>
      <c r="C945" s="16"/>
      <c r="E945" s="5"/>
    </row>
    <row r="946" spans="1:5" ht="12.5">
      <c r="A946" s="76"/>
      <c r="B946" s="5"/>
      <c r="C946" s="16"/>
      <c r="E946" s="5"/>
    </row>
    <row r="947" spans="1:5" ht="12.5">
      <c r="A947" s="76"/>
      <c r="B947" s="5"/>
      <c r="C947" s="16"/>
      <c r="E947" s="5"/>
    </row>
    <row r="948" spans="1:5" ht="12.5">
      <c r="A948" s="76"/>
      <c r="B948" s="5"/>
      <c r="C948" s="16"/>
      <c r="E948" s="5"/>
    </row>
    <row r="949" spans="1:5" ht="12.5">
      <c r="A949" s="76"/>
      <c r="B949" s="5"/>
      <c r="C949" s="16"/>
      <c r="E949" s="5"/>
    </row>
    <row r="950" spans="1:5" ht="12.5">
      <c r="A950" s="76"/>
      <c r="B950" s="5"/>
      <c r="C950" s="16"/>
      <c r="E950" s="5"/>
    </row>
    <row r="951" spans="1:5" ht="12.5">
      <c r="A951" s="76"/>
      <c r="B951" s="5"/>
      <c r="C951" s="16"/>
      <c r="E951" s="5"/>
    </row>
    <row r="952" spans="1:5" ht="12.5">
      <c r="A952" s="76"/>
      <c r="B952" s="5"/>
      <c r="C952" s="16"/>
      <c r="E952" s="5"/>
    </row>
    <row r="953" spans="1:5" ht="12.5">
      <c r="A953" s="76"/>
      <c r="B953" s="5"/>
      <c r="C953" s="16"/>
      <c r="E953" s="5"/>
    </row>
    <row r="954" spans="1:5" ht="12.5">
      <c r="A954" s="76"/>
      <c r="B954" s="5"/>
      <c r="C954" s="16"/>
      <c r="E954" s="5"/>
    </row>
    <row r="955" spans="1:5" ht="12.5">
      <c r="A955" s="76"/>
      <c r="B955" s="5"/>
      <c r="C955" s="16"/>
      <c r="E955" s="5"/>
    </row>
    <row r="956" spans="1:5" ht="12.5">
      <c r="A956" s="76"/>
      <c r="B956" s="5"/>
      <c r="C956" s="16"/>
      <c r="E956" s="5"/>
    </row>
    <row r="957" spans="1:5" ht="12.5">
      <c r="A957" s="76"/>
      <c r="B957" s="5"/>
      <c r="C957" s="16"/>
      <c r="E957" s="5"/>
    </row>
    <row r="958" spans="1:5" ht="12.5">
      <c r="A958" s="76"/>
      <c r="B958" s="5"/>
      <c r="C958" s="16"/>
      <c r="E958" s="5"/>
    </row>
    <row r="959" spans="1:5" ht="12.5">
      <c r="A959" s="76"/>
      <c r="B959" s="5"/>
      <c r="C959" s="16"/>
      <c r="E959" s="5"/>
    </row>
    <row r="960" spans="1:5" ht="12.5">
      <c r="A960" s="76"/>
      <c r="B960" s="5"/>
      <c r="C960" s="16"/>
      <c r="E960" s="5"/>
    </row>
    <row r="961" spans="1:5" ht="12.5">
      <c r="A961" s="76"/>
      <c r="B961" s="5"/>
      <c r="C961" s="16"/>
      <c r="E961" s="5"/>
    </row>
    <row r="962" spans="1:5" ht="12.5">
      <c r="A962" s="76"/>
      <c r="B962" s="5"/>
      <c r="C962" s="16"/>
      <c r="E962" s="5"/>
    </row>
    <row r="963" spans="1:5" ht="12.5">
      <c r="A963" s="76"/>
      <c r="B963" s="5"/>
      <c r="C963" s="16"/>
      <c r="E963" s="5"/>
    </row>
    <row r="964" spans="1:5" ht="12.5">
      <c r="A964" s="76"/>
      <c r="B964" s="5"/>
      <c r="C964" s="16"/>
      <c r="E964" s="5"/>
    </row>
    <row r="965" spans="1:5" ht="12.5">
      <c r="A965" s="76"/>
      <c r="B965" s="5"/>
      <c r="C965" s="16"/>
      <c r="E965" s="5"/>
    </row>
    <row r="966" spans="1:5" ht="12.5">
      <c r="A966" s="76"/>
      <c r="B966" s="5"/>
      <c r="C966" s="16"/>
      <c r="E966" s="5"/>
    </row>
    <row r="967" spans="1:5" ht="12.5">
      <c r="A967" s="76"/>
      <c r="B967" s="5"/>
      <c r="C967" s="16"/>
      <c r="E967" s="5"/>
    </row>
    <row r="968" spans="1:5" ht="12.5">
      <c r="A968" s="76"/>
      <c r="B968" s="5"/>
      <c r="C968" s="16"/>
      <c r="E968" s="5"/>
    </row>
    <row r="969" spans="1:5" ht="12.5">
      <c r="A969" s="76"/>
      <c r="B969" s="5"/>
      <c r="C969" s="16"/>
      <c r="E969" s="5"/>
    </row>
    <row r="970" spans="1:5" ht="12.5">
      <c r="A970" s="76"/>
      <c r="B970" s="5"/>
      <c r="C970" s="16"/>
      <c r="E970" s="5"/>
    </row>
    <row r="971" spans="1:5" ht="12.5">
      <c r="A971" s="76"/>
      <c r="B971" s="5"/>
      <c r="C971" s="16"/>
      <c r="E971" s="5"/>
    </row>
    <row r="972" spans="1:5" ht="12.5">
      <c r="A972" s="76"/>
      <c r="B972" s="5"/>
      <c r="C972" s="16"/>
      <c r="E972" s="5"/>
    </row>
    <row r="973" spans="1:5" ht="12.5">
      <c r="A973" s="76"/>
      <c r="B973" s="5"/>
      <c r="C973" s="16"/>
      <c r="E973" s="5"/>
    </row>
    <row r="974" spans="1:5" ht="12.5">
      <c r="A974" s="76"/>
      <c r="B974" s="5"/>
      <c r="C974" s="16"/>
      <c r="E974" s="5"/>
    </row>
    <row r="975" spans="1:5" ht="12.5">
      <c r="A975" s="76"/>
      <c r="B975" s="5"/>
      <c r="C975" s="16"/>
      <c r="E975" s="5"/>
    </row>
    <row r="976" spans="1:5" ht="12.5">
      <c r="A976" s="76"/>
      <c r="B976" s="5"/>
      <c r="C976" s="16"/>
      <c r="E976" s="5"/>
    </row>
    <row r="977" spans="1:5" ht="12.5">
      <c r="A977" s="76"/>
      <c r="B977" s="5"/>
      <c r="C977" s="16"/>
      <c r="E977" s="5"/>
    </row>
    <row r="978" spans="1:5" ht="12.5">
      <c r="A978" s="76"/>
      <c r="B978" s="5"/>
      <c r="C978" s="16"/>
      <c r="E978" s="5"/>
    </row>
    <row r="979" spans="1:5" ht="12.5">
      <c r="A979" s="76"/>
      <c r="B979" s="5"/>
      <c r="C979" s="16"/>
      <c r="E979" s="5"/>
    </row>
    <row r="980" spans="1:5" ht="12.5">
      <c r="A980" s="76"/>
      <c r="B980" s="5"/>
      <c r="C980" s="16"/>
      <c r="E980" s="5"/>
    </row>
    <row r="981" spans="1:5" ht="12.5">
      <c r="A981" s="76"/>
      <c r="B981" s="5"/>
      <c r="C981" s="16"/>
      <c r="E981" s="5"/>
    </row>
    <row r="982" spans="1:5" ht="12.5">
      <c r="A982" s="76"/>
      <c r="B982" s="5"/>
      <c r="C982" s="16"/>
      <c r="E982" s="5"/>
    </row>
    <row r="983" spans="1:5" ht="12.5">
      <c r="A983" s="76"/>
      <c r="B983" s="5"/>
      <c r="C983" s="16"/>
      <c r="E983" s="5"/>
    </row>
    <row r="984" spans="1:5" ht="12.5">
      <c r="A984" s="76"/>
      <c r="B984" s="5"/>
      <c r="C984" s="16"/>
      <c r="E984" s="5"/>
    </row>
    <row r="985" spans="1:5" ht="12.5">
      <c r="A985" s="76"/>
      <c r="B985" s="5"/>
      <c r="C985" s="16"/>
      <c r="E985" s="5"/>
    </row>
    <row r="986" spans="1:5" ht="12.5">
      <c r="A986" s="76"/>
      <c r="B986" s="5"/>
      <c r="C986" s="16"/>
      <c r="E986" s="5"/>
    </row>
    <row r="987" spans="1:5" ht="12.5">
      <c r="A987" s="76"/>
      <c r="B987" s="5"/>
      <c r="C987" s="16"/>
      <c r="E987" s="5"/>
    </row>
    <row r="988" spans="1:5" ht="12.5">
      <c r="A988" s="76"/>
      <c r="B988" s="5"/>
      <c r="C988" s="16"/>
      <c r="E988" s="5"/>
    </row>
    <row r="989" spans="1:5" ht="12.5">
      <c r="A989" s="76"/>
      <c r="B989" s="5"/>
      <c r="C989" s="16"/>
      <c r="E989" s="5"/>
    </row>
    <row r="990" spans="1:5" ht="12.5">
      <c r="A990" s="76"/>
      <c r="B990" s="5"/>
      <c r="C990" s="16"/>
      <c r="E990" s="5"/>
    </row>
    <row r="991" spans="1:5" ht="12.5">
      <c r="A991" s="76"/>
      <c r="B991" s="5"/>
      <c r="C991" s="16"/>
      <c r="E991" s="5"/>
    </row>
    <row r="992" spans="1:5" ht="12.5">
      <c r="A992" s="76"/>
      <c r="B992" s="5"/>
      <c r="C992" s="16"/>
      <c r="E992" s="5"/>
    </row>
    <row r="993" spans="1:5" ht="12.5">
      <c r="A993" s="76"/>
      <c r="B993" s="5"/>
      <c r="C993" s="16"/>
      <c r="E993" s="5"/>
    </row>
    <row r="994" spans="1:5" ht="12.5">
      <c r="A994" s="76"/>
      <c r="B994" s="5"/>
      <c r="C994" s="16"/>
      <c r="E994" s="5"/>
    </row>
    <row r="995" spans="1:5" ht="12.5">
      <c r="A995" s="76"/>
      <c r="B995" s="5"/>
      <c r="C995" s="16"/>
      <c r="E995" s="5"/>
    </row>
    <row r="996" spans="1:5" ht="12.5">
      <c r="A996" s="76"/>
      <c r="B996" s="5"/>
      <c r="C996" s="16"/>
      <c r="E996" s="5"/>
    </row>
    <row r="997" spans="1:5" ht="12.5">
      <c r="A997" s="76"/>
      <c r="B997" s="5"/>
      <c r="C997" s="16"/>
      <c r="E997" s="5"/>
    </row>
    <row r="998" spans="1:5" ht="12.5">
      <c r="A998" s="76"/>
      <c r="B998" s="5"/>
      <c r="C998" s="16"/>
      <c r="E998" s="5"/>
    </row>
    <row r="999" spans="1:5" ht="12.5">
      <c r="A999" s="76"/>
      <c r="B999" s="5"/>
      <c r="C999" s="16"/>
      <c r="E999" s="5"/>
    </row>
    <row r="1000" spans="1:5" ht="12.5">
      <c r="A1000" s="76"/>
      <c r="B1000" s="5"/>
      <c r="C1000" s="16"/>
      <c r="E1000" s="5"/>
    </row>
    <row r="1001" spans="1:5" ht="12.5">
      <c r="A1001" s="76"/>
      <c r="C1001" s="16"/>
      <c r="E1001" s="5"/>
    </row>
  </sheetData>
  <conditionalFormatting sqref="A2:J1000">
    <cfRule type="expression" dxfId="11" priority="1">
      <formula>$E2="Pessoa 2"</formula>
    </cfRule>
    <cfRule type="expression" dxfId="10" priority="2">
      <formula>$E2="Pessoa 1"</formula>
    </cfRule>
  </conditionalFormatting>
  <dataValidations count="3">
    <dataValidation type="list" allowBlank="1" showErrorMessage="1" sqref="E2:E1001" xr:uid="{00000000-0002-0000-0900-000000000000}">
      <formula1>"Pessoa 1,Pessoa 2"</formula1>
    </dataValidation>
    <dataValidation type="list" allowBlank="1" showErrorMessage="1" sqref="B2:B1000" xr:uid="{00000000-0002-0000-0900-000001000000}">
      <formula1>"Aluguel_Cond,Home Supplies,Energia_Gás_Água_Esgoto,Internet_Telefonia,Comida_Alimentação,Manutenção_Casa,Móveis_Aparelhos_Decoração,Transporte Geral &amp; Coletivo,Transporte Uber &amp; Apps,Saúde,Academia &amp; Fitness,Educação,Roupa_Acessorios,Entretenimento_&amp;_Rest"&amp;"aurantes,Viagem/Vacation,Work-related,Imposto (IPVA-IPTU-etc),Outros,Investimento (aporte),Gasto Pessoal"</formula1>
    </dataValidation>
    <dataValidation type="custom" allowBlank="1" showDropDown="1" showErrorMessage="1" sqref="A2:A1001" xr:uid="{00000000-0002-0000-0900-000002000000}">
      <formula1>OR(NOT(ISERROR(DATEVALUE(A2))), AND(ISNUMBER(A2), LEFT(CELL("format", A2))="D"))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6D9EEB"/>
    <outlinePr summaryBelow="0" summaryRight="0"/>
  </sheetPr>
  <dimension ref="A1:J100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2.6328125" defaultRowHeight="15.75" customHeight="1"/>
  <cols>
    <col min="1" max="1" width="17.453125" customWidth="1"/>
    <col min="2" max="2" width="30.36328125" customWidth="1"/>
    <col min="3" max="3" width="22.36328125" customWidth="1"/>
    <col min="4" max="4" width="60.90625" customWidth="1"/>
    <col min="5" max="5" width="12.7265625" customWidth="1"/>
    <col min="6" max="6" width="44.90625" customWidth="1"/>
    <col min="7" max="7" width="6.90625" customWidth="1"/>
    <col min="9" max="9" width="43.08984375" customWidth="1"/>
  </cols>
  <sheetData>
    <row r="1" spans="1:10">
      <c r="A1" s="77" t="s">
        <v>304</v>
      </c>
      <c r="B1" s="14" t="s">
        <v>103</v>
      </c>
      <c r="C1" s="72" t="s">
        <v>104</v>
      </c>
      <c r="D1" s="14" t="s">
        <v>105</v>
      </c>
      <c r="E1" s="14" t="s">
        <v>106</v>
      </c>
      <c r="F1" s="12"/>
      <c r="H1" s="12"/>
      <c r="I1" s="12"/>
    </row>
    <row r="2" spans="1:10" ht="15.75" customHeight="1">
      <c r="A2" s="78" t="s">
        <v>305</v>
      </c>
      <c r="B2" s="38" t="s">
        <v>46</v>
      </c>
      <c r="C2" s="75">
        <v>584.66575042554246</v>
      </c>
      <c r="D2" s="32" t="s">
        <v>306</v>
      </c>
      <c r="E2" s="32" t="s">
        <v>65</v>
      </c>
      <c r="F2" s="5"/>
      <c r="G2" s="5"/>
      <c r="H2" s="15"/>
      <c r="I2" s="5"/>
      <c r="J2" s="5"/>
    </row>
    <row r="3" spans="1:10" ht="15.75" customHeight="1">
      <c r="A3" s="78" t="s">
        <v>307</v>
      </c>
      <c r="B3" s="38" t="s">
        <v>52</v>
      </c>
      <c r="C3" s="75">
        <v>309.10581658577877</v>
      </c>
      <c r="D3" s="32" t="s">
        <v>308</v>
      </c>
      <c r="E3" s="32" t="s">
        <v>64</v>
      </c>
      <c r="F3" s="5"/>
      <c r="G3" s="5"/>
      <c r="H3" s="15"/>
      <c r="I3" s="5"/>
      <c r="J3" s="5"/>
    </row>
    <row r="4" spans="1:10" ht="15.75" customHeight="1">
      <c r="A4" s="78" t="s">
        <v>309</v>
      </c>
      <c r="B4" s="38" t="s">
        <v>47</v>
      </c>
      <c r="C4" s="75">
        <v>287.33236626448547</v>
      </c>
      <c r="D4" s="32" t="s">
        <v>310</v>
      </c>
      <c r="E4" s="32" t="s">
        <v>64</v>
      </c>
      <c r="F4" s="5"/>
      <c r="G4" s="5"/>
      <c r="H4" s="15"/>
      <c r="I4" s="5"/>
      <c r="J4" s="5"/>
    </row>
    <row r="5" spans="1:10" ht="15.75" customHeight="1">
      <c r="A5" s="78" t="s">
        <v>311</v>
      </c>
      <c r="B5" s="38" t="s">
        <v>51</v>
      </c>
      <c r="C5" s="75">
        <v>266.95666874962336</v>
      </c>
      <c r="D5" s="32" t="s">
        <v>312</v>
      </c>
      <c r="E5" s="32" t="s">
        <v>64</v>
      </c>
      <c r="F5" s="5"/>
      <c r="G5" s="5"/>
      <c r="H5" s="15"/>
      <c r="I5" s="5"/>
      <c r="J5" s="5"/>
    </row>
    <row r="6" spans="1:10" ht="15.75" customHeight="1">
      <c r="A6" s="78" t="s">
        <v>313</v>
      </c>
      <c r="B6" s="38" t="s">
        <v>38</v>
      </c>
      <c r="C6" s="75">
        <v>438.10170465939694</v>
      </c>
      <c r="D6" s="32" t="s">
        <v>314</v>
      </c>
      <c r="E6" s="32" t="s">
        <v>64</v>
      </c>
      <c r="F6" s="5"/>
      <c r="G6" s="5"/>
      <c r="H6" s="15"/>
      <c r="I6" s="5"/>
      <c r="J6" s="5"/>
    </row>
    <row r="7" spans="1:10" ht="15.75" customHeight="1">
      <c r="A7" s="78" t="s">
        <v>315</v>
      </c>
      <c r="B7" s="32" t="s">
        <v>47</v>
      </c>
      <c r="C7" s="75">
        <v>442.18201043920914</v>
      </c>
      <c r="D7" s="32" t="s">
        <v>316</v>
      </c>
      <c r="E7" s="32" t="s">
        <v>64</v>
      </c>
      <c r="F7" s="5"/>
      <c r="G7" s="5"/>
      <c r="H7" s="15"/>
      <c r="I7" s="5"/>
      <c r="J7" s="5"/>
    </row>
    <row r="8" spans="1:10" ht="15.75" customHeight="1">
      <c r="A8" s="78" t="s">
        <v>305</v>
      </c>
      <c r="B8" s="38" t="s">
        <v>41</v>
      </c>
      <c r="C8" s="75">
        <v>170.33200007392273</v>
      </c>
      <c r="D8" s="32" t="s">
        <v>317</v>
      </c>
      <c r="E8" s="32" t="s">
        <v>65</v>
      </c>
      <c r="F8" s="5"/>
      <c r="G8" s="5"/>
      <c r="H8" s="15"/>
      <c r="I8" s="5"/>
      <c r="J8" s="5"/>
    </row>
    <row r="9" spans="1:10" ht="15.75" customHeight="1">
      <c r="A9" s="78" t="s">
        <v>318</v>
      </c>
      <c r="B9" s="38" t="s">
        <v>49</v>
      </c>
      <c r="C9" s="75">
        <v>49.92625961657</v>
      </c>
      <c r="D9" s="32" t="s">
        <v>319</v>
      </c>
      <c r="E9" s="32" t="s">
        <v>65</v>
      </c>
      <c r="F9" s="5"/>
      <c r="G9" s="5"/>
      <c r="H9" s="15"/>
      <c r="I9" s="5"/>
      <c r="J9" s="5"/>
    </row>
    <row r="10" spans="1:10" ht="15.75" customHeight="1">
      <c r="A10" s="78" t="s">
        <v>320</v>
      </c>
      <c r="B10" s="38" t="s">
        <v>44</v>
      </c>
      <c r="C10" s="75">
        <v>559.36606455112133</v>
      </c>
      <c r="D10" s="32" t="s">
        <v>321</v>
      </c>
      <c r="E10" s="32" t="s">
        <v>65</v>
      </c>
      <c r="F10" s="5"/>
      <c r="G10" s="5"/>
      <c r="H10" s="15"/>
      <c r="I10" s="5"/>
      <c r="J10" s="5"/>
    </row>
    <row r="11" spans="1:10" ht="15.75" customHeight="1">
      <c r="A11" s="78" t="s">
        <v>322</v>
      </c>
      <c r="B11" s="38" t="s">
        <v>41</v>
      </c>
      <c r="C11" s="75">
        <v>345.98911323174548</v>
      </c>
      <c r="D11" s="32" t="s">
        <v>323</v>
      </c>
      <c r="E11" s="32" t="s">
        <v>65</v>
      </c>
      <c r="F11" s="5"/>
      <c r="G11" s="5"/>
      <c r="H11" s="15"/>
      <c r="I11" s="5"/>
      <c r="J11" s="5"/>
    </row>
    <row r="12" spans="1:10" ht="15.75" customHeight="1">
      <c r="A12" s="78" t="s">
        <v>324</v>
      </c>
      <c r="B12" s="38" t="s">
        <v>40</v>
      </c>
      <c r="C12" s="75">
        <v>345.50803704805759</v>
      </c>
      <c r="D12" s="32" t="s">
        <v>325</v>
      </c>
      <c r="E12" s="32" t="s">
        <v>65</v>
      </c>
      <c r="F12" s="5"/>
      <c r="G12" s="5"/>
      <c r="H12" s="15"/>
      <c r="I12" s="5"/>
      <c r="J12" s="5"/>
    </row>
    <row r="13" spans="1:10" ht="15.75" customHeight="1">
      <c r="A13" s="78" t="s">
        <v>326</v>
      </c>
      <c r="B13" s="38" t="s">
        <v>48</v>
      </c>
      <c r="C13" s="75">
        <v>347.42957916646367</v>
      </c>
      <c r="D13" s="32" t="s">
        <v>327</v>
      </c>
      <c r="E13" s="32" t="s">
        <v>64</v>
      </c>
      <c r="F13" s="5"/>
      <c r="G13" s="5"/>
      <c r="H13" s="15"/>
      <c r="I13" s="5"/>
      <c r="J13" s="5"/>
    </row>
    <row r="14" spans="1:10" ht="15.75" customHeight="1">
      <c r="A14" s="78" t="s">
        <v>328</v>
      </c>
      <c r="B14" s="38" t="s">
        <v>52</v>
      </c>
      <c r="C14" s="75">
        <v>443.35011640160911</v>
      </c>
      <c r="D14" s="32" t="s">
        <v>329</v>
      </c>
      <c r="E14" s="32" t="s">
        <v>64</v>
      </c>
      <c r="F14" s="5"/>
      <c r="G14" s="5"/>
      <c r="H14" s="15"/>
      <c r="I14" s="5"/>
      <c r="J14" s="5"/>
    </row>
    <row r="15" spans="1:10" ht="15.75" customHeight="1">
      <c r="A15" s="78" t="s">
        <v>315</v>
      </c>
      <c r="B15" s="38" t="s">
        <v>109</v>
      </c>
      <c r="C15" s="75">
        <v>580.06980911793039</v>
      </c>
      <c r="D15" s="32" t="s">
        <v>330</v>
      </c>
      <c r="E15" s="32" t="s">
        <v>65</v>
      </c>
      <c r="F15" s="5"/>
      <c r="G15" s="5"/>
      <c r="H15" s="15"/>
      <c r="I15" s="5"/>
      <c r="J15" s="5"/>
    </row>
    <row r="16" spans="1:10" ht="15.75" customHeight="1">
      <c r="A16" s="78" t="s">
        <v>313</v>
      </c>
      <c r="B16" s="38" t="s">
        <v>37</v>
      </c>
      <c r="C16" s="75">
        <v>403.78960515505156</v>
      </c>
      <c r="D16" s="32" t="s">
        <v>331</v>
      </c>
      <c r="E16" s="32" t="s">
        <v>64</v>
      </c>
      <c r="F16" s="5"/>
      <c r="G16" s="5"/>
      <c r="H16" s="15"/>
      <c r="I16" s="5"/>
      <c r="J16" s="5"/>
    </row>
    <row r="17" spans="1:10" ht="15.75" customHeight="1">
      <c r="A17" s="78" t="s">
        <v>315</v>
      </c>
      <c r="B17" s="38" t="s">
        <v>49</v>
      </c>
      <c r="C17" s="75">
        <v>220.23458634691241</v>
      </c>
      <c r="D17" s="32" t="s">
        <v>332</v>
      </c>
      <c r="E17" s="32" t="s">
        <v>65</v>
      </c>
      <c r="F17" s="5"/>
      <c r="G17" s="5"/>
      <c r="H17" s="15"/>
      <c r="I17" s="5"/>
      <c r="J17" s="5"/>
    </row>
    <row r="18" spans="1:10" ht="15.75" customHeight="1">
      <c r="A18" s="78" t="s">
        <v>333</v>
      </c>
      <c r="B18" s="38" t="s">
        <v>37</v>
      </c>
      <c r="C18" s="75">
        <v>150.26869888574939</v>
      </c>
      <c r="D18" s="32" t="s">
        <v>334</v>
      </c>
      <c r="E18" s="32" t="s">
        <v>65</v>
      </c>
      <c r="F18" s="5"/>
      <c r="G18" s="5"/>
      <c r="H18" s="15"/>
      <c r="I18" s="5"/>
      <c r="J18" s="5"/>
    </row>
    <row r="19" spans="1:10" ht="15.75" customHeight="1">
      <c r="A19" s="78" t="s">
        <v>333</v>
      </c>
      <c r="B19" s="38" t="s">
        <v>49</v>
      </c>
      <c r="C19" s="75">
        <v>539.52558159120611</v>
      </c>
      <c r="D19" s="32" t="s">
        <v>335</v>
      </c>
      <c r="E19" s="32" t="s">
        <v>65</v>
      </c>
      <c r="F19" s="5"/>
      <c r="G19" s="5"/>
      <c r="H19" s="15"/>
      <c r="I19" s="5"/>
      <c r="J19" s="5"/>
    </row>
    <row r="20" spans="1:10" ht="15.75" customHeight="1">
      <c r="A20" s="78" t="s">
        <v>336</v>
      </c>
      <c r="B20" s="38" t="s">
        <v>36</v>
      </c>
      <c r="C20" s="75">
        <v>250.31429716106641</v>
      </c>
      <c r="D20" s="32" t="s">
        <v>337</v>
      </c>
      <c r="E20" s="32" t="s">
        <v>64</v>
      </c>
      <c r="F20" s="5"/>
      <c r="G20" s="5"/>
      <c r="H20" s="15"/>
      <c r="I20" s="5"/>
      <c r="J20" s="5"/>
    </row>
    <row r="21" spans="1:10" ht="15.75" customHeight="1">
      <c r="A21" s="78" t="s">
        <v>338</v>
      </c>
      <c r="B21" s="32" t="s">
        <v>35</v>
      </c>
      <c r="C21" s="75">
        <v>20.673268867186302</v>
      </c>
      <c r="D21" s="32" t="s">
        <v>339</v>
      </c>
      <c r="E21" s="32" t="s">
        <v>65</v>
      </c>
      <c r="F21" s="5"/>
      <c r="G21" s="5"/>
      <c r="H21" s="15"/>
      <c r="I21" s="5"/>
      <c r="J21" s="5"/>
    </row>
    <row r="22" spans="1:10" ht="15.75" customHeight="1">
      <c r="A22" s="78" t="s">
        <v>340</v>
      </c>
      <c r="B22" s="38" t="s">
        <v>39</v>
      </c>
      <c r="C22" s="75">
        <v>346.75791084513941</v>
      </c>
      <c r="D22" s="32" t="s">
        <v>341</v>
      </c>
      <c r="E22" s="32" t="s">
        <v>64</v>
      </c>
      <c r="F22" s="5"/>
      <c r="G22" s="5"/>
      <c r="H22" s="15"/>
      <c r="I22" s="5"/>
      <c r="J22" s="5"/>
    </row>
    <row r="23" spans="1:10" ht="15.75" customHeight="1">
      <c r="A23" s="78" t="s">
        <v>305</v>
      </c>
      <c r="B23" s="38" t="s">
        <v>36</v>
      </c>
      <c r="C23" s="75">
        <v>491.7250231872182</v>
      </c>
      <c r="D23" s="32" t="s">
        <v>342</v>
      </c>
      <c r="E23" s="32" t="s">
        <v>64</v>
      </c>
      <c r="F23" s="5"/>
      <c r="G23" s="5"/>
      <c r="H23" s="15"/>
      <c r="I23" s="5"/>
      <c r="J23" s="5"/>
    </row>
    <row r="24" spans="1:10" ht="15.75" customHeight="1">
      <c r="A24" s="78" t="s">
        <v>324</v>
      </c>
      <c r="B24" s="38" t="s">
        <v>52</v>
      </c>
      <c r="C24" s="75">
        <v>91.426049058418187</v>
      </c>
      <c r="D24" s="32" t="s">
        <v>343</v>
      </c>
      <c r="E24" s="32" t="s">
        <v>65</v>
      </c>
      <c r="F24" s="5"/>
      <c r="G24" s="5"/>
      <c r="H24" s="15"/>
      <c r="I24" s="5"/>
      <c r="J24" s="5"/>
    </row>
    <row r="25" spans="1:10" ht="15.75" customHeight="1">
      <c r="A25" s="76"/>
      <c r="B25" s="15"/>
      <c r="C25" s="16"/>
      <c r="E25" s="5"/>
      <c r="H25" s="15"/>
    </row>
    <row r="26" spans="1:10" ht="15.75" customHeight="1">
      <c r="A26" s="76"/>
      <c r="B26" s="15"/>
      <c r="C26" s="16"/>
      <c r="E26" s="5"/>
      <c r="H26" s="15"/>
    </row>
    <row r="27" spans="1:10" ht="15.75" customHeight="1">
      <c r="A27" s="76"/>
      <c r="B27" s="15"/>
      <c r="C27" s="16"/>
      <c r="E27" s="5"/>
      <c r="H27" s="15"/>
    </row>
    <row r="28" spans="1:10" ht="15.75" customHeight="1">
      <c r="A28" s="76"/>
      <c r="B28" s="15"/>
      <c r="C28" s="16"/>
      <c r="E28" s="5"/>
      <c r="H28" s="15"/>
    </row>
    <row r="29" spans="1:10" ht="15.75" customHeight="1">
      <c r="A29" s="76"/>
      <c r="B29" s="15"/>
      <c r="C29" s="16"/>
      <c r="E29" s="5"/>
      <c r="H29" s="15"/>
    </row>
    <row r="30" spans="1:10" ht="15.75" customHeight="1">
      <c r="A30" s="76"/>
      <c r="B30" s="15"/>
      <c r="C30" s="16"/>
      <c r="E30" s="5"/>
      <c r="H30" s="15"/>
    </row>
    <row r="31" spans="1:10" ht="15.75" customHeight="1">
      <c r="A31" s="76"/>
      <c r="B31" s="15"/>
      <c r="C31" s="16"/>
      <c r="E31" s="5"/>
      <c r="H31" s="15"/>
    </row>
    <row r="32" spans="1:10" ht="15.75" customHeight="1">
      <c r="A32" s="76"/>
      <c r="B32" s="15"/>
      <c r="C32" s="16"/>
      <c r="E32" s="5"/>
      <c r="H32" s="15"/>
    </row>
    <row r="33" spans="1:8" ht="15.75" customHeight="1">
      <c r="A33" s="76"/>
      <c r="B33" s="15"/>
      <c r="C33" s="16"/>
      <c r="E33" s="5"/>
      <c r="H33" s="15"/>
    </row>
    <row r="34" spans="1:8" ht="15.75" customHeight="1">
      <c r="A34" s="76"/>
      <c r="B34" s="5"/>
      <c r="C34" s="16"/>
      <c r="E34" s="5"/>
      <c r="H34" s="15"/>
    </row>
    <row r="35" spans="1:8" ht="15.75" customHeight="1">
      <c r="A35" s="76"/>
      <c r="B35" s="15"/>
      <c r="C35" s="16"/>
      <c r="E35" s="5"/>
      <c r="H35" s="15"/>
    </row>
    <row r="36" spans="1:8" ht="15.75" customHeight="1">
      <c r="A36" s="76"/>
      <c r="B36" s="15"/>
      <c r="C36" s="16"/>
      <c r="E36" s="5"/>
      <c r="H36" s="15"/>
    </row>
    <row r="37" spans="1:8" ht="15.75" customHeight="1">
      <c r="A37" s="76"/>
      <c r="B37" s="15"/>
      <c r="C37" s="16"/>
      <c r="E37" s="5"/>
      <c r="H37" s="15"/>
    </row>
    <row r="38" spans="1:8" ht="15.75" customHeight="1">
      <c r="A38" s="76"/>
      <c r="B38" s="15"/>
      <c r="C38" s="16"/>
      <c r="E38" s="5"/>
      <c r="H38" s="15"/>
    </row>
    <row r="39" spans="1:8" ht="15.75" customHeight="1">
      <c r="A39" s="76"/>
      <c r="B39" s="5"/>
      <c r="C39" s="16"/>
      <c r="E39" s="5"/>
      <c r="H39" s="15"/>
    </row>
    <row r="40" spans="1:8" ht="15.75" customHeight="1">
      <c r="A40" s="76"/>
      <c r="B40" s="15"/>
      <c r="C40" s="16"/>
      <c r="E40" s="5"/>
      <c r="H40" s="15"/>
    </row>
    <row r="41" spans="1:8" ht="15.75" customHeight="1">
      <c r="A41" s="76"/>
      <c r="B41" s="5"/>
      <c r="C41" s="16"/>
      <c r="E41" s="5"/>
      <c r="H41" s="15"/>
    </row>
    <row r="42" spans="1:8" ht="15.75" customHeight="1">
      <c r="A42" s="76"/>
      <c r="B42" s="5"/>
      <c r="C42" s="16"/>
      <c r="E42" s="5"/>
      <c r="H42" s="15"/>
    </row>
    <row r="43" spans="1:8" ht="15.75" customHeight="1">
      <c r="A43" s="76"/>
      <c r="B43" s="5"/>
      <c r="C43" s="16"/>
      <c r="E43" s="5"/>
      <c r="H43" s="15"/>
    </row>
    <row r="44" spans="1:8" ht="15.75" customHeight="1">
      <c r="A44" s="76"/>
      <c r="B44" s="5"/>
      <c r="C44" s="16"/>
      <c r="E44" s="5"/>
      <c r="H44" s="15"/>
    </row>
    <row r="45" spans="1:8" ht="15.75" customHeight="1">
      <c r="A45" s="76"/>
      <c r="B45" s="5"/>
      <c r="C45" s="16"/>
      <c r="E45" s="5"/>
      <c r="H45" s="15"/>
    </row>
    <row r="46" spans="1:8" ht="15.75" customHeight="1">
      <c r="A46" s="76"/>
      <c r="B46" s="5"/>
      <c r="C46" s="16"/>
      <c r="E46" s="5"/>
      <c r="H46" s="15"/>
    </row>
    <row r="47" spans="1:8" ht="15.75" customHeight="1">
      <c r="A47" s="76"/>
      <c r="B47" s="5"/>
      <c r="C47" s="16"/>
      <c r="E47" s="5"/>
      <c r="H47" s="15"/>
    </row>
    <row r="48" spans="1:8" ht="15.75" customHeight="1">
      <c r="A48" s="76"/>
      <c r="B48" s="5"/>
      <c r="C48" s="16"/>
      <c r="E48" s="5"/>
      <c r="H48" s="15"/>
    </row>
    <row r="49" spans="1:8" ht="15.75" customHeight="1">
      <c r="A49" s="76"/>
      <c r="B49" s="5"/>
      <c r="C49" s="16"/>
      <c r="E49" s="5"/>
      <c r="H49" s="15"/>
    </row>
    <row r="50" spans="1:8" ht="15.75" customHeight="1">
      <c r="A50" s="76"/>
      <c r="B50" s="5"/>
      <c r="C50" s="16"/>
      <c r="E50" s="5"/>
      <c r="F50" s="32"/>
      <c r="H50" s="15"/>
    </row>
    <row r="51" spans="1:8" ht="15.75" customHeight="1">
      <c r="A51" s="76"/>
      <c r="B51" s="5"/>
      <c r="C51" s="16"/>
      <c r="E51" s="5"/>
      <c r="H51" s="15"/>
    </row>
    <row r="52" spans="1:8" ht="15.75" customHeight="1">
      <c r="A52" s="76"/>
      <c r="B52" s="15"/>
      <c r="C52" s="16"/>
      <c r="E52" s="5"/>
      <c r="F52" s="32"/>
      <c r="H52" s="15"/>
    </row>
    <row r="53" spans="1:8" ht="15.75" customHeight="1">
      <c r="A53" s="76"/>
      <c r="B53" s="15"/>
      <c r="C53" s="16"/>
      <c r="E53" s="5"/>
      <c r="F53" s="32"/>
      <c r="H53" s="15"/>
    </row>
    <row r="54" spans="1:8" ht="15.75" customHeight="1">
      <c r="A54" s="76"/>
      <c r="B54" s="15"/>
      <c r="C54" s="16"/>
      <c r="E54" s="5"/>
      <c r="H54" s="15"/>
    </row>
    <row r="55" spans="1:8" ht="15.75" customHeight="1">
      <c r="A55" s="76"/>
      <c r="B55" s="15"/>
      <c r="C55" s="16"/>
      <c r="E55" s="5"/>
      <c r="H55" s="15"/>
    </row>
    <row r="56" spans="1:8" ht="15.75" customHeight="1">
      <c r="A56" s="76"/>
      <c r="B56" s="15"/>
      <c r="C56" s="16"/>
      <c r="E56" s="5"/>
      <c r="H56" s="15"/>
    </row>
    <row r="57" spans="1:8" ht="12.5">
      <c r="A57" s="76"/>
      <c r="B57" s="15"/>
      <c r="C57" s="16"/>
      <c r="D57" s="80"/>
      <c r="E57" s="5"/>
      <c r="H57" s="15"/>
    </row>
    <row r="58" spans="1:8" ht="12.5">
      <c r="A58" s="76"/>
      <c r="B58" s="15"/>
      <c r="C58" s="16"/>
      <c r="E58" s="5"/>
      <c r="H58" s="15"/>
    </row>
    <row r="59" spans="1:8" ht="12.5">
      <c r="A59" s="76"/>
      <c r="B59" s="15"/>
      <c r="C59" s="16"/>
      <c r="E59" s="5"/>
      <c r="H59" s="15"/>
    </row>
    <row r="60" spans="1:8" ht="12.5">
      <c r="A60" s="76"/>
      <c r="B60" s="15"/>
      <c r="C60" s="16"/>
      <c r="E60" s="5"/>
      <c r="H60" s="15"/>
    </row>
    <row r="61" spans="1:8" ht="12.5">
      <c r="A61" s="76"/>
      <c r="B61" s="15"/>
      <c r="C61" s="16"/>
      <c r="D61" s="80"/>
      <c r="E61" s="5"/>
      <c r="H61" s="15"/>
    </row>
    <row r="62" spans="1:8" ht="12.5">
      <c r="A62" s="76"/>
      <c r="B62" s="15"/>
      <c r="C62" s="16"/>
      <c r="E62" s="5"/>
      <c r="H62" s="15"/>
    </row>
    <row r="63" spans="1:8" ht="12.5">
      <c r="A63" s="76"/>
      <c r="B63" s="15"/>
      <c r="C63" s="16"/>
      <c r="E63" s="5"/>
      <c r="H63" s="15"/>
    </row>
    <row r="64" spans="1:8" ht="12.5">
      <c r="A64" s="76"/>
      <c r="B64" s="15"/>
      <c r="C64" s="16"/>
      <c r="E64" s="5"/>
      <c r="H64" s="15"/>
    </row>
    <row r="65" spans="1:8" ht="12.5">
      <c r="A65" s="76"/>
      <c r="B65" s="15"/>
      <c r="C65" s="16"/>
      <c r="E65" s="5"/>
      <c r="H65" s="15"/>
    </row>
    <row r="66" spans="1:8" ht="12.5">
      <c r="A66" s="76"/>
      <c r="B66" s="15"/>
      <c r="C66" s="16"/>
      <c r="E66" s="5"/>
      <c r="H66" s="15"/>
    </row>
    <row r="67" spans="1:8" ht="12.5">
      <c r="A67" s="76"/>
      <c r="B67" s="15"/>
      <c r="C67" s="16"/>
      <c r="E67" s="5"/>
      <c r="H67" s="15"/>
    </row>
    <row r="68" spans="1:8" ht="12.5">
      <c r="A68" s="76"/>
      <c r="B68" s="15"/>
      <c r="C68" s="16"/>
      <c r="D68" s="80"/>
      <c r="E68" s="5"/>
      <c r="H68" s="15"/>
    </row>
    <row r="69" spans="1:8" ht="12.5">
      <c r="A69" s="76"/>
      <c r="B69" s="15"/>
      <c r="C69" s="16"/>
      <c r="E69" s="5"/>
      <c r="H69" s="15"/>
    </row>
    <row r="70" spans="1:8" ht="12.5">
      <c r="A70" s="76"/>
      <c r="B70" s="15"/>
      <c r="C70" s="16"/>
      <c r="E70" s="5"/>
      <c r="H70" s="15"/>
    </row>
    <row r="71" spans="1:8" ht="12.5">
      <c r="A71" s="76"/>
      <c r="B71" s="15"/>
      <c r="C71" s="16"/>
      <c r="E71" s="5"/>
    </row>
    <row r="72" spans="1:8" ht="12.5">
      <c r="A72" s="76"/>
      <c r="B72" s="15"/>
      <c r="C72" s="16"/>
      <c r="E72" s="5"/>
    </row>
    <row r="73" spans="1:8" ht="12.5">
      <c r="A73" s="76"/>
      <c r="B73" s="15"/>
      <c r="C73" s="16"/>
      <c r="E73" s="5"/>
    </row>
    <row r="74" spans="1:8" ht="12.5">
      <c r="A74" s="76"/>
      <c r="B74" s="15"/>
      <c r="C74" s="16"/>
      <c r="D74" s="5"/>
      <c r="E74" s="5"/>
    </row>
    <row r="75" spans="1:8" ht="12.5">
      <c r="A75" s="76"/>
      <c r="B75" s="15"/>
      <c r="C75" s="16"/>
      <c r="E75" s="5"/>
    </row>
    <row r="76" spans="1:8" ht="12.5">
      <c r="A76" s="76"/>
      <c r="B76" s="15"/>
      <c r="C76" s="16"/>
      <c r="E76" s="5"/>
    </row>
    <row r="77" spans="1:8" ht="12.5">
      <c r="A77" s="76"/>
      <c r="B77" s="15"/>
      <c r="C77" s="16"/>
      <c r="E77" s="5"/>
    </row>
    <row r="78" spans="1:8" ht="12.5">
      <c r="A78" s="76"/>
      <c r="B78" s="15"/>
      <c r="C78" s="16"/>
      <c r="E78" s="5"/>
    </row>
    <row r="79" spans="1:8" ht="12.5">
      <c r="A79" s="76"/>
      <c r="B79" s="15"/>
      <c r="C79" s="16"/>
      <c r="E79" s="5"/>
    </row>
    <row r="80" spans="1:8" ht="12.5">
      <c r="A80" s="76"/>
      <c r="B80" s="15"/>
      <c r="C80" s="16"/>
      <c r="E80" s="5"/>
    </row>
    <row r="81" spans="1:5" ht="12.5">
      <c r="A81" s="76"/>
      <c r="B81" s="15"/>
      <c r="C81" s="16"/>
      <c r="E81" s="5"/>
    </row>
    <row r="82" spans="1:5" ht="12.5">
      <c r="A82" s="76"/>
      <c r="B82" s="15"/>
      <c r="C82" s="16"/>
      <c r="E82" s="5"/>
    </row>
    <row r="83" spans="1:5" ht="12.5">
      <c r="A83" s="76"/>
      <c r="B83" s="15"/>
      <c r="C83" s="16"/>
      <c r="E83" s="5"/>
    </row>
    <row r="84" spans="1:5" ht="12.5">
      <c r="A84" s="76"/>
      <c r="B84" s="15"/>
      <c r="C84" s="16"/>
      <c r="E84" s="5"/>
    </row>
    <row r="85" spans="1:5" ht="12.5">
      <c r="A85" s="76"/>
      <c r="B85" s="5"/>
      <c r="C85" s="16"/>
      <c r="E85" s="5"/>
    </row>
    <row r="86" spans="1:5" ht="12.5">
      <c r="A86" s="76"/>
      <c r="B86" s="5"/>
      <c r="C86" s="16"/>
      <c r="E86" s="5"/>
    </row>
    <row r="87" spans="1:5" ht="12.5">
      <c r="A87" s="76"/>
      <c r="B87" s="15"/>
      <c r="C87" s="16"/>
      <c r="E87" s="5"/>
    </row>
    <row r="88" spans="1:5" ht="12.5">
      <c r="A88" s="76"/>
      <c r="B88" s="15"/>
      <c r="C88" s="16"/>
      <c r="E88" s="5"/>
    </row>
    <row r="89" spans="1:5" ht="12.5">
      <c r="A89" s="76"/>
      <c r="B89" s="5"/>
      <c r="C89" s="16"/>
      <c r="E89" s="5"/>
    </row>
    <row r="90" spans="1:5" ht="12.5">
      <c r="A90" s="76"/>
      <c r="B90" s="5"/>
      <c r="C90" s="16"/>
      <c r="E90" s="5"/>
    </row>
    <row r="91" spans="1:5" ht="12.5">
      <c r="A91" s="76"/>
      <c r="B91" s="5"/>
      <c r="C91" s="16"/>
      <c r="E91" s="5"/>
    </row>
    <row r="92" spans="1:5" ht="12.5">
      <c r="A92" s="76"/>
      <c r="B92" s="5"/>
      <c r="C92" s="16"/>
      <c r="E92" s="5"/>
    </row>
    <row r="93" spans="1:5" ht="12.5">
      <c r="A93" s="76"/>
      <c r="B93" s="5"/>
      <c r="C93" s="16"/>
      <c r="E93" s="5"/>
    </row>
    <row r="94" spans="1:5" ht="12.5">
      <c r="A94" s="76"/>
      <c r="B94" s="5"/>
      <c r="C94" s="16"/>
      <c r="E94" s="5"/>
    </row>
    <row r="95" spans="1:5" ht="12.5">
      <c r="A95" s="76"/>
      <c r="B95" s="5"/>
      <c r="C95" s="16"/>
      <c r="E95" s="5"/>
    </row>
    <row r="96" spans="1:5" ht="12.5">
      <c r="A96" s="76"/>
      <c r="B96" s="5"/>
      <c r="C96" s="16"/>
      <c r="E96" s="5"/>
    </row>
    <row r="97" spans="1:5" ht="12.5">
      <c r="A97" s="76"/>
      <c r="B97" s="5"/>
      <c r="C97" s="16"/>
      <c r="E97" s="5"/>
    </row>
    <row r="98" spans="1:5" ht="12.5">
      <c r="A98" s="76"/>
      <c r="B98" s="5"/>
      <c r="C98" s="16"/>
      <c r="E98" s="5"/>
    </row>
    <row r="99" spans="1:5" ht="12.5">
      <c r="A99" s="76"/>
      <c r="B99" s="5"/>
      <c r="C99" s="16"/>
      <c r="E99" s="5"/>
    </row>
    <row r="100" spans="1:5" ht="12.5">
      <c r="A100" s="76"/>
      <c r="B100" s="5"/>
      <c r="C100" s="16"/>
      <c r="E100" s="5"/>
    </row>
    <row r="101" spans="1:5" ht="12.5">
      <c r="A101" s="76"/>
      <c r="B101" s="5"/>
      <c r="C101" s="16"/>
      <c r="E101" s="5"/>
    </row>
    <row r="102" spans="1:5" ht="12.5">
      <c r="A102" s="76"/>
      <c r="B102" s="5"/>
      <c r="C102" s="16"/>
      <c r="E102" s="5"/>
    </row>
    <row r="103" spans="1:5" ht="12.5">
      <c r="A103" s="76"/>
      <c r="B103" s="5"/>
      <c r="C103" s="16"/>
      <c r="E103" s="5"/>
    </row>
    <row r="104" spans="1:5" ht="12.5">
      <c r="A104" s="76"/>
      <c r="B104" s="5"/>
      <c r="C104" s="16"/>
      <c r="E104" s="5"/>
    </row>
    <row r="105" spans="1:5" ht="12.5">
      <c r="A105" s="76"/>
      <c r="B105" s="5"/>
      <c r="C105" s="16"/>
      <c r="E105" s="5"/>
    </row>
    <row r="106" spans="1:5" ht="12.5">
      <c r="A106" s="76"/>
      <c r="B106" s="5"/>
      <c r="C106" s="16"/>
      <c r="E106" s="5"/>
    </row>
    <row r="107" spans="1:5" ht="12.5">
      <c r="A107" s="76"/>
      <c r="B107" s="5"/>
      <c r="C107" s="16"/>
      <c r="E107" s="5"/>
    </row>
    <row r="108" spans="1:5" ht="12.5">
      <c r="A108" s="76"/>
      <c r="B108" s="5"/>
      <c r="C108" s="16"/>
      <c r="E108" s="5"/>
    </row>
    <row r="109" spans="1:5" ht="12.5">
      <c r="A109" s="76"/>
      <c r="B109" s="5"/>
      <c r="C109" s="16"/>
      <c r="E109" s="5"/>
    </row>
    <row r="110" spans="1:5" ht="12.5">
      <c r="A110" s="76"/>
      <c r="B110" s="5"/>
      <c r="C110" s="16"/>
      <c r="E110" s="5"/>
    </row>
    <row r="111" spans="1:5" ht="12.5">
      <c r="A111" s="76"/>
      <c r="B111" s="5"/>
      <c r="C111" s="16"/>
      <c r="E111" s="5"/>
    </row>
    <row r="112" spans="1:5" ht="12.5">
      <c r="A112" s="76"/>
      <c r="B112" s="5"/>
      <c r="C112" s="16"/>
      <c r="E112" s="5"/>
    </row>
    <row r="113" spans="1:5" ht="12.5">
      <c r="A113" s="76"/>
      <c r="B113" s="5"/>
      <c r="C113" s="16"/>
      <c r="E113" s="5"/>
    </row>
    <row r="114" spans="1:5" ht="12.5">
      <c r="A114" s="76"/>
      <c r="B114" s="5"/>
      <c r="C114" s="16"/>
      <c r="E114" s="5"/>
    </row>
    <row r="115" spans="1:5" ht="12.5">
      <c r="A115" s="76"/>
      <c r="B115" s="5"/>
      <c r="C115" s="16"/>
      <c r="E115" s="5"/>
    </row>
    <row r="116" spans="1:5" ht="12.5">
      <c r="A116" s="76"/>
      <c r="B116" s="5"/>
      <c r="C116" s="16"/>
      <c r="E116" s="5"/>
    </row>
    <row r="117" spans="1:5" ht="12.5">
      <c r="A117" s="76"/>
      <c r="B117" s="5"/>
      <c r="C117" s="16"/>
      <c r="E117" s="5"/>
    </row>
    <row r="118" spans="1:5" ht="12.5">
      <c r="A118" s="76"/>
      <c r="B118" s="5"/>
      <c r="C118" s="16"/>
      <c r="E118" s="5"/>
    </row>
    <row r="119" spans="1:5" ht="12.5">
      <c r="A119" s="76"/>
      <c r="B119" s="5"/>
      <c r="C119" s="16"/>
      <c r="E119" s="5"/>
    </row>
    <row r="120" spans="1:5" ht="12.5">
      <c r="A120" s="76"/>
      <c r="B120" s="5"/>
      <c r="C120" s="16"/>
      <c r="E120" s="5"/>
    </row>
    <row r="121" spans="1:5" ht="12.5">
      <c r="A121" s="76"/>
      <c r="B121" s="5"/>
      <c r="C121" s="16"/>
      <c r="E121" s="5"/>
    </row>
    <row r="122" spans="1:5" ht="12.5">
      <c r="A122" s="76"/>
      <c r="B122" s="5"/>
      <c r="C122" s="16"/>
      <c r="E122" s="5"/>
    </row>
    <row r="123" spans="1:5" ht="12.5">
      <c r="A123" s="76"/>
      <c r="B123" s="5"/>
      <c r="C123" s="16"/>
      <c r="E123" s="5"/>
    </row>
    <row r="124" spans="1:5" ht="12.5">
      <c r="A124" s="76"/>
      <c r="B124" s="5"/>
      <c r="C124" s="16"/>
      <c r="E124" s="5"/>
    </row>
    <row r="125" spans="1:5" ht="12.5">
      <c r="A125" s="76"/>
      <c r="B125" s="5"/>
      <c r="C125" s="16"/>
      <c r="E125" s="5"/>
    </row>
    <row r="126" spans="1:5" ht="12.5">
      <c r="A126" s="76"/>
      <c r="B126" s="5"/>
      <c r="C126" s="16"/>
      <c r="E126" s="5"/>
    </row>
    <row r="127" spans="1:5" ht="12.5">
      <c r="A127" s="76"/>
      <c r="B127" s="5"/>
      <c r="C127" s="16"/>
      <c r="E127" s="5"/>
    </row>
    <row r="128" spans="1:5" ht="12.5">
      <c r="A128" s="76"/>
      <c r="B128" s="5"/>
      <c r="C128" s="16"/>
      <c r="E128" s="5"/>
    </row>
    <row r="129" spans="1:5" ht="12.5">
      <c r="A129" s="76"/>
      <c r="B129" s="5"/>
      <c r="C129" s="16"/>
      <c r="E129" s="5"/>
    </row>
    <row r="130" spans="1:5" ht="12.5">
      <c r="A130" s="76"/>
      <c r="B130" s="5"/>
      <c r="C130" s="16"/>
      <c r="E130" s="5"/>
    </row>
    <row r="131" spans="1:5" ht="12.5">
      <c r="A131" s="76"/>
      <c r="B131" s="5"/>
      <c r="C131" s="16"/>
      <c r="E131" s="5"/>
    </row>
    <row r="132" spans="1:5" ht="12.5">
      <c r="A132" s="76"/>
      <c r="B132" s="5"/>
      <c r="C132" s="16"/>
      <c r="E132" s="5"/>
    </row>
    <row r="133" spans="1:5" ht="12.5">
      <c r="A133" s="76"/>
      <c r="B133" s="5"/>
      <c r="C133" s="16"/>
      <c r="E133" s="5"/>
    </row>
    <row r="134" spans="1:5" ht="12.5">
      <c r="A134" s="76"/>
      <c r="B134" s="5"/>
      <c r="C134" s="16"/>
      <c r="E134" s="5"/>
    </row>
    <row r="135" spans="1:5" ht="12.5">
      <c r="A135" s="76"/>
      <c r="B135" s="5"/>
      <c r="C135" s="16"/>
      <c r="E135" s="5"/>
    </row>
    <row r="136" spans="1:5" ht="12.5">
      <c r="A136" s="76"/>
      <c r="B136" s="5"/>
      <c r="C136" s="16"/>
      <c r="E136" s="5"/>
    </row>
    <row r="137" spans="1:5" ht="12.5">
      <c r="A137" s="76"/>
      <c r="B137" s="5"/>
      <c r="C137" s="16"/>
      <c r="E137" s="5"/>
    </row>
    <row r="138" spans="1:5" ht="12.5">
      <c r="A138" s="76"/>
      <c r="B138" s="5"/>
      <c r="C138" s="16"/>
      <c r="E138" s="5"/>
    </row>
    <row r="139" spans="1:5" ht="12.5">
      <c r="A139" s="76"/>
      <c r="B139" s="5"/>
      <c r="C139" s="16"/>
      <c r="E139" s="5"/>
    </row>
    <row r="140" spans="1:5" ht="12.5">
      <c r="A140" s="76"/>
      <c r="B140" s="5"/>
      <c r="C140" s="16"/>
      <c r="E140" s="5"/>
    </row>
    <row r="141" spans="1:5" ht="12.5">
      <c r="A141" s="76"/>
      <c r="B141" s="5"/>
      <c r="C141" s="16"/>
      <c r="E141" s="5"/>
    </row>
    <row r="142" spans="1:5" ht="12.5">
      <c r="A142" s="76"/>
      <c r="B142" s="5"/>
      <c r="C142" s="16"/>
      <c r="E142" s="5"/>
    </row>
    <row r="143" spans="1:5" ht="12.5">
      <c r="A143" s="76"/>
      <c r="B143" s="5"/>
      <c r="C143" s="16"/>
      <c r="E143" s="5"/>
    </row>
    <row r="144" spans="1:5" ht="12.5">
      <c r="A144" s="76"/>
      <c r="B144" s="5"/>
      <c r="C144" s="16"/>
      <c r="E144" s="5"/>
    </row>
    <row r="145" spans="1:5" ht="12.5">
      <c r="A145" s="76"/>
      <c r="B145" s="5"/>
      <c r="C145" s="16"/>
      <c r="E145" s="5"/>
    </row>
    <row r="146" spans="1:5" ht="12.5">
      <c r="A146" s="76"/>
      <c r="B146" s="5"/>
      <c r="C146" s="16"/>
      <c r="E146" s="5"/>
    </row>
    <row r="147" spans="1:5" ht="12.5">
      <c r="A147" s="76"/>
      <c r="B147" s="5"/>
      <c r="C147" s="16"/>
      <c r="E147" s="5"/>
    </row>
    <row r="148" spans="1:5" ht="12.5">
      <c r="A148" s="76"/>
      <c r="B148" s="5"/>
      <c r="C148" s="16"/>
      <c r="E148" s="5"/>
    </row>
    <row r="149" spans="1:5" ht="12.5">
      <c r="A149" s="76"/>
      <c r="B149" s="5"/>
      <c r="C149" s="16"/>
      <c r="E149" s="5"/>
    </row>
    <row r="150" spans="1:5" ht="12.5">
      <c r="A150" s="76"/>
      <c r="B150" s="5"/>
      <c r="C150" s="16"/>
      <c r="E150" s="5"/>
    </row>
    <row r="151" spans="1:5" ht="12.5">
      <c r="A151" s="76"/>
      <c r="B151" s="5"/>
      <c r="C151" s="16"/>
      <c r="E151" s="5"/>
    </row>
    <row r="152" spans="1:5" ht="12.5">
      <c r="A152" s="76"/>
      <c r="B152" s="5"/>
      <c r="C152" s="16"/>
      <c r="E152" s="5"/>
    </row>
    <row r="153" spans="1:5" ht="12.5">
      <c r="A153" s="76"/>
      <c r="B153" s="5"/>
      <c r="C153" s="16"/>
      <c r="E153" s="5"/>
    </row>
    <row r="154" spans="1:5" ht="12.5">
      <c r="A154" s="76"/>
      <c r="B154" s="5"/>
      <c r="C154" s="16"/>
      <c r="E154" s="5"/>
    </row>
    <row r="155" spans="1:5" ht="12.5">
      <c r="A155" s="76"/>
      <c r="B155" s="5"/>
      <c r="C155" s="16"/>
      <c r="E155" s="5"/>
    </row>
    <row r="156" spans="1:5" ht="12.5">
      <c r="A156" s="76"/>
      <c r="B156" s="5"/>
      <c r="C156" s="16"/>
      <c r="E156" s="5"/>
    </row>
    <row r="157" spans="1:5" ht="12.5">
      <c r="A157" s="76"/>
      <c r="B157" s="5"/>
      <c r="C157" s="16"/>
      <c r="E157" s="5"/>
    </row>
    <row r="158" spans="1:5" ht="12.5">
      <c r="A158" s="76"/>
      <c r="B158" s="5"/>
      <c r="C158" s="16"/>
      <c r="E158" s="5"/>
    </row>
    <row r="159" spans="1:5" ht="12.5">
      <c r="A159" s="76"/>
      <c r="B159" s="5"/>
      <c r="C159" s="16"/>
      <c r="E159" s="5"/>
    </row>
    <row r="160" spans="1:5" ht="12.5">
      <c r="A160" s="76"/>
      <c r="B160" s="5"/>
      <c r="C160" s="16"/>
      <c r="E160" s="5"/>
    </row>
    <row r="161" spans="1:5" ht="12.5">
      <c r="A161" s="76"/>
      <c r="B161" s="5"/>
      <c r="C161" s="16"/>
      <c r="E161" s="5"/>
    </row>
    <row r="162" spans="1:5" ht="12.5">
      <c r="A162" s="76"/>
      <c r="B162" s="5"/>
      <c r="C162" s="16"/>
      <c r="E162" s="5"/>
    </row>
    <row r="163" spans="1:5" ht="12.5">
      <c r="A163" s="76"/>
      <c r="B163" s="5"/>
      <c r="C163" s="16"/>
      <c r="E163" s="5"/>
    </row>
    <row r="164" spans="1:5" ht="12.5">
      <c r="A164" s="76"/>
      <c r="B164" s="5"/>
      <c r="C164" s="16"/>
      <c r="E164" s="5"/>
    </row>
    <row r="165" spans="1:5" ht="12.5">
      <c r="A165" s="76"/>
      <c r="B165" s="5"/>
      <c r="C165" s="16"/>
      <c r="E165" s="5"/>
    </row>
    <row r="166" spans="1:5" ht="12.5">
      <c r="A166" s="76"/>
      <c r="B166" s="5"/>
      <c r="C166" s="16"/>
      <c r="E166" s="5"/>
    </row>
    <row r="167" spans="1:5" ht="12.5">
      <c r="A167" s="76"/>
      <c r="B167" s="5"/>
      <c r="C167" s="16"/>
      <c r="E167" s="5"/>
    </row>
    <row r="168" spans="1:5" ht="12.5">
      <c r="A168" s="76"/>
      <c r="B168" s="5"/>
      <c r="C168" s="16"/>
      <c r="E168" s="5"/>
    </row>
    <row r="169" spans="1:5" ht="12.5">
      <c r="A169" s="76"/>
      <c r="B169" s="5"/>
      <c r="C169" s="16"/>
      <c r="E169" s="5"/>
    </row>
    <row r="170" spans="1:5" ht="12.5">
      <c r="A170" s="76"/>
      <c r="B170" s="5"/>
      <c r="C170" s="16"/>
      <c r="E170" s="5"/>
    </row>
    <row r="171" spans="1:5" ht="12.5">
      <c r="A171" s="76"/>
      <c r="B171" s="5"/>
      <c r="C171" s="16"/>
      <c r="E171" s="5"/>
    </row>
    <row r="172" spans="1:5" ht="12.5">
      <c r="A172" s="76"/>
      <c r="B172" s="5"/>
      <c r="C172" s="16"/>
      <c r="E172" s="5"/>
    </row>
    <row r="173" spans="1:5" ht="12.5">
      <c r="A173" s="76"/>
      <c r="B173" s="5"/>
      <c r="C173" s="16"/>
      <c r="E173" s="5"/>
    </row>
    <row r="174" spans="1:5" ht="12.5">
      <c r="A174" s="76"/>
      <c r="B174" s="5"/>
      <c r="C174" s="16"/>
      <c r="E174" s="5"/>
    </row>
    <row r="175" spans="1:5" ht="12.5">
      <c r="A175" s="76"/>
      <c r="B175" s="5"/>
      <c r="C175" s="16"/>
      <c r="E175" s="5"/>
    </row>
    <row r="176" spans="1:5" ht="12.5">
      <c r="A176" s="76"/>
      <c r="B176" s="5"/>
      <c r="C176" s="16"/>
      <c r="E176" s="5"/>
    </row>
    <row r="177" spans="1:5" ht="12.5">
      <c r="A177" s="76"/>
      <c r="B177" s="5"/>
      <c r="C177" s="16"/>
      <c r="E177" s="5"/>
    </row>
    <row r="178" spans="1:5" ht="12.5">
      <c r="A178" s="76"/>
      <c r="B178" s="5"/>
      <c r="C178" s="16"/>
      <c r="E178" s="5"/>
    </row>
    <row r="179" spans="1:5" ht="12.5">
      <c r="A179" s="76"/>
      <c r="B179" s="5"/>
      <c r="C179" s="16"/>
      <c r="E179" s="5"/>
    </row>
    <row r="180" spans="1:5" ht="12.5">
      <c r="A180" s="76"/>
      <c r="B180" s="5"/>
      <c r="C180" s="16"/>
      <c r="E180" s="5"/>
    </row>
    <row r="181" spans="1:5" ht="12.5">
      <c r="A181" s="76"/>
      <c r="B181" s="5"/>
      <c r="C181" s="16"/>
      <c r="E181" s="5"/>
    </row>
    <row r="182" spans="1:5" ht="12.5">
      <c r="A182" s="76"/>
      <c r="B182" s="5"/>
      <c r="C182" s="16"/>
      <c r="E182" s="5"/>
    </row>
    <row r="183" spans="1:5" ht="12.5">
      <c r="A183" s="76"/>
      <c r="B183" s="5"/>
      <c r="C183" s="16"/>
      <c r="E183" s="5"/>
    </row>
    <row r="184" spans="1:5" ht="12.5">
      <c r="A184" s="76"/>
      <c r="B184" s="5"/>
      <c r="C184" s="16"/>
      <c r="E184" s="5"/>
    </row>
    <row r="185" spans="1:5" ht="12.5">
      <c r="A185" s="76"/>
      <c r="B185" s="5"/>
      <c r="C185" s="16"/>
      <c r="E185" s="5"/>
    </row>
    <row r="186" spans="1:5" ht="12.5">
      <c r="A186" s="76"/>
      <c r="B186" s="5"/>
      <c r="C186" s="16"/>
      <c r="E186" s="5"/>
    </row>
    <row r="187" spans="1:5" ht="12.5">
      <c r="A187" s="76"/>
      <c r="B187" s="5"/>
      <c r="C187" s="16"/>
      <c r="E187" s="5"/>
    </row>
    <row r="188" spans="1:5" ht="12.5">
      <c r="A188" s="76"/>
      <c r="B188" s="5"/>
      <c r="C188" s="16"/>
      <c r="E188" s="5"/>
    </row>
    <row r="189" spans="1:5" ht="12.5">
      <c r="A189" s="76"/>
      <c r="B189" s="5"/>
      <c r="C189" s="16"/>
      <c r="E189" s="5"/>
    </row>
    <row r="190" spans="1:5" ht="12.5">
      <c r="A190" s="76"/>
      <c r="B190" s="5"/>
      <c r="C190" s="16"/>
      <c r="E190" s="5"/>
    </row>
    <row r="191" spans="1:5" ht="12.5">
      <c r="A191" s="76"/>
      <c r="B191" s="5"/>
      <c r="C191" s="16"/>
      <c r="E191" s="5"/>
    </row>
    <row r="192" spans="1:5" ht="12.5">
      <c r="A192" s="76"/>
      <c r="B192" s="5"/>
      <c r="C192" s="16"/>
      <c r="E192" s="5"/>
    </row>
    <row r="193" spans="1:5" ht="12.5">
      <c r="A193" s="76"/>
      <c r="B193" s="5"/>
      <c r="C193" s="16"/>
      <c r="E193" s="5"/>
    </row>
    <row r="194" spans="1:5" ht="12.5">
      <c r="A194" s="76"/>
      <c r="B194" s="5"/>
      <c r="C194" s="16"/>
      <c r="E194" s="5"/>
    </row>
    <row r="195" spans="1:5" ht="12.5">
      <c r="A195" s="76"/>
      <c r="B195" s="5"/>
      <c r="C195" s="16"/>
      <c r="E195" s="5"/>
    </row>
    <row r="196" spans="1:5" ht="12.5">
      <c r="A196" s="76"/>
      <c r="B196" s="5"/>
      <c r="C196" s="16"/>
      <c r="E196" s="5"/>
    </row>
    <row r="197" spans="1:5" ht="12.5">
      <c r="A197" s="76"/>
      <c r="B197" s="5"/>
      <c r="C197" s="16"/>
      <c r="E197" s="5"/>
    </row>
    <row r="198" spans="1:5" ht="12.5">
      <c r="A198" s="76"/>
      <c r="B198" s="5"/>
      <c r="C198" s="16"/>
      <c r="E198" s="5"/>
    </row>
    <row r="199" spans="1:5" ht="12.5">
      <c r="A199" s="76"/>
      <c r="B199" s="5"/>
      <c r="C199" s="16"/>
      <c r="E199" s="5"/>
    </row>
    <row r="200" spans="1:5" ht="12.5">
      <c r="A200" s="76"/>
      <c r="B200" s="5"/>
      <c r="C200" s="16"/>
      <c r="E200" s="5"/>
    </row>
    <row r="201" spans="1:5" ht="12.5">
      <c r="A201" s="76"/>
      <c r="B201" s="5"/>
      <c r="C201" s="16"/>
      <c r="E201" s="5"/>
    </row>
    <row r="202" spans="1:5" ht="12.5">
      <c r="A202" s="76"/>
      <c r="B202" s="5"/>
      <c r="C202" s="16"/>
      <c r="E202" s="5"/>
    </row>
    <row r="203" spans="1:5" ht="12.5">
      <c r="A203" s="76"/>
      <c r="B203" s="5"/>
      <c r="C203" s="16"/>
      <c r="E203" s="5"/>
    </row>
    <row r="204" spans="1:5" ht="12.5">
      <c r="A204" s="76"/>
      <c r="B204" s="5"/>
      <c r="C204" s="16"/>
      <c r="E204" s="5"/>
    </row>
    <row r="205" spans="1:5" ht="12.5">
      <c r="A205" s="76"/>
      <c r="B205" s="5"/>
      <c r="C205" s="16"/>
      <c r="E205" s="5"/>
    </row>
    <row r="206" spans="1:5" ht="12.5">
      <c r="A206" s="76"/>
      <c r="B206" s="5"/>
      <c r="C206" s="16"/>
      <c r="E206" s="5"/>
    </row>
    <row r="207" spans="1:5" ht="12.5">
      <c r="A207" s="76"/>
      <c r="B207" s="5"/>
      <c r="C207" s="16"/>
      <c r="E207" s="5"/>
    </row>
    <row r="208" spans="1:5" ht="12.5">
      <c r="A208" s="76"/>
      <c r="B208" s="5"/>
      <c r="C208" s="16"/>
      <c r="E208" s="5"/>
    </row>
    <row r="209" spans="1:5" ht="12.5">
      <c r="A209" s="76"/>
      <c r="B209" s="5"/>
      <c r="C209" s="16"/>
      <c r="E209" s="5"/>
    </row>
    <row r="210" spans="1:5" ht="12.5">
      <c r="A210" s="76"/>
      <c r="B210" s="5"/>
      <c r="C210" s="16"/>
      <c r="E210" s="5"/>
    </row>
    <row r="211" spans="1:5" ht="12.5">
      <c r="A211" s="76"/>
      <c r="B211" s="5"/>
      <c r="C211" s="16"/>
      <c r="E211" s="5"/>
    </row>
    <row r="212" spans="1:5" ht="12.5">
      <c r="A212" s="76"/>
      <c r="B212" s="5"/>
      <c r="C212" s="16"/>
      <c r="E212" s="5"/>
    </row>
    <row r="213" spans="1:5" ht="12.5">
      <c r="A213" s="76"/>
      <c r="B213" s="5"/>
      <c r="C213" s="16"/>
      <c r="E213" s="5"/>
    </row>
    <row r="214" spans="1:5" ht="12.5">
      <c r="A214" s="76"/>
      <c r="B214" s="5"/>
      <c r="C214" s="16"/>
      <c r="E214" s="5"/>
    </row>
    <row r="215" spans="1:5" ht="12.5">
      <c r="A215" s="76"/>
      <c r="B215" s="5"/>
      <c r="C215" s="16"/>
      <c r="E215" s="5"/>
    </row>
    <row r="216" spans="1:5" ht="12.5">
      <c r="A216" s="76"/>
      <c r="B216" s="5"/>
      <c r="C216" s="16"/>
      <c r="E216" s="5"/>
    </row>
    <row r="217" spans="1:5" ht="12.5">
      <c r="A217" s="76"/>
      <c r="B217" s="5"/>
      <c r="C217" s="16"/>
      <c r="E217" s="5"/>
    </row>
    <row r="218" spans="1:5" ht="12.5">
      <c r="A218" s="76"/>
      <c r="B218" s="5"/>
      <c r="C218" s="16"/>
      <c r="E218" s="5"/>
    </row>
    <row r="219" spans="1:5" ht="12.5">
      <c r="A219" s="76"/>
      <c r="B219" s="5"/>
      <c r="C219" s="16"/>
      <c r="E219" s="5"/>
    </row>
    <row r="220" spans="1:5" ht="12.5">
      <c r="A220" s="76"/>
      <c r="B220" s="5"/>
      <c r="C220" s="16"/>
      <c r="E220" s="5"/>
    </row>
    <row r="221" spans="1:5" ht="12.5">
      <c r="A221" s="76"/>
      <c r="B221" s="5"/>
      <c r="C221" s="16"/>
      <c r="E221" s="5"/>
    </row>
    <row r="222" spans="1:5" ht="12.5">
      <c r="A222" s="76"/>
      <c r="B222" s="5"/>
      <c r="C222" s="16"/>
      <c r="E222" s="5"/>
    </row>
    <row r="223" spans="1:5" ht="12.5">
      <c r="A223" s="76"/>
      <c r="B223" s="5"/>
      <c r="C223" s="16"/>
      <c r="E223" s="5"/>
    </row>
    <row r="224" spans="1:5" ht="12.5">
      <c r="A224" s="76"/>
      <c r="B224" s="5"/>
      <c r="C224" s="16"/>
      <c r="E224" s="5"/>
    </row>
    <row r="225" spans="1:5" ht="12.5">
      <c r="A225" s="76"/>
      <c r="B225" s="5"/>
      <c r="C225" s="16"/>
      <c r="E225" s="5"/>
    </row>
    <row r="226" spans="1:5" ht="12.5">
      <c r="A226" s="76"/>
      <c r="B226" s="5"/>
      <c r="C226" s="16"/>
      <c r="E226" s="5"/>
    </row>
    <row r="227" spans="1:5" ht="12.5">
      <c r="A227" s="76"/>
      <c r="B227" s="5"/>
      <c r="C227" s="16"/>
      <c r="E227" s="5"/>
    </row>
    <row r="228" spans="1:5" ht="12.5">
      <c r="A228" s="76"/>
      <c r="B228" s="5"/>
      <c r="C228" s="16"/>
      <c r="E228" s="5"/>
    </row>
    <row r="229" spans="1:5" ht="12.5">
      <c r="A229" s="76"/>
      <c r="B229" s="5"/>
      <c r="C229" s="16"/>
      <c r="E229" s="5"/>
    </row>
    <row r="230" spans="1:5" ht="12.5">
      <c r="A230" s="76"/>
      <c r="B230" s="5"/>
      <c r="C230" s="16"/>
      <c r="E230" s="5"/>
    </row>
    <row r="231" spans="1:5" ht="12.5">
      <c r="A231" s="76"/>
      <c r="B231" s="5"/>
      <c r="C231" s="16"/>
      <c r="E231" s="5"/>
    </row>
    <row r="232" spans="1:5" ht="12.5">
      <c r="A232" s="76"/>
      <c r="B232" s="5"/>
      <c r="C232" s="16"/>
      <c r="E232" s="5"/>
    </row>
    <row r="233" spans="1:5" ht="12.5">
      <c r="A233" s="76"/>
      <c r="B233" s="5"/>
      <c r="C233" s="16"/>
      <c r="E233" s="5"/>
    </row>
    <row r="234" spans="1:5" ht="12.5">
      <c r="A234" s="76"/>
      <c r="B234" s="5"/>
      <c r="C234" s="16"/>
      <c r="E234" s="5"/>
    </row>
    <row r="235" spans="1:5" ht="12.5">
      <c r="A235" s="76"/>
      <c r="B235" s="5"/>
      <c r="C235" s="16"/>
      <c r="E235" s="5"/>
    </row>
    <row r="236" spans="1:5" ht="12.5">
      <c r="A236" s="76"/>
      <c r="B236" s="5"/>
      <c r="C236" s="16"/>
      <c r="E236" s="5"/>
    </row>
    <row r="237" spans="1:5" ht="12.5">
      <c r="A237" s="76"/>
      <c r="B237" s="5"/>
      <c r="C237" s="16"/>
      <c r="E237" s="5"/>
    </row>
    <row r="238" spans="1:5" ht="12.5">
      <c r="A238" s="76"/>
      <c r="B238" s="5"/>
      <c r="C238" s="16"/>
      <c r="E238" s="5"/>
    </row>
    <row r="239" spans="1:5" ht="12.5">
      <c r="A239" s="76"/>
      <c r="B239" s="5"/>
      <c r="C239" s="16"/>
      <c r="E239" s="5"/>
    </row>
    <row r="240" spans="1:5" ht="12.5">
      <c r="A240" s="76"/>
      <c r="B240" s="5"/>
      <c r="C240" s="16"/>
      <c r="E240" s="5"/>
    </row>
    <row r="241" spans="1:5" ht="12.5">
      <c r="A241" s="76"/>
      <c r="B241" s="5"/>
      <c r="C241" s="16"/>
      <c r="E241" s="5"/>
    </row>
    <row r="242" spans="1:5" ht="12.5">
      <c r="A242" s="76"/>
      <c r="B242" s="5"/>
      <c r="C242" s="16"/>
      <c r="E242" s="5"/>
    </row>
    <row r="243" spans="1:5" ht="12.5">
      <c r="A243" s="76"/>
      <c r="B243" s="5"/>
      <c r="C243" s="16"/>
      <c r="E243" s="5"/>
    </row>
    <row r="244" spans="1:5" ht="12.5">
      <c r="A244" s="76"/>
      <c r="B244" s="5"/>
      <c r="C244" s="16"/>
      <c r="E244" s="5"/>
    </row>
    <row r="245" spans="1:5" ht="12.5">
      <c r="A245" s="76"/>
      <c r="B245" s="5"/>
      <c r="C245" s="16"/>
      <c r="E245" s="5"/>
    </row>
    <row r="246" spans="1:5" ht="12.5">
      <c r="A246" s="76"/>
      <c r="B246" s="5"/>
      <c r="C246" s="16"/>
      <c r="E246" s="5"/>
    </row>
    <row r="247" spans="1:5" ht="12.5">
      <c r="A247" s="76"/>
      <c r="B247" s="5"/>
      <c r="C247" s="16"/>
      <c r="E247" s="5"/>
    </row>
    <row r="248" spans="1:5" ht="12.5">
      <c r="A248" s="76"/>
      <c r="B248" s="5"/>
      <c r="C248" s="16"/>
      <c r="E248" s="5"/>
    </row>
    <row r="249" spans="1:5" ht="12.5">
      <c r="A249" s="76"/>
      <c r="B249" s="5"/>
      <c r="C249" s="16"/>
      <c r="E249" s="5"/>
    </row>
    <row r="250" spans="1:5" ht="12.5">
      <c r="A250" s="76"/>
      <c r="B250" s="5"/>
      <c r="C250" s="16"/>
      <c r="E250" s="5"/>
    </row>
    <row r="251" spans="1:5" ht="12.5">
      <c r="A251" s="76"/>
      <c r="B251" s="5"/>
      <c r="C251" s="16"/>
      <c r="E251" s="5"/>
    </row>
    <row r="252" spans="1:5" ht="12.5">
      <c r="A252" s="76"/>
      <c r="B252" s="5"/>
      <c r="C252" s="16"/>
      <c r="E252" s="5"/>
    </row>
    <row r="253" spans="1:5" ht="12.5">
      <c r="A253" s="76"/>
      <c r="B253" s="5"/>
      <c r="C253" s="16"/>
      <c r="E253" s="5"/>
    </row>
    <row r="254" spans="1:5" ht="12.5">
      <c r="A254" s="76"/>
      <c r="B254" s="5"/>
      <c r="C254" s="16"/>
      <c r="E254" s="5"/>
    </row>
    <row r="255" spans="1:5" ht="12.5">
      <c r="A255" s="76"/>
      <c r="B255" s="5"/>
      <c r="C255" s="16"/>
      <c r="E255" s="5"/>
    </row>
    <row r="256" spans="1:5" ht="12.5">
      <c r="A256" s="76"/>
      <c r="B256" s="5"/>
      <c r="C256" s="16"/>
      <c r="E256" s="5"/>
    </row>
    <row r="257" spans="1:5" ht="12.5">
      <c r="A257" s="76"/>
      <c r="B257" s="5"/>
      <c r="C257" s="16"/>
      <c r="E257" s="5"/>
    </row>
    <row r="258" spans="1:5" ht="12.5">
      <c r="A258" s="76"/>
      <c r="B258" s="5"/>
      <c r="C258" s="16"/>
      <c r="E258" s="5"/>
    </row>
    <row r="259" spans="1:5" ht="12.5">
      <c r="A259" s="76"/>
      <c r="B259" s="5"/>
      <c r="C259" s="16"/>
      <c r="E259" s="5"/>
    </row>
    <row r="260" spans="1:5" ht="12.5">
      <c r="A260" s="76"/>
      <c r="B260" s="5"/>
      <c r="C260" s="16"/>
      <c r="E260" s="5"/>
    </row>
    <row r="261" spans="1:5" ht="12.5">
      <c r="A261" s="76"/>
      <c r="B261" s="5"/>
      <c r="C261" s="16"/>
      <c r="E261" s="5"/>
    </row>
    <row r="262" spans="1:5" ht="12.5">
      <c r="A262" s="76"/>
      <c r="B262" s="5"/>
      <c r="C262" s="16"/>
      <c r="E262" s="5"/>
    </row>
    <row r="263" spans="1:5" ht="12.5">
      <c r="A263" s="76"/>
      <c r="B263" s="5"/>
      <c r="C263" s="16"/>
      <c r="E263" s="5"/>
    </row>
    <row r="264" spans="1:5" ht="12.5">
      <c r="A264" s="76"/>
      <c r="B264" s="5"/>
      <c r="C264" s="16"/>
      <c r="E264" s="5"/>
    </row>
    <row r="265" spans="1:5" ht="12.5">
      <c r="A265" s="76"/>
      <c r="B265" s="5"/>
      <c r="C265" s="16"/>
      <c r="E265" s="5"/>
    </row>
    <row r="266" spans="1:5" ht="12.5">
      <c r="A266" s="76"/>
      <c r="B266" s="5"/>
      <c r="C266" s="16"/>
      <c r="E266" s="5"/>
    </row>
    <row r="267" spans="1:5" ht="12.5">
      <c r="A267" s="76"/>
      <c r="B267" s="5"/>
      <c r="C267" s="16"/>
      <c r="E267" s="5"/>
    </row>
    <row r="268" spans="1:5" ht="12.5">
      <c r="A268" s="76"/>
      <c r="B268" s="5"/>
      <c r="C268" s="16"/>
      <c r="E268" s="5"/>
    </row>
    <row r="269" spans="1:5" ht="12.5">
      <c r="A269" s="76"/>
      <c r="B269" s="5"/>
      <c r="C269" s="16"/>
      <c r="E269" s="5"/>
    </row>
    <row r="270" spans="1:5" ht="12.5">
      <c r="A270" s="76"/>
      <c r="B270" s="5"/>
      <c r="C270" s="16"/>
      <c r="E270" s="5"/>
    </row>
    <row r="271" spans="1:5" ht="12.5">
      <c r="A271" s="76"/>
      <c r="B271" s="5"/>
      <c r="C271" s="16"/>
      <c r="E271" s="5"/>
    </row>
    <row r="272" spans="1:5" ht="12.5">
      <c r="A272" s="76"/>
      <c r="B272" s="5"/>
      <c r="C272" s="16"/>
      <c r="E272" s="5"/>
    </row>
    <row r="273" spans="1:5" ht="12.5">
      <c r="A273" s="76"/>
      <c r="B273" s="5"/>
      <c r="C273" s="16"/>
      <c r="E273" s="5"/>
    </row>
    <row r="274" spans="1:5" ht="12.5">
      <c r="A274" s="76"/>
      <c r="B274" s="5"/>
      <c r="C274" s="16"/>
      <c r="E274" s="5"/>
    </row>
    <row r="275" spans="1:5" ht="12.5">
      <c r="A275" s="76"/>
      <c r="B275" s="5"/>
      <c r="C275" s="16"/>
      <c r="E275" s="5"/>
    </row>
    <row r="276" spans="1:5" ht="12.5">
      <c r="A276" s="76"/>
      <c r="B276" s="5"/>
      <c r="C276" s="16"/>
      <c r="E276" s="5"/>
    </row>
    <row r="277" spans="1:5" ht="12.5">
      <c r="A277" s="76"/>
      <c r="B277" s="5"/>
      <c r="C277" s="16"/>
      <c r="E277" s="5"/>
    </row>
    <row r="278" spans="1:5" ht="12.5">
      <c r="A278" s="76"/>
      <c r="B278" s="5"/>
      <c r="C278" s="16"/>
      <c r="E278" s="5"/>
    </row>
    <row r="279" spans="1:5" ht="12.5">
      <c r="A279" s="76"/>
      <c r="B279" s="5"/>
      <c r="C279" s="16"/>
      <c r="E279" s="5"/>
    </row>
    <row r="280" spans="1:5" ht="12.5">
      <c r="A280" s="76"/>
      <c r="B280" s="5"/>
      <c r="C280" s="16"/>
      <c r="E280" s="5"/>
    </row>
    <row r="281" spans="1:5" ht="12.5">
      <c r="A281" s="76"/>
      <c r="B281" s="5"/>
      <c r="C281" s="16"/>
      <c r="E281" s="5"/>
    </row>
    <row r="282" spans="1:5" ht="12.5">
      <c r="A282" s="76"/>
      <c r="B282" s="5"/>
      <c r="C282" s="16"/>
      <c r="E282" s="5"/>
    </row>
    <row r="283" spans="1:5" ht="12.5">
      <c r="A283" s="76"/>
      <c r="B283" s="5"/>
      <c r="C283" s="16"/>
      <c r="E283" s="5"/>
    </row>
    <row r="284" spans="1:5" ht="12.5">
      <c r="A284" s="76"/>
      <c r="B284" s="5"/>
      <c r="C284" s="16"/>
      <c r="E284" s="5"/>
    </row>
    <row r="285" spans="1:5" ht="12.5">
      <c r="A285" s="76"/>
      <c r="B285" s="5"/>
      <c r="C285" s="16"/>
      <c r="E285" s="5"/>
    </row>
    <row r="286" spans="1:5" ht="12.5">
      <c r="A286" s="76"/>
      <c r="B286" s="5"/>
      <c r="C286" s="16"/>
      <c r="E286" s="5"/>
    </row>
    <row r="287" spans="1:5" ht="12.5">
      <c r="A287" s="76"/>
      <c r="B287" s="5"/>
      <c r="C287" s="16"/>
      <c r="E287" s="5"/>
    </row>
    <row r="288" spans="1:5" ht="12.5">
      <c r="A288" s="76"/>
      <c r="B288" s="5"/>
      <c r="C288" s="16"/>
      <c r="E288" s="5"/>
    </row>
    <row r="289" spans="1:5" ht="12.5">
      <c r="A289" s="76"/>
      <c r="B289" s="5"/>
      <c r="C289" s="16"/>
      <c r="E289" s="5"/>
    </row>
    <row r="290" spans="1:5" ht="12.5">
      <c r="A290" s="76"/>
      <c r="B290" s="5"/>
      <c r="C290" s="16"/>
      <c r="E290" s="5"/>
    </row>
    <row r="291" spans="1:5" ht="12.5">
      <c r="A291" s="76"/>
      <c r="B291" s="5"/>
      <c r="C291" s="16"/>
      <c r="E291" s="5"/>
    </row>
    <row r="292" spans="1:5" ht="12.5">
      <c r="A292" s="76"/>
      <c r="B292" s="5"/>
      <c r="C292" s="16"/>
      <c r="E292" s="5"/>
    </row>
    <row r="293" spans="1:5" ht="12.5">
      <c r="A293" s="76"/>
      <c r="B293" s="5"/>
      <c r="C293" s="16"/>
      <c r="E293" s="5"/>
    </row>
    <row r="294" spans="1:5" ht="12.5">
      <c r="A294" s="76"/>
      <c r="B294" s="5"/>
      <c r="C294" s="16"/>
      <c r="E294" s="5"/>
    </row>
    <row r="295" spans="1:5" ht="12.5">
      <c r="A295" s="76"/>
      <c r="B295" s="5"/>
      <c r="C295" s="16"/>
      <c r="E295" s="5"/>
    </row>
    <row r="296" spans="1:5" ht="12.5">
      <c r="A296" s="76"/>
      <c r="B296" s="5"/>
      <c r="C296" s="16"/>
      <c r="E296" s="5"/>
    </row>
    <row r="297" spans="1:5" ht="12.5">
      <c r="A297" s="76"/>
      <c r="B297" s="5"/>
      <c r="C297" s="16"/>
      <c r="E297" s="5"/>
    </row>
    <row r="298" spans="1:5" ht="12.5">
      <c r="A298" s="76"/>
      <c r="B298" s="5"/>
      <c r="C298" s="16"/>
      <c r="E298" s="5"/>
    </row>
    <row r="299" spans="1:5" ht="12.5">
      <c r="A299" s="76"/>
      <c r="B299" s="5"/>
      <c r="C299" s="16"/>
      <c r="E299" s="5"/>
    </row>
    <row r="300" spans="1:5" ht="12.5">
      <c r="A300" s="76"/>
      <c r="B300" s="5"/>
      <c r="C300" s="16"/>
      <c r="E300" s="5"/>
    </row>
    <row r="301" spans="1:5" ht="12.5">
      <c r="A301" s="76"/>
      <c r="B301" s="5"/>
      <c r="C301" s="16"/>
      <c r="E301" s="5"/>
    </row>
    <row r="302" spans="1:5" ht="12.5">
      <c r="A302" s="76"/>
      <c r="B302" s="5"/>
      <c r="C302" s="16"/>
      <c r="E302" s="5"/>
    </row>
    <row r="303" spans="1:5" ht="12.5">
      <c r="A303" s="76"/>
      <c r="B303" s="5"/>
      <c r="C303" s="16"/>
      <c r="E303" s="5"/>
    </row>
    <row r="304" spans="1:5" ht="12.5">
      <c r="A304" s="76"/>
      <c r="B304" s="5"/>
      <c r="C304" s="16"/>
      <c r="E304" s="5"/>
    </row>
    <row r="305" spans="1:5" ht="12.5">
      <c r="A305" s="76"/>
      <c r="B305" s="5"/>
      <c r="C305" s="16"/>
      <c r="E305" s="5"/>
    </row>
    <row r="306" spans="1:5" ht="12.5">
      <c r="A306" s="76"/>
      <c r="B306" s="5"/>
      <c r="C306" s="16"/>
      <c r="E306" s="5"/>
    </row>
    <row r="307" spans="1:5" ht="12.5">
      <c r="A307" s="76"/>
      <c r="B307" s="5"/>
      <c r="C307" s="16"/>
      <c r="E307" s="5"/>
    </row>
    <row r="308" spans="1:5" ht="12.5">
      <c r="A308" s="76"/>
      <c r="B308" s="5"/>
      <c r="C308" s="16"/>
      <c r="E308" s="5"/>
    </row>
    <row r="309" spans="1:5" ht="12.5">
      <c r="A309" s="76"/>
      <c r="B309" s="5"/>
      <c r="C309" s="16"/>
      <c r="E309" s="5"/>
    </row>
    <row r="310" spans="1:5" ht="12.5">
      <c r="A310" s="76"/>
      <c r="B310" s="5"/>
      <c r="C310" s="16"/>
      <c r="E310" s="5"/>
    </row>
    <row r="311" spans="1:5" ht="12.5">
      <c r="A311" s="76"/>
      <c r="B311" s="5"/>
      <c r="C311" s="16"/>
      <c r="E311" s="5"/>
    </row>
    <row r="312" spans="1:5" ht="12.5">
      <c r="A312" s="76"/>
      <c r="B312" s="5"/>
      <c r="C312" s="16"/>
      <c r="E312" s="5"/>
    </row>
    <row r="313" spans="1:5" ht="12.5">
      <c r="A313" s="76"/>
      <c r="B313" s="5"/>
      <c r="C313" s="16"/>
      <c r="E313" s="5"/>
    </row>
    <row r="314" spans="1:5" ht="12.5">
      <c r="A314" s="76"/>
      <c r="B314" s="5"/>
      <c r="C314" s="16"/>
      <c r="E314" s="5"/>
    </row>
    <row r="315" spans="1:5" ht="12.5">
      <c r="A315" s="76"/>
      <c r="B315" s="5"/>
      <c r="C315" s="16"/>
      <c r="E315" s="5"/>
    </row>
    <row r="316" spans="1:5" ht="12.5">
      <c r="A316" s="76"/>
      <c r="B316" s="5"/>
      <c r="C316" s="16"/>
      <c r="E316" s="5"/>
    </row>
    <row r="317" spans="1:5" ht="12.5">
      <c r="A317" s="76"/>
      <c r="B317" s="5"/>
      <c r="C317" s="16"/>
      <c r="E317" s="5"/>
    </row>
    <row r="318" spans="1:5" ht="12.5">
      <c r="A318" s="76"/>
      <c r="B318" s="5"/>
      <c r="C318" s="16"/>
      <c r="E318" s="5"/>
    </row>
    <row r="319" spans="1:5" ht="12.5">
      <c r="A319" s="76"/>
      <c r="B319" s="5"/>
      <c r="C319" s="16"/>
      <c r="E319" s="5"/>
    </row>
    <row r="320" spans="1:5" ht="12.5">
      <c r="A320" s="76"/>
      <c r="B320" s="5"/>
      <c r="C320" s="16"/>
      <c r="E320" s="5"/>
    </row>
    <row r="321" spans="1:5" ht="12.5">
      <c r="A321" s="76"/>
      <c r="B321" s="5"/>
      <c r="C321" s="16"/>
      <c r="E321" s="5"/>
    </row>
    <row r="322" spans="1:5" ht="12.5">
      <c r="A322" s="76"/>
      <c r="B322" s="5"/>
      <c r="C322" s="16"/>
      <c r="E322" s="5"/>
    </row>
    <row r="323" spans="1:5" ht="12.5">
      <c r="A323" s="76"/>
      <c r="B323" s="5"/>
      <c r="C323" s="16"/>
      <c r="E323" s="5"/>
    </row>
    <row r="324" spans="1:5" ht="12.5">
      <c r="A324" s="76"/>
      <c r="B324" s="5"/>
      <c r="C324" s="16"/>
      <c r="E324" s="5"/>
    </row>
    <row r="325" spans="1:5" ht="12.5">
      <c r="A325" s="76"/>
      <c r="B325" s="5"/>
      <c r="C325" s="16"/>
      <c r="E325" s="5"/>
    </row>
    <row r="326" spans="1:5" ht="12.5">
      <c r="A326" s="76"/>
      <c r="B326" s="5"/>
      <c r="C326" s="16"/>
      <c r="E326" s="5"/>
    </row>
    <row r="327" spans="1:5" ht="12.5">
      <c r="A327" s="76"/>
      <c r="B327" s="5"/>
      <c r="C327" s="16"/>
      <c r="E327" s="5"/>
    </row>
    <row r="328" spans="1:5" ht="12.5">
      <c r="A328" s="76"/>
      <c r="B328" s="5"/>
      <c r="C328" s="16"/>
      <c r="E328" s="5"/>
    </row>
    <row r="329" spans="1:5" ht="12.5">
      <c r="A329" s="76"/>
      <c r="B329" s="5"/>
      <c r="C329" s="16"/>
      <c r="E329" s="5"/>
    </row>
    <row r="330" spans="1:5" ht="12.5">
      <c r="A330" s="76"/>
      <c r="B330" s="5"/>
      <c r="C330" s="16"/>
      <c r="E330" s="5"/>
    </row>
    <row r="331" spans="1:5" ht="12.5">
      <c r="A331" s="76"/>
      <c r="B331" s="5"/>
      <c r="C331" s="16"/>
      <c r="E331" s="5"/>
    </row>
    <row r="332" spans="1:5" ht="12.5">
      <c r="A332" s="76"/>
      <c r="B332" s="5"/>
      <c r="C332" s="16"/>
      <c r="E332" s="5"/>
    </row>
    <row r="333" spans="1:5" ht="12.5">
      <c r="A333" s="76"/>
      <c r="B333" s="5"/>
      <c r="C333" s="16"/>
      <c r="E333" s="5"/>
    </row>
    <row r="334" spans="1:5" ht="12.5">
      <c r="A334" s="76"/>
      <c r="B334" s="5"/>
      <c r="C334" s="16"/>
      <c r="E334" s="5"/>
    </row>
    <row r="335" spans="1:5" ht="12.5">
      <c r="A335" s="76"/>
      <c r="B335" s="5"/>
      <c r="C335" s="16"/>
      <c r="E335" s="5"/>
    </row>
    <row r="336" spans="1:5" ht="12.5">
      <c r="A336" s="76"/>
      <c r="B336" s="5"/>
      <c r="C336" s="16"/>
      <c r="E336" s="5"/>
    </row>
    <row r="337" spans="1:5" ht="12.5">
      <c r="A337" s="76"/>
      <c r="B337" s="5"/>
      <c r="C337" s="16"/>
      <c r="E337" s="5"/>
    </row>
    <row r="338" spans="1:5" ht="12.5">
      <c r="A338" s="76"/>
      <c r="B338" s="5"/>
      <c r="C338" s="16"/>
      <c r="E338" s="5"/>
    </row>
    <row r="339" spans="1:5" ht="12.5">
      <c r="A339" s="76"/>
      <c r="B339" s="5"/>
      <c r="C339" s="16"/>
      <c r="E339" s="5"/>
    </row>
    <row r="340" spans="1:5" ht="12.5">
      <c r="A340" s="76"/>
      <c r="B340" s="5"/>
      <c r="C340" s="16"/>
      <c r="E340" s="5"/>
    </row>
    <row r="341" spans="1:5" ht="12.5">
      <c r="A341" s="76"/>
      <c r="B341" s="5"/>
      <c r="C341" s="16"/>
      <c r="E341" s="5"/>
    </row>
    <row r="342" spans="1:5" ht="12.5">
      <c r="A342" s="76"/>
      <c r="B342" s="5"/>
      <c r="C342" s="16"/>
      <c r="E342" s="5"/>
    </row>
    <row r="343" spans="1:5" ht="12.5">
      <c r="A343" s="76"/>
      <c r="B343" s="5"/>
      <c r="C343" s="16"/>
      <c r="E343" s="5"/>
    </row>
    <row r="344" spans="1:5" ht="12.5">
      <c r="A344" s="76"/>
      <c r="B344" s="5"/>
      <c r="C344" s="16"/>
      <c r="E344" s="5"/>
    </row>
    <row r="345" spans="1:5" ht="12.5">
      <c r="A345" s="76"/>
      <c r="B345" s="5"/>
      <c r="C345" s="16"/>
      <c r="E345" s="5"/>
    </row>
    <row r="346" spans="1:5" ht="12.5">
      <c r="A346" s="76"/>
      <c r="B346" s="5"/>
      <c r="C346" s="16"/>
      <c r="E346" s="5"/>
    </row>
    <row r="347" spans="1:5" ht="12.5">
      <c r="A347" s="76"/>
      <c r="B347" s="5"/>
      <c r="C347" s="16"/>
      <c r="E347" s="5"/>
    </row>
    <row r="348" spans="1:5" ht="12.5">
      <c r="A348" s="76"/>
      <c r="B348" s="5"/>
      <c r="C348" s="16"/>
      <c r="E348" s="5"/>
    </row>
    <row r="349" spans="1:5" ht="12.5">
      <c r="A349" s="76"/>
      <c r="B349" s="5"/>
      <c r="C349" s="16"/>
      <c r="E349" s="5"/>
    </row>
    <row r="350" spans="1:5" ht="12.5">
      <c r="A350" s="76"/>
      <c r="B350" s="5"/>
      <c r="C350" s="16"/>
      <c r="E350" s="5"/>
    </row>
    <row r="351" spans="1:5" ht="12.5">
      <c r="A351" s="76"/>
      <c r="B351" s="5"/>
      <c r="C351" s="16"/>
      <c r="E351" s="5"/>
    </row>
    <row r="352" spans="1:5" ht="12.5">
      <c r="A352" s="76"/>
      <c r="B352" s="5"/>
      <c r="C352" s="16"/>
      <c r="E352" s="5"/>
    </row>
    <row r="353" spans="1:5" ht="12.5">
      <c r="A353" s="76"/>
      <c r="B353" s="5"/>
      <c r="C353" s="16"/>
      <c r="E353" s="5"/>
    </row>
    <row r="354" spans="1:5" ht="12.5">
      <c r="A354" s="76"/>
      <c r="B354" s="5"/>
      <c r="C354" s="16"/>
      <c r="E354" s="5"/>
    </row>
    <row r="355" spans="1:5" ht="12.5">
      <c r="A355" s="76"/>
      <c r="B355" s="5"/>
      <c r="C355" s="16"/>
      <c r="E355" s="5"/>
    </row>
    <row r="356" spans="1:5" ht="12.5">
      <c r="A356" s="76"/>
      <c r="B356" s="5"/>
      <c r="C356" s="16"/>
      <c r="E356" s="5"/>
    </row>
    <row r="357" spans="1:5" ht="12.5">
      <c r="A357" s="76"/>
      <c r="B357" s="5"/>
      <c r="C357" s="16"/>
      <c r="E357" s="5"/>
    </row>
    <row r="358" spans="1:5" ht="12.5">
      <c r="A358" s="76"/>
      <c r="B358" s="5"/>
      <c r="C358" s="16"/>
      <c r="E358" s="5"/>
    </row>
    <row r="359" spans="1:5" ht="12.5">
      <c r="A359" s="76"/>
      <c r="B359" s="5"/>
      <c r="C359" s="16"/>
      <c r="E359" s="5"/>
    </row>
    <row r="360" spans="1:5" ht="12.5">
      <c r="A360" s="76"/>
      <c r="B360" s="5"/>
      <c r="C360" s="16"/>
      <c r="E360" s="5"/>
    </row>
    <row r="361" spans="1:5" ht="12.5">
      <c r="A361" s="76"/>
      <c r="B361" s="5"/>
      <c r="C361" s="16"/>
      <c r="E361" s="5"/>
    </row>
    <row r="362" spans="1:5" ht="12.5">
      <c r="A362" s="76"/>
      <c r="B362" s="5"/>
      <c r="C362" s="16"/>
      <c r="E362" s="5"/>
    </row>
    <row r="363" spans="1:5" ht="12.5">
      <c r="A363" s="76"/>
      <c r="B363" s="5"/>
      <c r="C363" s="16"/>
      <c r="E363" s="5"/>
    </row>
    <row r="364" spans="1:5" ht="12.5">
      <c r="A364" s="76"/>
      <c r="B364" s="5"/>
      <c r="C364" s="16"/>
      <c r="E364" s="5"/>
    </row>
    <row r="365" spans="1:5" ht="12.5">
      <c r="A365" s="76"/>
      <c r="B365" s="5"/>
      <c r="C365" s="16"/>
      <c r="E365" s="5"/>
    </row>
    <row r="366" spans="1:5" ht="12.5">
      <c r="A366" s="76"/>
      <c r="B366" s="5"/>
      <c r="C366" s="16"/>
      <c r="E366" s="5"/>
    </row>
    <row r="367" spans="1:5" ht="12.5">
      <c r="A367" s="76"/>
      <c r="B367" s="5"/>
      <c r="C367" s="16"/>
      <c r="E367" s="5"/>
    </row>
    <row r="368" spans="1:5" ht="12.5">
      <c r="A368" s="76"/>
      <c r="B368" s="5"/>
      <c r="C368" s="16"/>
      <c r="E368" s="5"/>
    </row>
    <row r="369" spans="1:5" ht="12.5">
      <c r="A369" s="76"/>
      <c r="B369" s="5"/>
      <c r="C369" s="16"/>
      <c r="E369" s="5"/>
    </row>
    <row r="370" spans="1:5" ht="12.5">
      <c r="A370" s="76"/>
      <c r="B370" s="5"/>
      <c r="C370" s="16"/>
      <c r="E370" s="5"/>
    </row>
    <row r="371" spans="1:5" ht="12.5">
      <c r="A371" s="76"/>
      <c r="B371" s="5"/>
      <c r="C371" s="16"/>
      <c r="E371" s="5"/>
    </row>
    <row r="372" spans="1:5" ht="12.5">
      <c r="A372" s="76"/>
      <c r="B372" s="5"/>
      <c r="C372" s="16"/>
      <c r="E372" s="5"/>
    </row>
    <row r="373" spans="1:5" ht="12.5">
      <c r="A373" s="76"/>
      <c r="B373" s="5"/>
      <c r="C373" s="16"/>
      <c r="E373" s="5"/>
    </row>
    <row r="374" spans="1:5" ht="12.5">
      <c r="A374" s="76"/>
      <c r="B374" s="5"/>
      <c r="C374" s="16"/>
      <c r="E374" s="5"/>
    </row>
    <row r="375" spans="1:5" ht="12.5">
      <c r="A375" s="76"/>
      <c r="B375" s="5"/>
      <c r="C375" s="16"/>
      <c r="E375" s="5"/>
    </row>
    <row r="376" spans="1:5" ht="12.5">
      <c r="A376" s="76"/>
      <c r="B376" s="5"/>
      <c r="C376" s="16"/>
      <c r="E376" s="5"/>
    </row>
    <row r="377" spans="1:5" ht="12.5">
      <c r="A377" s="76"/>
      <c r="B377" s="5"/>
      <c r="C377" s="16"/>
      <c r="E377" s="5"/>
    </row>
    <row r="378" spans="1:5" ht="12.5">
      <c r="A378" s="76"/>
      <c r="B378" s="5"/>
      <c r="C378" s="16"/>
      <c r="E378" s="5"/>
    </row>
    <row r="379" spans="1:5" ht="12.5">
      <c r="A379" s="76"/>
      <c r="B379" s="5"/>
      <c r="C379" s="16"/>
      <c r="E379" s="5"/>
    </row>
    <row r="380" spans="1:5" ht="12.5">
      <c r="A380" s="76"/>
      <c r="B380" s="5"/>
      <c r="C380" s="16"/>
      <c r="E380" s="5"/>
    </row>
    <row r="381" spans="1:5" ht="12.5">
      <c r="A381" s="76"/>
      <c r="B381" s="5"/>
      <c r="C381" s="16"/>
      <c r="E381" s="5"/>
    </row>
    <row r="382" spans="1:5" ht="12.5">
      <c r="A382" s="76"/>
      <c r="B382" s="5"/>
      <c r="C382" s="16"/>
      <c r="E382" s="5"/>
    </row>
    <row r="383" spans="1:5" ht="12.5">
      <c r="A383" s="76"/>
      <c r="B383" s="5"/>
      <c r="C383" s="16"/>
      <c r="E383" s="5"/>
    </row>
    <row r="384" spans="1:5" ht="12.5">
      <c r="A384" s="76"/>
      <c r="B384" s="5"/>
      <c r="C384" s="16"/>
      <c r="E384" s="5"/>
    </row>
    <row r="385" spans="1:5" ht="12.5">
      <c r="A385" s="76"/>
      <c r="B385" s="5"/>
      <c r="C385" s="16"/>
      <c r="E385" s="5"/>
    </row>
    <row r="386" spans="1:5" ht="12.5">
      <c r="A386" s="76"/>
      <c r="B386" s="5"/>
      <c r="C386" s="16"/>
      <c r="E386" s="5"/>
    </row>
    <row r="387" spans="1:5" ht="12.5">
      <c r="A387" s="76"/>
      <c r="B387" s="5"/>
      <c r="C387" s="16"/>
      <c r="E387" s="5"/>
    </row>
    <row r="388" spans="1:5" ht="12.5">
      <c r="A388" s="76"/>
      <c r="B388" s="5"/>
      <c r="C388" s="16"/>
      <c r="E388" s="5"/>
    </row>
    <row r="389" spans="1:5" ht="12.5">
      <c r="A389" s="76"/>
      <c r="B389" s="5"/>
      <c r="C389" s="16"/>
      <c r="E389" s="5"/>
    </row>
    <row r="390" spans="1:5" ht="12.5">
      <c r="A390" s="76"/>
      <c r="B390" s="5"/>
      <c r="C390" s="16"/>
      <c r="E390" s="5"/>
    </row>
    <row r="391" spans="1:5" ht="12.5">
      <c r="A391" s="76"/>
      <c r="B391" s="5"/>
      <c r="C391" s="16"/>
      <c r="E391" s="5"/>
    </row>
    <row r="392" spans="1:5" ht="12.5">
      <c r="A392" s="76"/>
      <c r="B392" s="5"/>
      <c r="C392" s="16"/>
      <c r="E392" s="5"/>
    </row>
    <row r="393" spans="1:5" ht="12.5">
      <c r="A393" s="76"/>
      <c r="B393" s="5"/>
      <c r="C393" s="16"/>
      <c r="E393" s="5"/>
    </row>
    <row r="394" spans="1:5" ht="12.5">
      <c r="A394" s="76"/>
      <c r="B394" s="5"/>
      <c r="C394" s="16"/>
      <c r="E394" s="5"/>
    </row>
    <row r="395" spans="1:5" ht="12.5">
      <c r="A395" s="76"/>
      <c r="B395" s="5"/>
      <c r="C395" s="16"/>
      <c r="E395" s="5"/>
    </row>
    <row r="396" spans="1:5" ht="12.5">
      <c r="A396" s="76"/>
      <c r="B396" s="5"/>
      <c r="C396" s="16"/>
      <c r="E396" s="5"/>
    </row>
    <row r="397" spans="1:5" ht="12.5">
      <c r="A397" s="76"/>
      <c r="B397" s="5"/>
      <c r="C397" s="16"/>
      <c r="E397" s="5"/>
    </row>
    <row r="398" spans="1:5" ht="12.5">
      <c r="A398" s="76"/>
      <c r="B398" s="5"/>
      <c r="C398" s="16"/>
      <c r="E398" s="5"/>
    </row>
    <row r="399" spans="1:5" ht="12.5">
      <c r="A399" s="76"/>
      <c r="B399" s="5"/>
      <c r="C399" s="16"/>
      <c r="E399" s="5"/>
    </row>
    <row r="400" spans="1:5" ht="12.5">
      <c r="A400" s="76"/>
      <c r="B400" s="5"/>
      <c r="C400" s="16"/>
      <c r="E400" s="5"/>
    </row>
    <row r="401" spans="1:5" ht="12.5">
      <c r="A401" s="76"/>
      <c r="B401" s="5"/>
      <c r="C401" s="16"/>
      <c r="E401" s="5"/>
    </row>
    <row r="402" spans="1:5" ht="12.5">
      <c r="A402" s="76"/>
      <c r="B402" s="5"/>
      <c r="C402" s="16"/>
      <c r="E402" s="5"/>
    </row>
    <row r="403" spans="1:5" ht="12.5">
      <c r="A403" s="76"/>
      <c r="B403" s="5"/>
      <c r="C403" s="16"/>
      <c r="E403" s="5"/>
    </row>
    <row r="404" spans="1:5" ht="12.5">
      <c r="A404" s="76"/>
      <c r="B404" s="5"/>
      <c r="C404" s="16"/>
      <c r="E404" s="5"/>
    </row>
    <row r="405" spans="1:5" ht="12.5">
      <c r="A405" s="76"/>
      <c r="B405" s="5"/>
      <c r="C405" s="16"/>
      <c r="E405" s="5"/>
    </row>
    <row r="406" spans="1:5" ht="12.5">
      <c r="A406" s="76"/>
      <c r="B406" s="5"/>
      <c r="C406" s="16"/>
      <c r="E406" s="5"/>
    </row>
    <row r="407" spans="1:5" ht="12.5">
      <c r="A407" s="76"/>
      <c r="B407" s="5"/>
      <c r="C407" s="16"/>
      <c r="E407" s="5"/>
    </row>
    <row r="408" spans="1:5" ht="12.5">
      <c r="A408" s="76"/>
      <c r="B408" s="5"/>
      <c r="C408" s="16"/>
      <c r="E408" s="5"/>
    </row>
    <row r="409" spans="1:5" ht="12.5">
      <c r="A409" s="76"/>
      <c r="B409" s="5"/>
      <c r="C409" s="16"/>
      <c r="E409" s="5"/>
    </row>
    <row r="410" spans="1:5" ht="12.5">
      <c r="A410" s="76"/>
      <c r="B410" s="5"/>
      <c r="C410" s="16"/>
      <c r="E410" s="5"/>
    </row>
    <row r="411" spans="1:5" ht="12.5">
      <c r="A411" s="76"/>
      <c r="B411" s="5"/>
      <c r="C411" s="16"/>
      <c r="E411" s="5"/>
    </row>
    <row r="412" spans="1:5" ht="12.5">
      <c r="A412" s="76"/>
      <c r="B412" s="5"/>
      <c r="C412" s="16"/>
      <c r="E412" s="5"/>
    </row>
    <row r="413" spans="1:5" ht="12.5">
      <c r="A413" s="76"/>
      <c r="B413" s="5"/>
      <c r="C413" s="16"/>
      <c r="E413" s="5"/>
    </row>
    <row r="414" spans="1:5" ht="12.5">
      <c r="A414" s="76"/>
      <c r="B414" s="5"/>
      <c r="C414" s="16"/>
      <c r="E414" s="5"/>
    </row>
    <row r="415" spans="1:5" ht="12.5">
      <c r="A415" s="76"/>
      <c r="B415" s="5"/>
      <c r="C415" s="16"/>
      <c r="E415" s="5"/>
    </row>
    <row r="416" spans="1:5" ht="12.5">
      <c r="A416" s="76"/>
      <c r="B416" s="5"/>
      <c r="C416" s="16"/>
      <c r="E416" s="5"/>
    </row>
    <row r="417" spans="1:5" ht="12.5">
      <c r="A417" s="76"/>
      <c r="B417" s="5"/>
      <c r="C417" s="16"/>
      <c r="E417" s="5"/>
    </row>
    <row r="418" spans="1:5" ht="12.5">
      <c r="A418" s="76"/>
      <c r="B418" s="5"/>
      <c r="C418" s="16"/>
      <c r="E418" s="5"/>
    </row>
    <row r="419" spans="1:5" ht="12.5">
      <c r="A419" s="76"/>
      <c r="B419" s="5"/>
      <c r="C419" s="16"/>
      <c r="E419" s="5"/>
    </row>
    <row r="420" spans="1:5" ht="12.5">
      <c r="A420" s="76"/>
      <c r="B420" s="5"/>
      <c r="C420" s="16"/>
      <c r="E420" s="5"/>
    </row>
    <row r="421" spans="1:5" ht="12.5">
      <c r="A421" s="76"/>
      <c r="B421" s="5"/>
      <c r="C421" s="16"/>
      <c r="E421" s="5"/>
    </row>
    <row r="422" spans="1:5" ht="12.5">
      <c r="A422" s="76"/>
      <c r="B422" s="5"/>
      <c r="C422" s="16"/>
      <c r="E422" s="5"/>
    </row>
    <row r="423" spans="1:5" ht="12.5">
      <c r="A423" s="76"/>
      <c r="B423" s="5"/>
      <c r="C423" s="16"/>
      <c r="E423" s="5"/>
    </row>
    <row r="424" spans="1:5" ht="12.5">
      <c r="A424" s="76"/>
      <c r="B424" s="5"/>
      <c r="C424" s="16"/>
      <c r="E424" s="5"/>
    </row>
    <row r="425" spans="1:5" ht="12.5">
      <c r="A425" s="76"/>
      <c r="B425" s="5"/>
      <c r="C425" s="16"/>
      <c r="E425" s="5"/>
    </row>
    <row r="426" spans="1:5" ht="12.5">
      <c r="A426" s="76"/>
      <c r="B426" s="5"/>
      <c r="C426" s="16"/>
      <c r="E426" s="5"/>
    </row>
    <row r="427" spans="1:5" ht="12.5">
      <c r="A427" s="76"/>
      <c r="B427" s="5"/>
      <c r="C427" s="16"/>
      <c r="E427" s="5"/>
    </row>
    <row r="428" spans="1:5" ht="12.5">
      <c r="A428" s="76"/>
      <c r="B428" s="5"/>
      <c r="C428" s="16"/>
      <c r="E428" s="5"/>
    </row>
    <row r="429" spans="1:5" ht="12.5">
      <c r="A429" s="76"/>
      <c r="B429" s="5"/>
      <c r="C429" s="16"/>
      <c r="E429" s="5"/>
    </row>
    <row r="430" spans="1:5" ht="12.5">
      <c r="A430" s="76"/>
      <c r="B430" s="5"/>
      <c r="C430" s="16"/>
      <c r="E430" s="5"/>
    </row>
    <row r="431" spans="1:5" ht="12.5">
      <c r="A431" s="76"/>
      <c r="B431" s="5"/>
      <c r="C431" s="16"/>
      <c r="E431" s="5"/>
    </row>
    <row r="432" spans="1:5" ht="12.5">
      <c r="A432" s="76"/>
      <c r="B432" s="5"/>
      <c r="C432" s="16"/>
      <c r="E432" s="5"/>
    </row>
    <row r="433" spans="1:5" ht="12.5">
      <c r="A433" s="76"/>
      <c r="B433" s="5"/>
      <c r="C433" s="16"/>
      <c r="E433" s="5"/>
    </row>
    <row r="434" spans="1:5" ht="12.5">
      <c r="A434" s="76"/>
      <c r="B434" s="5"/>
      <c r="C434" s="16"/>
      <c r="E434" s="5"/>
    </row>
    <row r="435" spans="1:5" ht="12.5">
      <c r="A435" s="76"/>
      <c r="B435" s="5"/>
      <c r="C435" s="16"/>
      <c r="E435" s="5"/>
    </row>
    <row r="436" spans="1:5" ht="12.5">
      <c r="A436" s="76"/>
      <c r="B436" s="5"/>
      <c r="C436" s="16"/>
      <c r="E436" s="5"/>
    </row>
    <row r="437" spans="1:5" ht="12.5">
      <c r="A437" s="76"/>
      <c r="B437" s="5"/>
      <c r="C437" s="16"/>
      <c r="E437" s="5"/>
    </row>
    <row r="438" spans="1:5" ht="12.5">
      <c r="A438" s="76"/>
      <c r="B438" s="5"/>
      <c r="C438" s="16"/>
      <c r="E438" s="5"/>
    </row>
    <row r="439" spans="1:5" ht="12.5">
      <c r="A439" s="76"/>
      <c r="B439" s="5"/>
      <c r="C439" s="16"/>
      <c r="E439" s="5"/>
    </row>
    <row r="440" spans="1:5" ht="12.5">
      <c r="A440" s="76"/>
      <c r="B440" s="5"/>
      <c r="C440" s="16"/>
      <c r="E440" s="5"/>
    </row>
    <row r="441" spans="1:5" ht="12.5">
      <c r="A441" s="76"/>
      <c r="B441" s="5"/>
      <c r="C441" s="16"/>
      <c r="E441" s="5"/>
    </row>
    <row r="442" spans="1:5" ht="12.5">
      <c r="A442" s="76"/>
      <c r="B442" s="5"/>
      <c r="C442" s="16"/>
      <c r="E442" s="5"/>
    </row>
    <row r="443" spans="1:5" ht="12.5">
      <c r="A443" s="76"/>
      <c r="B443" s="5"/>
      <c r="C443" s="16"/>
      <c r="E443" s="5"/>
    </row>
    <row r="444" spans="1:5" ht="12.5">
      <c r="A444" s="76"/>
      <c r="B444" s="5"/>
      <c r="C444" s="16"/>
      <c r="E444" s="5"/>
    </row>
    <row r="445" spans="1:5" ht="12.5">
      <c r="A445" s="76"/>
      <c r="B445" s="5"/>
      <c r="C445" s="16"/>
      <c r="E445" s="5"/>
    </row>
    <row r="446" spans="1:5" ht="12.5">
      <c r="A446" s="76"/>
      <c r="B446" s="5"/>
      <c r="C446" s="16"/>
      <c r="E446" s="5"/>
    </row>
    <row r="447" spans="1:5" ht="12.5">
      <c r="A447" s="76"/>
      <c r="B447" s="5"/>
      <c r="C447" s="16"/>
      <c r="E447" s="5"/>
    </row>
    <row r="448" spans="1:5" ht="12.5">
      <c r="A448" s="76"/>
      <c r="B448" s="5"/>
      <c r="C448" s="16"/>
      <c r="E448" s="5"/>
    </row>
    <row r="449" spans="1:5" ht="12.5">
      <c r="A449" s="76"/>
      <c r="B449" s="5"/>
      <c r="C449" s="16"/>
      <c r="E449" s="5"/>
    </row>
    <row r="450" spans="1:5" ht="12.5">
      <c r="A450" s="76"/>
      <c r="B450" s="5"/>
      <c r="C450" s="16"/>
      <c r="E450" s="5"/>
    </row>
    <row r="451" spans="1:5" ht="12.5">
      <c r="A451" s="76"/>
      <c r="B451" s="5"/>
      <c r="C451" s="16"/>
      <c r="E451" s="5"/>
    </row>
    <row r="452" spans="1:5" ht="12.5">
      <c r="A452" s="76"/>
      <c r="B452" s="5"/>
      <c r="C452" s="16"/>
      <c r="E452" s="5"/>
    </row>
    <row r="453" spans="1:5" ht="12.5">
      <c r="A453" s="76"/>
      <c r="B453" s="5"/>
      <c r="C453" s="16"/>
      <c r="E453" s="5"/>
    </row>
    <row r="454" spans="1:5" ht="12.5">
      <c r="A454" s="76"/>
      <c r="B454" s="5"/>
      <c r="C454" s="16"/>
      <c r="E454" s="5"/>
    </row>
    <row r="455" spans="1:5" ht="12.5">
      <c r="A455" s="76"/>
      <c r="B455" s="5"/>
      <c r="C455" s="16"/>
      <c r="E455" s="5"/>
    </row>
    <row r="456" spans="1:5" ht="12.5">
      <c r="A456" s="76"/>
      <c r="B456" s="5"/>
      <c r="C456" s="16"/>
      <c r="E456" s="5"/>
    </row>
    <row r="457" spans="1:5" ht="12.5">
      <c r="A457" s="76"/>
      <c r="B457" s="5"/>
      <c r="C457" s="16"/>
      <c r="E457" s="5"/>
    </row>
    <row r="458" spans="1:5" ht="12.5">
      <c r="A458" s="76"/>
      <c r="B458" s="5"/>
      <c r="C458" s="16"/>
      <c r="E458" s="5"/>
    </row>
    <row r="459" spans="1:5" ht="12.5">
      <c r="A459" s="76"/>
      <c r="B459" s="5"/>
      <c r="C459" s="16"/>
      <c r="E459" s="5"/>
    </row>
    <row r="460" spans="1:5" ht="12.5">
      <c r="A460" s="76"/>
      <c r="B460" s="5"/>
      <c r="C460" s="16"/>
      <c r="E460" s="5"/>
    </row>
    <row r="461" spans="1:5" ht="12.5">
      <c r="A461" s="76"/>
      <c r="B461" s="5"/>
      <c r="C461" s="16"/>
      <c r="E461" s="5"/>
    </row>
    <row r="462" spans="1:5" ht="12.5">
      <c r="A462" s="76"/>
      <c r="B462" s="5"/>
      <c r="C462" s="16"/>
      <c r="E462" s="5"/>
    </row>
    <row r="463" spans="1:5" ht="12.5">
      <c r="A463" s="76"/>
      <c r="B463" s="5"/>
      <c r="C463" s="16"/>
      <c r="E463" s="5"/>
    </row>
    <row r="464" spans="1:5" ht="12.5">
      <c r="A464" s="76"/>
      <c r="B464" s="5"/>
      <c r="C464" s="16"/>
      <c r="E464" s="5"/>
    </row>
    <row r="465" spans="1:5" ht="12.5">
      <c r="A465" s="76"/>
      <c r="B465" s="5"/>
      <c r="C465" s="16"/>
      <c r="E465" s="5"/>
    </row>
    <row r="466" spans="1:5" ht="12.5">
      <c r="A466" s="76"/>
      <c r="B466" s="5"/>
      <c r="C466" s="16"/>
      <c r="E466" s="5"/>
    </row>
    <row r="467" spans="1:5" ht="12.5">
      <c r="A467" s="76"/>
      <c r="B467" s="5"/>
      <c r="C467" s="16"/>
      <c r="E467" s="5"/>
    </row>
    <row r="468" spans="1:5" ht="12.5">
      <c r="A468" s="76"/>
      <c r="B468" s="5"/>
      <c r="C468" s="16"/>
      <c r="E468" s="5"/>
    </row>
    <row r="469" spans="1:5" ht="12.5">
      <c r="A469" s="76"/>
      <c r="B469" s="5"/>
      <c r="C469" s="16"/>
      <c r="E469" s="5"/>
    </row>
    <row r="470" spans="1:5" ht="12.5">
      <c r="A470" s="76"/>
      <c r="B470" s="5"/>
      <c r="C470" s="16"/>
      <c r="E470" s="5"/>
    </row>
    <row r="471" spans="1:5" ht="12.5">
      <c r="A471" s="76"/>
      <c r="B471" s="5"/>
      <c r="C471" s="16"/>
      <c r="E471" s="5"/>
    </row>
    <row r="472" spans="1:5" ht="12.5">
      <c r="A472" s="76"/>
      <c r="B472" s="5"/>
      <c r="C472" s="16"/>
      <c r="E472" s="5"/>
    </row>
    <row r="473" spans="1:5" ht="12.5">
      <c r="A473" s="76"/>
      <c r="B473" s="5"/>
      <c r="C473" s="16"/>
      <c r="E473" s="5"/>
    </row>
    <row r="474" spans="1:5" ht="12.5">
      <c r="A474" s="76"/>
      <c r="B474" s="5"/>
      <c r="C474" s="16"/>
      <c r="E474" s="5"/>
    </row>
    <row r="475" spans="1:5" ht="12.5">
      <c r="A475" s="76"/>
      <c r="B475" s="5"/>
      <c r="C475" s="16"/>
      <c r="E475" s="5"/>
    </row>
    <row r="476" spans="1:5" ht="12.5">
      <c r="A476" s="76"/>
      <c r="B476" s="5"/>
      <c r="C476" s="16"/>
      <c r="E476" s="5"/>
    </row>
    <row r="477" spans="1:5" ht="12.5">
      <c r="A477" s="76"/>
      <c r="B477" s="5"/>
      <c r="C477" s="16"/>
      <c r="E477" s="5"/>
    </row>
    <row r="478" spans="1:5" ht="12.5">
      <c r="A478" s="76"/>
      <c r="B478" s="5"/>
      <c r="C478" s="16"/>
      <c r="E478" s="5"/>
    </row>
    <row r="479" spans="1:5" ht="12.5">
      <c r="A479" s="76"/>
      <c r="B479" s="5"/>
      <c r="C479" s="16"/>
      <c r="E479" s="5"/>
    </row>
    <row r="480" spans="1:5" ht="12.5">
      <c r="A480" s="76"/>
      <c r="B480" s="5"/>
      <c r="C480" s="16"/>
      <c r="E480" s="5"/>
    </row>
    <row r="481" spans="1:5" ht="12.5">
      <c r="A481" s="76"/>
      <c r="B481" s="5"/>
      <c r="C481" s="16"/>
      <c r="E481" s="5"/>
    </row>
    <row r="482" spans="1:5" ht="12.5">
      <c r="A482" s="76"/>
      <c r="B482" s="5"/>
      <c r="C482" s="16"/>
      <c r="E482" s="5"/>
    </row>
    <row r="483" spans="1:5" ht="12.5">
      <c r="A483" s="76"/>
      <c r="B483" s="5"/>
      <c r="C483" s="16"/>
      <c r="E483" s="5"/>
    </row>
    <row r="484" spans="1:5" ht="12.5">
      <c r="A484" s="76"/>
      <c r="B484" s="5"/>
      <c r="C484" s="16"/>
      <c r="E484" s="5"/>
    </row>
    <row r="485" spans="1:5" ht="12.5">
      <c r="A485" s="76"/>
      <c r="B485" s="5"/>
      <c r="C485" s="16"/>
      <c r="E485" s="5"/>
    </row>
    <row r="486" spans="1:5" ht="12.5">
      <c r="A486" s="76"/>
      <c r="B486" s="5"/>
      <c r="C486" s="16"/>
      <c r="E486" s="5"/>
    </row>
    <row r="487" spans="1:5" ht="12.5">
      <c r="A487" s="76"/>
      <c r="B487" s="5"/>
      <c r="C487" s="16"/>
      <c r="E487" s="5"/>
    </row>
    <row r="488" spans="1:5" ht="12.5">
      <c r="A488" s="76"/>
      <c r="B488" s="5"/>
      <c r="C488" s="16"/>
      <c r="E488" s="5"/>
    </row>
    <row r="489" spans="1:5" ht="12.5">
      <c r="A489" s="76"/>
      <c r="B489" s="5"/>
      <c r="C489" s="16"/>
      <c r="E489" s="5"/>
    </row>
    <row r="490" spans="1:5" ht="12.5">
      <c r="A490" s="76"/>
      <c r="B490" s="5"/>
      <c r="C490" s="16"/>
      <c r="E490" s="5"/>
    </row>
    <row r="491" spans="1:5" ht="12.5">
      <c r="A491" s="76"/>
      <c r="B491" s="5"/>
      <c r="C491" s="16"/>
      <c r="E491" s="5"/>
    </row>
    <row r="492" spans="1:5" ht="12.5">
      <c r="A492" s="76"/>
      <c r="B492" s="5"/>
      <c r="C492" s="16"/>
      <c r="E492" s="5"/>
    </row>
    <row r="493" spans="1:5" ht="12.5">
      <c r="A493" s="76"/>
      <c r="B493" s="5"/>
      <c r="C493" s="16"/>
      <c r="E493" s="5"/>
    </row>
    <row r="494" spans="1:5" ht="12.5">
      <c r="A494" s="76"/>
      <c r="B494" s="5"/>
      <c r="C494" s="16"/>
      <c r="E494" s="5"/>
    </row>
    <row r="495" spans="1:5" ht="12.5">
      <c r="A495" s="76"/>
      <c r="B495" s="5"/>
      <c r="C495" s="16"/>
      <c r="E495" s="5"/>
    </row>
    <row r="496" spans="1:5" ht="12.5">
      <c r="A496" s="76"/>
      <c r="B496" s="5"/>
      <c r="C496" s="16"/>
      <c r="E496" s="5"/>
    </row>
    <row r="497" spans="1:5" ht="12.5">
      <c r="A497" s="76"/>
      <c r="B497" s="5"/>
      <c r="C497" s="16"/>
      <c r="E497" s="5"/>
    </row>
    <row r="498" spans="1:5" ht="12.5">
      <c r="A498" s="76"/>
      <c r="B498" s="5"/>
      <c r="C498" s="16"/>
      <c r="E498" s="5"/>
    </row>
    <row r="499" spans="1:5" ht="12.5">
      <c r="A499" s="76"/>
      <c r="B499" s="5"/>
      <c r="C499" s="16"/>
      <c r="E499" s="5"/>
    </row>
    <row r="500" spans="1:5" ht="12.5">
      <c r="A500" s="76"/>
      <c r="B500" s="5"/>
      <c r="C500" s="16"/>
      <c r="E500" s="5"/>
    </row>
    <row r="501" spans="1:5" ht="12.5">
      <c r="A501" s="76"/>
      <c r="B501" s="5"/>
      <c r="C501" s="16"/>
      <c r="E501" s="5"/>
    </row>
    <row r="502" spans="1:5" ht="12.5">
      <c r="A502" s="76"/>
      <c r="B502" s="5"/>
      <c r="C502" s="16"/>
      <c r="E502" s="5"/>
    </row>
    <row r="503" spans="1:5" ht="12.5">
      <c r="A503" s="76"/>
      <c r="B503" s="5"/>
      <c r="C503" s="16"/>
      <c r="E503" s="5"/>
    </row>
    <row r="504" spans="1:5" ht="12.5">
      <c r="A504" s="76"/>
      <c r="B504" s="5"/>
      <c r="C504" s="16"/>
      <c r="E504" s="5"/>
    </row>
    <row r="505" spans="1:5" ht="12.5">
      <c r="A505" s="76"/>
      <c r="B505" s="5"/>
      <c r="C505" s="16"/>
      <c r="E505" s="5"/>
    </row>
    <row r="506" spans="1:5" ht="12.5">
      <c r="A506" s="76"/>
      <c r="B506" s="5"/>
      <c r="C506" s="16"/>
      <c r="E506" s="5"/>
    </row>
    <row r="507" spans="1:5" ht="12.5">
      <c r="A507" s="76"/>
      <c r="B507" s="5"/>
      <c r="C507" s="16"/>
      <c r="E507" s="5"/>
    </row>
    <row r="508" spans="1:5" ht="12.5">
      <c r="A508" s="76"/>
      <c r="B508" s="5"/>
      <c r="C508" s="16"/>
      <c r="E508" s="5"/>
    </row>
    <row r="509" spans="1:5" ht="12.5">
      <c r="A509" s="76"/>
      <c r="B509" s="5"/>
      <c r="C509" s="16"/>
      <c r="E509" s="5"/>
    </row>
    <row r="510" spans="1:5" ht="12.5">
      <c r="A510" s="76"/>
      <c r="B510" s="5"/>
      <c r="C510" s="16"/>
      <c r="E510" s="5"/>
    </row>
    <row r="511" spans="1:5" ht="12.5">
      <c r="A511" s="76"/>
      <c r="B511" s="5"/>
      <c r="C511" s="16"/>
      <c r="E511" s="5"/>
    </row>
    <row r="512" spans="1:5" ht="12.5">
      <c r="A512" s="76"/>
      <c r="B512" s="5"/>
      <c r="C512" s="16"/>
      <c r="E512" s="5"/>
    </row>
    <row r="513" spans="1:5" ht="12.5">
      <c r="A513" s="76"/>
      <c r="B513" s="5"/>
      <c r="C513" s="16"/>
      <c r="E513" s="5"/>
    </row>
    <row r="514" spans="1:5" ht="12.5">
      <c r="A514" s="76"/>
      <c r="B514" s="5"/>
      <c r="C514" s="16"/>
      <c r="E514" s="5"/>
    </row>
    <row r="515" spans="1:5" ht="12.5">
      <c r="A515" s="76"/>
      <c r="B515" s="5"/>
      <c r="C515" s="16"/>
      <c r="E515" s="5"/>
    </row>
    <row r="516" spans="1:5" ht="12.5">
      <c r="A516" s="76"/>
      <c r="B516" s="5"/>
      <c r="C516" s="16"/>
      <c r="E516" s="5"/>
    </row>
    <row r="517" spans="1:5" ht="12.5">
      <c r="A517" s="76"/>
      <c r="B517" s="5"/>
      <c r="C517" s="16"/>
      <c r="E517" s="5"/>
    </row>
    <row r="518" spans="1:5" ht="12.5">
      <c r="A518" s="76"/>
      <c r="B518" s="5"/>
      <c r="C518" s="16"/>
      <c r="E518" s="5"/>
    </row>
    <row r="519" spans="1:5" ht="12.5">
      <c r="A519" s="76"/>
      <c r="B519" s="5"/>
      <c r="C519" s="16"/>
      <c r="E519" s="5"/>
    </row>
    <row r="520" spans="1:5" ht="12.5">
      <c r="A520" s="76"/>
      <c r="B520" s="5"/>
      <c r="C520" s="16"/>
      <c r="E520" s="5"/>
    </row>
    <row r="521" spans="1:5" ht="12.5">
      <c r="A521" s="76"/>
      <c r="B521" s="5"/>
      <c r="C521" s="16"/>
      <c r="E521" s="5"/>
    </row>
    <row r="522" spans="1:5" ht="12.5">
      <c r="A522" s="76"/>
      <c r="B522" s="5"/>
      <c r="C522" s="16"/>
      <c r="E522" s="5"/>
    </row>
    <row r="523" spans="1:5" ht="12.5">
      <c r="A523" s="76"/>
      <c r="B523" s="5"/>
      <c r="C523" s="16"/>
      <c r="E523" s="5"/>
    </row>
    <row r="524" spans="1:5" ht="12.5">
      <c r="A524" s="76"/>
      <c r="B524" s="5"/>
      <c r="C524" s="16"/>
      <c r="E524" s="5"/>
    </row>
    <row r="525" spans="1:5" ht="12.5">
      <c r="A525" s="76"/>
      <c r="B525" s="5"/>
      <c r="C525" s="16"/>
      <c r="E525" s="5"/>
    </row>
    <row r="526" spans="1:5" ht="12.5">
      <c r="A526" s="76"/>
      <c r="B526" s="5"/>
      <c r="C526" s="16"/>
      <c r="E526" s="5"/>
    </row>
    <row r="527" spans="1:5" ht="12.5">
      <c r="A527" s="76"/>
      <c r="B527" s="5"/>
      <c r="C527" s="16"/>
      <c r="E527" s="5"/>
    </row>
    <row r="528" spans="1:5" ht="12.5">
      <c r="A528" s="76"/>
      <c r="B528" s="5"/>
      <c r="C528" s="16"/>
      <c r="E528" s="5"/>
    </row>
    <row r="529" spans="1:5" ht="12.5">
      <c r="A529" s="76"/>
      <c r="B529" s="5"/>
      <c r="C529" s="16"/>
      <c r="E529" s="5"/>
    </row>
    <row r="530" spans="1:5" ht="12.5">
      <c r="A530" s="76"/>
      <c r="B530" s="5"/>
      <c r="C530" s="16"/>
      <c r="E530" s="5"/>
    </row>
    <row r="531" spans="1:5" ht="12.5">
      <c r="A531" s="76"/>
      <c r="B531" s="5"/>
      <c r="C531" s="16"/>
      <c r="E531" s="5"/>
    </row>
    <row r="532" spans="1:5" ht="12.5">
      <c r="A532" s="76"/>
      <c r="B532" s="5"/>
      <c r="C532" s="16"/>
      <c r="E532" s="5"/>
    </row>
    <row r="533" spans="1:5" ht="12.5">
      <c r="A533" s="76"/>
      <c r="B533" s="5"/>
      <c r="C533" s="16"/>
      <c r="E533" s="5"/>
    </row>
    <row r="534" spans="1:5" ht="12.5">
      <c r="A534" s="76"/>
      <c r="B534" s="5"/>
      <c r="C534" s="16"/>
      <c r="E534" s="5"/>
    </row>
    <row r="535" spans="1:5" ht="12.5">
      <c r="A535" s="76"/>
      <c r="B535" s="5"/>
      <c r="C535" s="16"/>
      <c r="E535" s="5"/>
    </row>
    <row r="536" spans="1:5" ht="12.5">
      <c r="A536" s="76"/>
      <c r="B536" s="5"/>
      <c r="C536" s="16"/>
      <c r="E536" s="5"/>
    </row>
    <row r="537" spans="1:5" ht="12.5">
      <c r="A537" s="76"/>
      <c r="B537" s="5"/>
      <c r="C537" s="16"/>
      <c r="E537" s="5"/>
    </row>
    <row r="538" spans="1:5" ht="12.5">
      <c r="A538" s="76"/>
      <c r="B538" s="5"/>
      <c r="C538" s="16"/>
      <c r="E538" s="5"/>
    </row>
    <row r="539" spans="1:5" ht="12.5">
      <c r="A539" s="76"/>
      <c r="B539" s="5"/>
      <c r="C539" s="16"/>
      <c r="E539" s="5"/>
    </row>
    <row r="540" spans="1:5" ht="12.5">
      <c r="A540" s="76"/>
      <c r="B540" s="5"/>
      <c r="C540" s="16"/>
      <c r="E540" s="5"/>
    </row>
    <row r="541" spans="1:5" ht="12.5">
      <c r="A541" s="76"/>
      <c r="B541" s="5"/>
      <c r="C541" s="16"/>
      <c r="E541" s="5"/>
    </row>
    <row r="542" spans="1:5" ht="12.5">
      <c r="A542" s="76"/>
      <c r="B542" s="5"/>
      <c r="C542" s="16"/>
      <c r="E542" s="5"/>
    </row>
    <row r="543" spans="1:5" ht="12.5">
      <c r="A543" s="76"/>
      <c r="B543" s="5"/>
      <c r="C543" s="16"/>
      <c r="E543" s="5"/>
    </row>
    <row r="544" spans="1:5" ht="12.5">
      <c r="A544" s="76"/>
      <c r="B544" s="5"/>
      <c r="C544" s="16"/>
      <c r="E544" s="5"/>
    </row>
    <row r="545" spans="1:5" ht="12.5">
      <c r="A545" s="76"/>
      <c r="B545" s="5"/>
      <c r="C545" s="16"/>
      <c r="E545" s="5"/>
    </row>
    <row r="546" spans="1:5" ht="12.5">
      <c r="A546" s="76"/>
      <c r="B546" s="5"/>
      <c r="C546" s="16"/>
      <c r="E546" s="5"/>
    </row>
    <row r="547" spans="1:5" ht="12.5">
      <c r="A547" s="76"/>
      <c r="B547" s="5"/>
      <c r="C547" s="16"/>
      <c r="E547" s="5"/>
    </row>
    <row r="548" spans="1:5" ht="12.5">
      <c r="A548" s="76"/>
      <c r="B548" s="5"/>
      <c r="C548" s="16"/>
      <c r="E548" s="5"/>
    </row>
    <row r="549" spans="1:5" ht="12.5">
      <c r="A549" s="76"/>
      <c r="B549" s="5"/>
      <c r="C549" s="16"/>
      <c r="E549" s="5"/>
    </row>
    <row r="550" spans="1:5" ht="12.5">
      <c r="A550" s="76"/>
      <c r="B550" s="5"/>
      <c r="C550" s="16"/>
      <c r="E550" s="5"/>
    </row>
    <row r="551" spans="1:5" ht="12.5">
      <c r="A551" s="76"/>
      <c r="B551" s="5"/>
      <c r="C551" s="16"/>
      <c r="E551" s="5"/>
    </row>
    <row r="552" spans="1:5" ht="12.5">
      <c r="A552" s="76"/>
      <c r="B552" s="5"/>
      <c r="C552" s="16"/>
      <c r="E552" s="5"/>
    </row>
    <row r="553" spans="1:5" ht="12.5">
      <c r="A553" s="76"/>
      <c r="B553" s="5"/>
      <c r="C553" s="16"/>
      <c r="E553" s="5"/>
    </row>
    <row r="554" spans="1:5" ht="12.5">
      <c r="A554" s="76"/>
      <c r="B554" s="5"/>
      <c r="C554" s="16"/>
      <c r="E554" s="5"/>
    </row>
    <row r="555" spans="1:5" ht="12.5">
      <c r="A555" s="76"/>
      <c r="B555" s="5"/>
      <c r="C555" s="16"/>
      <c r="E555" s="5"/>
    </row>
    <row r="556" spans="1:5" ht="12.5">
      <c r="A556" s="76"/>
      <c r="B556" s="5"/>
      <c r="C556" s="16"/>
      <c r="E556" s="5"/>
    </row>
    <row r="557" spans="1:5" ht="12.5">
      <c r="A557" s="76"/>
      <c r="B557" s="5"/>
      <c r="C557" s="16"/>
      <c r="E557" s="5"/>
    </row>
    <row r="558" spans="1:5" ht="12.5">
      <c r="A558" s="76"/>
      <c r="B558" s="5"/>
      <c r="C558" s="16"/>
      <c r="E558" s="5"/>
    </row>
    <row r="559" spans="1:5" ht="12.5">
      <c r="A559" s="76"/>
      <c r="B559" s="5"/>
      <c r="C559" s="16"/>
      <c r="E559" s="5"/>
    </row>
    <row r="560" spans="1:5" ht="12.5">
      <c r="A560" s="76"/>
      <c r="B560" s="5"/>
      <c r="C560" s="16"/>
      <c r="E560" s="5"/>
    </row>
    <row r="561" spans="1:5" ht="12.5">
      <c r="A561" s="76"/>
      <c r="B561" s="5"/>
      <c r="C561" s="16"/>
      <c r="E561" s="5"/>
    </row>
    <row r="562" spans="1:5" ht="12.5">
      <c r="A562" s="76"/>
      <c r="B562" s="5"/>
      <c r="C562" s="16"/>
      <c r="E562" s="5"/>
    </row>
    <row r="563" spans="1:5" ht="12.5">
      <c r="A563" s="76"/>
      <c r="B563" s="5"/>
      <c r="C563" s="16"/>
      <c r="E563" s="5"/>
    </row>
    <row r="564" spans="1:5" ht="12.5">
      <c r="A564" s="76"/>
      <c r="B564" s="5"/>
      <c r="C564" s="16"/>
      <c r="E564" s="5"/>
    </row>
    <row r="565" spans="1:5" ht="12.5">
      <c r="A565" s="76"/>
      <c r="B565" s="5"/>
      <c r="C565" s="16"/>
      <c r="E565" s="5"/>
    </row>
    <row r="566" spans="1:5" ht="12.5">
      <c r="A566" s="76"/>
      <c r="B566" s="5"/>
      <c r="C566" s="16"/>
      <c r="E566" s="5"/>
    </row>
    <row r="567" spans="1:5" ht="12.5">
      <c r="A567" s="76"/>
      <c r="B567" s="5"/>
      <c r="C567" s="16"/>
      <c r="E567" s="5"/>
    </row>
    <row r="568" spans="1:5" ht="12.5">
      <c r="A568" s="76"/>
      <c r="B568" s="5"/>
      <c r="C568" s="16"/>
      <c r="E568" s="5"/>
    </row>
    <row r="569" spans="1:5" ht="12.5">
      <c r="A569" s="76"/>
      <c r="B569" s="5"/>
      <c r="C569" s="16"/>
      <c r="E569" s="5"/>
    </row>
    <row r="570" spans="1:5" ht="12.5">
      <c r="A570" s="76"/>
      <c r="B570" s="5"/>
      <c r="C570" s="16"/>
      <c r="E570" s="5"/>
    </row>
    <row r="571" spans="1:5" ht="12.5">
      <c r="A571" s="76"/>
      <c r="B571" s="5"/>
      <c r="C571" s="16"/>
      <c r="E571" s="5"/>
    </row>
    <row r="572" spans="1:5" ht="12.5">
      <c r="A572" s="76"/>
      <c r="B572" s="5"/>
      <c r="C572" s="16"/>
      <c r="E572" s="5"/>
    </row>
    <row r="573" spans="1:5" ht="12.5">
      <c r="A573" s="76"/>
      <c r="B573" s="5"/>
      <c r="C573" s="16"/>
      <c r="E573" s="5"/>
    </row>
    <row r="574" spans="1:5" ht="12.5">
      <c r="A574" s="76"/>
      <c r="B574" s="5"/>
      <c r="C574" s="16"/>
      <c r="E574" s="5"/>
    </row>
    <row r="575" spans="1:5" ht="12.5">
      <c r="A575" s="76"/>
      <c r="B575" s="5"/>
      <c r="C575" s="16"/>
      <c r="E575" s="5"/>
    </row>
    <row r="576" spans="1:5" ht="12.5">
      <c r="A576" s="76"/>
      <c r="B576" s="5"/>
      <c r="C576" s="16"/>
      <c r="E576" s="5"/>
    </row>
    <row r="577" spans="1:5" ht="12.5">
      <c r="A577" s="76"/>
      <c r="B577" s="5"/>
      <c r="C577" s="16"/>
      <c r="E577" s="5"/>
    </row>
    <row r="578" spans="1:5" ht="12.5">
      <c r="A578" s="76"/>
      <c r="B578" s="5"/>
      <c r="C578" s="16"/>
      <c r="E578" s="5"/>
    </row>
    <row r="579" spans="1:5" ht="12.5">
      <c r="A579" s="76"/>
      <c r="B579" s="5"/>
      <c r="C579" s="16"/>
      <c r="E579" s="5"/>
    </row>
    <row r="580" spans="1:5" ht="12.5">
      <c r="A580" s="76"/>
      <c r="B580" s="5"/>
      <c r="C580" s="16"/>
      <c r="E580" s="5"/>
    </row>
    <row r="581" spans="1:5" ht="12.5">
      <c r="A581" s="76"/>
      <c r="B581" s="5"/>
      <c r="C581" s="16"/>
      <c r="E581" s="5"/>
    </row>
    <row r="582" spans="1:5" ht="12.5">
      <c r="A582" s="76"/>
      <c r="B582" s="5"/>
      <c r="C582" s="16"/>
      <c r="E582" s="5"/>
    </row>
    <row r="583" spans="1:5" ht="12.5">
      <c r="A583" s="76"/>
      <c r="B583" s="5"/>
      <c r="C583" s="16"/>
      <c r="E583" s="5"/>
    </row>
    <row r="584" spans="1:5" ht="12.5">
      <c r="A584" s="76"/>
      <c r="B584" s="5"/>
      <c r="C584" s="16"/>
      <c r="E584" s="5"/>
    </row>
    <row r="585" spans="1:5" ht="12.5">
      <c r="A585" s="76"/>
      <c r="B585" s="5"/>
      <c r="C585" s="16"/>
      <c r="E585" s="5"/>
    </row>
    <row r="586" spans="1:5" ht="12.5">
      <c r="A586" s="76"/>
      <c r="B586" s="5"/>
      <c r="C586" s="16"/>
      <c r="E586" s="5"/>
    </row>
    <row r="587" spans="1:5" ht="12.5">
      <c r="A587" s="76"/>
      <c r="B587" s="5"/>
      <c r="C587" s="16"/>
      <c r="E587" s="5"/>
    </row>
    <row r="588" spans="1:5" ht="12.5">
      <c r="A588" s="76"/>
      <c r="B588" s="5"/>
      <c r="C588" s="16"/>
      <c r="E588" s="5"/>
    </row>
    <row r="589" spans="1:5" ht="12.5">
      <c r="A589" s="76"/>
      <c r="B589" s="5"/>
      <c r="C589" s="16"/>
      <c r="E589" s="5"/>
    </row>
    <row r="590" spans="1:5" ht="12.5">
      <c r="A590" s="76"/>
      <c r="B590" s="5"/>
      <c r="C590" s="16"/>
      <c r="E590" s="5"/>
    </row>
    <row r="591" spans="1:5" ht="12.5">
      <c r="A591" s="76"/>
      <c r="B591" s="5"/>
      <c r="C591" s="16"/>
      <c r="E591" s="5"/>
    </row>
    <row r="592" spans="1:5" ht="12.5">
      <c r="A592" s="76"/>
      <c r="B592" s="5"/>
      <c r="C592" s="16"/>
      <c r="E592" s="5"/>
    </row>
    <row r="593" spans="1:5" ht="12.5">
      <c r="A593" s="76"/>
      <c r="B593" s="5"/>
      <c r="C593" s="16"/>
      <c r="E593" s="5"/>
    </row>
    <row r="594" spans="1:5" ht="12.5">
      <c r="A594" s="76"/>
      <c r="B594" s="5"/>
      <c r="C594" s="16"/>
      <c r="E594" s="5"/>
    </row>
    <row r="595" spans="1:5" ht="12.5">
      <c r="A595" s="76"/>
      <c r="B595" s="5"/>
      <c r="C595" s="16"/>
      <c r="E595" s="5"/>
    </row>
    <row r="596" spans="1:5" ht="12.5">
      <c r="A596" s="76"/>
      <c r="B596" s="5"/>
      <c r="C596" s="16"/>
      <c r="E596" s="5"/>
    </row>
    <row r="597" spans="1:5" ht="12.5">
      <c r="A597" s="76"/>
      <c r="B597" s="5"/>
      <c r="C597" s="16"/>
      <c r="E597" s="5"/>
    </row>
    <row r="598" spans="1:5" ht="12.5">
      <c r="A598" s="76"/>
      <c r="B598" s="5"/>
      <c r="C598" s="16"/>
      <c r="E598" s="5"/>
    </row>
    <row r="599" spans="1:5" ht="12.5">
      <c r="A599" s="76"/>
      <c r="B599" s="5"/>
      <c r="C599" s="16"/>
      <c r="E599" s="5"/>
    </row>
    <row r="600" spans="1:5" ht="12.5">
      <c r="A600" s="76"/>
      <c r="B600" s="5"/>
      <c r="C600" s="16"/>
      <c r="E600" s="5"/>
    </row>
    <row r="601" spans="1:5" ht="12.5">
      <c r="A601" s="76"/>
      <c r="B601" s="5"/>
      <c r="C601" s="16"/>
      <c r="E601" s="5"/>
    </row>
    <row r="602" spans="1:5" ht="12.5">
      <c r="A602" s="76"/>
      <c r="B602" s="5"/>
      <c r="C602" s="16"/>
      <c r="E602" s="5"/>
    </row>
    <row r="603" spans="1:5" ht="12.5">
      <c r="A603" s="76"/>
      <c r="B603" s="5"/>
      <c r="C603" s="16"/>
      <c r="E603" s="5"/>
    </row>
    <row r="604" spans="1:5" ht="12.5">
      <c r="A604" s="76"/>
      <c r="B604" s="5"/>
      <c r="C604" s="16"/>
      <c r="E604" s="5"/>
    </row>
    <row r="605" spans="1:5" ht="12.5">
      <c r="A605" s="76"/>
      <c r="B605" s="5"/>
      <c r="C605" s="16"/>
      <c r="E605" s="5"/>
    </row>
    <row r="606" spans="1:5" ht="12.5">
      <c r="A606" s="76"/>
      <c r="B606" s="5"/>
      <c r="C606" s="16"/>
      <c r="E606" s="5"/>
    </row>
    <row r="607" spans="1:5" ht="12.5">
      <c r="A607" s="76"/>
      <c r="B607" s="5"/>
      <c r="C607" s="16"/>
      <c r="E607" s="5"/>
    </row>
    <row r="608" spans="1:5" ht="12.5">
      <c r="A608" s="76"/>
      <c r="B608" s="5"/>
      <c r="C608" s="16"/>
      <c r="E608" s="5"/>
    </row>
    <row r="609" spans="1:5" ht="12.5">
      <c r="A609" s="76"/>
      <c r="B609" s="5"/>
      <c r="C609" s="16"/>
      <c r="E609" s="5"/>
    </row>
    <row r="610" spans="1:5" ht="12.5">
      <c r="A610" s="76"/>
      <c r="B610" s="5"/>
      <c r="C610" s="16"/>
      <c r="E610" s="5"/>
    </row>
    <row r="611" spans="1:5" ht="12.5">
      <c r="A611" s="76"/>
      <c r="B611" s="5"/>
      <c r="C611" s="16"/>
      <c r="E611" s="5"/>
    </row>
    <row r="612" spans="1:5" ht="12.5">
      <c r="A612" s="76"/>
      <c r="B612" s="5"/>
      <c r="C612" s="16"/>
      <c r="E612" s="5"/>
    </row>
    <row r="613" spans="1:5" ht="12.5">
      <c r="A613" s="76"/>
      <c r="B613" s="5"/>
      <c r="C613" s="16"/>
      <c r="E613" s="5"/>
    </row>
    <row r="614" spans="1:5" ht="12.5">
      <c r="A614" s="76"/>
      <c r="B614" s="5"/>
      <c r="C614" s="16"/>
      <c r="E614" s="5"/>
    </row>
    <row r="615" spans="1:5" ht="12.5">
      <c r="A615" s="76"/>
      <c r="B615" s="5"/>
      <c r="C615" s="16"/>
      <c r="E615" s="5"/>
    </row>
    <row r="616" spans="1:5" ht="12.5">
      <c r="A616" s="76"/>
      <c r="B616" s="5"/>
      <c r="C616" s="16"/>
      <c r="E616" s="5"/>
    </row>
    <row r="617" spans="1:5" ht="12.5">
      <c r="A617" s="76"/>
      <c r="B617" s="5"/>
      <c r="C617" s="16"/>
      <c r="E617" s="5"/>
    </row>
    <row r="618" spans="1:5" ht="12.5">
      <c r="A618" s="76"/>
      <c r="B618" s="5"/>
      <c r="C618" s="16"/>
      <c r="E618" s="5"/>
    </row>
    <row r="619" spans="1:5" ht="12.5">
      <c r="A619" s="76"/>
      <c r="B619" s="5"/>
      <c r="C619" s="16"/>
      <c r="E619" s="5"/>
    </row>
    <row r="620" spans="1:5" ht="12.5">
      <c r="A620" s="76"/>
      <c r="B620" s="5"/>
      <c r="C620" s="16"/>
      <c r="E620" s="5"/>
    </row>
    <row r="621" spans="1:5" ht="12.5">
      <c r="A621" s="76"/>
      <c r="B621" s="5"/>
      <c r="C621" s="16"/>
      <c r="E621" s="5"/>
    </row>
    <row r="622" spans="1:5" ht="12.5">
      <c r="A622" s="76"/>
      <c r="B622" s="5"/>
      <c r="C622" s="16"/>
      <c r="E622" s="5"/>
    </row>
    <row r="623" spans="1:5" ht="12.5">
      <c r="A623" s="76"/>
      <c r="B623" s="5"/>
      <c r="C623" s="16"/>
      <c r="E623" s="5"/>
    </row>
    <row r="624" spans="1:5" ht="12.5">
      <c r="A624" s="76"/>
      <c r="B624" s="5"/>
      <c r="C624" s="16"/>
      <c r="E624" s="5"/>
    </row>
    <row r="625" spans="1:5" ht="12.5">
      <c r="A625" s="76"/>
      <c r="B625" s="5"/>
      <c r="C625" s="16"/>
      <c r="E625" s="5"/>
    </row>
    <row r="626" spans="1:5" ht="12.5">
      <c r="A626" s="76"/>
      <c r="B626" s="5"/>
      <c r="C626" s="16"/>
      <c r="E626" s="5"/>
    </row>
    <row r="627" spans="1:5" ht="12.5">
      <c r="A627" s="76"/>
      <c r="B627" s="5"/>
      <c r="C627" s="16"/>
      <c r="E627" s="5"/>
    </row>
    <row r="628" spans="1:5" ht="12.5">
      <c r="A628" s="76"/>
      <c r="B628" s="5"/>
      <c r="C628" s="16"/>
      <c r="E628" s="5"/>
    </row>
    <row r="629" spans="1:5" ht="12.5">
      <c r="A629" s="76"/>
      <c r="B629" s="5"/>
      <c r="C629" s="16"/>
      <c r="E629" s="5"/>
    </row>
    <row r="630" spans="1:5" ht="12.5">
      <c r="A630" s="76"/>
      <c r="B630" s="5"/>
      <c r="C630" s="16"/>
      <c r="E630" s="5"/>
    </row>
    <row r="631" spans="1:5" ht="12.5">
      <c r="A631" s="76"/>
      <c r="B631" s="5"/>
      <c r="C631" s="16"/>
      <c r="E631" s="5"/>
    </row>
    <row r="632" spans="1:5" ht="12.5">
      <c r="A632" s="76"/>
      <c r="B632" s="5"/>
      <c r="C632" s="16"/>
      <c r="E632" s="5"/>
    </row>
    <row r="633" spans="1:5" ht="12.5">
      <c r="A633" s="76"/>
      <c r="B633" s="5"/>
      <c r="C633" s="16"/>
      <c r="E633" s="5"/>
    </row>
    <row r="634" spans="1:5" ht="12.5">
      <c r="A634" s="76"/>
      <c r="B634" s="5"/>
      <c r="C634" s="16"/>
      <c r="E634" s="5"/>
    </row>
    <row r="635" spans="1:5" ht="12.5">
      <c r="A635" s="76"/>
      <c r="B635" s="5"/>
      <c r="C635" s="16"/>
      <c r="E635" s="5"/>
    </row>
    <row r="636" spans="1:5" ht="12.5">
      <c r="A636" s="76"/>
      <c r="B636" s="5"/>
      <c r="C636" s="16"/>
      <c r="E636" s="5"/>
    </row>
    <row r="637" spans="1:5" ht="12.5">
      <c r="A637" s="76"/>
      <c r="B637" s="5"/>
      <c r="C637" s="16"/>
      <c r="E637" s="5"/>
    </row>
    <row r="638" spans="1:5" ht="12.5">
      <c r="A638" s="76"/>
      <c r="B638" s="5"/>
      <c r="C638" s="16"/>
      <c r="E638" s="5"/>
    </row>
    <row r="639" spans="1:5" ht="12.5">
      <c r="A639" s="76"/>
      <c r="B639" s="5"/>
      <c r="C639" s="16"/>
      <c r="E639" s="5"/>
    </row>
    <row r="640" spans="1:5" ht="12.5">
      <c r="A640" s="76"/>
      <c r="B640" s="5"/>
      <c r="C640" s="16"/>
      <c r="E640" s="5"/>
    </row>
    <row r="641" spans="1:5" ht="12.5">
      <c r="A641" s="76"/>
      <c r="B641" s="5"/>
      <c r="C641" s="16"/>
      <c r="E641" s="5"/>
    </row>
    <row r="642" spans="1:5" ht="12.5">
      <c r="A642" s="76"/>
      <c r="B642" s="5"/>
      <c r="C642" s="16"/>
      <c r="E642" s="5"/>
    </row>
    <row r="643" spans="1:5" ht="12.5">
      <c r="A643" s="76"/>
      <c r="B643" s="5"/>
      <c r="C643" s="16"/>
      <c r="E643" s="5"/>
    </row>
    <row r="644" spans="1:5" ht="12.5">
      <c r="A644" s="76"/>
      <c r="B644" s="5"/>
      <c r="C644" s="16"/>
      <c r="E644" s="5"/>
    </row>
    <row r="645" spans="1:5" ht="12.5">
      <c r="A645" s="76"/>
      <c r="B645" s="5"/>
      <c r="C645" s="16"/>
      <c r="E645" s="5"/>
    </row>
    <row r="646" spans="1:5" ht="12.5">
      <c r="A646" s="76"/>
      <c r="B646" s="5"/>
      <c r="C646" s="16"/>
      <c r="E646" s="5"/>
    </row>
    <row r="647" spans="1:5" ht="12.5">
      <c r="A647" s="76"/>
      <c r="B647" s="5"/>
      <c r="C647" s="16"/>
      <c r="E647" s="5"/>
    </row>
    <row r="648" spans="1:5" ht="12.5">
      <c r="A648" s="76"/>
      <c r="B648" s="5"/>
      <c r="C648" s="16"/>
      <c r="E648" s="5"/>
    </row>
    <row r="649" spans="1:5" ht="12.5">
      <c r="A649" s="76"/>
      <c r="B649" s="5"/>
      <c r="C649" s="16"/>
      <c r="E649" s="5"/>
    </row>
    <row r="650" spans="1:5" ht="12.5">
      <c r="A650" s="76"/>
      <c r="B650" s="5"/>
      <c r="C650" s="16"/>
      <c r="E650" s="5"/>
    </row>
    <row r="651" spans="1:5" ht="12.5">
      <c r="A651" s="76"/>
      <c r="B651" s="5"/>
      <c r="C651" s="16"/>
      <c r="E651" s="5"/>
    </row>
    <row r="652" spans="1:5" ht="12.5">
      <c r="A652" s="76"/>
      <c r="B652" s="5"/>
      <c r="C652" s="16"/>
      <c r="E652" s="5"/>
    </row>
    <row r="653" spans="1:5" ht="12.5">
      <c r="A653" s="76"/>
      <c r="B653" s="5"/>
      <c r="C653" s="16"/>
      <c r="E653" s="5"/>
    </row>
    <row r="654" spans="1:5" ht="12.5">
      <c r="A654" s="76"/>
      <c r="B654" s="5"/>
      <c r="C654" s="16"/>
      <c r="E654" s="5"/>
    </row>
    <row r="655" spans="1:5" ht="12.5">
      <c r="A655" s="76"/>
      <c r="B655" s="5"/>
      <c r="C655" s="16"/>
      <c r="E655" s="5"/>
    </row>
    <row r="656" spans="1:5" ht="12.5">
      <c r="A656" s="76"/>
      <c r="B656" s="5"/>
      <c r="C656" s="16"/>
      <c r="E656" s="5"/>
    </row>
    <row r="657" spans="1:5" ht="12.5">
      <c r="A657" s="76"/>
      <c r="B657" s="5"/>
      <c r="C657" s="16"/>
      <c r="E657" s="5"/>
    </row>
    <row r="658" spans="1:5" ht="12.5">
      <c r="A658" s="76"/>
      <c r="B658" s="5"/>
      <c r="C658" s="16"/>
      <c r="E658" s="5"/>
    </row>
    <row r="659" spans="1:5" ht="12.5">
      <c r="A659" s="76"/>
      <c r="B659" s="5"/>
      <c r="C659" s="16"/>
      <c r="E659" s="5"/>
    </row>
    <row r="660" spans="1:5" ht="12.5">
      <c r="A660" s="76"/>
      <c r="B660" s="5"/>
      <c r="C660" s="16"/>
      <c r="E660" s="5"/>
    </row>
    <row r="661" spans="1:5" ht="12.5">
      <c r="A661" s="76"/>
      <c r="B661" s="5"/>
      <c r="C661" s="16"/>
      <c r="E661" s="5"/>
    </row>
    <row r="662" spans="1:5" ht="12.5">
      <c r="A662" s="76"/>
      <c r="B662" s="5"/>
      <c r="C662" s="16"/>
      <c r="E662" s="5"/>
    </row>
    <row r="663" spans="1:5" ht="12.5">
      <c r="A663" s="76"/>
      <c r="B663" s="5"/>
      <c r="C663" s="16"/>
      <c r="E663" s="5"/>
    </row>
    <row r="664" spans="1:5" ht="12.5">
      <c r="A664" s="76"/>
      <c r="B664" s="5"/>
      <c r="C664" s="16"/>
      <c r="E664" s="5"/>
    </row>
    <row r="665" spans="1:5" ht="12.5">
      <c r="A665" s="76"/>
      <c r="B665" s="5"/>
      <c r="C665" s="16"/>
      <c r="E665" s="5"/>
    </row>
    <row r="666" spans="1:5" ht="12.5">
      <c r="A666" s="76"/>
      <c r="B666" s="5"/>
      <c r="C666" s="16"/>
      <c r="E666" s="5"/>
    </row>
    <row r="667" spans="1:5" ht="12.5">
      <c r="A667" s="76"/>
      <c r="B667" s="5"/>
      <c r="C667" s="16"/>
      <c r="E667" s="5"/>
    </row>
    <row r="668" spans="1:5" ht="12.5">
      <c r="A668" s="76"/>
      <c r="B668" s="5"/>
      <c r="C668" s="16"/>
      <c r="E668" s="5"/>
    </row>
    <row r="669" spans="1:5" ht="12.5">
      <c r="A669" s="76"/>
      <c r="B669" s="5"/>
      <c r="C669" s="16"/>
      <c r="E669" s="5"/>
    </row>
    <row r="670" spans="1:5" ht="12.5">
      <c r="A670" s="76"/>
      <c r="B670" s="5"/>
      <c r="C670" s="16"/>
      <c r="E670" s="5"/>
    </row>
    <row r="671" spans="1:5" ht="12.5">
      <c r="A671" s="76"/>
      <c r="B671" s="5"/>
      <c r="C671" s="16"/>
      <c r="E671" s="5"/>
    </row>
    <row r="672" spans="1:5" ht="12.5">
      <c r="A672" s="76"/>
      <c r="B672" s="5"/>
      <c r="C672" s="16"/>
      <c r="E672" s="5"/>
    </row>
    <row r="673" spans="1:5" ht="12.5">
      <c r="A673" s="76"/>
      <c r="B673" s="5"/>
      <c r="C673" s="16"/>
      <c r="E673" s="5"/>
    </row>
    <row r="674" spans="1:5" ht="12.5">
      <c r="A674" s="76"/>
      <c r="B674" s="5"/>
      <c r="C674" s="16"/>
      <c r="E674" s="5"/>
    </row>
    <row r="675" spans="1:5" ht="12.5">
      <c r="A675" s="76"/>
      <c r="B675" s="5"/>
      <c r="C675" s="16"/>
      <c r="E675" s="5"/>
    </row>
    <row r="676" spans="1:5" ht="12.5">
      <c r="A676" s="76"/>
      <c r="B676" s="5"/>
      <c r="C676" s="16"/>
      <c r="E676" s="5"/>
    </row>
    <row r="677" spans="1:5" ht="12.5">
      <c r="A677" s="76"/>
      <c r="B677" s="5"/>
      <c r="C677" s="16"/>
      <c r="E677" s="5"/>
    </row>
    <row r="678" spans="1:5" ht="12.5">
      <c r="A678" s="76"/>
      <c r="B678" s="5"/>
      <c r="C678" s="16"/>
      <c r="E678" s="5"/>
    </row>
    <row r="679" spans="1:5" ht="12.5">
      <c r="A679" s="76"/>
      <c r="B679" s="5"/>
      <c r="C679" s="16"/>
      <c r="E679" s="5"/>
    </row>
    <row r="680" spans="1:5" ht="12.5">
      <c r="A680" s="76"/>
      <c r="B680" s="5"/>
      <c r="C680" s="16"/>
      <c r="E680" s="5"/>
    </row>
    <row r="681" spans="1:5" ht="12.5">
      <c r="A681" s="76"/>
      <c r="B681" s="5"/>
      <c r="C681" s="16"/>
      <c r="E681" s="5"/>
    </row>
    <row r="682" spans="1:5" ht="12.5">
      <c r="A682" s="76"/>
      <c r="B682" s="5"/>
      <c r="C682" s="16"/>
      <c r="E682" s="5"/>
    </row>
    <row r="683" spans="1:5" ht="12.5">
      <c r="A683" s="76"/>
      <c r="B683" s="5"/>
      <c r="C683" s="16"/>
      <c r="E683" s="5"/>
    </row>
    <row r="684" spans="1:5" ht="12.5">
      <c r="A684" s="76"/>
      <c r="B684" s="5"/>
      <c r="C684" s="16"/>
      <c r="E684" s="5"/>
    </row>
    <row r="685" spans="1:5" ht="12.5">
      <c r="A685" s="76"/>
      <c r="B685" s="5"/>
      <c r="C685" s="16"/>
      <c r="E685" s="5"/>
    </row>
    <row r="686" spans="1:5" ht="12.5">
      <c r="A686" s="76"/>
      <c r="B686" s="5"/>
      <c r="C686" s="16"/>
      <c r="E686" s="5"/>
    </row>
    <row r="687" spans="1:5" ht="12.5">
      <c r="A687" s="76"/>
      <c r="B687" s="5"/>
      <c r="C687" s="16"/>
      <c r="E687" s="5"/>
    </row>
    <row r="688" spans="1:5" ht="12.5">
      <c r="A688" s="76"/>
      <c r="B688" s="5"/>
      <c r="C688" s="16"/>
      <c r="E688" s="5"/>
    </row>
    <row r="689" spans="1:5" ht="12.5">
      <c r="A689" s="76"/>
      <c r="B689" s="5"/>
      <c r="C689" s="16"/>
      <c r="E689" s="5"/>
    </row>
    <row r="690" spans="1:5" ht="12.5">
      <c r="A690" s="76"/>
      <c r="B690" s="5"/>
      <c r="C690" s="16"/>
      <c r="E690" s="5"/>
    </row>
    <row r="691" spans="1:5" ht="12.5">
      <c r="A691" s="76"/>
      <c r="B691" s="5"/>
      <c r="C691" s="16"/>
      <c r="E691" s="5"/>
    </row>
    <row r="692" spans="1:5" ht="12.5">
      <c r="A692" s="76"/>
      <c r="B692" s="5"/>
      <c r="C692" s="16"/>
      <c r="E692" s="5"/>
    </row>
    <row r="693" spans="1:5" ht="12.5">
      <c r="A693" s="76"/>
      <c r="B693" s="5"/>
      <c r="C693" s="16"/>
      <c r="E693" s="5"/>
    </row>
    <row r="694" spans="1:5" ht="12.5">
      <c r="A694" s="76"/>
      <c r="B694" s="5"/>
      <c r="C694" s="16"/>
      <c r="E694" s="5"/>
    </row>
    <row r="695" spans="1:5" ht="12.5">
      <c r="A695" s="76"/>
      <c r="B695" s="5"/>
      <c r="C695" s="16"/>
      <c r="E695" s="5"/>
    </row>
    <row r="696" spans="1:5" ht="12.5">
      <c r="A696" s="76"/>
      <c r="B696" s="5"/>
      <c r="C696" s="16"/>
      <c r="E696" s="5"/>
    </row>
    <row r="697" spans="1:5" ht="12.5">
      <c r="A697" s="76"/>
      <c r="B697" s="5"/>
      <c r="C697" s="16"/>
      <c r="E697" s="5"/>
    </row>
    <row r="698" spans="1:5" ht="12.5">
      <c r="A698" s="76"/>
      <c r="B698" s="5"/>
      <c r="C698" s="16"/>
      <c r="E698" s="5"/>
    </row>
    <row r="699" spans="1:5" ht="12.5">
      <c r="A699" s="76"/>
      <c r="B699" s="5"/>
      <c r="C699" s="16"/>
      <c r="E699" s="5"/>
    </row>
    <row r="700" spans="1:5" ht="12.5">
      <c r="A700" s="76"/>
      <c r="B700" s="5"/>
      <c r="C700" s="16"/>
      <c r="E700" s="5"/>
    </row>
    <row r="701" spans="1:5" ht="12.5">
      <c r="A701" s="76"/>
      <c r="B701" s="5"/>
      <c r="C701" s="16"/>
      <c r="E701" s="5"/>
    </row>
    <row r="702" spans="1:5" ht="12.5">
      <c r="A702" s="76"/>
      <c r="B702" s="5"/>
      <c r="C702" s="16"/>
      <c r="E702" s="5"/>
    </row>
    <row r="703" spans="1:5" ht="12.5">
      <c r="A703" s="76"/>
      <c r="B703" s="5"/>
      <c r="C703" s="16"/>
      <c r="E703" s="5"/>
    </row>
    <row r="704" spans="1:5" ht="12.5">
      <c r="A704" s="76"/>
      <c r="B704" s="5"/>
      <c r="C704" s="16"/>
      <c r="E704" s="5"/>
    </row>
    <row r="705" spans="1:5" ht="12.5">
      <c r="A705" s="76"/>
      <c r="B705" s="5"/>
      <c r="C705" s="16"/>
      <c r="E705" s="5"/>
    </row>
    <row r="706" spans="1:5" ht="12.5">
      <c r="A706" s="76"/>
      <c r="B706" s="5"/>
      <c r="C706" s="16"/>
      <c r="E706" s="5"/>
    </row>
    <row r="707" spans="1:5" ht="12.5">
      <c r="A707" s="76"/>
      <c r="B707" s="5"/>
      <c r="C707" s="16"/>
      <c r="E707" s="5"/>
    </row>
    <row r="708" spans="1:5" ht="12.5">
      <c r="A708" s="76"/>
      <c r="B708" s="5"/>
      <c r="C708" s="16"/>
      <c r="E708" s="5"/>
    </row>
    <row r="709" spans="1:5" ht="12.5">
      <c r="A709" s="76"/>
      <c r="B709" s="5"/>
      <c r="C709" s="16"/>
      <c r="E709" s="5"/>
    </row>
    <row r="710" spans="1:5" ht="12.5">
      <c r="A710" s="76"/>
      <c r="B710" s="5"/>
      <c r="C710" s="16"/>
      <c r="E710" s="5"/>
    </row>
    <row r="711" spans="1:5" ht="12.5">
      <c r="A711" s="76"/>
      <c r="B711" s="5"/>
      <c r="C711" s="16"/>
      <c r="E711" s="5"/>
    </row>
    <row r="712" spans="1:5" ht="12.5">
      <c r="A712" s="76"/>
      <c r="B712" s="5"/>
      <c r="C712" s="16"/>
      <c r="E712" s="5"/>
    </row>
    <row r="713" spans="1:5" ht="12.5">
      <c r="A713" s="76"/>
      <c r="B713" s="5"/>
      <c r="C713" s="16"/>
      <c r="E713" s="5"/>
    </row>
    <row r="714" spans="1:5" ht="12.5">
      <c r="A714" s="76"/>
      <c r="B714" s="5"/>
      <c r="C714" s="16"/>
      <c r="E714" s="5"/>
    </row>
    <row r="715" spans="1:5" ht="12.5">
      <c r="A715" s="76"/>
      <c r="B715" s="5"/>
      <c r="C715" s="16"/>
      <c r="E715" s="5"/>
    </row>
    <row r="716" spans="1:5" ht="12.5">
      <c r="A716" s="76"/>
      <c r="B716" s="5"/>
      <c r="C716" s="16"/>
      <c r="E716" s="5"/>
    </row>
    <row r="717" spans="1:5" ht="12.5">
      <c r="A717" s="76"/>
      <c r="B717" s="5"/>
      <c r="C717" s="16"/>
      <c r="E717" s="5"/>
    </row>
    <row r="718" spans="1:5" ht="12.5">
      <c r="A718" s="76"/>
      <c r="B718" s="5"/>
      <c r="C718" s="16"/>
      <c r="E718" s="5"/>
    </row>
    <row r="719" spans="1:5" ht="12.5">
      <c r="A719" s="76"/>
      <c r="B719" s="5"/>
      <c r="C719" s="16"/>
      <c r="E719" s="5"/>
    </row>
    <row r="720" spans="1:5" ht="12.5">
      <c r="A720" s="76"/>
      <c r="B720" s="5"/>
      <c r="C720" s="16"/>
      <c r="E720" s="5"/>
    </row>
    <row r="721" spans="1:5" ht="12.5">
      <c r="A721" s="76"/>
      <c r="B721" s="5"/>
      <c r="C721" s="16"/>
      <c r="E721" s="5"/>
    </row>
    <row r="722" spans="1:5" ht="12.5">
      <c r="A722" s="76"/>
      <c r="B722" s="5"/>
      <c r="C722" s="16"/>
      <c r="E722" s="5"/>
    </row>
    <row r="723" spans="1:5" ht="12.5">
      <c r="A723" s="76"/>
      <c r="B723" s="5"/>
      <c r="C723" s="16"/>
      <c r="E723" s="5"/>
    </row>
    <row r="724" spans="1:5" ht="12.5">
      <c r="A724" s="76"/>
      <c r="B724" s="5"/>
      <c r="C724" s="16"/>
      <c r="E724" s="5"/>
    </row>
    <row r="725" spans="1:5" ht="12.5">
      <c r="A725" s="76"/>
      <c r="B725" s="5"/>
      <c r="C725" s="16"/>
      <c r="E725" s="5"/>
    </row>
    <row r="726" spans="1:5" ht="12.5">
      <c r="A726" s="76"/>
      <c r="B726" s="5"/>
      <c r="C726" s="16"/>
      <c r="E726" s="5"/>
    </row>
    <row r="727" spans="1:5" ht="12.5">
      <c r="A727" s="76"/>
      <c r="B727" s="5"/>
      <c r="C727" s="16"/>
      <c r="E727" s="5"/>
    </row>
    <row r="728" spans="1:5" ht="12.5">
      <c r="A728" s="76"/>
      <c r="B728" s="5"/>
      <c r="C728" s="16"/>
      <c r="E728" s="5"/>
    </row>
    <row r="729" spans="1:5" ht="12.5">
      <c r="A729" s="76"/>
      <c r="B729" s="5"/>
      <c r="C729" s="16"/>
      <c r="E729" s="5"/>
    </row>
    <row r="730" spans="1:5" ht="12.5">
      <c r="A730" s="76"/>
      <c r="B730" s="5"/>
      <c r="C730" s="16"/>
      <c r="E730" s="5"/>
    </row>
    <row r="731" spans="1:5" ht="12.5">
      <c r="A731" s="76"/>
      <c r="B731" s="5"/>
      <c r="C731" s="16"/>
      <c r="E731" s="5"/>
    </row>
    <row r="732" spans="1:5" ht="12.5">
      <c r="A732" s="76"/>
      <c r="B732" s="5"/>
      <c r="C732" s="16"/>
      <c r="E732" s="5"/>
    </row>
    <row r="733" spans="1:5" ht="12.5">
      <c r="A733" s="76"/>
      <c r="B733" s="5"/>
      <c r="C733" s="16"/>
      <c r="E733" s="5"/>
    </row>
    <row r="734" spans="1:5" ht="12.5">
      <c r="A734" s="76"/>
      <c r="B734" s="5"/>
      <c r="C734" s="16"/>
      <c r="E734" s="5"/>
    </row>
    <row r="735" spans="1:5" ht="12.5">
      <c r="A735" s="76"/>
      <c r="B735" s="5"/>
      <c r="C735" s="16"/>
      <c r="E735" s="5"/>
    </row>
    <row r="736" spans="1:5" ht="12.5">
      <c r="A736" s="76"/>
      <c r="B736" s="5"/>
      <c r="C736" s="16"/>
      <c r="E736" s="5"/>
    </row>
    <row r="737" spans="1:5" ht="12.5">
      <c r="A737" s="76"/>
      <c r="B737" s="5"/>
      <c r="C737" s="16"/>
      <c r="E737" s="5"/>
    </row>
    <row r="738" spans="1:5" ht="12.5">
      <c r="A738" s="76"/>
      <c r="B738" s="5"/>
      <c r="C738" s="16"/>
      <c r="E738" s="5"/>
    </row>
    <row r="739" spans="1:5" ht="12.5">
      <c r="A739" s="76"/>
      <c r="B739" s="5"/>
      <c r="C739" s="16"/>
      <c r="E739" s="5"/>
    </row>
    <row r="740" spans="1:5" ht="12.5">
      <c r="A740" s="76"/>
      <c r="B740" s="5"/>
      <c r="C740" s="16"/>
      <c r="E740" s="5"/>
    </row>
    <row r="741" spans="1:5" ht="12.5">
      <c r="A741" s="76"/>
      <c r="B741" s="5"/>
      <c r="C741" s="16"/>
      <c r="E741" s="5"/>
    </row>
    <row r="742" spans="1:5" ht="12.5">
      <c r="A742" s="76"/>
      <c r="B742" s="5"/>
      <c r="C742" s="16"/>
      <c r="E742" s="5"/>
    </row>
    <row r="743" spans="1:5" ht="12.5">
      <c r="A743" s="76"/>
      <c r="B743" s="5"/>
      <c r="C743" s="16"/>
      <c r="E743" s="5"/>
    </row>
    <row r="744" spans="1:5" ht="12.5">
      <c r="A744" s="76"/>
      <c r="B744" s="5"/>
      <c r="C744" s="16"/>
      <c r="E744" s="5"/>
    </row>
    <row r="745" spans="1:5" ht="12.5">
      <c r="A745" s="76"/>
      <c r="B745" s="5"/>
      <c r="C745" s="16"/>
      <c r="E745" s="5"/>
    </row>
    <row r="746" spans="1:5" ht="12.5">
      <c r="A746" s="76"/>
      <c r="B746" s="5"/>
      <c r="C746" s="16"/>
      <c r="E746" s="5"/>
    </row>
    <row r="747" spans="1:5" ht="12.5">
      <c r="A747" s="76"/>
      <c r="B747" s="5"/>
      <c r="C747" s="16"/>
      <c r="E747" s="5"/>
    </row>
    <row r="748" spans="1:5" ht="12.5">
      <c r="A748" s="76"/>
      <c r="B748" s="5"/>
      <c r="C748" s="16"/>
      <c r="E748" s="5"/>
    </row>
    <row r="749" spans="1:5" ht="12.5">
      <c r="A749" s="76"/>
      <c r="B749" s="5"/>
      <c r="C749" s="16"/>
      <c r="E749" s="5"/>
    </row>
    <row r="750" spans="1:5" ht="12.5">
      <c r="A750" s="76"/>
      <c r="B750" s="5"/>
      <c r="C750" s="16"/>
      <c r="E750" s="5"/>
    </row>
    <row r="751" spans="1:5" ht="12.5">
      <c r="A751" s="76"/>
      <c r="B751" s="5"/>
      <c r="C751" s="16"/>
      <c r="E751" s="5"/>
    </row>
    <row r="752" spans="1:5" ht="12.5">
      <c r="A752" s="76"/>
      <c r="B752" s="5"/>
      <c r="C752" s="16"/>
      <c r="E752" s="5"/>
    </row>
    <row r="753" spans="1:5" ht="12.5">
      <c r="A753" s="76"/>
      <c r="B753" s="5"/>
      <c r="C753" s="16"/>
      <c r="E753" s="5"/>
    </row>
    <row r="754" spans="1:5" ht="12.5">
      <c r="A754" s="76"/>
      <c r="B754" s="5"/>
      <c r="C754" s="16"/>
      <c r="E754" s="5"/>
    </row>
    <row r="755" spans="1:5" ht="12.5">
      <c r="A755" s="76"/>
      <c r="B755" s="5"/>
      <c r="C755" s="16"/>
      <c r="E755" s="5"/>
    </row>
    <row r="756" spans="1:5" ht="12.5">
      <c r="A756" s="76"/>
      <c r="B756" s="5"/>
      <c r="C756" s="16"/>
      <c r="E756" s="5"/>
    </row>
    <row r="757" spans="1:5" ht="12.5">
      <c r="A757" s="76"/>
      <c r="B757" s="5"/>
      <c r="C757" s="16"/>
      <c r="E757" s="5"/>
    </row>
    <row r="758" spans="1:5" ht="12.5">
      <c r="A758" s="76"/>
      <c r="B758" s="5"/>
      <c r="C758" s="16"/>
      <c r="E758" s="5"/>
    </row>
    <row r="759" spans="1:5" ht="12.5">
      <c r="A759" s="76"/>
      <c r="B759" s="5"/>
      <c r="C759" s="16"/>
      <c r="E759" s="5"/>
    </row>
    <row r="760" spans="1:5" ht="12.5">
      <c r="A760" s="76"/>
      <c r="B760" s="5"/>
      <c r="C760" s="16"/>
      <c r="E760" s="5"/>
    </row>
    <row r="761" spans="1:5" ht="12.5">
      <c r="A761" s="76"/>
      <c r="B761" s="5"/>
      <c r="C761" s="16"/>
      <c r="E761" s="5"/>
    </row>
    <row r="762" spans="1:5" ht="12.5">
      <c r="A762" s="76"/>
      <c r="B762" s="5"/>
      <c r="C762" s="16"/>
      <c r="E762" s="5"/>
    </row>
    <row r="763" spans="1:5" ht="12.5">
      <c r="A763" s="76"/>
      <c r="B763" s="5"/>
      <c r="C763" s="16"/>
      <c r="E763" s="5"/>
    </row>
    <row r="764" spans="1:5" ht="12.5">
      <c r="A764" s="76"/>
      <c r="B764" s="5"/>
      <c r="C764" s="16"/>
      <c r="E764" s="5"/>
    </row>
    <row r="765" spans="1:5" ht="12.5">
      <c r="A765" s="76"/>
      <c r="B765" s="5"/>
      <c r="C765" s="16"/>
      <c r="E765" s="5"/>
    </row>
    <row r="766" spans="1:5" ht="12.5">
      <c r="A766" s="76"/>
      <c r="B766" s="5"/>
      <c r="C766" s="16"/>
      <c r="E766" s="5"/>
    </row>
    <row r="767" spans="1:5" ht="12.5">
      <c r="A767" s="76"/>
      <c r="B767" s="5"/>
      <c r="C767" s="16"/>
      <c r="E767" s="5"/>
    </row>
    <row r="768" spans="1:5" ht="12.5">
      <c r="A768" s="76"/>
      <c r="B768" s="5"/>
      <c r="C768" s="16"/>
      <c r="E768" s="5"/>
    </row>
    <row r="769" spans="1:5" ht="12.5">
      <c r="A769" s="76"/>
      <c r="B769" s="5"/>
      <c r="C769" s="16"/>
      <c r="E769" s="5"/>
    </row>
    <row r="770" spans="1:5" ht="12.5">
      <c r="A770" s="76"/>
      <c r="B770" s="5"/>
      <c r="C770" s="16"/>
      <c r="E770" s="5"/>
    </row>
    <row r="771" spans="1:5" ht="12.5">
      <c r="A771" s="76"/>
      <c r="B771" s="5"/>
      <c r="C771" s="16"/>
      <c r="E771" s="5"/>
    </row>
    <row r="772" spans="1:5" ht="12.5">
      <c r="A772" s="76"/>
      <c r="B772" s="5"/>
      <c r="C772" s="16"/>
      <c r="E772" s="5"/>
    </row>
    <row r="773" spans="1:5" ht="12.5">
      <c r="A773" s="76"/>
      <c r="B773" s="5"/>
      <c r="C773" s="16"/>
      <c r="E773" s="5"/>
    </row>
    <row r="774" spans="1:5" ht="12.5">
      <c r="A774" s="76"/>
      <c r="B774" s="5"/>
      <c r="C774" s="16"/>
      <c r="E774" s="5"/>
    </row>
    <row r="775" spans="1:5" ht="12.5">
      <c r="A775" s="76"/>
      <c r="B775" s="5"/>
      <c r="C775" s="16"/>
      <c r="E775" s="5"/>
    </row>
    <row r="776" spans="1:5" ht="12.5">
      <c r="A776" s="76"/>
      <c r="B776" s="5"/>
      <c r="C776" s="16"/>
      <c r="E776" s="5"/>
    </row>
    <row r="777" spans="1:5" ht="12.5">
      <c r="A777" s="76"/>
      <c r="B777" s="5"/>
      <c r="C777" s="16"/>
      <c r="E777" s="5"/>
    </row>
    <row r="778" spans="1:5" ht="12.5">
      <c r="A778" s="76"/>
      <c r="B778" s="5"/>
      <c r="C778" s="16"/>
      <c r="E778" s="5"/>
    </row>
    <row r="779" spans="1:5" ht="12.5">
      <c r="A779" s="76"/>
      <c r="B779" s="5"/>
      <c r="C779" s="16"/>
      <c r="E779" s="5"/>
    </row>
    <row r="780" spans="1:5" ht="12.5">
      <c r="A780" s="76"/>
      <c r="B780" s="5"/>
      <c r="C780" s="16"/>
      <c r="E780" s="5"/>
    </row>
    <row r="781" spans="1:5" ht="12.5">
      <c r="A781" s="76"/>
      <c r="B781" s="5"/>
      <c r="C781" s="16"/>
      <c r="E781" s="5"/>
    </row>
    <row r="782" spans="1:5" ht="12.5">
      <c r="A782" s="76"/>
      <c r="B782" s="5"/>
      <c r="C782" s="16"/>
      <c r="E782" s="5"/>
    </row>
    <row r="783" spans="1:5" ht="12.5">
      <c r="A783" s="76"/>
      <c r="B783" s="5"/>
      <c r="C783" s="16"/>
      <c r="E783" s="5"/>
    </row>
    <row r="784" spans="1:5" ht="12.5">
      <c r="A784" s="76"/>
      <c r="B784" s="5"/>
      <c r="C784" s="16"/>
      <c r="E784" s="5"/>
    </row>
    <row r="785" spans="1:5" ht="12.5">
      <c r="A785" s="76"/>
      <c r="B785" s="5"/>
      <c r="C785" s="16"/>
      <c r="E785" s="5"/>
    </row>
    <row r="786" spans="1:5" ht="12.5">
      <c r="A786" s="76"/>
      <c r="B786" s="5"/>
      <c r="C786" s="16"/>
      <c r="E786" s="5"/>
    </row>
    <row r="787" spans="1:5" ht="12.5">
      <c r="A787" s="76"/>
      <c r="B787" s="5"/>
      <c r="C787" s="16"/>
      <c r="E787" s="5"/>
    </row>
    <row r="788" spans="1:5" ht="12.5">
      <c r="A788" s="76"/>
      <c r="B788" s="5"/>
      <c r="C788" s="16"/>
      <c r="E788" s="5"/>
    </row>
    <row r="789" spans="1:5" ht="12.5">
      <c r="A789" s="76"/>
      <c r="B789" s="5"/>
      <c r="C789" s="16"/>
      <c r="E789" s="5"/>
    </row>
    <row r="790" spans="1:5" ht="12.5">
      <c r="A790" s="76"/>
      <c r="B790" s="5"/>
      <c r="C790" s="16"/>
      <c r="E790" s="5"/>
    </row>
    <row r="791" spans="1:5" ht="12.5">
      <c r="A791" s="76"/>
      <c r="B791" s="5"/>
      <c r="C791" s="16"/>
      <c r="E791" s="5"/>
    </row>
    <row r="792" spans="1:5" ht="12.5">
      <c r="A792" s="76"/>
      <c r="B792" s="5"/>
      <c r="C792" s="16"/>
      <c r="E792" s="5"/>
    </row>
    <row r="793" spans="1:5" ht="12.5">
      <c r="A793" s="76"/>
      <c r="B793" s="5"/>
      <c r="C793" s="16"/>
      <c r="E793" s="5"/>
    </row>
    <row r="794" spans="1:5" ht="12.5">
      <c r="A794" s="76"/>
      <c r="B794" s="5"/>
      <c r="C794" s="16"/>
      <c r="E794" s="5"/>
    </row>
    <row r="795" spans="1:5" ht="12.5">
      <c r="A795" s="76"/>
      <c r="B795" s="5"/>
      <c r="C795" s="16"/>
      <c r="E795" s="5"/>
    </row>
    <row r="796" spans="1:5" ht="12.5">
      <c r="A796" s="76"/>
      <c r="B796" s="5"/>
      <c r="C796" s="16"/>
      <c r="E796" s="5"/>
    </row>
    <row r="797" spans="1:5" ht="12.5">
      <c r="A797" s="76"/>
      <c r="B797" s="5"/>
      <c r="C797" s="16"/>
      <c r="E797" s="5"/>
    </row>
    <row r="798" spans="1:5" ht="12.5">
      <c r="A798" s="76"/>
      <c r="B798" s="5"/>
      <c r="C798" s="16"/>
      <c r="E798" s="5"/>
    </row>
    <row r="799" spans="1:5" ht="12.5">
      <c r="A799" s="76"/>
      <c r="B799" s="5"/>
      <c r="C799" s="16"/>
      <c r="E799" s="5"/>
    </row>
    <row r="800" spans="1:5" ht="12.5">
      <c r="A800" s="76"/>
      <c r="B800" s="5"/>
      <c r="C800" s="16"/>
      <c r="E800" s="5"/>
    </row>
    <row r="801" spans="1:5" ht="12.5">
      <c r="A801" s="76"/>
      <c r="B801" s="5"/>
      <c r="C801" s="16"/>
      <c r="E801" s="5"/>
    </row>
    <row r="802" spans="1:5" ht="12.5">
      <c r="A802" s="76"/>
      <c r="B802" s="5"/>
      <c r="C802" s="16"/>
      <c r="E802" s="5"/>
    </row>
    <row r="803" spans="1:5" ht="12.5">
      <c r="A803" s="76"/>
      <c r="B803" s="5"/>
      <c r="C803" s="16"/>
      <c r="E803" s="5"/>
    </row>
    <row r="804" spans="1:5" ht="12.5">
      <c r="A804" s="76"/>
      <c r="B804" s="5"/>
      <c r="C804" s="16"/>
      <c r="E804" s="5"/>
    </row>
    <row r="805" spans="1:5" ht="12.5">
      <c r="A805" s="76"/>
      <c r="B805" s="5"/>
      <c r="C805" s="16"/>
      <c r="E805" s="5"/>
    </row>
    <row r="806" spans="1:5" ht="12.5">
      <c r="A806" s="76"/>
      <c r="B806" s="5"/>
      <c r="C806" s="16"/>
      <c r="E806" s="5"/>
    </row>
    <row r="807" spans="1:5" ht="12.5">
      <c r="A807" s="76"/>
      <c r="B807" s="5"/>
      <c r="C807" s="16"/>
      <c r="E807" s="5"/>
    </row>
    <row r="808" spans="1:5" ht="12.5">
      <c r="A808" s="76"/>
      <c r="B808" s="5"/>
      <c r="C808" s="16"/>
      <c r="E808" s="5"/>
    </row>
    <row r="809" spans="1:5" ht="12.5">
      <c r="A809" s="76"/>
      <c r="B809" s="5"/>
      <c r="C809" s="16"/>
      <c r="E809" s="5"/>
    </row>
    <row r="810" spans="1:5" ht="12.5">
      <c r="A810" s="76"/>
      <c r="B810" s="5"/>
      <c r="C810" s="16"/>
      <c r="E810" s="5"/>
    </row>
    <row r="811" spans="1:5" ht="12.5">
      <c r="A811" s="76"/>
      <c r="B811" s="5"/>
      <c r="C811" s="16"/>
      <c r="E811" s="5"/>
    </row>
    <row r="812" spans="1:5" ht="12.5">
      <c r="A812" s="76"/>
      <c r="B812" s="5"/>
      <c r="C812" s="16"/>
      <c r="E812" s="5"/>
    </row>
    <row r="813" spans="1:5" ht="12.5">
      <c r="A813" s="76"/>
      <c r="B813" s="5"/>
      <c r="C813" s="16"/>
      <c r="E813" s="5"/>
    </row>
    <row r="814" spans="1:5" ht="12.5">
      <c r="A814" s="76"/>
      <c r="B814" s="5"/>
      <c r="C814" s="16"/>
      <c r="E814" s="5"/>
    </row>
    <row r="815" spans="1:5" ht="12.5">
      <c r="A815" s="76"/>
      <c r="B815" s="5"/>
      <c r="C815" s="16"/>
      <c r="E815" s="5"/>
    </row>
    <row r="816" spans="1:5" ht="12.5">
      <c r="A816" s="76"/>
      <c r="B816" s="5"/>
      <c r="C816" s="16"/>
      <c r="E816" s="5"/>
    </row>
    <row r="817" spans="1:5" ht="12.5">
      <c r="A817" s="76"/>
      <c r="B817" s="5"/>
      <c r="C817" s="16"/>
      <c r="E817" s="5"/>
    </row>
    <row r="818" spans="1:5" ht="12.5">
      <c r="A818" s="76"/>
      <c r="B818" s="5"/>
      <c r="C818" s="16"/>
      <c r="E818" s="5"/>
    </row>
    <row r="819" spans="1:5" ht="12.5">
      <c r="A819" s="76"/>
      <c r="B819" s="5"/>
      <c r="C819" s="16"/>
      <c r="E819" s="5"/>
    </row>
    <row r="820" spans="1:5" ht="12.5">
      <c r="A820" s="76"/>
      <c r="B820" s="5"/>
      <c r="C820" s="16"/>
      <c r="E820" s="5"/>
    </row>
    <row r="821" spans="1:5" ht="12.5">
      <c r="A821" s="76"/>
      <c r="B821" s="5"/>
      <c r="C821" s="16"/>
      <c r="E821" s="5"/>
    </row>
    <row r="822" spans="1:5" ht="12.5">
      <c r="A822" s="76"/>
      <c r="B822" s="5"/>
      <c r="C822" s="16"/>
      <c r="E822" s="5"/>
    </row>
    <row r="823" spans="1:5" ht="12.5">
      <c r="A823" s="76"/>
      <c r="B823" s="5"/>
      <c r="C823" s="16"/>
      <c r="E823" s="5"/>
    </row>
    <row r="824" spans="1:5" ht="12.5">
      <c r="A824" s="76"/>
      <c r="B824" s="5"/>
      <c r="C824" s="16"/>
      <c r="E824" s="5"/>
    </row>
    <row r="825" spans="1:5" ht="12.5">
      <c r="A825" s="76"/>
      <c r="B825" s="5"/>
      <c r="C825" s="16"/>
      <c r="E825" s="5"/>
    </row>
    <row r="826" spans="1:5" ht="12.5">
      <c r="A826" s="76"/>
      <c r="B826" s="5"/>
      <c r="C826" s="16"/>
      <c r="E826" s="5"/>
    </row>
    <row r="827" spans="1:5" ht="12.5">
      <c r="A827" s="76"/>
      <c r="B827" s="5"/>
      <c r="C827" s="16"/>
      <c r="E827" s="5"/>
    </row>
    <row r="828" spans="1:5" ht="12.5">
      <c r="A828" s="76"/>
      <c r="B828" s="5"/>
      <c r="C828" s="16"/>
      <c r="E828" s="5"/>
    </row>
    <row r="829" spans="1:5" ht="12.5">
      <c r="A829" s="76"/>
      <c r="B829" s="5"/>
      <c r="C829" s="16"/>
      <c r="E829" s="5"/>
    </row>
    <row r="830" spans="1:5" ht="12.5">
      <c r="A830" s="76"/>
      <c r="B830" s="5"/>
      <c r="C830" s="16"/>
      <c r="E830" s="5"/>
    </row>
    <row r="831" spans="1:5" ht="12.5">
      <c r="A831" s="76"/>
      <c r="B831" s="5"/>
      <c r="C831" s="16"/>
      <c r="E831" s="5"/>
    </row>
    <row r="832" spans="1:5" ht="12.5">
      <c r="A832" s="76"/>
      <c r="B832" s="5"/>
      <c r="C832" s="16"/>
      <c r="E832" s="5"/>
    </row>
    <row r="833" spans="1:5" ht="12.5">
      <c r="A833" s="76"/>
      <c r="B833" s="5"/>
      <c r="C833" s="16"/>
      <c r="E833" s="5"/>
    </row>
    <row r="834" spans="1:5" ht="12.5">
      <c r="A834" s="76"/>
      <c r="B834" s="5"/>
      <c r="C834" s="16"/>
      <c r="E834" s="5"/>
    </row>
    <row r="835" spans="1:5" ht="12.5">
      <c r="A835" s="76"/>
      <c r="B835" s="5"/>
      <c r="C835" s="16"/>
      <c r="E835" s="5"/>
    </row>
    <row r="836" spans="1:5" ht="12.5">
      <c r="A836" s="76"/>
      <c r="B836" s="5"/>
      <c r="C836" s="16"/>
      <c r="E836" s="5"/>
    </row>
    <row r="837" spans="1:5" ht="12.5">
      <c r="A837" s="76"/>
      <c r="B837" s="5"/>
      <c r="C837" s="16"/>
      <c r="E837" s="5"/>
    </row>
    <row r="838" spans="1:5" ht="12.5">
      <c r="A838" s="76"/>
      <c r="B838" s="5"/>
      <c r="C838" s="16"/>
      <c r="E838" s="5"/>
    </row>
    <row r="839" spans="1:5" ht="12.5">
      <c r="A839" s="76"/>
      <c r="B839" s="5"/>
      <c r="C839" s="16"/>
      <c r="E839" s="5"/>
    </row>
    <row r="840" spans="1:5" ht="12.5">
      <c r="A840" s="76"/>
      <c r="B840" s="5"/>
      <c r="C840" s="16"/>
      <c r="E840" s="5"/>
    </row>
    <row r="841" spans="1:5" ht="12.5">
      <c r="A841" s="76"/>
      <c r="B841" s="5"/>
      <c r="C841" s="16"/>
      <c r="E841" s="5"/>
    </row>
    <row r="842" spans="1:5" ht="12.5">
      <c r="A842" s="76"/>
      <c r="B842" s="5"/>
      <c r="C842" s="16"/>
      <c r="E842" s="5"/>
    </row>
    <row r="843" spans="1:5" ht="12.5">
      <c r="A843" s="76"/>
      <c r="B843" s="5"/>
      <c r="C843" s="16"/>
      <c r="E843" s="5"/>
    </row>
    <row r="844" spans="1:5" ht="12.5">
      <c r="A844" s="76"/>
      <c r="B844" s="5"/>
      <c r="C844" s="16"/>
      <c r="E844" s="5"/>
    </row>
    <row r="845" spans="1:5" ht="12.5">
      <c r="A845" s="76"/>
      <c r="B845" s="5"/>
      <c r="C845" s="16"/>
      <c r="E845" s="5"/>
    </row>
    <row r="846" spans="1:5" ht="12.5">
      <c r="A846" s="76"/>
      <c r="B846" s="5"/>
      <c r="C846" s="16"/>
      <c r="E846" s="5"/>
    </row>
    <row r="847" spans="1:5" ht="12.5">
      <c r="A847" s="76"/>
      <c r="B847" s="5"/>
      <c r="C847" s="16"/>
      <c r="E847" s="5"/>
    </row>
    <row r="848" spans="1:5" ht="12.5">
      <c r="A848" s="76"/>
      <c r="B848" s="5"/>
      <c r="C848" s="16"/>
      <c r="E848" s="5"/>
    </row>
    <row r="849" spans="1:5" ht="12.5">
      <c r="A849" s="76"/>
      <c r="B849" s="5"/>
      <c r="C849" s="16"/>
      <c r="E849" s="5"/>
    </row>
    <row r="850" spans="1:5" ht="12.5">
      <c r="A850" s="76"/>
      <c r="B850" s="5"/>
      <c r="C850" s="16"/>
      <c r="E850" s="5"/>
    </row>
    <row r="851" spans="1:5" ht="12.5">
      <c r="A851" s="76"/>
      <c r="B851" s="5"/>
      <c r="C851" s="16"/>
      <c r="E851" s="5"/>
    </row>
    <row r="852" spans="1:5" ht="12.5">
      <c r="A852" s="76"/>
      <c r="B852" s="5"/>
      <c r="C852" s="16"/>
      <c r="E852" s="5"/>
    </row>
    <row r="853" spans="1:5" ht="12.5">
      <c r="A853" s="76"/>
      <c r="B853" s="5"/>
      <c r="C853" s="16"/>
      <c r="E853" s="5"/>
    </row>
    <row r="854" spans="1:5" ht="12.5">
      <c r="A854" s="76"/>
      <c r="B854" s="5"/>
      <c r="C854" s="16"/>
      <c r="E854" s="5"/>
    </row>
    <row r="855" spans="1:5" ht="12.5">
      <c r="A855" s="76"/>
      <c r="B855" s="5"/>
      <c r="C855" s="16"/>
      <c r="E855" s="5"/>
    </row>
    <row r="856" spans="1:5" ht="12.5">
      <c r="A856" s="76"/>
      <c r="B856" s="5"/>
      <c r="C856" s="16"/>
      <c r="E856" s="5"/>
    </row>
    <row r="857" spans="1:5" ht="12.5">
      <c r="A857" s="76"/>
      <c r="B857" s="5"/>
      <c r="C857" s="16"/>
      <c r="E857" s="5"/>
    </row>
    <row r="858" spans="1:5" ht="12.5">
      <c r="A858" s="76"/>
      <c r="B858" s="5"/>
      <c r="C858" s="16"/>
      <c r="E858" s="5"/>
    </row>
    <row r="859" spans="1:5" ht="12.5">
      <c r="A859" s="76"/>
      <c r="B859" s="5"/>
      <c r="C859" s="16"/>
      <c r="E859" s="5"/>
    </row>
    <row r="860" spans="1:5" ht="12.5">
      <c r="A860" s="76"/>
      <c r="B860" s="5"/>
      <c r="C860" s="16"/>
      <c r="E860" s="5"/>
    </row>
    <row r="861" spans="1:5" ht="12.5">
      <c r="A861" s="76"/>
      <c r="B861" s="5"/>
      <c r="C861" s="16"/>
      <c r="E861" s="5"/>
    </row>
    <row r="862" spans="1:5" ht="12.5">
      <c r="A862" s="76"/>
      <c r="B862" s="5"/>
      <c r="C862" s="16"/>
      <c r="E862" s="5"/>
    </row>
    <row r="863" spans="1:5" ht="12.5">
      <c r="A863" s="76"/>
      <c r="B863" s="5"/>
      <c r="C863" s="16"/>
      <c r="E863" s="5"/>
    </row>
    <row r="864" spans="1:5" ht="12.5">
      <c r="A864" s="76"/>
      <c r="B864" s="5"/>
      <c r="C864" s="16"/>
      <c r="E864" s="5"/>
    </row>
    <row r="865" spans="1:5" ht="12.5">
      <c r="A865" s="76"/>
      <c r="B865" s="5"/>
      <c r="C865" s="16"/>
      <c r="E865" s="5"/>
    </row>
    <row r="866" spans="1:5" ht="12.5">
      <c r="A866" s="76"/>
      <c r="B866" s="5"/>
      <c r="C866" s="16"/>
      <c r="E866" s="5"/>
    </row>
    <row r="867" spans="1:5" ht="12.5">
      <c r="A867" s="76"/>
      <c r="B867" s="5"/>
      <c r="C867" s="16"/>
      <c r="E867" s="5"/>
    </row>
    <row r="868" spans="1:5" ht="12.5">
      <c r="A868" s="76"/>
      <c r="B868" s="5"/>
      <c r="C868" s="16"/>
      <c r="E868" s="5"/>
    </row>
    <row r="869" spans="1:5" ht="12.5">
      <c r="A869" s="76"/>
      <c r="B869" s="5"/>
      <c r="C869" s="16"/>
      <c r="E869" s="5"/>
    </row>
    <row r="870" spans="1:5" ht="12.5">
      <c r="A870" s="76"/>
      <c r="B870" s="5"/>
      <c r="C870" s="16"/>
      <c r="E870" s="5"/>
    </row>
    <row r="871" spans="1:5" ht="12.5">
      <c r="A871" s="76"/>
      <c r="B871" s="5"/>
      <c r="C871" s="16"/>
      <c r="E871" s="5"/>
    </row>
    <row r="872" spans="1:5" ht="12.5">
      <c r="A872" s="76"/>
      <c r="B872" s="5"/>
      <c r="C872" s="16"/>
      <c r="E872" s="5"/>
    </row>
    <row r="873" spans="1:5" ht="12.5">
      <c r="A873" s="76"/>
      <c r="B873" s="5"/>
      <c r="C873" s="16"/>
      <c r="E873" s="5"/>
    </row>
    <row r="874" spans="1:5" ht="12.5">
      <c r="A874" s="76"/>
      <c r="B874" s="5"/>
      <c r="C874" s="16"/>
      <c r="E874" s="5"/>
    </row>
    <row r="875" spans="1:5" ht="12.5">
      <c r="A875" s="76"/>
      <c r="B875" s="5"/>
      <c r="C875" s="16"/>
      <c r="E875" s="5"/>
    </row>
    <row r="876" spans="1:5" ht="12.5">
      <c r="A876" s="76"/>
      <c r="B876" s="5"/>
      <c r="C876" s="16"/>
      <c r="E876" s="5"/>
    </row>
    <row r="877" spans="1:5" ht="12.5">
      <c r="A877" s="76"/>
      <c r="B877" s="5"/>
      <c r="C877" s="16"/>
      <c r="E877" s="5"/>
    </row>
    <row r="878" spans="1:5" ht="12.5">
      <c r="A878" s="76"/>
      <c r="B878" s="5"/>
      <c r="C878" s="16"/>
      <c r="E878" s="5"/>
    </row>
    <row r="879" spans="1:5" ht="12.5">
      <c r="A879" s="76"/>
      <c r="B879" s="5"/>
      <c r="C879" s="16"/>
      <c r="E879" s="5"/>
    </row>
    <row r="880" spans="1:5" ht="12.5">
      <c r="A880" s="76"/>
      <c r="B880" s="5"/>
      <c r="C880" s="16"/>
      <c r="E880" s="5"/>
    </row>
    <row r="881" spans="1:5" ht="12.5">
      <c r="A881" s="76"/>
      <c r="B881" s="5"/>
      <c r="C881" s="16"/>
      <c r="E881" s="5"/>
    </row>
    <row r="882" spans="1:5" ht="12.5">
      <c r="A882" s="76"/>
      <c r="B882" s="5"/>
      <c r="C882" s="16"/>
      <c r="E882" s="5"/>
    </row>
    <row r="883" spans="1:5" ht="12.5">
      <c r="A883" s="76"/>
      <c r="B883" s="5"/>
      <c r="C883" s="16"/>
      <c r="E883" s="5"/>
    </row>
    <row r="884" spans="1:5" ht="12.5">
      <c r="A884" s="76"/>
      <c r="B884" s="5"/>
      <c r="C884" s="16"/>
      <c r="E884" s="5"/>
    </row>
    <row r="885" spans="1:5" ht="12.5">
      <c r="A885" s="76"/>
      <c r="B885" s="5"/>
      <c r="C885" s="16"/>
      <c r="E885" s="5"/>
    </row>
    <row r="886" spans="1:5" ht="12.5">
      <c r="A886" s="76"/>
      <c r="B886" s="5"/>
      <c r="C886" s="16"/>
      <c r="E886" s="5"/>
    </row>
    <row r="887" spans="1:5" ht="12.5">
      <c r="A887" s="76"/>
      <c r="B887" s="5"/>
      <c r="C887" s="16"/>
      <c r="E887" s="5"/>
    </row>
    <row r="888" spans="1:5" ht="12.5">
      <c r="A888" s="76"/>
      <c r="B888" s="5"/>
      <c r="C888" s="16"/>
      <c r="E888" s="5"/>
    </row>
    <row r="889" spans="1:5" ht="12.5">
      <c r="A889" s="76"/>
      <c r="B889" s="5"/>
      <c r="C889" s="16"/>
      <c r="E889" s="5"/>
    </row>
    <row r="890" spans="1:5" ht="12.5">
      <c r="A890" s="76"/>
      <c r="B890" s="5"/>
      <c r="C890" s="16"/>
      <c r="E890" s="5"/>
    </row>
    <row r="891" spans="1:5" ht="12.5">
      <c r="A891" s="76"/>
      <c r="B891" s="5"/>
      <c r="C891" s="16"/>
      <c r="E891" s="5"/>
    </row>
    <row r="892" spans="1:5" ht="12.5">
      <c r="A892" s="76"/>
      <c r="B892" s="5"/>
      <c r="C892" s="16"/>
      <c r="E892" s="5"/>
    </row>
    <row r="893" spans="1:5" ht="12.5">
      <c r="A893" s="76"/>
      <c r="B893" s="5"/>
      <c r="C893" s="16"/>
      <c r="E893" s="5"/>
    </row>
    <row r="894" spans="1:5" ht="12.5">
      <c r="A894" s="76"/>
      <c r="B894" s="5"/>
      <c r="C894" s="16"/>
      <c r="E894" s="5"/>
    </row>
    <row r="895" spans="1:5" ht="12.5">
      <c r="A895" s="76"/>
      <c r="B895" s="5"/>
      <c r="C895" s="16"/>
      <c r="E895" s="5"/>
    </row>
    <row r="896" spans="1:5" ht="12.5">
      <c r="A896" s="76"/>
      <c r="B896" s="5"/>
      <c r="C896" s="16"/>
      <c r="E896" s="5"/>
    </row>
    <row r="897" spans="1:5" ht="12.5">
      <c r="A897" s="76"/>
      <c r="B897" s="5"/>
      <c r="C897" s="16"/>
      <c r="E897" s="5"/>
    </row>
    <row r="898" spans="1:5" ht="12.5">
      <c r="A898" s="76"/>
      <c r="B898" s="5"/>
      <c r="C898" s="16"/>
      <c r="E898" s="5"/>
    </row>
    <row r="899" spans="1:5" ht="12.5">
      <c r="A899" s="76"/>
      <c r="B899" s="5"/>
      <c r="C899" s="16"/>
      <c r="E899" s="5"/>
    </row>
    <row r="900" spans="1:5" ht="12.5">
      <c r="A900" s="76"/>
      <c r="B900" s="5"/>
      <c r="C900" s="16"/>
      <c r="E900" s="5"/>
    </row>
    <row r="901" spans="1:5" ht="12.5">
      <c r="A901" s="76"/>
      <c r="B901" s="5"/>
      <c r="C901" s="16"/>
      <c r="E901" s="5"/>
    </row>
    <row r="902" spans="1:5" ht="12.5">
      <c r="A902" s="76"/>
      <c r="B902" s="5"/>
      <c r="C902" s="16"/>
      <c r="E902" s="5"/>
    </row>
    <row r="903" spans="1:5" ht="12.5">
      <c r="A903" s="76"/>
      <c r="B903" s="5"/>
      <c r="C903" s="16"/>
      <c r="E903" s="5"/>
    </row>
    <row r="904" spans="1:5" ht="12.5">
      <c r="A904" s="76"/>
      <c r="B904" s="5"/>
      <c r="C904" s="16"/>
      <c r="E904" s="5"/>
    </row>
    <row r="905" spans="1:5" ht="12.5">
      <c r="A905" s="76"/>
      <c r="B905" s="5"/>
      <c r="C905" s="16"/>
      <c r="E905" s="5"/>
    </row>
    <row r="906" spans="1:5" ht="12.5">
      <c r="A906" s="76"/>
      <c r="B906" s="5"/>
      <c r="C906" s="16"/>
      <c r="E906" s="5"/>
    </row>
    <row r="907" spans="1:5" ht="12.5">
      <c r="A907" s="76"/>
      <c r="B907" s="5"/>
      <c r="C907" s="16"/>
      <c r="E907" s="5"/>
    </row>
    <row r="908" spans="1:5" ht="12.5">
      <c r="A908" s="76"/>
      <c r="B908" s="5"/>
      <c r="C908" s="16"/>
      <c r="E908" s="5"/>
    </row>
    <row r="909" spans="1:5" ht="12.5">
      <c r="A909" s="76"/>
      <c r="B909" s="5"/>
      <c r="C909" s="16"/>
      <c r="E909" s="5"/>
    </row>
    <row r="910" spans="1:5" ht="12.5">
      <c r="A910" s="76"/>
      <c r="B910" s="5"/>
      <c r="C910" s="16"/>
      <c r="E910" s="5"/>
    </row>
    <row r="911" spans="1:5" ht="12.5">
      <c r="A911" s="76"/>
      <c r="B911" s="5"/>
      <c r="C911" s="16"/>
      <c r="E911" s="5"/>
    </row>
    <row r="912" spans="1:5" ht="12.5">
      <c r="A912" s="76"/>
      <c r="B912" s="5"/>
      <c r="C912" s="16"/>
      <c r="E912" s="5"/>
    </row>
    <row r="913" spans="1:5" ht="12.5">
      <c r="A913" s="76"/>
      <c r="B913" s="5"/>
      <c r="C913" s="16"/>
      <c r="E913" s="5"/>
    </row>
    <row r="914" spans="1:5" ht="12.5">
      <c r="A914" s="76"/>
      <c r="B914" s="5"/>
      <c r="C914" s="16"/>
      <c r="E914" s="5"/>
    </row>
    <row r="915" spans="1:5" ht="12.5">
      <c r="A915" s="76"/>
      <c r="B915" s="5"/>
      <c r="C915" s="16"/>
      <c r="E915" s="5"/>
    </row>
    <row r="916" spans="1:5" ht="12.5">
      <c r="A916" s="76"/>
      <c r="B916" s="5"/>
      <c r="C916" s="16"/>
      <c r="E916" s="5"/>
    </row>
    <row r="917" spans="1:5" ht="12.5">
      <c r="A917" s="76"/>
      <c r="B917" s="5"/>
      <c r="C917" s="16"/>
      <c r="E917" s="5"/>
    </row>
    <row r="918" spans="1:5" ht="12.5">
      <c r="A918" s="76"/>
      <c r="B918" s="5"/>
      <c r="C918" s="16"/>
      <c r="E918" s="5"/>
    </row>
    <row r="919" spans="1:5" ht="12.5">
      <c r="A919" s="76"/>
      <c r="B919" s="5"/>
      <c r="C919" s="16"/>
      <c r="E919" s="5"/>
    </row>
    <row r="920" spans="1:5" ht="12.5">
      <c r="A920" s="76"/>
      <c r="B920" s="5"/>
      <c r="C920" s="16"/>
      <c r="E920" s="5"/>
    </row>
    <row r="921" spans="1:5" ht="12.5">
      <c r="A921" s="76"/>
      <c r="B921" s="5"/>
      <c r="C921" s="16"/>
      <c r="E921" s="5"/>
    </row>
    <row r="922" spans="1:5" ht="12.5">
      <c r="A922" s="76"/>
      <c r="B922" s="5"/>
      <c r="C922" s="16"/>
      <c r="E922" s="5"/>
    </row>
    <row r="923" spans="1:5" ht="12.5">
      <c r="A923" s="76"/>
      <c r="B923" s="5"/>
      <c r="C923" s="16"/>
      <c r="E923" s="5"/>
    </row>
    <row r="924" spans="1:5" ht="12.5">
      <c r="A924" s="76"/>
      <c r="B924" s="5"/>
      <c r="C924" s="16"/>
      <c r="E924" s="5"/>
    </row>
    <row r="925" spans="1:5" ht="12.5">
      <c r="A925" s="76"/>
      <c r="B925" s="5"/>
      <c r="C925" s="16"/>
      <c r="E925" s="5"/>
    </row>
    <row r="926" spans="1:5" ht="12.5">
      <c r="A926" s="76"/>
      <c r="B926" s="5"/>
      <c r="C926" s="16"/>
      <c r="E926" s="5"/>
    </row>
    <row r="927" spans="1:5" ht="12.5">
      <c r="A927" s="76"/>
      <c r="B927" s="5"/>
      <c r="C927" s="16"/>
      <c r="E927" s="5"/>
    </row>
    <row r="928" spans="1:5" ht="12.5">
      <c r="A928" s="76"/>
      <c r="B928" s="5"/>
      <c r="C928" s="16"/>
      <c r="E928" s="5"/>
    </row>
    <row r="929" spans="1:5" ht="12.5">
      <c r="A929" s="76"/>
      <c r="B929" s="5"/>
      <c r="C929" s="16"/>
      <c r="E929" s="5"/>
    </row>
    <row r="930" spans="1:5" ht="12.5">
      <c r="A930" s="76"/>
      <c r="B930" s="5"/>
      <c r="C930" s="16"/>
      <c r="E930" s="5"/>
    </row>
    <row r="931" spans="1:5" ht="12.5">
      <c r="A931" s="76"/>
      <c r="B931" s="5"/>
      <c r="C931" s="16"/>
      <c r="E931" s="5"/>
    </row>
    <row r="932" spans="1:5" ht="12.5">
      <c r="A932" s="76"/>
      <c r="B932" s="5"/>
      <c r="C932" s="16"/>
      <c r="E932" s="5"/>
    </row>
    <row r="933" spans="1:5" ht="12.5">
      <c r="A933" s="76"/>
      <c r="B933" s="5"/>
      <c r="C933" s="16"/>
      <c r="E933" s="5"/>
    </row>
    <row r="934" spans="1:5" ht="12.5">
      <c r="A934" s="76"/>
      <c r="B934" s="5"/>
      <c r="C934" s="16"/>
      <c r="E934" s="5"/>
    </row>
    <row r="935" spans="1:5" ht="12.5">
      <c r="A935" s="76"/>
      <c r="B935" s="5"/>
      <c r="C935" s="16"/>
      <c r="E935" s="5"/>
    </row>
    <row r="936" spans="1:5" ht="12.5">
      <c r="A936" s="76"/>
      <c r="B936" s="5"/>
      <c r="C936" s="16"/>
      <c r="E936" s="5"/>
    </row>
    <row r="937" spans="1:5" ht="12.5">
      <c r="A937" s="76"/>
      <c r="B937" s="5"/>
      <c r="C937" s="16"/>
      <c r="E937" s="5"/>
    </row>
    <row r="938" spans="1:5" ht="12.5">
      <c r="A938" s="76"/>
      <c r="B938" s="5"/>
      <c r="C938" s="16"/>
      <c r="E938" s="5"/>
    </row>
    <row r="939" spans="1:5" ht="12.5">
      <c r="A939" s="76"/>
      <c r="B939" s="5"/>
      <c r="C939" s="16"/>
      <c r="E939" s="5"/>
    </row>
    <row r="940" spans="1:5" ht="12.5">
      <c r="A940" s="76"/>
      <c r="B940" s="5"/>
      <c r="C940" s="16"/>
      <c r="E940" s="5"/>
    </row>
    <row r="941" spans="1:5" ht="12.5">
      <c r="A941" s="76"/>
      <c r="B941" s="5"/>
      <c r="C941" s="16"/>
      <c r="E941" s="5"/>
    </row>
    <row r="942" spans="1:5" ht="12.5">
      <c r="A942" s="76"/>
      <c r="B942" s="5"/>
      <c r="C942" s="16"/>
      <c r="E942" s="5"/>
    </row>
    <row r="943" spans="1:5" ht="12.5">
      <c r="A943" s="76"/>
      <c r="B943" s="5"/>
      <c r="C943" s="16"/>
      <c r="E943" s="5"/>
    </row>
    <row r="944" spans="1:5" ht="12.5">
      <c r="A944" s="76"/>
      <c r="B944" s="5"/>
      <c r="C944" s="16"/>
      <c r="E944" s="5"/>
    </row>
    <row r="945" spans="1:5" ht="12.5">
      <c r="A945" s="76"/>
      <c r="B945" s="5"/>
      <c r="C945" s="16"/>
      <c r="E945" s="5"/>
    </row>
    <row r="946" spans="1:5" ht="12.5">
      <c r="A946" s="76"/>
      <c r="B946" s="5"/>
      <c r="C946" s="16"/>
      <c r="E946" s="5"/>
    </row>
    <row r="947" spans="1:5" ht="12.5">
      <c r="A947" s="76"/>
      <c r="B947" s="5"/>
      <c r="C947" s="16"/>
      <c r="E947" s="5"/>
    </row>
    <row r="948" spans="1:5" ht="12.5">
      <c r="A948" s="76"/>
      <c r="B948" s="5"/>
      <c r="C948" s="16"/>
      <c r="E948" s="5"/>
    </row>
    <row r="949" spans="1:5" ht="12.5">
      <c r="A949" s="76"/>
      <c r="B949" s="5"/>
      <c r="C949" s="16"/>
      <c r="E949" s="5"/>
    </row>
    <row r="950" spans="1:5" ht="12.5">
      <c r="A950" s="76"/>
      <c r="B950" s="5"/>
      <c r="C950" s="16"/>
      <c r="E950" s="5"/>
    </row>
    <row r="951" spans="1:5" ht="12.5">
      <c r="A951" s="76"/>
      <c r="B951" s="5"/>
      <c r="C951" s="16"/>
      <c r="E951" s="5"/>
    </row>
    <row r="952" spans="1:5" ht="12.5">
      <c r="A952" s="76"/>
      <c r="B952" s="5"/>
      <c r="C952" s="16"/>
      <c r="E952" s="5"/>
    </row>
    <row r="953" spans="1:5" ht="12.5">
      <c r="A953" s="76"/>
      <c r="B953" s="5"/>
      <c r="C953" s="16"/>
      <c r="E953" s="5"/>
    </row>
    <row r="954" spans="1:5" ht="12.5">
      <c r="A954" s="76"/>
      <c r="B954" s="5"/>
      <c r="C954" s="16"/>
      <c r="E954" s="5"/>
    </row>
    <row r="955" spans="1:5" ht="12.5">
      <c r="A955" s="76"/>
      <c r="B955" s="5"/>
      <c r="C955" s="16"/>
      <c r="E955" s="5"/>
    </row>
    <row r="956" spans="1:5" ht="12.5">
      <c r="A956" s="76"/>
      <c r="B956" s="5"/>
      <c r="C956" s="16"/>
      <c r="E956" s="5"/>
    </row>
    <row r="957" spans="1:5" ht="12.5">
      <c r="A957" s="76"/>
      <c r="B957" s="5"/>
      <c r="C957" s="16"/>
      <c r="E957" s="5"/>
    </row>
    <row r="958" spans="1:5" ht="12.5">
      <c r="A958" s="76"/>
      <c r="B958" s="5"/>
      <c r="C958" s="16"/>
      <c r="E958" s="5"/>
    </row>
    <row r="959" spans="1:5" ht="12.5">
      <c r="A959" s="76"/>
      <c r="B959" s="5"/>
      <c r="C959" s="16"/>
      <c r="E959" s="5"/>
    </row>
    <row r="960" spans="1:5" ht="12.5">
      <c r="A960" s="76"/>
      <c r="B960" s="5"/>
      <c r="C960" s="16"/>
      <c r="E960" s="5"/>
    </row>
    <row r="961" spans="1:5" ht="12.5">
      <c r="A961" s="76"/>
      <c r="B961" s="5"/>
      <c r="C961" s="16"/>
      <c r="E961" s="5"/>
    </row>
    <row r="962" spans="1:5" ht="12.5">
      <c r="A962" s="76"/>
      <c r="B962" s="5"/>
      <c r="C962" s="16"/>
      <c r="E962" s="5"/>
    </row>
    <row r="963" spans="1:5" ht="12.5">
      <c r="A963" s="76"/>
      <c r="B963" s="5"/>
      <c r="C963" s="16"/>
      <c r="E963" s="5"/>
    </row>
    <row r="964" spans="1:5" ht="12.5">
      <c r="A964" s="76"/>
      <c r="B964" s="5"/>
      <c r="C964" s="16"/>
      <c r="E964" s="5"/>
    </row>
    <row r="965" spans="1:5" ht="12.5">
      <c r="A965" s="76"/>
      <c r="B965" s="5"/>
      <c r="C965" s="16"/>
      <c r="E965" s="5"/>
    </row>
    <row r="966" spans="1:5" ht="12.5">
      <c r="A966" s="76"/>
      <c r="B966" s="5"/>
      <c r="C966" s="16"/>
      <c r="E966" s="5"/>
    </row>
    <row r="967" spans="1:5" ht="12.5">
      <c r="A967" s="76"/>
      <c r="B967" s="5"/>
      <c r="C967" s="16"/>
      <c r="E967" s="5"/>
    </row>
    <row r="968" spans="1:5" ht="12.5">
      <c r="A968" s="76"/>
      <c r="B968" s="5"/>
      <c r="C968" s="16"/>
      <c r="E968" s="5"/>
    </row>
    <row r="969" spans="1:5" ht="12.5">
      <c r="A969" s="76"/>
      <c r="B969" s="5"/>
      <c r="C969" s="16"/>
      <c r="E969" s="5"/>
    </row>
    <row r="970" spans="1:5" ht="12.5">
      <c r="A970" s="76"/>
      <c r="B970" s="5"/>
      <c r="C970" s="16"/>
      <c r="E970" s="5"/>
    </row>
    <row r="971" spans="1:5" ht="12.5">
      <c r="A971" s="76"/>
      <c r="B971" s="5"/>
      <c r="C971" s="16"/>
      <c r="E971" s="5"/>
    </row>
    <row r="972" spans="1:5" ht="12.5">
      <c r="A972" s="76"/>
      <c r="B972" s="5"/>
      <c r="C972" s="16"/>
      <c r="E972" s="5"/>
    </row>
    <row r="973" spans="1:5" ht="12.5">
      <c r="A973" s="76"/>
      <c r="B973" s="5"/>
      <c r="C973" s="16"/>
      <c r="E973" s="5"/>
    </row>
    <row r="974" spans="1:5" ht="12.5">
      <c r="A974" s="76"/>
      <c r="B974" s="5"/>
      <c r="C974" s="16"/>
      <c r="E974" s="5"/>
    </row>
    <row r="975" spans="1:5" ht="12.5">
      <c r="A975" s="76"/>
      <c r="B975" s="5"/>
      <c r="C975" s="16"/>
      <c r="E975" s="5"/>
    </row>
    <row r="976" spans="1:5" ht="12.5">
      <c r="A976" s="76"/>
      <c r="B976" s="5"/>
      <c r="C976" s="16"/>
      <c r="E976" s="5"/>
    </row>
    <row r="977" spans="1:5" ht="12.5">
      <c r="A977" s="76"/>
      <c r="B977" s="5"/>
      <c r="C977" s="16"/>
      <c r="E977" s="5"/>
    </row>
    <row r="978" spans="1:5" ht="12.5">
      <c r="A978" s="76"/>
      <c r="B978" s="5"/>
      <c r="C978" s="16"/>
      <c r="E978" s="5"/>
    </row>
    <row r="979" spans="1:5" ht="12.5">
      <c r="A979" s="76"/>
      <c r="B979" s="5"/>
      <c r="C979" s="16"/>
      <c r="E979" s="5"/>
    </row>
    <row r="980" spans="1:5" ht="12.5">
      <c r="A980" s="76"/>
      <c r="B980" s="5"/>
      <c r="C980" s="16"/>
      <c r="E980" s="5"/>
    </row>
    <row r="981" spans="1:5" ht="12.5">
      <c r="A981" s="76"/>
      <c r="B981" s="5"/>
      <c r="C981" s="16"/>
      <c r="E981" s="5"/>
    </row>
    <row r="982" spans="1:5" ht="12.5">
      <c r="A982" s="76"/>
      <c r="B982" s="5"/>
      <c r="C982" s="16"/>
      <c r="E982" s="5"/>
    </row>
    <row r="983" spans="1:5" ht="12.5">
      <c r="A983" s="76"/>
      <c r="B983" s="5"/>
      <c r="C983" s="16"/>
      <c r="E983" s="5"/>
    </row>
    <row r="984" spans="1:5" ht="12.5">
      <c r="A984" s="76"/>
      <c r="B984" s="5"/>
      <c r="C984" s="16"/>
      <c r="E984" s="5"/>
    </row>
    <row r="985" spans="1:5" ht="12.5">
      <c r="A985" s="76"/>
      <c r="B985" s="5"/>
      <c r="C985" s="16"/>
      <c r="E985" s="5"/>
    </row>
    <row r="986" spans="1:5" ht="12.5">
      <c r="A986" s="76"/>
      <c r="B986" s="5"/>
      <c r="C986" s="16"/>
      <c r="E986" s="5"/>
    </row>
    <row r="987" spans="1:5" ht="12.5">
      <c r="A987" s="76"/>
      <c r="B987" s="5"/>
      <c r="C987" s="16"/>
      <c r="E987" s="5"/>
    </row>
    <row r="988" spans="1:5" ht="12.5">
      <c r="A988" s="76"/>
      <c r="B988" s="5"/>
      <c r="C988" s="16"/>
      <c r="E988" s="5"/>
    </row>
    <row r="989" spans="1:5" ht="12.5">
      <c r="A989" s="76"/>
      <c r="B989" s="5"/>
      <c r="C989" s="16"/>
      <c r="E989" s="5"/>
    </row>
    <row r="990" spans="1:5" ht="12.5">
      <c r="A990" s="76"/>
      <c r="B990" s="5"/>
      <c r="C990" s="16"/>
      <c r="E990" s="5"/>
    </row>
    <row r="991" spans="1:5" ht="12.5">
      <c r="A991" s="76"/>
      <c r="B991" s="5"/>
      <c r="C991" s="16"/>
      <c r="E991" s="5"/>
    </row>
    <row r="992" spans="1:5" ht="12.5">
      <c r="A992" s="76"/>
      <c r="B992" s="5"/>
      <c r="C992" s="16"/>
      <c r="E992" s="5"/>
    </row>
    <row r="993" spans="1:5" ht="12.5">
      <c r="A993" s="76"/>
      <c r="B993" s="5"/>
      <c r="C993" s="16"/>
      <c r="E993" s="5"/>
    </row>
    <row r="994" spans="1:5" ht="12.5">
      <c r="A994" s="76"/>
      <c r="B994" s="5"/>
      <c r="C994" s="16"/>
      <c r="E994" s="5"/>
    </row>
    <row r="995" spans="1:5" ht="12.5">
      <c r="A995" s="76"/>
      <c r="B995" s="5"/>
      <c r="C995" s="16"/>
      <c r="E995" s="5"/>
    </row>
    <row r="996" spans="1:5" ht="12.5">
      <c r="A996" s="76"/>
      <c r="B996" s="5"/>
      <c r="C996" s="16"/>
      <c r="E996" s="5"/>
    </row>
    <row r="997" spans="1:5" ht="12.5">
      <c r="A997" s="76"/>
      <c r="B997" s="5"/>
      <c r="C997" s="16"/>
      <c r="E997" s="5"/>
    </row>
    <row r="998" spans="1:5" ht="12.5">
      <c r="A998" s="76"/>
      <c r="B998" s="5"/>
      <c r="C998" s="16"/>
      <c r="E998" s="5"/>
    </row>
    <row r="999" spans="1:5" ht="12.5">
      <c r="A999" s="76"/>
      <c r="B999" s="5"/>
      <c r="C999" s="16"/>
      <c r="E999" s="5"/>
    </row>
    <row r="1000" spans="1:5" ht="12.5">
      <c r="A1000" s="76"/>
      <c r="B1000" s="5"/>
      <c r="C1000" s="16"/>
      <c r="E1000" s="5"/>
    </row>
    <row r="1001" spans="1:5" ht="12.5">
      <c r="A1001" s="76"/>
      <c r="C1001" s="16"/>
      <c r="E1001" s="5"/>
    </row>
  </sheetData>
  <conditionalFormatting sqref="A2:J1000">
    <cfRule type="expression" dxfId="9" priority="1">
      <formula>$E2="Pessoa 2"</formula>
    </cfRule>
    <cfRule type="expression" dxfId="8" priority="2">
      <formula>$E2="Pessoa 1"</formula>
    </cfRule>
  </conditionalFormatting>
  <dataValidations count="3">
    <dataValidation type="list" allowBlank="1" showErrorMessage="1" sqref="E2:E1001" xr:uid="{00000000-0002-0000-0A00-000000000000}">
      <formula1>"Pessoa 1,Pessoa 2"</formula1>
    </dataValidation>
    <dataValidation type="list" allowBlank="1" showErrorMessage="1" sqref="B2:B1000" xr:uid="{00000000-0002-0000-0A00-000001000000}">
      <formula1>"Aluguel_Cond,Home Supplies,Energia_Gás_Água_Esgoto,Internet_Telefonia,Comida_Alimentação,Manutenção_Casa,Móveis_Aparelhos_Decoração,Transporte Geral &amp; Coletivo,Transporte Uber &amp; Apps,Saúde,Academia &amp; Fitness,Educação,Roupa_Acessorios,Entretenimento_&amp;_Rest"&amp;"aurantes,Viagem/Vacation,Work-related,Imposto (IPVA-IPTU-etc),Outros,Investimento (aporte),Gasto Pessoal"</formula1>
    </dataValidation>
    <dataValidation type="custom" allowBlank="1" showDropDown="1" showErrorMessage="1" sqref="A2:A1001" xr:uid="{00000000-0002-0000-0A00-000002000000}">
      <formula1>OR(NOT(ISERROR(DATEVALUE(A2))), AND(ISNUMBER(A2), LEFT(CELL("format", A2))="D"))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6D9EEB"/>
    <outlinePr summaryBelow="0" summaryRight="0"/>
  </sheetPr>
  <dimension ref="A1:J100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2.6328125" defaultRowHeight="15.75" customHeight="1"/>
  <cols>
    <col min="1" max="1" width="18.08984375" customWidth="1"/>
    <col min="2" max="2" width="30.36328125" customWidth="1"/>
    <col min="3" max="3" width="22.36328125" customWidth="1"/>
    <col min="4" max="4" width="60.90625" customWidth="1"/>
    <col min="5" max="5" width="12.7265625" customWidth="1"/>
    <col min="6" max="6" width="44.90625" customWidth="1"/>
    <col min="7" max="7" width="6.90625" customWidth="1"/>
    <col min="9" max="9" width="43.08984375" customWidth="1"/>
  </cols>
  <sheetData>
    <row r="1" spans="1:10">
      <c r="A1" s="77" t="s">
        <v>344</v>
      </c>
      <c r="B1" s="14" t="s">
        <v>103</v>
      </c>
      <c r="C1" s="72" t="s">
        <v>104</v>
      </c>
      <c r="D1" s="14" t="s">
        <v>105</v>
      </c>
      <c r="E1" s="14" t="s">
        <v>106</v>
      </c>
      <c r="F1" s="12"/>
      <c r="H1" s="12"/>
      <c r="I1" s="12"/>
    </row>
    <row r="2" spans="1:10" ht="15.75" customHeight="1">
      <c r="A2" s="78" t="s">
        <v>345</v>
      </c>
      <c r="B2" s="38" t="s">
        <v>33</v>
      </c>
      <c r="C2" s="75">
        <v>533.46794952761525</v>
      </c>
      <c r="D2" s="32" t="s">
        <v>346</v>
      </c>
      <c r="E2" s="32" t="s">
        <v>64</v>
      </c>
      <c r="F2" s="5"/>
      <c r="G2" s="5"/>
      <c r="H2" s="15"/>
      <c r="I2" s="5"/>
      <c r="J2" s="5"/>
    </row>
    <row r="3" spans="1:10" ht="15.75" customHeight="1">
      <c r="A3" s="78" t="s">
        <v>347</v>
      </c>
      <c r="B3" s="38" t="s">
        <v>40</v>
      </c>
      <c r="C3" s="75">
        <v>582.75045843522128</v>
      </c>
      <c r="D3" s="32" t="s">
        <v>348</v>
      </c>
      <c r="E3" s="32" t="s">
        <v>65</v>
      </c>
      <c r="F3" s="5"/>
      <c r="G3" s="5"/>
      <c r="H3" s="15"/>
      <c r="I3" s="5"/>
      <c r="J3" s="5"/>
    </row>
    <row r="4" spans="1:10" ht="15.75" customHeight="1">
      <c r="A4" s="78" t="s">
        <v>349</v>
      </c>
      <c r="B4" s="38" t="s">
        <v>109</v>
      </c>
      <c r="C4" s="75">
        <v>161.2650648519903</v>
      </c>
      <c r="D4" s="32" t="s">
        <v>350</v>
      </c>
      <c r="E4" s="32" t="s">
        <v>64</v>
      </c>
      <c r="F4" s="5"/>
      <c r="G4" s="5"/>
      <c r="H4" s="15"/>
      <c r="I4" s="5"/>
      <c r="J4" s="5"/>
    </row>
    <row r="5" spans="1:10" ht="15.75" customHeight="1">
      <c r="A5" s="78" t="s">
        <v>351</v>
      </c>
      <c r="B5" s="38" t="s">
        <v>40</v>
      </c>
      <c r="C5" s="75">
        <v>434.3147153478061</v>
      </c>
      <c r="D5" s="32" t="s">
        <v>352</v>
      </c>
      <c r="E5" s="32" t="s">
        <v>64</v>
      </c>
      <c r="F5" s="5"/>
      <c r="G5" s="5"/>
      <c r="H5" s="15"/>
      <c r="I5" s="5"/>
      <c r="J5" s="5"/>
    </row>
    <row r="6" spans="1:10" ht="15.75" customHeight="1">
      <c r="A6" s="78" t="s">
        <v>353</v>
      </c>
      <c r="B6" s="38" t="s">
        <v>33</v>
      </c>
      <c r="C6" s="75">
        <v>231.83277213523394</v>
      </c>
      <c r="D6" s="32" t="s">
        <v>354</v>
      </c>
      <c r="E6" s="32" t="s">
        <v>65</v>
      </c>
      <c r="F6" s="5"/>
      <c r="G6" s="5"/>
      <c r="H6" s="15"/>
      <c r="I6" s="5"/>
      <c r="J6" s="5"/>
    </row>
    <row r="7" spans="1:10" ht="15.75" customHeight="1">
      <c r="A7" s="78" t="s">
        <v>353</v>
      </c>
      <c r="B7" s="38" t="s">
        <v>51</v>
      </c>
      <c r="C7" s="75">
        <v>143.05242681252275</v>
      </c>
      <c r="D7" s="32" t="s">
        <v>355</v>
      </c>
      <c r="E7" s="32" t="s">
        <v>64</v>
      </c>
      <c r="F7" s="5"/>
      <c r="G7" s="5"/>
      <c r="H7" s="15"/>
      <c r="I7" s="5"/>
      <c r="J7" s="5"/>
    </row>
    <row r="8" spans="1:10" ht="15.75" customHeight="1">
      <c r="A8" s="78" t="s">
        <v>345</v>
      </c>
      <c r="B8" s="38" t="s">
        <v>48</v>
      </c>
      <c r="C8" s="75">
        <v>485.72253990992732</v>
      </c>
      <c r="D8" s="32" t="s">
        <v>356</v>
      </c>
      <c r="E8" s="32" t="s">
        <v>65</v>
      </c>
      <c r="F8" s="5"/>
      <c r="G8" s="5"/>
      <c r="H8" s="15"/>
      <c r="I8" s="5"/>
      <c r="J8" s="5"/>
    </row>
    <row r="9" spans="1:10" ht="15.75" customHeight="1">
      <c r="A9" s="78" t="s">
        <v>357</v>
      </c>
      <c r="B9" s="38" t="s">
        <v>43</v>
      </c>
      <c r="C9" s="75">
        <v>47.830634740334851</v>
      </c>
      <c r="D9" s="32" t="s">
        <v>358</v>
      </c>
      <c r="E9" s="32" t="s">
        <v>64</v>
      </c>
      <c r="F9" s="5"/>
      <c r="G9" s="5"/>
      <c r="H9" s="15"/>
      <c r="I9" s="5"/>
      <c r="J9" s="5"/>
    </row>
    <row r="10" spans="1:10" ht="15.75" customHeight="1">
      <c r="A10" s="78" t="s">
        <v>345</v>
      </c>
      <c r="B10" s="38" t="s">
        <v>48</v>
      </c>
      <c r="C10" s="75">
        <v>488.77016056202427</v>
      </c>
      <c r="D10" s="32" t="s">
        <v>356</v>
      </c>
      <c r="E10" s="32" t="s">
        <v>64</v>
      </c>
      <c r="F10" s="5"/>
      <c r="G10" s="5"/>
      <c r="H10" s="15"/>
      <c r="I10" s="5"/>
      <c r="J10" s="5"/>
    </row>
    <row r="11" spans="1:10" ht="15.75" customHeight="1">
      <c r="A11" s="78" t="s">
        <v>359</v>
      </c>
      <c r="B11" s="38" t="s">
        <v>109</v>
      </c>
      <c r="C11" s="75">
        <v>147.91673956825335</v>
      </c>
      <c r="D11" s="32" t="s">
        <v>360</v>
      </c>
      <c r="E11" s="32" t="s">
        <v>65</v>
      </c>
      <c r="F11" s="5"/>
      <c r="G11" s="5"/>
      <c r="H11" s="15"/>
      <c r="I11" s="5"/>
      <c r="J11" s="5"/>
    </row>
    <row r="12" spans="1:10" ht="15.75" customHeight="1">
      <c r="A12" s="78" t="s">
        <v>361</v>
      </c>
      <c r="B12" s="38" t="s">
        <v>44</v>
      </c>
      <c r="C12" s="75">
        <v>478.9792416654758</v>
      </c>
      <c r="D12" s="32" t="s">
        <v>362</v>
      </c>
      <c r="E12" s="32" t="s">
        <v>64</v>
      </c>
      <c r="F12" s="5"/>
      <c r="G12" s="5"/>
      <c r="H12" s="15"/>
      <c r="I12" s="5"/>
      <c r="J12" s="5"/>
    </row>
    <row r="13" spans="1:10" ht="15.75" customHeight="1">
      <c r="A13" s="78" t="s">
        <v>349</v>
      </c>
      <c r="B13" s="38" t="s">
        <v>42</v>
      </c>
      <c r="C13" s="75">
        <v>570.09817608903336</v>
      </c>
      <c r="D13" s="32" t="s">
        <v>363</v>
      </c>
      <c r="E13" s="32" t="s">
        <v>64</v>
      </c>
      <c r="F13" s="5"/>
      <c r="G13" s="5"/>
      <c r="H13" s="15"/>
      <c r="I13" s="5"/>
      <c r="J13" s="5"/>
    </row>
    <row r="14" spans="1:10" ht="15.75" customHeight="1">
      <c r="A14" s="78" t="s">
        <v>353</v>
      </c>
      <c r="B14" s="38" t="s">
        <v>33</v>
      </c>
      <c r="C14" s="75">
        <v>483.9204087195061</v>
      </c>
      <c r="D14" s="32" t="s">
        <v>354</v>
      </c>
      <c r="E14" s="32" t="s">
        <v>65</v>
      </c>
      <c r="F14" s="5"/>
      <c r="G14" s="5"/>
      <c r="H14" s="15"/>
      <c r="I14" s="5"/>
      <c r="J14" s="5"/>
    </row>
    <row r="15" spans="1:10" ht="15.75" customHeight="1">
      <c r="A15" s="78" t="s">
        <v>364</v>
      </c>
      <c r="B15" s="38" t="s">
        <v>37</v>
      </c>
      <c r="C15" s="75">
        <v>142.05349644764848</v>
      </c>
      <c r="D15" s="32" t="s">
        <v>365</v>
      </c>
      <c r="E15" s="32" t="s">
        <v>65</v>
      </c>
      <c r="F15" s="5"/>
      <c r="G15" s="5"/>
      <c r="H15" s="15"/>
      <c r="I15" s="5"/>
      <c r="J15" s="5"/>
    </row>
    <row r="16" spans="1:10" ht="15.75" customHeight="1">
      <c r="A16" s="78" t="s">
        <v>366</v>
      </c>
      <c r="B16" s="38" t="s">
        <v>48</v>
      </c>
      <c r="C16" s="75">
        <v>559.15433324496371</v>
      </c>
      <c r="D16" s="32" t="s">
        <v>367</v>
      </c>
      <c r="E16" s="32" t="s">
        <v>64</v>
      </c>
      <c r="F16" s="5"/>
      <c r="G16" s="5"/>
      <c r="H16" s="15"/>
      <c r="I16" s="5"/>
      <c r="J16" s="5"/>
    </row>
    <row r="17" spans="1:10" ht="15.75" customHeight="1">
      <c r="A17" s="78" t="s">
        <v>368</v>
      </c>
      <c r="B17" s="38" t="s">
        <v>46</v>
      </c>
      <c r="C17" s="75">
        <v>429.51574628153639</v>
      </c>
      <c r="D17" s="32" t="s">
        <v>369</v>
      </c>
      <c r="E17" s="32" t="s">
        <v>64</v>
      </c>
      <c r="F17" s="5"/>
      <c r="G17" s="5"/>
      <c r="H17" s="15"/>
      <c r="I17" s="5"/>
      <c r="J17" s="5"/>
    </row>
    <row r="18" spans="1:10" ht="15.75" customHeight="1">
      <c r="A18" s="78" t="s">
        <v>345</v>
      </c>
      <c r="B18" s="38" t="s">
        <v>48</v>
      </c>
      <c r="C18" s="75">
        <v>435.41875293593938</v>
      </c>
      <c r="D18" s="32" t="s">
        <v>356</v>
      </c>
      <c r="E18" s="32" t="s">
        <v>64</v>
      </c>
      <c r="F18" s="5"/>
      <c r="G18" s="5"/>
      <c r="H18" s="15"/>
      <c r="I18" s="5"/>
      <c r="J18" s="5"/>
    </row>
    <row r="19" spans="1:10" ht="15.75" customHeight="1">
      <c r="A19" s="78" t="s">
        <v>370</v>
      </c>
      <c r="B19" s="38" t="s">
        <v>109</v>
      </c>
      <c r="C19" s="75">
        <v>414.11211227140916</v>
      </c>
      <c r="D19" s="32" t="s">
        <v>371</v>
      </c>
      <c r="E19" s="32" t="s">
        <v>65</v>
      </c>
      <c r="F19" s="5"/>
      <c r="G19" s="5"/>
      <c r="H19" s="15"/>
      <c r="I19" s="5"/>
      <c r="J19" s="5"/>
    </row>
    <row r="20" spans="1:10" ht="15.75" customHeight="1">
      <c r="A20" s="78" t="s">
        <v>368</v>
      </c>
      <c r="B20" s="38" t="s">
        <v>44</v>
      </c>
      <c r="C20" s="75">
        <v>116.63071705913121</v>
      </c>
      <c r="D20" s="32" t="s">
        <v>372</v>
      </c>
      <c r="E20" s="32" t="s">
        <v>64</v>
      </c>
      <c r="F20" s="5"/>
      <c r="G20" s="5"/>
      <c r="H20" s="15"/>
      <c r="I20" s="5"/>
      <c r="J20" s="5"/>
    </row>
    <row r="21" spans="1:10" ht="15.75" customHeight="1">
      <c r="A21" s="78" t="s">
        <v>373</v>
      </c>
      <c r="B21" s="38" t="s">
        <v>31</v>
      </c>
      <c r="C21" s="75">
        <v>88.210704276925156</v>
      </c>
      <c r="D21" s="32" t="s">
        <v>374</v>
      </c>
      <c r="E21" s="32" t="s">
        <v>65</v>
      </c>
      <c r="F21" s="5"/>
      <c r="G21" s="5"/>
      <c r="H21" s="15"/>
      <c r="I21" s="5"/>
      <c r="J21" s="5"/>
    </row>
    <row r="22" spans="1:10" ht="15.75" customHeight="1">
      <c r="A22" s="78" t="s">
        <v>375</v>
      </c>
      <c r="B22" s="38" t="s">
        <v>52</v>
      </c>
      <c r="C22" s="75">
        <v>412.47042147397275</v>
      </c>
      <c r="D22" s="32" t="s">
        <v>376</v>
      </c>
      <c r="E22" s="32" t="s">
        <v>65</v>
      </c>
      <c r="F22" s="5"/>
      <c r="G22" s="5"/>
      <c r="H22" s="15"/>
      <c r="I22" s="5"/>
      <c r="J22" s="5"/>
    </row>
    <row r="23" spans="1:10" ht="15.75" customHeight="1">
      <c r="A23" s="76"/>
      <c r="B23" s="15"/>
      <c r="C23" s="16"/>
      <c r="E23" s="5"/>
      <c r="H23" s="15"/>
    </row>
    <row r="24" spans="1:10" ht="15.75" customHeight="1">
      <c r="A24" s="76"/>
      <c r="B24" s="15"/>
      <c r="C24" s="16"/>
      <c r="E24" s="5"/>
    </row>
    <row r="25" spans="1:10" ht="15.75" customHeight="1">
      <c r="A25" s="76"/>
      <c r="B25" s="15"/>
      <c r="C25" s="16"/>
      <c r="E25" s="5"/>
      <c r="H25" s="15"/>
    </row>
    <row r="26" spans="1:10" ht="15.75" customHeight="1">
      <c r="A26" s="76"/>
      <c r="B26" s="15"/>
      <c r="C26" s="16"/>
      <c r="E26" s="5"/>
      <c r="H26" s="15"/>
    </row>
    <row r="27" spans="1:10" ht="15.75" customHeight="1">
      <c r="A27" s="76"/>
      <c r="B27" s="15"/>
      <c r="C27" s="16"/>
      <c r="E27" s="5"/>
      <c r="H27" s="15"/>
    </row>
    <row r="28" spans="1:10" ht="15.75" customHeight="1">
      <c r="A28" s="76"/>
      <c r="B28" s="15"/>
      <c r="C28" s="16"/>
      <c r="E28" s="5"/>
      <c r="H28" s="15"/>
    </row>
    <row r="29" spans="1:10" ht="15.75" customHeight="1">
      <c r="A29" s="76"/>
      <c r="B29" s="15"/>
      <c r="C29" s="16"/>
      <c r="E29" s="5"/>
      <c r="H29" s="15"/>
    </row>
    <row r="30" spans="1:10" ht="15.75" customHeight="1">
      <c r="A30" s="76"/>
      <c r="B30" s="15"/>
      <c r="C30" s="16"/>
      <c r="E30" s="5"/>
      <c r="H30" s="15"/>
    </row>
    <row r="31" spans="1:10" ht="15.75" customHeight="1">
      <c r="A31" s="76"/>
      <c r="B31" s="15"/>
      <c r="C31" s="16"/>
      <c r="E31" s="5"/>
      <c r="H31" s="15"/>
    </row>
    <row r="32" spans="1:10" ht="15.75" customHeight="1">
      <c r="A32" s="76"/>
      <c r="B32" s="15"/>
      <c r="C32" s="16"/>
      <c r="E32" s="5"/>
      <c r="H32" s="15"/>
    </row>
    <row r="33" spans="1:9" ht="15.75" customHeight="1">
      <c r="A33" s="76"/>
      <c r="B33" s="15"/>
      <c r="C33" s="16"/>
      <c r="E33" s="5"/>
      <c r="H33" s="15"/>
    </row>
    <row r="34" spans="1:9" ht="15.75" customHeight="1">
      <c r="A34" s="76"/>
      <c r="B34" s="15"/>
      <c r="C34" s="16"/>
      <c r="E34" s="5"/>
      <c r="H34" s="15"/>
    </row>
    <row r="35" spans="1:9" ht="15.75" customHeight="1">
      <c r="A35" s="76"/>
      <c r="B35" s="15"/>
      <c r="C35" s="16"/>
      <c r="E35" s="5"/>
      <c r="H35" s="15"/>
    </row>
    <row r="36" spans="1:9" ht="15.75" customHeight="1">
      <c r="A36" s="76"/>
      <c r="B36" s="15"/>
      <c r="C36" s="16"/>
      <c r="E36" s="5"/>
      <c r="H36" s="15"/>
    </row>
    <row r="37" spans="1:9" ht="15.75" customHeight="1">
      <c r="A37" s="76"/>
      <c r="B37" s="15"/>
      <c r="C37" s="16"/>
      <c r="E37" s="5"/>
      <c r="H37" s="15"/>
    </row>
    <row r="38" spans="1:9" ht="15.75" customHeight="1">
      <c r="A38" s="76"/>
      <c r="B38" s="15"/>
      <c r="C38" s="16"/>
      <c r="E38" s="5"/>
      <c r="H38" s="15"/>
    </row>
    <row r="39" spans="1:9" ht="15.75" customHeight="1">
      <c r="A39" s="76"/>
      <c r="B39" s="15"/>
      <c r="C39" s="16"/>
      <c r="E39" s="5"/>
      <c r="H39" s="15"/>
    </row>
    <row r="40" spans="1:9" ht="15.75" customHeight="1">
      <c r="A40" s="76"/>
      <c r="B40" s="15"/>
      <c r="C40" s="16"/>
      <c r="E40" s="5"/>
      <c r="H40" s="15"/>
    </row>
    <row r="41" spans="1:9" ht="15.75" customHeight="1">
      <c r="A41" s="76"/>
      <c r="B41" s="15"/>
      <c r="C41" s="16"/>
      <c r="E41" s="5"/>
      <c r="H41" s="15"/>
    </row>
    <row r="42" spans="1:9" ht="15.75" customHeight="1">
      <c r="A42" s="76"/>
      <c r="B42" s="15"/>
      <c r="C42" s="16"/>
      <c r="E42" s="5"/>
      <c r="H42" s="15"/>
    </row>
    <row r="43" spans="1:9" ht="15.75" customHeight="1">
      <c r="A43" s="76"/>
      <c r="B43" s="15"/>
      <c r="C43" s="16"/>
      <c r="E43" s="5"/>
      <c r="H43" s="15"/>
    </row>
    <row r="44" spans="1:9" ht="15.75" customHeight="1">
      <c r="A44" s="76"/>
      <c r="B44" s="15"/>
      <c r="C44" s="16"/>
      <c r="E44" s="5"/>
      <c r="F44" s="32"/>
      <c r="H44" s="15"/>
      <c r="I44" s="5"/>
    </row>
    <row r="45" spans="1:9" ht="15.75" customHeight="1">
      <c r="A45" s="76"/>
      <c r="B45" s="15"/>
      <c r="C45" s="16"/>
      <c r="E45" s="5"/>
      <c r="F45" s="32"/>
      <c r="H45" s="15"/>
      <c r="I45" s="5"/>
    </row>
    <row r="46" spans="1:9" ht="15.75" customHeight="1">
      <c r="A46" s="76"/>
      <c r="B46" s="15"/>
      <c r="C46" s="16"/>
      <c r="E46" s="5"/>
      <c r="F46" s="32"/>
      <c r="H46" s="15"/>
    </row>
    <row r="47" spans="1:9" ht="15.75" customHeight="1">
      <c r="A47" s="76"/>
      <c r="B47" s="15"/>
      <c r="C47" s="16"/>
      <c r="E47" s="5"/>
      <c r="H47" s="15"/>
    </row>
    <row r="48" spans="1:9" ht="15.75" customHeight="1">
      <c r="A48" s="76"/>
      <c r="B48" s="15"/>
      <c r="C48" s="16"/>
      <c r="E48" s="5"/>
      <c r="H48" s="15"/>
    </row>
    <row r="49" spans="1:8" ht="15.75" customHeight="1">
      <c r="A49" s="76"/>
      <c r="B49" s="15"/>
      <c r="C49" s="16"/>
      <c r="E49" s="5"/>
      <c r="H49" s="15"/>
    </row>
    <row r="50" spans="1:8" ht="15.75" customHeight="1">
      <c r="A50" s="76"/>
      <c r="B50" s="15"/>
      <c r="C50" s="16"/>
      <c r="E50" s="5"/>
      <c r="H50" s="15"/>
    </row>
    <row r="51" spans="1:8" ht="15.75" customHeight="1">
      <c r="A51" s="76"/>
      <c r="B51" s="15"/>
      <c r="C51" s="16"/>
      <c r="E51" s="5"/>
      <c r="H51" s="15"/>
    </row>
    <row r="52" spans="1:8" ht="15.75" customHeight="1">
      <c r="A52" s="76"/>
      <c r="B52" s="15"/>
      <c r="C52" s="16"/>
      <c r="E52" s="5"/>
      <c r="H52" s="15"/>
    </row>
    <row r="53" spans="1:8" ht="15.75" customHeight="1">
      <c r="A53" s="76"/>
      <c r="B53" s="15"/>
      <c r="C53" s="16"/>
      <c r="E53" s="5"/>
      <c r="H53" s="15"/>
    </row>
    <row r="54" spans="1:8" ht="15.75" customHeight="1">
      <c r="A54" s="76"/>
      <c r="B54" s="15"/>
      <c r="C54" s="16"/>
      <c r="E54" s="5"/>
      <c r="H54" s="15"/>
    </row>
    <row r="55" spans="1:8" ht="15.75" customHeight="1">
      <c r="A55" s="76"/>
      <c r="B55" s="15"/>
      <c r="C55" s="16"/>
      <c r="E55" s="5"/>
      <c r="H55" s="15"/>
    </row>
    <row r="56" spans="1:8" ht="15.75" customHeight="1">
      <c r="A56" s="76"/>
      <c r="B56" s="15"/>
      <c r="C56" s="16"/>
      <c r="E56" s="5"/>
      <c r="H56" s="15"/>
    </row>
    <row r="57" spans="1:8" ht="12.5">
      <c r="A57" s="76"/>
      <c r="B57" s="15"/>
      <c r="C57" s="16"/>
      <c r="E57" s="5"/>
      <c r="H57" s="15"/>
    </row>
    <row r="58" spans="1:8" ht="12.5">
      <c r="A58" s="76"/>
      <c r="B58" s="15"/>
      <c r="C58" s="16"/>
      <c r="E58" s="5"/>
      <c r="H58" s="15"/>
    </row>
    <row r="59" spans="1:8" ht="12.5">
      <c r="A59" s="76"/>
      <c r="B59" s="15"/>
      <c r="C59" s="16"/>
      <c r="E59" s="5"/>
      <c r="H59" s="15"/>
    </row>
    <row r="60" spans="1:8" ht="12.5">
      <c r="A60" s="76"/>
      <c r="B60" s="15"/>
      <c r="C60" s="16"/>
      <c r="E60" s="5"/>
      <c r="H60" s="15"/>
    </row>
    <row r="61" spans="1:8" ht="12.5">
      <c r="A61" s="76"/>
      <c r="B61" s="15"/>
      <c r="C61" s="16"/>
      <c r="E61" s="5"/>
      <c r="H61" s="15"/>
    </row>
    <row r="62" spans="1:8" ht="12.5">
      <c r="A62" s="76"/>
      <c r="B62" s="15"/>
      <c r="C62" s="16"/>
      <c r="E62" s="5"/>
      <c r="H62" s="15"/>
    </row>
    <row r="63" spans="1:8" ht="12.5">
      <c r="A63" s="76"/>
      <c r="B63" s="15"/>
      <c r="C63" s="16"/>
      <c r="E63" s="5"/>
      <c r="H63" s="15"/>
    </row>
    <row r="64" spans="1:8" ht="12.5">
      <c r="A64" s="76"/>
      <c r="B64" s="15"/>
      <c r="C64" s="16"/>
      <c r="E64" s="5"/>
      <c r="H64" s="15"/>
    </row>
    <row r="65" spans="1:8" ht="12.5">
      <c r="A65" s="76"/>
      <c r="B65" s="15"/>
      <c r="C65" s="16"/>
      <c r="E65" s="5"/>
      <c r="H65" s="15"/>
    </row>
    <row r="66" spans="1:8" ht="12.5">
      <c r="A66" s="76"/>
      <c r="B66" s="15"/>
      <c r="C66" s="16"/>
      <c r="E66" s="5"/>
      <c r="H66" s="15"/>
    </row>
    <row r="67" spans="1:8" ht="12.5">
      <c r="A67" s="76"/>
      <c r="B67" s="15"/>
      <c r="C67" s="16"/>
      <c r="E67" s="5"/>
      <c r="H67" s="15"/>
    </row>
    <row r="68" spans="1:8" ht="12.5">
      <c r="A68" s="76"/>
      <c r="B68" s="15"/>
      <c r="C68" s="16"/>
      <c r="E68" s="5"/>
      <c r="H68" s="15"/>
    </row>
    <row r="69" spans="1:8" ht="12.5">
      <c r="A69" s="76"/>
      <c r="B69" s="15"/>
      <c r="C69" s="16"/>
      <c r="E69" s="5"/>
      <c r="H69" s="15"/>
    </row>
    <row r="70" spans="1:8" ht="12.5">
      <c r="A70" s="76"/>
      <c r="B70" s="15"/>
      <c r="C70" s="16"/>
      <c r="E70" s="5"/>
      <c r="H70" s="15"/>
    </row>
    <row r="71" spans="1:8" ht="12.5">
      <c r="A71" s="76"/>
      <c r="B71" s="5"/>
      <c r="C71" s="16"/>
      <c r="E71" s="5"/>
    </row>
    <row r="72" spans="1:8" ht="12.5">
      <c r="A72" s="76"/>
      <c r="B72" s="5"/>
      <c r="C72" s="16"/>
      <c r="E72" s="5"/>
    </row>
    <row r="73" spans="1:8" ht="12.5">
      <c r="A73" s="76"/>
      <c r="B73" s="5"/>
      <c r="C73" s="16"/>
      <c r="E73" s="5"/>
    </row>
    <row r="74" spans="1:8" ht="12.5">
      <c r="A74" s="76"/>
      <c r="B74" s="5"/>
      <c r="C74" s="16"/>
      <c r="E74" s="5"/>
    </row>
    <row r="75" spans="1:8" ht="12.5">
      <c r="A75" s="76"/>
      <c r="B75" s="5"/>
      <c r="C75" s="16"/>
      <c r="E75" s="5"/>
    </row>
    <row r="76" spans="1:8" ht="12.5">
      <c r="A76" s="76"/>
      <c r="B76" s="5"/>
      <c r="C76" s="16"/>
      <c r="E76" s="5"/>
    </row>
    <row r="77" spans="1:8" ht="12.5">
      <c r="A77" s="76"/>
      <c r="B77" s="5"/>
      <c r="C77" s="16"/>
      <c r="E77" s="5"/>
    </row>
    <row r="78" spans="1:8" ht="12.5">
      <c r="A78" s="76"/>
      <c r="B78" s="5"/>
      <c r="C78" s="16"/>
      <c r="E78" s="5"/>
    </row>
    <row r="79" spans="1:8" ht="12.5">
      <c r="A79" s="76"/>
      <c r="B79" s="5"/>
      <c r="C79" s="16"/>
      <c r="E79" s="5"/>
    </row>
    <row r="80" spans="1:8" ht="12.5">
      <c r="A80" s="76"/>
      <c r="B80" s="5"/>
      <c r="C80" s="16"/>
      <c r="E80" s="5"/>
    </row>
    <row r="81" spans="1:5" ht="12.5">
      <c r="A81" s="76"/>
      <c r="B81" s="5"/>
      <c r="C81" s="16"/>
      <c r="E81" s="5"/>
    </row>
    <row r="82" spans="1:5" ht="12.5">
      <c r="A82" s="76"/>
      <c r="B82" s="5"/>
      <c r="C82" s="16"/>
      <c r="E82" s="5"/>
    </row>
    <row r="83" spans="1:5" ht="12.5">
      <c r="A83" s="76"/>
      <c r="B83" s="5"/>
      <c r="C83" s="16"/>
      <c r="E83" s="5"/>
    </row>
    <row r="84" spans="1:5" ht="12.5">
      <c r="A84" s="76"/>
      <c r="B84" s="5"/>
      <c r="C84" s="16"/>
      <c r="E84" s="5"/>
    </row>
    <row r="85" spans="1:5" ht="12.5">
      <c r="A85" s="76"/>
      <c r="B85" s="5"/>
      <c r="C85" s="16"/>
      <c r="E85" s="5"/>
    </row>
    <row r="86" spans="1:5" ht="12.5">
      <c r="A86" s="76"/>
      <c r="B86" s="5"/>
      <c r="C86" s="16"/>
      <c r="E86" s="5"/>
    </row>
    <row r="87" spans="1:5" ht="12.5">
      <c r="A87" s="76"/>
      <c r="B87" s="5"/>
      <c r="C87" s="16"/>
      <c r="E87" s="5"/>
    </row>
    <row r="88" spans="1:5" ht="12.5">
      <c r="A88" s="76"/>
      <c r="B88" s="5"/>
      <c r="C88" s="16"/>
      <c r="E88" s="5"/>
    </row>
    <row r="89" spans="1:5" ht="12.5">
      <c r="A89" s="76"/>
      <c r="B89" s="5"/>
      <c r="C89" s="16"/>
      <c r="E89" s="5"/>
    </row>
    <row r="90" spans="1:5" ht="12.5">
      <c r="A90" s="76"/>
      <c r="B90" s="5"/>
      <c r="C90" s="16"/>
      <c r="E90" s="5"/>
    </row>
    <row r="91" spans="1:5" ht="12.5">
      <c r="A91" s="76"/>
      <c r="B91" s="5"/>
      <c r="C91" s="16"/>
      <c r="E91" s="5"/>
    </row>
    <row r="92" spans="1:5" ht="12.5">
      <c r="A92" s="76"/>
      <c r="B92" s="5"/>
      <c r="C92" s="16"/>
      <c r="E92" s="5"/>
    </row>
    <row r="93" spans="1:5" ht="12.5">
      <c r="A93" s="76"/>
      <c r="B93" s="5"/>
      <c r="C93" s="16"/>
      <c r="E93" s="5"/>
    </row>
    <row r="94" spans="1:5" ht="12.5">
      <c r="A94" s="76"/>
      <c r="B94" s="5"/>
      <c r="C94" s="16"/>
      <c r="E94" s="5"/>
    </row>
    <row r="95" spans="1:5" ht="12.5">
      <c r="A95" s="76"/>
      <c r="B95" s="5"/>
      <c r="C95" s="16"/>
      <c r="E95" s="5"/>
    </row>
    <row r="96" spans="1:5" ht="12.5">
      <c r="A96" s="76"/>
      <c r="B96" s="5"/>
      <c r="C96" s="16"/>
      <c r="E96" s="5"/>
    </row>
    <row r="97" spans="1:5" ht="12.5">
      <c r="A97" s="76"/>
      <c r="B97" s="5"/>
      <c r="C97" s="16"/>
      <c r="E97" s="5"/>
    </row>
    <row r="98" spans="1:5" ht="12.5">
      <c r="A98" s="76"/>
      <c r="B98" s="5"/>
      <c r="C98" s="16"/>
      <c r="E98" s="5"/>
    </row>
    <row r="99" spans="1:5" ht="12.5">
      <c r="A99" s="76"/>
      <c r="B99" s="5"/>
      <c r="C99" s="16"/>
      <c r="E99" s="5"/>
    </row>
    <row r="100" spans="1:5" ht="12.5">
      <c r="A100" s="76"/>
      <c r="B100" s="5"/>
      <c r="C100" s="16"/>
      <c r="E100" s="5"/>
    </row>
    <row r="101" spans="1:5" ht="12.5">
      <c r="A101" s="76"/>
      <c r="B101" s="5"/>
      <c r="C101" s="16"/>
      <c r="E101" s="5"/>
    </row>
    <row r="102" spans="1:5" ht="12.5">
      <c r="A102" s="76"/>
      <c r="B102" s="5"/>
      <c r="C102" s="16"/>
      <c r="E102" s="5"/>
    </row>
    <row r="103" spans="1:5" ht="12.5">
      <c r="A103" s="76"/>
      <c r="B103" s="5"/>
      <c r="C103" s="16"/>
      <c r="E103" s="5"/>
    </row>
    <row r="104" spans="1:5" ht="12.5">
      <c r="A104" s="76"/>
      <c r="B104" s="5"/>
      <c r="C104" s="16"/>
      <c r="E104" s="5"/>
    </row>
    <row r="105" spans="1:5" ht="12.5">
      <c r="A105" s="76"/>
      <c r="B105" s="5"/>
      <c r="C105" s="16"/>
      <c r="E105" s="5"/>
    </row>
    <row r="106" spans="1:5" ht="12.5">
      <c r="A106" s="76"/>
      <c r="B106" s="5"/>
      <c r="C106" s="16"/>
      <c r="E106" s="5"/>
    </row>
    <row r="107" spans="1:5" ht="12.5">
      <c r="A107" s="76"/>
      <c r="B107" s="5"/>
      <c r="C107" s="16"/>
      <c r="E107" s="5"/>
    </row>
    <row r="108" spans="1:5" ht="12.5">
      <c r="A108" s="76"/>
      <c r="B108" s="5"/>
      <c r="C108" s="16"/>
      <c r="E108" s="5"/>
    </row>
    <row r="109" spans="1:5" ht="12.5">
      <c r="A109" s="76"/>
      <c r="B109" s="5"/>
      <c r="C109" s="16"/>
      <c r="E109" s="5"/>
    </row>
    <row r="110" spans="1:5" ht="12.5">
      <c r="A110" s="76"/>
      <c r="B110" s="5"/>
      <c r="C110" s="16"/>
      <c r="E110" s="5"/>
    </row>
    <row r="111" spans="1:5" ht="12.5">
      <c r="A111" s="76"/>
      <c r="B111" s="5"/>
      <c r="C111" s="16"/>
      <c r="E111" s="5"/>
    </row>
    <row r="112" spans="1:5" ht="12.5">
      <c r="A112" s="76"/>
      <c r="B112" s="5"/>
      <c r="C112" s="16"/>
      <c r="E112" s="5"/>
    </row>
    <row r="113" spans="1:5" ht="12.5">
      <c r="A113" s="76"/>
      <c r="B113" s="5"/>
      <c r="C113" s="16"/>
      <c r="E113" s="5"/>
    </row>
    <row r="114" spans="1:5" ht="12.5">
      <c r="A114" s="76"/>
      <c r="B114" s="5"/>
      <c r="C114" s="16"/>
      <c r="E114" s="5"/>
    </row>
    <row r="115" spans="1:5" ht="12.5">
      <c r="A115" s="76"/>
      <c r="B115" s="5"/>
      <c r="C115" s="16"/>
      <c r="E115" s="5"/>
    </row>
    <row r="116" spans="1:5" ht="12.5">
      <c r="A116" s="76"/>
      <c r="B116" s="5"/>
      <c r="C116" s="16"/>
      <c r="E116" s="5"/>
    </row>
    <row r="117" spans="1:5" ht="12.5">
      <c r="A117" s="76"/>
      <c r="B117" s="5"/>
      <c r="C117" s="16"/>
      <c r="E117" s="5"/>
    </row>
    <row r="118" spans="1:5" ht="12.5">
      <c r="A118" s="76"/>
      <c r="B118" s="5"/>
      <c r="C118" s="16"/>
      <c r="E118" s="5"/>
    </row>
    <row r="119" spans="1:5" ht="12.5">
      <c r="A119" s="76"/>
      <c r="B119" s="5"/>
      <c r="C119" s="16"/>
      <c r="E119" s="5"/>
    </row>
    <row r="120" spans="1:5" ht="12.5">
      <c r="A120" s="76"/>
      <c r="B120" s="5"/>
      <c r="C120" s="16"/>
      <c r="E120" s="5"/>
    </row>
    <row r="121" spans="1:5" ht="12.5">
      <c r="A121" s="76"/>
      <c r="B121" s="5"/>
      <c r="C121" s="16"/>
      <c r="E121" s="5"/>
    </row>
    <row r="122" spans="1:5" ht="12.5">
      <c r="A122" s="76"/>
      <c r="B122" s="5"/>
      <c r="C122" s="16"/>
      <c r="E122" s="5"/>
    </row>
    <row r="123" spans="1:5" ht="12.5">
      <c r="A123" s="76"/>
      <c r="B123" s="5"/>
      <c r="C123" s="16"/>
      <c r="E123" s="5"/>
    </row>
    <row r="124" spans="1:5" ht="12.5">
      <c r="A124" s="76"/>
      <c r="B124" s="5"/>
      <c r="C124" s="16"/>
      <c r="E124" s="5"/>
    </row>
    <row r="125" spans="1:5" ht="12.5">
      <c r="A125" s="76"/>
      <c r="B125" s="5"/>
      <c r="C125" s="16"/>
      <c r="E125" s="5"/>
    </row>
    <row r="126" spans="1:5" ht="12.5">
      <c r="A126" s="76"/>
      <c r="B126" s="5"/>
      <c r="C126" s="16"/>
      <c r="E126" s="5"/>
    </row>
    <row r="127" spans="1:5" ht="12.5">
      <c r="A127" s="76"/>
      <c r="B127" s="5"/>
      <c r="C127" s="16"/>
      <c r="E127" s="5"/>
    </row>
    <row r="128" spans="1:5" ht="12.5">
      <c r="A128" s="76"/>
      <c r="B128" s="5"/>
      <c r="C128" s="16"/>
      <c r="E128" s="5"/>
    </row>
    <row r="129" spans="1:5" ht="12.5">
      <c r="A129" s="76"/>
      <c r="B129" s="5"/>
      <c r="C129" s="16"/>
      <c r="E129" s="5"/>
    </row>
    <row r="130" spans="1:5" ht="12.5">
      <c r="A130" s="76"/>
      <c r="B130" s="5"/>
      <c r="C130" s="16"/>
      <c r="E130" s="5"/>
    </row>
    <row r="131" spans="1:5" ht="12.5">
      <c r="A131" s="76"/>
      <c r="B131" s="5"/>
      <c r="C131" s="16"/>
      <c r="E131" s="5"/>
    </row>
    <row r="132" spans="1:5" ht="12.5">
      <c r="A132" s="76"/>
      <c r="B132" s="5"/>
      <c r="C132" s="16"/>
      <c r="E132" s="5"/>
    </row>
    <row r="133" spans="1:5" ht="12.5">
      <c r="A133" s="76"/>
      <c r="B133" s="5"/>
      <c r="C133" s="16"/>
      <c r="E133" s="5"/>
    </row>
    <row r="134" spans="1:5" ht="12.5">
      <c r="A134" s="76"/>
      <c r="B134" s="5"/>
      <c r="C134" s="16"/>
      <c r="E134" s="5"/>
    </row>
    <row r="135" spans="1:5" ht="12.5">
      <c r="A135" s="76"/>
      <c r="B135" s="5"/>
      <c r="C135" s="16"/>
      <c r="E135" s="5"/>
    </row>
    <row r="136" spans="1:5" ht="12.5">
      <c r="A136" s="76"/>
      <c r="B136" s="5"/>
      <c r="C136" s="16"/>
      <c r="E136" s="5"/>
    </row>
    <row r="137" spans="1:5" ht="12.5">
      <c r="A137" s="76"/>
      <c r="B137" s="5"/>
      <c r="C137" s="16"/>
      <c r="E137" s="5"/>
    </row>
    <row r="138" spans="1:5" ht="12.5">
      <c r="A138" s="76"/>
      <c r="B138" s="5"/>
      <c r="C138" s="16"/>
      <c r="E138" s="5"/>
    </row>
    <row r="139" spans="1:5" ht="12.5">
      <c r="A139" s="76"/>
      <c r="B139" s="5"/>
      <c r="C139" s="16"/>
      <c r="E139" s="5"/>
    </row>
    <row r="140" spans="1:5" ht="12.5">
      <c r="A140" s="76"/>
      <c r="B140" s="5"/>
      <c r="C140" s="16"/>
      <c r="E140" s="5"/>
    </row>
    <row r="141" spans="1:5" ht="12.5">
      <c r="A141" s="76"/>
      <c r="B141" s="5"/>
      <c r="C141" s="16"/>
      <c r="E141" s="5"/>
    </row>
    <row r="142" spans="1:5" ht="12.5">
      <c r="A142" s="76"/>
      <c r="B142" s="5"/>
      <c r="C142" s="16"/>
      <c r="E142" s="5"/>
    </row>
    <row r="143" spans="1:5" ht="12.5">
      <c r="A143" s="76"/>
      <c r="B143" s="5"/>
      <c r="C143" s="16"/>
      <c r="E143" s="5"/>
    </row>
    <row r="144" spans="1:5" ht="12.5">
      <c r="A144" s="76"/>
      <c r="B144" s="5"/>
      <c r="C144" s="16"/>
      <c r="E144" s="5"/>
    </row>
    <row r="145" spans="1:5" ht="12.5">
      <c r="A145" s="76"/>
      <c r="B145" s="5"/>
      <c r="C145" s="16"/>
      <c r="E145" s="5"/>
    </row>
    <row r="146" spans="1:5" ht="12.5">
      <c r="A146" s="76"/>
      <c r="B146" s="5"/>
      <c r="C146" s="16"/>
      <c r="E146" s="5"/>
    </row>
    <row r="147" spans="1:5" ht="12.5">
      <c r="A147" s="76"/>
      <c r="B147" s="5"/>
      <c r="C147" s="16"/>
      <c r="E147" s="5"/>
    </row>
    <row r="148" spans="1:5" ht="12.5">
      <c r="A148" s="76"/>
      <c r="B148" s="5"/>
      <c r="C148" s="16"/>
      <c r="E148" s="5"/>
    </row>
    <row r="149" spans="1:5" ht="12.5">
      <c r="A149" s="76"/>
      <c r="B149" s="5"/>
      <c r="C149" s="16"/>
      <c r="E149" s="5"/>
    </row>
    <row r="150" spans="1:5" ht="12.5">
      <c r="A150" s="76"/>
      <c r="B150" s="5"/>
      <c r="C150" s="16"/>
      <c r="E150" s="5"/>
    </row>
    <row r="151" spans="1:5" ht="12.5">
      <c r="A151" s="76"/>
      <c r="B151" s="5"/>
      <c r="C151" s="16"/>
      <c r="E151" s="5"/>
    </row>
    <row r="152" spans="1:5" ht="12.5">
      <c r="A152" s="76"/>
      <c r="B152" s="5"/>
      <c r="C152" s="16"/>
      <c r="E152" s="5"/>
    </row>
    <row r="153" spans="1:5" ht="12.5">
      <c r="A153" s="76"/>
      <c r="B153" s="5"/>
      <c r="C153" s="16"/>
      <c r="E153" s="5"/>
    </row>
    <row r="154" spans="1:5" ht="12.5">
      <c r="A154" s="76"/>
      <c r="B154" s="5"/>
      <c r="C154" s="16"/>
      <c r="E154" s="5"/>
    </row>
    <row r="155" spans="1:5" ht="12.5">
      <c r="A155" s="76"/>
      <c r="B155" s="5"/>
      <c r="C155" s="16"/>
      <c r="E155" s="5"/>
    </row>
    <row r="156" spans="1:5" ht="12.5">
      <c r="A156" s="76"/>
      <c r="B156" s="5"/>
      <c r="C156" s="16"/>
      <c r="E156" s="5"/>
    </row>
    <row r="157" spans="1:5" ht="12.5">
      <c r="A157" s="76"/>
      <c r="B157" s="5"/>
      <c r="C157" s="16"/>
      <c r="E157" s="5"/>
    </row>
    <row r="158" spans="1:5" ht="12.5">
      <c r="A158" s="76"/>
      <c r="B158" s="5"/>
      <c r="C158" s="16"/>
      <c r="E158" s="5"/>
    </row>
    <row r="159" spans="1:5" ht="12.5">
      <c r="A159" s="76"/>
      <c r="B159" s="5"/>
      <c r="C159" s="16"/>
      <c r="E159" s="5"/>
    </row>
    <row r="160" spans="1:5" ht="12.5">
      <c r="A160" s="76"/>
      <c r="B160" s="5"/>
      <c r="C160" s="16"/>
      <c r="E160" s="5"/>
    </row>
    <row r="161" spans="1:5" ht="12.5">
      <c r="A161" s="76"/>
      <c r="B161" s="5"/>
      <c r="C161" s="16"/>
      <c r="E161" s="5"/>
    </row>
    <row r="162" spans="1:5" ht="12.5">
      <c r="A162" s="76"/>
      <c r="B162" s="5"/>
      <c r="C162" s="16"/>
      <c r="E162" s="5"/>
    </row>
    <row r="163" spans="1:5" ht="12.5">
      <c r="A163" s="76"/>
      <c r="B163" s="5"/>
      <c r="C163" s="16"/>
      <c r="E163" s="5"/>
    </row>
    <row r="164" spans="1:5" ht="12.5">
      <c r="A164" s="76"/>
      <c r="B164" s="5"/>
      <c r="C164" s="16"/>
      <c r="E164" s="5"/>
    </row>
    <row r="165" spans="1:5" ht="12.5">
      <c r="A165" s="76"/>
      <c r="B165" s="5"/>
      <c r="C165" s="16"/>
      <c r="E165" s="5"/>
    </row>
    <row r="166" spans="1:5" ht="12.5">
      <c r="A166" s="76"/>
      <c r="B166" s="5"/>
      <c r="C166" s="16"/>
      <c r="E166" s="5"/>
    </row>
    <row r="167" spans="1:5" ht="12.5">
      <c r="A167" s="76"/>
      <c r="B167" s="5"/>
      <c r="C167" s="16"/>
      <c r="E167" s="5"/>
    </row>
    <row r="168" spans="1:5" ht="12.5">
      <c r="A168" s="76"/>
      <c r="B168" s="5"/>
      <c r="C168" s="16"/>
      <c r="E168" s="5"/>
    </row>
    <row r="169" spans="1:5" ht="12.5">
      <c r="A169" s="76"/>
      <c r="B169" s="5"/>
      <c r="C169" s="16"/>
      <c r="E169" s="5"/>
    </row>
    <row r="170" spans="1:5" ht="12.5">
      <c r="A170" s="76"/>
      <c r="B170" s="5"/>
      <c r="C170" s="16"/>
      <c r="E170" s="5"/>
    </row>
    <row r="171" spans="1:5" ht="12.5">
      <c r="A171" s="76"/>
      <c r="B171" s="5"/>
      <c r="C171" s="16"/>
      <c r="E171" s="5"/>
    </row>
    <row r="172" spans="1:5" ht="12.5">
      <c r="A172" s="76"/>
      <c r="B172" s="5"/>
      <c r="C172" s="16"/>
      <c r="E172" s="5"/>
    </row>
    <row r="173" spans="1:5" ht="12.5">
      <c r="A173" s="76"/>
      <c r="B173" s="5"/>
      <c r="C173" s="16"/>
      <c r="E173" s="5"/>
    </row>
    <row r="174" spans="1:5" ht="12.5">
      <c r="A174" s="76"/>
      <c r="B174" s="5"/>
      <c r="C174" s="16"/>
      <c r="E174" s="5"/>
    </row>
    <row r="175" spans="1:5" ht="12.5">
      <c r="A175" s="76"/>
      <c r="B175" s="5"/>
      <c r="C175" s="16"/>
      <c r="E175" s="5"/>
    </row>
    <row r="176" spans="1:5" ht="12.5">
      <c r="A176" s="76"/>
      <c r="B176" s="5"/>
      <c r="C176" s="16"/>
      <c r="E176" s="5"/>
    </row>
    <row r="177" spans="1:5" ht="12.5">
      <c r="A177" s="76"/>
      <c r="B177" s="5"/>
      <c r="C177" s="16"/>
      <c r="E177" s="5"/>
    </row>
    <row r="178" spans="1:5" ht="12.5">
      <c r="A178" s="76"/>
      <c r="B178" s="5"/>
      <c r="C178" s="16"/>
      <c r="E178" s="5"/>
    </row>
    <row r="179" spans="1:5" ht="12.5">
      <c r="A179" s="76"/>
      <c r="B179" s="5"/>
      <c r="C179" s="16"/>
      <c r="E179" s="5"/>
    </row>
    <row r="180" spans="1:5" ht="12.5">
      <c r="A180" s="76"/>
      <c r="B180" s="5"/>
      <c r="C180" s="16"/>
      <c r="E180" s="5"/>
    </row>
    <row r="181" spans="1:5" ht="12.5">
      <c r="A181" s="76"/>
      <c r="B181" s="5"/>
      <c r="C181" s="16"/>
      <c r="E181" s="5"/>
    </row>
    <row r="182" spans="1:5" ht="12.5">
      <c r="A182" s="76"/>
      <c r="B182" s="5"/>
      <c r="C182" s="16"/>
      <c r="E182" s="5"/>
    </row>
    <row r="183" spans="1:5" ht="12.5">
      <c r="A183" s="76"/>
      <c r="B183" s="5"/>
      <c r="C183" s="16"/>
      <c r="E183" s="5"/>
    </row>
    <row r="184" spans="1:5" ht="12.5">
      <c r="A184" s="76"/>
      <c r="B184" s="5"/>
      <c r="C184" s="16"/>
      <c r="E184" s="5"/>
    </row>
    <row r="185" spans="1:5" ht="12.5">
      <c r="A185" s="76"/>
      <c r="B185" s="5"/>
      <c r="C185" s="16"/>
      <c r="E185" s="5"/>
    </row>
    <row r="186" spans="1:5" ht="12.5">
      <c r="A186" s="76"/>
      <c r="B186" s="5"/>
      <c r="C186" s="16"/>
      <c r="E186" s="5"/>
    </row>
    <row r="187" spans="1:5" ht="12.5">
      <c r="A187" s="76"/>
      <c r="B187" s="5"/>
      <c r="C187" s="16"/>
      <c r="E187" s="5"/>
    </row>
    <row r="188" spans="1:5" ht="12.5">
      <c r="A188" s="76"/>
      <c r="B188" s="5"/>
      <c r="C188" s="16"/>
      <c r="E188" s="5"/>
    </row>
    <row r="189" spans="1:5" ht="12.5">
      <c r="A189" s="76"/>
      <c r="B189" s="5"/>
      <c r="C189" s="16"/>
      <c r="E189" s="5"/>
    </row>
    <row r="190" spans="1:5" ht="12.5">
      <c r="A190" s="76"/>
      <c r="B190" s="5"/>
      <c r="C190" s="16"/>
      <c r="E190" s="5"/>
    </row>
    <row r="191" spans="1:5" ht="12.5">
      <c r="A191" s="76"/>
      <c r="B191" s="5"/>
      <c r="C191" s="16"/>
      <c r="E191" s="5"/>
    </row>
    <row r="192" spans="1:5" ht="12.5">
      <c r="A192" s="76"/>
      <c r="B192" s="5"/>
      <c r="C192" s="16"/>
      <c r="E192" s="5"/>
    </row>
    <row r="193" spans="1:5" ht="12.5">
      <c r="A193" s="76"/>
      <c r="B193" s="5"/>
      <c r="C193" s="16"/>
      <c r="E193" s="5"/>
    </row>
    <row r="194" spans="1:5" ht="12.5">
      <c r="A194" s="76"/>
      <c r="B194" s="5"/>
      <c r="C194" s="16"/>
      <c r="E194" s="5"/>
    </row>
    <row r="195" spans="1:5" ht="12.5">
      <c r="A195" s="76"/>
      <c r="B195" s="5"/>
      <c r="C195" s="16"/>
      <c r="E195" s="5"/>
    </row>
    <row r="196" spans="1:5" ht="12.5">
      <c r="A196" s="76"/>
      <c r="B196" s="5"/>
      <c r="C196" s="16"/>
      <c r="E196" s="5"/>
    </row>
    <row r="197" spans="1:5" ht="12.5">
      <c r="A197" s="76"/>
      <c r="B197" s="5"/>
      <c r="C197" s="16"/>
      <c r="E197" s="5"/>
    </row>
    <row r="198" spans="1:5" ht="12.5">
      <c r="A198" s="76"/>
      <c r="B198" s="5"/>
      <c r="C198" s="16"/>
      <c r="E198" s="5"/>
    </row>
    <row r="199" spans="1:5" ht="12.5">
      <c r="A199" s="76"/>
      <c r="B199" s="5"/>
      <c r="C199" s="16"/>
      <c r="E199" s="5"/>
    </row>
    <row r="200" spans="1:5" ht="12.5">
      <c r="A200" s="76"/>
      <c r="B200" s="5"/>
      <c r="C200" s="16"/>
      <c r="E200" s="5"/>
    </row>
    <row r="201" spans="1:5" ht="12.5">
      <c r="A201" s="76"/>
      <c r="B201" s="5"/>
      <c r="C201" s="16"/>
      <c r="E201" s="5"/>
    </row>
    <row r="202" spans="1:5" ht="12.5">
      <c r="A202" s="76"/>
      <c r="B202" s="5"/>
      <c r="C202" s="16"/>
      <c r="E202" s="5"/>
    </row>
    <row r="203" spans="1:5" ht="12.5">
      <c r="A203" s="76"/>
      <c r="B203" s="5"/>
      <c r="C203" s="16"/>
      <c r="E203" s="5"/>
    </row>
    <row r="204" spans="1:5" ht="12.5">
      <c r="A204" s="76"/>
      <c r="B204" s="5"/>
      <c r="C204" s="16"/>
      <c r="E204" s="5"/>
    </row>
    <row r="205" spans="1:5" ht="12.5">
      <c r="A205" s="76"/>
      <c r="B205" s="5"/>
      <c r="C205" s="16"/>
      <c r="E205" s="5"/>
    </row>
    <row r="206" spans="1:5" ht="12.5">
      <c r="A206" s="76"/>
      <c r="B206" s="5"/>
      <c r="C206" s="16"/>
      <c r="E206" s="5"/>
    </row>
    <row r="207" spans="1:5" ht="12.5">
      <c r="A207" s="76"/>
      <c r="B207" s="5"/>
      <c r="C207" s="16"/>
      <c r="E207" s="5"/>
    </row>
    <row r="208" spans="1:5" ht="12.5">
      <c r="A208" s="76"/>
      <c r="B208" s="5"/>
      <c r="C208" s="16"/>
      <c r="E208" s="5"/>
    </row>
    <row r="209" spans="1:5" ht="12.5">
      <c r="A209" s="76"/>
      <c r="B209" s="5"/>
      <c r="C209" s="16"/>
      <c r="E209" s="5"/>
    </row>
    <row r="210" spans="1:5" ht="12.5">
      <c r="A210" s="76"/>
      <c r="B210" s="5"/>
      <c r="C210" s="16"/>
      <c r="E210" s="5"/>
    </row>
    <row r="211" spans="1:5" ht="12.5">
      <c r="A211" s="76"/>
      <c r="B211" s="5"/>
      <c r="C211" s="16"/>
      <c r="E211" s="5"/>
    </row>
    <row r="212" spans="1:5" ht="12.5">
      <c r="A212" s="76"/>
      <c r="B212" s="5"/>
      <c r="C212" s="16"/>
      <c r="E212" s="5"/>
    </row>
    <row r="213" spans="1:5" ht="12.5">
      <c r="A213" s="76"/>
      <c r="B213" s="5"/>
      <c r="C213" s="16"/>
      <c r="E213" s="5"/>
    </row>
    <row r="214" spans="1:5" ht="12.5">
      <c r="A214" s="76"/>
      <c r="B214" s="5"/>
      <c r="C214" s="16"/>
      <c r="E214" s="5"/>
    </row>
    <row r="215" spans="1:5" ht="12.5">
      <c r="A215" s="76"/>
      <c r="B215" s="5"/>
      <c r="C215" s="16"/>
      <c r="E215" s="5"/>
    </row>
    <row r="216" spans="1:5" ht="12.5">
      <c r="A216" s="76"/>
      <c r="B216" s="5"/>
      <c r="C216" s="16"/>
      <c r="E216" s="5"/>
    </row>
    <row r="217" spans="1:5" ht="12.5">
      <c r="A217" s="76"/>
      <c r="B217" s="5"/>
      <c r="C217" s="16"/>
      <c r="E217" s="5"/>
    </row>
    <row r="218" spans="1:5" ht="12.5">
      <c r="A218" s="76"/>
      <c r="B218" s="5"/>
      <c r="C218" s="16"/>
      <c r="E218" s="5"/>
    </row>
    <row r="219" spans="1:5" ht="12.5">
      <c r="A219" s="76"/>
      <c r="B219" s="5"/>
      <c r="C219" s="16"/>
      <c r="E219" s="5"/>
    </row>
    <row r="220" spans="1:5" ht="12.5">
      <c r="A220" s="76"/>
      <c r="B220" s="5"/>
      <c r="C220" s="16"/>
      <c r="E220" s="5"/>
    </row>
    <row r="221" spans="1:5" ht="12.5">
      <c r="A221" s="76"/>
      <c r="B221" s="5"/>
      <c r="C221" s="16"/>
      <c r="E221" s="5"/>
    </row>
    <row r="222" spans="1:5" ht="12.5">
      <c r="A222" s="76"/>
      <c r="B222" s="5"/>
      <c r="C222" s="16"/>
      <c r="E222" s="5"/>
    </row>
    <row r="223" spans="1:5" ht="12.5">
      <c r="A223" s="76"/>
      <c r="B223" s="5"/>
      <c r="C223" s="16"/>
      <c r="E223" s="5"/>
    </row>
    <row r="224" spans="1:5" ht="12.5">
      <c r="A224" s="76"/>
      <c r="B224" s="5"/>
      <c r="C224" s="16"/>
      <c r="E224" s="5"/>
    </row>
    <row r="225" spans="1:5" ht="12.5">
      <c r="A225" s="76"/>
      <c r="B225" s="5"/>
      <c r="C225" s="16"/>
      <c r="E225" s="5"/>
    </row>
    <row r="226" spans="1:5" ht="12.5">
      <c r="A226" s="76"/>
      <c r="B226" s="5"/>
      <c r="C226" s="16"/>
      <c r="E226" s="5"/>
    </row>
    <row r="227" spans="1:5" ht="12.5">
      <c r="A227" s="76"/>
      <c r="B227" s="5"/>
      <c r="C227" s="16"/>
      <c r="E227" s="5"/>
    </row>
    <row r="228" spans="1:5" ht="12.5">
      <c r="A228" s="76"/>
      <c r="B228" s="5"/>
      <c r="C228" s="16"/>
      <c r="E228" s="5"/>
    </row>
    <row r="229" spans="1:5" ht="12.5">
      <c r="A229" s="76"/>
      <c r="B229" s="5"/>
      <c r="C229" s="16"/>
      <c r="E229" s="5"/>
    </row>
    <row r="230" spans="1:5" ht="12.5">
      <c r="A230" s="76"/>
      <c r="B230" s="5"/>
      <c r="C230" s="16"/>
      <c r="E230" s="5"/>
    </row>
    <row r="231" spans="1:5" ht="12.5">
      <c r="A231" s="76"/>
      <c r="B231" s="5"/>
      <c r="C231" s="16"/>
      <c r="E231" s="5"/>
    </row>
    <row r="232" spans="1:5" ht="12.5">
      <c r="A232" s="76"/>
      <c r="B232" s="5"/>
      <c r="C232" s="16"/>
      <c r="E232" s="5"/>
    </row>
    <row r="233" spans="1:5" ht="12.5">
      <c r="A233" s="76"/>
      <c r="B233" s="5"/>
      <c r="C233" s="16"/>
      <c r="E233" s="5"/>
    </row>
    <row r="234" spans="1:5" ht="12.5">
      <c r="A234" s="76"/>
      <c r="B234" s="5"/>
      <c r="C234" s="16"/>
      <c r="E234" s="5"/>
    </row>
    <row r="235" spans="1:5" ht="12.5">
      <c r="A235" s="76"/>
      <c r="B235" s="5"/>
      <c r="C235" s="16"/>
      <c r="E235" s="5"/>
    </row>
    <row r="236" spans="1:5" ht="12.5">
      <c r="A236" s="76"/>
      <c r="B236" s="5"/>
      <c r="C236" s="16"/>
      <c r="E236" s="5"/>
    </row>
    <row r="237" spans="1:5" ht="12.5">
      <c r="A237" s="76"/>
      <c r="B237" s="5"/>
      <c r="C237" s="16"/>
      <c r="E237" s="5"/>
    </row>
    <row r="238" spans="1:5" ht="12.5">
      <c r="A238" s="76"/>
      <c r="B238" s="5"/>
      <c r="C238" s="16"/>
      <c r="E238" s="5"/>
    </row>
    <row r="239" spans="1:5" ht="12.5">
      <c r="A239" s="76"/>
      <c r="B239" s="5"/>
      <c r="C239" s="16"/>
      <c r="E239" s="5"/>
    </row>
    <row r="240" spans="1:5" ht="12.5">
      <c r="A240" s="76"/>
      <c r="B240" s="5"/>
      <c r="C240" s="16"/>
      <c r="E240" s="5"/>
    </row>
    <row r="241" spans="1:5" ht="12.5">
      <c r="A241" s="76"/>
      <c r="B241" s="5"/>
      <c r="C241" s="16"/>
      <c r="E241" s="5"/>
    </row>
    <row r="242" spans="1:5" ht="12.5">
      <c r="A242" s="76"/>
      <c r="B242" s="5"/>
      <c r="C242" s="16"/>
      <c r="E242" s="5"/>
    </row>
    <row r="243" spans="1:5" ht="12.5">
      <c r="A243" s="76"/>
      <c r="B243" s="5"/>
      <c r="C243" s="16"/>
      <c r="E243" s="5"/>
    </row>
    <row r="244" spans="1:5" ht="12.5">
      <c r="A244" s="76"/>
      <c r="B244" s="5"/>
      <c r="C244" s="16"/>
      <c r="E244" s="5"/>
    </row>
    <row r="245" spans="1:5" ht="12.5">
      <c r="A245" s="76"/>
      <c r="B245" s="5"/>
      <c r="C245" s="16"/>
      <c r="E245" s="5"/>
    </row>
    <row r="246" spans="1:5" ht="12.5">
      <c r="A246" s="76"/>
      <c r="B246" s="5"/>
      <c r="C246" s="16"/>
      <c r="E246" s="5"/>
    </row>
    <row r="247" spans="1:5" ht="12.5">
      <c r="A247" s="76"/>
      <c r="B247" s="5"/>
      <c r="C247" s="16"/>
      <c r="E247" s="5"/>
    </row>
    <row r="248" spans="1:5" ht="12.5">
      <c r="A248" s="76"/>
      <c r="B248" s="5"/>
      <c r="C248" s="16"/>
      <c r="E248" s="5"/>
    </row>
    <row r="249" spans="1:5" ht="12.5">
      <c r="A249" s="76"/>
      <c r="B249" s="5"/>
      <c r="C249" s="16"/>
      <c r="E249" s="5"/>
    </row>
    <row r="250" spans="1:5" ht="12.5">
      <c r="A250" s="76"/>
      <c r="B250" s="5"/>
      <c r="C250" s="16"/>
      <c r="E250" s="5"/>
    </row>
    <row r="251" spans="1:5" ht="12.5">
      <c r="A251" s="76"/>
      <c r="B251" s="5"/>
      <c r="C251" s="16"/>
      <c r="E251" s="5"/>
    </row>
    <row r="252" spans="1:5" ht="12.5">
      <c r="A252" s="76"/>
      <c r="B252" s="5"/>
      <c r="C252" s="16"/>
      <c r="E252" s="5"/>
    </row>
    <row r="253" spans="1:5" ht="12.5">
      <c r="A253" s="76"/>
      <c r="B253" s="5"/>
      <c r="C253" s="16"/>
      <c r="E253" s="5"/>
    </row>
    <row r="254" spans="1:5" ht="12.5">
      <c r="A254" s="76"/>
      <c r="B254" s="5"/>
      <c r="C254" s="16"/>
      <c r="E254" s="5"/>
    </row>
    <row r="255" spans="1:5" ht="12.5">
      <c r="A255" s="76"/>
      <c r="B255" s="5"/>
      <c r="C255" s="16"/>
      <c r="E255" s="5"/>
    </row>
    <row r="256" spans="1:5" ht="12.5">
      <c r="A256" s="76"/>
      <c r="B256" s="5"/>
      <c r="C256" s="16"/>
      <c r="E256" s="5"/>
    </row>
    <row r="257" spans="1:5" ht="12.5">
      <c r="A257" s="76"/>
      <c r="B257" s="5"/>
      <c r="C257" s="16"/>
      <c r="E257" s="5"/>
    </row>
    <row r="258" spans="1:5" ht="12.5">
      <c r="A258" s="76"/>
      <c r="B258" s="5"/>
      <c r="C258" s="16"/>
      <c r="E258" s="5"/>
    </row>
    <row r="259" spans="1:5" ht="12.5">
      <c r="A259" s="76"/>
      <c r="B259" s="5"/>
      <c r="C259" s="16"/>
      <c r="E259" s="5"/>
    </row>
    <row r="260" spans="1:5" ht="12.5">
      <c r="A260" s="76"/>
      <c r="B260" s="5"/>
      <c r="C260" s="16"/>
      <c r="E260" s="5"/>
    </row>
    <row r="261" spans="1:5" ht="12.5">
      <c r="A261" s="76"/>
      <c r="B261" s="5"/>
      <c r="C261" s="16"/>
      <c r="E261" s="5"/>
    </row>
    <row r="262" spans="1:5" ht="12.5">
      <c r="A262" s="76"/>
      <c r="B262" s="5"/>
      <c r="C262" s="16"/>
      <c r="E262" s="5"/>
    </row>
    <row r="263" spans="1:5" ht="12.5">
      <c r="A263" s="76"/>
      <c r="B263" s="5"/>
      <c r="C263" s="16"/>
      <c r="E263" s="5"/>
    </row>
    <row r="264" spans="1:5" ht="12.5">
      <c r="A264" s="76"/>
      <c r="B264" s="5"/>
      <c r="C264" s="16"/>
      <c r="E264" s="5"/>
    </row>
    <row r="265" spans="1:5" ht="12.5">
      <c r="A265" s="76"/>
      <c r="B265" s="5"/>
      <c r="C265" s="16"/>
      <c r="E265" s="5"/>
    </row>
    <row r="266" spans="1:5" ht="12.5">
      <c r="A266" s="76"/>
      <c r="B266" s="5"/>
      <c r="C266" s="16"/>
      <c r="E266" s="5"/>
    </row>
    <row r="267" spans="1:5" ht="12.5">
      <c r="A267" s="76"/>
      <c r="B267" s="5"/>
      <c r="C267" s="16"/>
      <c r="E267" s="5"/>
    </row>
    <row r="268" spans="1:5" ht="12.5">
      <c r="A268" s="76"/>
      <c r="B268" s="5"/>
      <c r="C268" s="16"/>
      <c r="E268" s="5"/>
    </row>
    <row r="269" spans="1:5" ht="12.5">
      <c r="A269" s="76"/>
      <c r="B269" s="5"/>
      <c r="C269" s="16"/>
      <c r="E269" s="5"/>
    </row>
    <row r="270" spans="1:5" ht="12.5">
      <c r="A270" s="76"/>
      <c r="B270" s="5"/>
      <c r="C270" s="16"/>
      <c r="E270" s="5"/>
    </row>
    <row r="271" spans="1:5" ht="12.5">
      <c r="A271" s="76"/>
      <c r="B271" s="5"/>
      <c r="C271" s="16"/>
      <c r="E271" s="5"/>
    </row>
    <row r="272" spans="1:5" ht="12.5">
      <c r="A272" s="76"/>
      <c r="B272" s="5"/>
      <c r="C272" s="16"/>
      <c r="E272" s="5"/>
    </row>
    <row r="273" spans="1:5" ht="12.5">
      <c r="A273" s="76"/>
      <c r="B273" s="5"/>
      <c r="C273" s="16"/>
      <c r="E273" s="5"/>
    </row>
    <row r="274" spans="1:5" ht="12.5">
      <c r="A274" s="76"/>
      <c r="B274" s="5"/>
      <c r="C274" s="16"/>
      <c r="E274" s="5"/>
    </row>
    <row r="275" spans="1:5" ht="12.5">
      <c r="A275" s="76"/>
      <c r="B275" s="5"/>
      <c r="C275" s="16"/>
      <c r="E275" s="5"/>
    </row>
    <row r="276" spans="1:5" ht="12.5">
      <c r="A276" s="76"/>
      <c r="B276" s="5"/>
      <c r="C276" s="16"/>
      <c r="E276" s="5"/>
    </row>
    <row r="277" spans="1:5" ht="12.5">
      <c r="A277" s="76"/>
      <c r="B277" s="5"/>
      <c r="C277" s="16"/>
      <c r="E277" s="5"/>
    </row>
    <row r="278" spans="1:5" ht="12.5">
      <c r="A278" s="76"/>
      <c r="B278" s="5"/>
      <c r="C278" s="16"/>
      <c r="E278" s="5"/>
    </row>
    <row r="279" spans="1:5" ht="12.5">
      <c r="A279" s="76"/>
      <c r="B279" s="5"/>
      <c r="C279" s="16"/>
      <c r="E279" s="5"/>
    </row>
    <row r="280" spans="1:5" ht="12.5">
      <c r="A280" s="76"/>
      <c r="B280" s="5"/>
      <c r="C280" s="16"/>
      <c r="E280" s="5"/>
    </row>
    <row r="281" spans="1:5" ht="12.5">
      <c r="A281" s="76"/>
      <c r="B281" s="5"/>
      <c r="C281" s="16"/>
      <c r="E281" s="5"/>
    </row>
    <row r="282" spans="1:5" ht="12.5">
      <c r="A282" s="76"/>
      <c r="B282" s="5"/>
      <c r="C282" s="16"/>
      <c r="E282" s="5"/>
    </row>
    <row r="283" spans="1:5" ht="12.5">
      <c r="A283" s="76"/>
      <c r="B283" s="5"/>
      <c r="C283" s="16"/>
      <c r="E283" s="5"/>
    </row>
    <row r="284" spans="1:5" ht="12.5">
      <c r="A284" s="76"/>
      <c r="B284" s="5"/>
      <c r="C284" s="16"/>
      <c r="E284" s="5"/>
    </row>
    <row r="285" spans="1:5" ht="12.5">
      <c r="A285" s="76"/>
      <c r="B285" s="5"/>
      <c r="C285" s="16"/>
      <c r="E285" s="5"/>
    </row>
    <row r="286" spans="1:5" ht="12.5">
      <c r="A286" s="76"/>
      <c r="B286" s="5"/>
      <c r="C286" s="16"/>
      <c r="E286" s="5"/>
    </row>
    <row r="287" spans="1:5" ht="12.5">
      <c r="A287" s="76"/>
      <c r="B287" s="5"/>
      <c r="C287" s="16"/>
      <c r="E287" s="5"/>
    </row>
    <row r="288" spans="1:5" ht="12.5">
      <c r="A288" s="76"/>
      <c r="B288" s="5"/>
      <c r="C288" s="16"/>
      <c r="E288" s="5"/>
    </row>
    <row r="289" spans="1:5" ht="12.5">
      <c r="A289" s="76"/>
      <c r="B289" s="5"/>
      <c r="C289" s="16"/>
      <c r="E289" s="5"/>
    </row>
    <row r="290" spans="1:5" ht="12.5">
      <c r="A290" s="76"/>
      <c r="B290" s="5"/>
      <c r="C290" s="16"/>
      <c r="E290" s="5"/>
    </row>
    <row r="291" spans="1:5" ht="12.5">
      <c r="A291" s="76"/>
      <c r="B291" s="5"/>
      <c r="C291" s="16"/>
      <c r="E291" s="5"/>
    </row>
    <row r="292" spans="1:5" ht="12.5">
      <c r="A292" s="76"/>
      <c r="B292" s="5"/>
      <c r="C292" s="16"/>
      <c r="E292" s="5"/>
    </row>
    <row r="293" spans="1:5" ht="12.5">
      <c r="A293" s="76"/>
      <c r="B293" s="5"/>
      <c r="C293" s="16"/>
      <c r="E293" s="5"/>
    </row>
    <row r="294" spans="1:5" ht="12.5">
      <c r="A294" s="76"/>
      <c r="B294" s="5"/>
      <c r="C294" s="16"/>
      <c r="E294" s="5"/>
    </row>
    <row r="295" spans="1:5" ht="12.5">
      <c r="A295" s="76"/>
      <c r="B295" s="5"/>
      <c r="C295" s="16"/>
      <c r="E295" s="5"/>
    </row>
    <row r="296" spans="1:5" ht="12.5">
      <c r="A296" s="76"/>
      <c r="B296" s="5"/>
      <c r="C296" s="16"/>
      <c r="E296" s="5"/>
    </row>
    <row r="297" spans="1:5" ht="12.5">
      <c r="A297" s="76"/>
      <c r="B297" s="5"/>
      <c r="C297" s="16"/>
      <c r="E297" s="5"/>
    </row>
    <row r="298" spans="1:5" ht="12.5">
      <c r="A298" s="76"/>
      <c r="B298" s="5"/>
      <c r="C298" s="16"/>
      <c r="E298" s="5"/>
    </row>
    <row r="299" spans="1:5" ht="12.5">
      <c r="A299" s="76"/>
      <c r="B299" s="5"/>
      <c r="C299" s="16"/>
      <c r="E299" s="5"/>
    </row>
    <row r="300" spans="1:5" ht="12.5">
      <c r="A300" s="76"/>
      <c r="B300" s="5"/>
      <c r="C300" s="16"/>
      <c r="E300" s="5"/>
    </row>
    <row r="301" spans="1:5" ht="12.5">
      <c r="A301" s="76"/>
      <c r="B301" s="5"/>
      <c r="C301" s="16"/>
      <c r="E301" s="5"/>
    </row>
    <row r="302" spans="1:5" ht="12.5">
      <c r="A302" s="76"/>
      <c r="B302" s="5"/>
      <c r="C302" s="16"/>
      <c r="E302" s="5"/>
    </row>
    <row r="303" spans="1:5" ht="12.5">
      <c r="A303" s="76"/>
      <c r="B303" s="5"/>
      <c r="C303" s="16"/>
      <c r="E303" s="5"/>
    </row>
    <row r="304" spans="1:5" ht="12.5">
      <c r="A304" s="76"/>
      <c r="B304" s="5"/>
      <c r="C304" s="16"/>
      <c r="E304" s="5"/>
    </row>
    <row r="305" spans="1:5" ht="12.5">
      <c r="A305" s="76"/>
      <c r="B305" s="5"/>
      <c r="C305" s="16"/>
      <c r="E305" s="5"/>
    </row>
    <row r="306" spans="1:5" ht="12.5">
      <c r="A306" s="76"/>
      <c r="B306" s="5"/>
      <c r="C306" s="16"/>
      <c r="E306" s="5"/>
    </row>
    <row r="307" spans="1:5" ht="12.5">
      <c r="A307" s="76"/>
      <c r="B307" s="5"/>
      <c r="C307" s="16"/>
      <c r="E307" s="5"/>
    </row>
    <row r="308" spans="1:5" ht="12.5">
      <c r="A308" s="76"/>
      <c r="B308" s="5"/>
      <c r="C308" s="16"/>
      <c r="E308" s="5"/>
    </row>
    <row r="309" spans="1:5" ht="12.5">
      <c r="A309" s="76"/>
      <c r="B309" s="5"/>
      <c r="C309" s="16"/>
      <c r="E309" s="5"/>
    </row>
    <row r="310" spans="1:5" ht="12.5">
      <c r="A310" s="76"/>
      <c r="B310" s="5"/>
      <c r="C310" s="16"/>
      <c r="E310" s="5"/>
    </row>
    <row r="311" spans="1:5" ht="12.5">
      <c r="A311" s="76"/>
      <c r="B311" s="5"/>
      <c r="C311" s="16"/>
      <c r="E311" s="5"/>
    </row>
    <row r="312" spans="1:5" ht="12.5">
      <c r="A312" s="76"/>
      <c r="B312" s="5"/>
      <c r="C312" s="16"/>
      <c r="E312" s="5"/>
    </row>
    <row r="313" spans="1:5" ht="12.5">
      <c r="A313" s="76"/>
      <c r="B313" s="5"/>
      <c r="C313" s="16"/>
      <c r="E313" s="5"/>
    </row>
    <row r="314" spans="1:5" ht="12.5">
      <c r="A314" s="76"/>
      <c r="B314" s="5"/>
      <c r="C314" s="16"/>
      <c r="E314" s="5"/>
    </row>
    <row r="315" spans="1:5" ht="12.5">
      <c r="A315" s="76"/>
      <c r="B315" s="5"/>
      <c r="C315" s="16"/>
      <c r="E315" s="5"/>
    </row>
    <row r="316" spans="1:5" ht="12.5">
      <c r="A316" s="76"/>
      <c r="B316" s="5"/>
      <c r="C316" s="16"/>
      <c r="E316" s="5"/>
    </row>
    <row r="317" spans="1:5" ht="12.5">
      <c r="A317" s="76"/>
      <c r="B317" s="5"/>
      <c r="C317" s="16"/>
      <c r="E317" s="5"/>
    </row>
    <row r="318" spans="1:5" ht="12.5">
      <c r="A318" s="76"/>
      <c r="B318" s="5"/>
      <c r="C318" s="16"/>
      <c r="E318" s="5"/>
    </row>
    <row r="319" spans="1:5" ht="12.5">
      <c r="A319" s="76"/>
      <c r="B319" s="5"/>
      <c r="C319" s="16"/>
      <c r="E319" s="5"/>
    </row>
    <row r="320" spans="1:5" ht="12.5">
      <c r="A320" s="76"/>
      <c r="B320" s="5"/>
      <c r="C320" s="16"/>
      <c r="E320" s="5"/>
    </row>
    <row r="321" spans="1:5" ht="12.5">
      <c r="A321" s="76"/>
      <c r="B321" s="5"/>
      <c r="C321" s="16"/>
      <c r="E321" s="5"/>
    </row>
    <row r="322" spans="1:5" ht="12.5">
      <c r="A322" s="76"/>
      <c r="B322" s="5"/>
      <c r="C322" s="16"/>
      <c r="E322" s="5"/>
    </row>
    <row r="323" spans="1:5" ht="12.5">
      <c r="A323" s="76"/>
      <c r="B323" s="5"/>
      <c r="C323" s="16"/>
      <c r="E323" s="5"/>
    </row>
    <row r="324" spans="1:5" ht="12.5">
      <c r="A324" s="76"/>
      <c r="B324" s="5"/>
      <c r="C324" s="16"/>
      <c r="E324" s="5"/>
    </row>
    <row r="325" spans="1:5" ht="12.5">
      <c r="A325" s="76"/>
      <c r="B325" s="5"/>
      <c r="C325" s="16"/>
      <c r="E325" s="5"/>
    </row>
    <row r="326" spans="1:5" ht="12.5">
      <c r="A326" s="76"/>
      <c r="B326" s="5"/>
      <c r="C326" s="16"/>
      <c r="E326" s="5"/>
    </row>
    <row r="327" spans="1:5" ht="12.5">
      <c r="A327" s="76"/>
      <c r="B327" s="5"/>
      <c r="C327" s="16"/>
      <c r="E327" s="5"/>
    </row>
    <row r="328" spans="1:5" ht="12.5">
      <c r="A328" s="76"/>
      <c r="B328" s="5"/>
      <c r="C328" s="16"/>
      <c r="E328" s="5"/>
    </row>
    <row r="329" spans="1:5" ht="12.5">
      <c r="A329" s="76"/>
      <c r="B329" s="5"/>
      <c r="C329" s="16"/>
      <c r="E329" s="5"/>
    </row>
    <row r="330" spans="1:5" ht="12.5">
      <c r="A330" s="76"/>
      <c r="B330" s="5"/>
      <c r="C330" s="16"/>
      <c r="E330" s="5"/>
    </row>
    <row r="331" spans="1:5" ht="12.5">
      <c r="A331" s="76"/>
      <c r="B331" s="5"/>
      <c r="C331" s="16"/>
      <c r="E331" s="5"/>
    </row>
    <row r="332" spans="1:5" ht="12.5">
      <c r="A332" s="76"/>
      <c r="B332" s="5"/>
      <c r="C332" s="16"/>
      <c r="E332" s="5"/>
    </row>
    <row r="333" spans="1:5" ht="12.5">
      <c r="A333" s="76"/>
      <c r="B333" s="5"/>
      <c r="C333" s="16"/>
      <c r="E333" s="5"/>
    </row>
    <row r="334" spans="1:5" ht="12.5">
      <c r="A334" s="76"/>
      <c r="B334" s="5"/>
      <c r="C334" s="16"/>
      <c r="E334" s="5"/>
    </row>
    <row r="335" spans="1:5" ht="12.5">
      <c r="A335" s="76"/>
      <c r="B335" s="5"/>
      <c r="C335" s="16"/>
      <c r="E335" s="5"/>
    </row>
    <row r="336" spans="1:5" ht="12.5">
      <c r="A336" s="76"/>
      <c r="B336" s="5"/>
      <c r="C336" s="16"/>
      <c r="E336" s="5"/>
    </row>
    <row r="337" spans="1:5" ht="12.5">
      <c r="A337" s="76"/>
      <c r="B337" s="5"/>
      <c r="C337" s="16"/>
      <c r="E337" s="5"/>
    </row>
    <row r="338" spans="1:5" ht="12.5">
      <c r="A338" s="76"/>
      <c r="B338" s="5"/>
      <c r="C338" s="16"/>
      <c r="E338" s="5"/>
    </row>
    <row r="339" spans="1:5" ht="12.5">
      <c r="A339" s="76"/>
      <c r="B339" s="5"/>
      <c r="C339" s="16"/>
      <c r="E339" s="5"/>
    </row>
    <row r="340" spans="1:5" ht="12.5">
      <c r="A340" s="76"/>
      <c r="B340" s="5"/>
      <c r="C340" s="16"/>
      <c r="E340" s="5"/>
    </row>
    <row r="341" spans="1:5" ht="12.5">
      <c r="A341" s="76"/>
      <c r="B341" s="5"/>
      <c r="C341" s="16"/>
      <c r="E341" s="5"/>
    </row>
    <row r="342" spans="1:5" ht="12.5">
      <c r="A342" s="76"/>
      <c r="B342" s="5"/>
      <c r="C342" s="16"/>
      <c r="E342" s="5"/>
    </row>
    <row r="343" spans="1:5" ht="12.5">
      <c r="A343" s="76"/>
      <c r="B343" s="5"/>
      <c r="C343" s="16"/>
      <c r="E343" s="5"/>
    </row>
    <row r="344" spans="1:5" ht="12.5">
      <c r="A344" s="76"/>
      <c r="B344" s="5"/>
      <c r="C344" s="16"/>
      <c r="E344" s="5"/>
    </row>
    <row r="345" spans="1:5" ht="12.5">
      <c r="A345" s="76"/>
      <c r="B345" s="5"/>
      <c r="C345" s="16"/>
      <c r="E345" s="5"/>
    </row>
    <row r="346" spans="1:5" ht="12.5">
      <c r="A346" s="76"/>
      <c r="B346" s="5"/>
      <c r="C346" s="16"/>
      <c r="E346" s="5"/>
    </row>
    <row r="347" spans="1:5" ht="12.5">
      <c r="A347" s="76"/>
      <c r="B347" s="5"/>
      <c r="C347" s="16"/>
      <c r="E347" s="5"/>
    </row>
    <row r="348" spans="1:5" ht="12.5">
      <c r="A348" s="76"/>
      <c r="B348" s="5"/>
      <c r="C348" s="16"/>
      <c r="E348" s="5"/>
    </row>
    <row r="349" spans="1:5" ht="12.5">
      <c r="A349" s="76"/>
      <c r="B349" s="5"/>
      <c r="C349" s="16"/>
      <c r="E349" s="5"/>
    </row>
    <row r="350" spans="1:5" ht="12.5">
      <c r="A350" s="76"/>
      <c r="B350" s="5"/>
      <c r="C350" s="16"/>
      <c r="E350" s="5"/>
    </row>
    <row r="351" spans="1:5" ht="12.5">
      <c r="A351" s="76"/>
      <c r="B351" s="5"/>
      <c r="C351" s="16"/>
      <c r="E351" s="5"/>
    </row>
    <row r="352" spans="1:5" ht="12.5">
      <c r="A352" s="76"/>
      <c r="B352" s="5"/>
      <c r="C352" s="16"/>
      <c r="E352" s="5"/>
    </row>
    <row r="353" spans="1:5" ht="12.5">
      <c r="A353" s="76"/>
      <c r="B353" s="5"/>
      <c r="C353" s="16"/>
      <c r="E353" s="5"/>
    </row>
    <row r="354" spans="1:5" ht="12.5">
      <c r="A354" s="76"/>
      <c r="B354" s="5"/>
      <c r="C354" s="16"/>
      <c r="E354" s="5"/>
    </row>
    <row r="355" spans="1:5" ht="12.5">
      <c r="A355" s="76"/>
      <c r="B355" s="5"/>
      <c r="C355" s="16"/>
      <c r="E355" s="5"/>
    </row>
    <row r="356" spans="1:5" ht="12.5">
      <c r="A356" s="76"/>
      <c r="B356" s="5"/>
      <c r="C356" s="16"/>
      <c r="E356" s="5"/>
    </row>
    <row r="357" spans="1:5" ht="12.5">
      <c r="A357" s="76"/>
      <c r="B357" s="5"/>
      <c r="C357" s="16"/>
      <c r="E357" s="5"/>
    </row>
    <row r="358" spans="1:5" ht="12.5">
      <c r="A358" s="76"/>
      <c r="B358" s="5"/>
      <c r="C358" s="16"/>
      <c r="E358" s="5"/>
    </row>
    <row r="359" spans="1:5" ht="12.5">
      <c r="A359" s="76"/>
      <c r="B359" s="5"/>
      <c r="C359" s="16"/>
      <c r="E359" s="5"/>
    </row>
    <row r="360" spans="1:5" ht="12.5">
      <c r="A360" s="76"/>
      <c r="B360" s="5"/>
      <c r="C360" s="16"/>
      <c r="E360" s="5"/>
    </row>
    <row r="361" spans="1:5" ht="12.5">
      <c r="A361" s="76"/>
      <c r="B361" s="5"/>
      <c r="C361" s="16"/>
      <c r="E361" s="5"/>
    </row>
    <row r="362" spans="1:5" ht="12.5">
      <c r="A362" s="76"/>
      <c r="B362" s="5"/>
      <c r="C362" s="16"/>
      <c r="E362" s="5"/>
    </row>
    <row r="363" spans="1:5" ht="12.5">
      <c r="A363" s="76"/>
      <c r="B363" s="5"/>
      <c r="C363" s="16"/>
      <c r="E363" s="5"/>
    </row>
    <row r="364" spans="1:5" ht="12.5">
      <c r="A364" s="76"/>
      <c r="B364" s="5"/>
      <c r="C364" s="16"/>
      <c r="E364" s="5"/>
    </row>
    <row r="365" spans="1:5" ht="12.5">
      <c r="A365" s="76"/>
      <c r="B365" s="5"/>
      <c r="C365" s="16"/>
      <c r="E365" s="5"/>
    </row>
    <row r="366" spans="1:5" ht="12.5">
      <c r="A366" s="76"/>
      <c r="B366" s="5"/>
      <c r="C366" s="16"/>
      <c r="E366" s="5"/>
    </row>
    <row r="367" spans="1:5" ht="12.5">
      <c r="A367" s="76"/>
      <c r="B367" s="5"/>
      <c r="C367" s="16"/>
      <c r="E367" s="5"/>
    </row>
    <row r="368" spans="1:5" ht="12.5">
      <c r="A368" s="76"/>
      <c r="B368" s="5"/>
      <c r="C368" s="16"/>
      <c r="E368" s="5"/>
    </row>
    <row r="369" spans="1:5" ht="12.5">
      <c r="A369" s="76"/>
      <c r="B369" s="5"/>
      <c r="C369" s="16"/>
      <c r="E369" s="5"/>
    </row>
    <row r="370" spans="1:5" ht="12.5">
      <c r="A370" s="76"/>
      <c r="B370" s="5"/>
      <c r="C370" s="16"/>
      <c r="E370" s="5"/>
    </row>
    <row r="371" spans="1:5" ht="12.5">
      <c r="A371" s="76"/>
      <c r="B371" s="5"/>
      <c r="C371" s="16"/>
      <c r="E371" s="5"/>
    </row>
    <row r="372" spans="1:5" ht="12.5">
      <c r="A372" s="76"/>
      <c r="B372" s="5"/>
      <c r="C372" s="16"/>
      <c r="E372" s="5"/>
    </row>
    <row r="373" spans="1:5" ht="12.5">
      <c r="A373" s="76"/>
      <c r="B373" s="5"/>
      <c r="C373" s="16"/>
      <c r="E373" s="5"/>
    </row>
    <row r="374" spans="1:5" ht="12.5">
      <c r="A374" s="76"/>
      <c r="B374" s="5"/>
      <c r="C374" s="16"/>
      <c r="E374" s="5"/>
    </row>
    <row r="375" spans="1:5" ht="12.5">
      <c r="A375" s="76"/>
      <c r="B375" s="5"/>
      <c r="C375" s="16"/>
      <c r="E375" s="5"/>
    </row>
    <row r="376" spans="1:5" ht="12.5">
      <c r="A376" s="76"/>
      <c r="B376" s="5"/>
      <c r="C376" s="16"/>
      <c r="E376" s="5"/>
    </row>
    <row r="377" spans="1:5" ht="12.5">
      <c r="A377" s="76"/>
      <c r="B377" s="5"/>
      <c r="C377" s="16"/>
      <c r="E377" s="5"/>
    </row>
    <row r="378" spans="1:5" ht="12.5">
      <c r="A378" s="76"/>
      <c r="B378" s="5"/>
      <c r="C378" s="16"/>
      <c r="E378" s="5"/>
    </row>
    <row r="379" spans="1:5" ht="12.5">
      <c r="A379" s="76"/>
      <c r="B379" s="5"/>
      <c r="C379" s="16"/>
      <c r="E379" s="5"/>
    </row>
    <row r="380" spans="1:5" ht="12.5">
      <c r="A380" s="76"/>
      <c r="B380" s="5"/>
      <c r="C380" s="16"/>
      <c r="E380" s="5"/>
    </row>
    <row r="381" spans="1:5" ht="12.5">
      <c r="A381" s="76"/>
      <c r="B381" s="5"/>
      <c r="C381" s="16"/>
      <c r="E381" s="5"/>
    </row>
    <row r="382" spans="1:5" ht="12.5">
      <c r="A382" s="76"/>
      <c r="B382" s="5"/>
      <c r="C382" s="16"/>
      <c r="E382" s="5"/>
    </row>
    <row r="383" spans="1:5" ht="12.5">
      <c r="A383" s="76"/>
      <c r="B383" s="5"/>
      <c r="C383" s="16"/>
      <c r="E383" s="5"/>
    </row>
    <row r="384" spans="1:5" ht="12.5">
      <c r="A384" s="76"/>
      <c r="B384" s="5"/>
      <c r="C384" s="16"/>
      <c r="E384" s="5"/>
    </row>
    <row r="385" spans="1:5" ht="12.5">
      <c r="A385" s="76"/>
      <c r="B385" s="5"/>
      <c r="C385" s="16"/>
      <c r="E385" s="5"/>
    </row>
    <row r="386" spans="1:5" ht="12.5">
      <c r="A386" s="76"/>
      <c r="B386" s="5"/>
      <c r="C386" s="16"/>
      <c r="E386" s="5"/>
    </row>
    <row r="387" spans="1:5" ht="12.5">
      <c r="A387" s="76"/>
      <c r="B387" s="5"/>
      <c r="C387" s="16"/>
      <c r="E387" s="5"/>
    </row>
    <row r="388" spans="1:5" ht="12.5">
      <c r="A388" s="76"/>
      <c r="B388" s="5"/>
      <c r="C388" s="16"/>
      <c r="E388" s="5"/>
    </row>
    <row r="389" spans="1:5" ht="12.5">
      <c r="A389" s="76"/>
      <c r="B389" s="5"/>
      <c r="C389" s="16"/>
      <c r="E389" s="5"/>
    </row>
    <row r="390" spans="1:5" ht="12.5">
      <c r="A390" s="76"/>
      <c r="B390" s="5"/>
      <c r="C390" s="16"/>
      <c r="E390" s="5"/>
    </row>
    <row r="391" spans="1:5" ht="12.5">
      <c r="A391" s="76"/>
      <c r="B391" s="5"/>
      <c r="C391" s="16"/>
      <c r="E391" s="5"/>
    </row>
    <row r="392" spans="1:5" ht="12.5">
      <c r="A392" s="76"/>
      <c r="B392" s="5"/>
      <c r="C392" s="16"/>
      <c r="E392" s="5"/>
    </row>
    <row r="393" spans="1:5" ht="12.5">
      <c r="A393" s="76"/>
      <c r="B393" s="5"/>
      <c r="C393" s="16"/>
      <c r="E393" s="5"/>
    </row>
    <row r="394" spans="1:5" ht="12.5">
      <c r="A394" s="76"/>
      <c r="B394" s="5"/>
      <c r="C394" s="16"/>
      <c r="E394" s="5"/>
    </row>
    <row r="395" spans="1:5" ht="12.5">
      <c r="A395" s="76"/>
      <c r="B395" s="5"/>
      <c r="C395" s="16"/>
      <c r="E395" s="5"/>
    </row>
    <row r="396" spans="1:5" ht="12.5">
      <c r="A396" s="76"/>
      <c r="B396" s="5"/>
      <c r="C396" s="16"/>
      <c r="E396" s="5"/>
    </row>
    <row r="397" spans="1:5" ht="12.5">
      <c r="A397" s="76"/>
      <c r="B397" s="5"/>
      <c r="C397" s="16"/>
      <c r="E397" s="5"/>
    </row>
    <row r="398" spans="1:5" ht="12.5">
      <c r="A398" s="76"/>
      <c r="B398" s="5"/>
      <c r="C398" s="16"/>
      <c r="E398" s="5"/>
    </row>
    <row r="399" spans="1:5" ht="12.5">
      <c r="A399" s="76"/>
      <c r="B399" s="5"/>
      <c r="C399" s="16"/>
      <c r="E399" s="5"/>
    </row>
    <row r="400" spans="1:5" ht="12.5">
      <c r="A400" s="76"/>
      <c r="B400" s="5"/>
      <c r="C400" s="16"/>
      <c r="E400" s="5"/>
    </row>
    <row r="401" spans="1:5" ht="12.5">
      <c r="A401" s="76"/>
      <c r="B401" s="5"/>
      <c r="C401" s="16"/>
      <c r="E401" s="5"/>
    </row>
    <row r="402" spans="1:5" ht="12.5">
      <c r="A402" s="76"/>
      <c r="B402" s="5"/>
      <c r="C402" s="16"/>
      <c r="E402" s="5"/>
    </row>
    <row r="403" spans="1:5" ht="12.5">
      <c r="A403" s="76"/>
      <c r="B403" s="5"/>
      <c r="C403" s="16"/>
      <c r="E403" s="5"/>
    </row>
    <row r="404" spans="1:5" ht="12.5">
      <c r="A404" s="76"/>
      <c r="B404" s="5"/>
      <c r="C404" s="16"/>
      <c r="E404" s="5"/>
    </row>
    <row r="405" spans="1:5" ht="12.5">
      <c r="A405" s="76"/>
      <c r="B405" s="5"/>
      <c r="C405" s="16"/>
      <c r="E405" s="5"/>
    </row>
    <row r="406" spans="1:5" ht="12.5">
      <c r="A406" s="76"/>
      <c r="B406" s="5"/>
      <c r="C406" s="16"/>
      <c r="E406" s="5"/>
    </row>
    <row r="407" spans="1:5" ht="12.5">
      <c r="A407" s="76"/>
      <c r="B407" s="5"/>
      <c r="C407" s="16"/>
      <c r="E407" s="5"/>
    </row>
    <row r="408" spans="1:5" ht="12.5">
      <c r="A408" s="76"/>
      <c r="B408" s="5"/>
      <c r="C408" s="16"/>
      <c r="E408" s="5"/>
    </row>
    <row r="409" spans="1:5" ht="12.5">
      <c r="A409" s="76"/>
      <c r="B409" s="5"/>
      <c r="C409" s="16"/>
      <c r="E409" s="5"/>
    </row>
    <row r="410" spans="1:5" ht="12.5">
      <c r="A410" s="76"/>
      <c r="B410" s="5"/>
      <c r="C410" s="16"/>
      <c r="E410" s="5"/>
    </row>
    <row r="411" spans="1:5" ht="12.5">
      <c r="A411" s="76"/>
      <c r="B411" s="5"/>
      <c r="C411" s="16"/>
      <c r="E411" s="5"/>
    </row>
    <row r="412" spans="1:5" ht="12.5">
      <c r="A412" s="76"/>
      <c r="B412" s="5"/>
      <c r="C412" s="16"/>
      <c r="E412" s="5"/>
    </row>
    <row r="413" spans="1:5" ht="12.5">
      <c r="A413" s="76"/>
      <c r="B413" s="5"/>
      <c r="C413" s="16"/>
      <c r="E413" s="5"/>
    </row>
    <row r="414" spans="1:5" ht="12.5">
      <c r="A414" s="76"/>
      <c r="B414" s="5"/>
      <c r="C414" s="16"/>
      <c r="E414" s="5"/>
    </row>
    <row r="415" spans="1:5" ht="12.5">
      <c r="A415" s="76"/>
      <c r="B415" s="5"/>
      <c r="C415" s="16"/>
      <c r="E415" s="5"/>
    </row>
    <row r="416" spans="1:5" ht="12.5">
      <c r="A416" s="76"/>
      <c r="B416" s="5"/>
      <c r="C416" s="16"/>
      <c r="E416" s="5"/>
    </row>
    <row r="417" spans="1:5" ht="12.5">
      <c r="A417" s="76"/>
      <c r="B417" s="5"/>
      <c r="C417" s="16"/>
      <c r="E417" s="5"/>
    </row>
    <row r="418" spans="1:5" ht="12.5">
      <c r="A418" s="76"/>
      <c r="B418" s="5"/>
      <c r="C418" s="16"/>
      <c r="E418" s="5"/>
    </row>
    <row r="419" spans="1:5" ht="12.5">
      <c r="A419" s="76"/>
      <c r="B419" s="5"/>
      <c r="C419" s="16"/>
      <c r="E419" s="5"/>
    </row>
    <row r="420" spans="1:5" ht="12.5">
      <c r="A420" s="76"/>
      <c r="B420" s="5"/>
      <c r="C420" s="16"/>
      <c r="E420" s="5"/>
    </row>
    <row r="421" spans="1:5" ht="12.5">
      <c r="A421" s="76"/>
      <c r="B421" s="5"/>
      <c r="C421" s="16"/>
      <c r="E421" s="5"/>
    </row>
    <row r="422" spans="1:5" ht="12.5">
      <c r="A422" s="76"/>
      <c r="B422" s="5"/>
      <c r="C422" s="16"/>
      <c r="E422" s="5"/>
    </row>
    <row r="423" spans="1:5" ht="12.5">
      <c r="A423" s="76"/>
      <c r="B423" s="5"/>
      <c r="C423" s="16"/>
      <c r="E423" s="5"/>
    </row>
    <row r="424" spans="1:5" ht="12.5">
      <c r="A424" s="76"/>
      <c r="B424" s="5"/>
      <c r="C424" s="16"/>
      <c r="E424" s="5"/>
    </row>
    <row r="425" spans="1:5" ht="12.5">
      <c r="A425" s="76"/>
      <c r="B425" s="5"/>
      <c r="C425" s="16"/>
      <c r="E425" s="5"/>
    </row>
    <row r="426" spans="1:5" ht="12.5">
      <c r="A426" s="76"/>
      <c r="B426" s="5"/>
      <c r="C426" s="16"/>
      <c r="E426" s="5"/>
    </row>
    <row r="427" spans="1:5" ht="12.5">
      <c r="A427" s="76"/>
      <c r="B427" s="5"/>
      <c r="C427" s="16"/>
      <c r="E427" s="5"/>
    </row>
    <row r="428" spans="1:5" ht="12.5">
      <c r="A428" s="76"/>
      <c r="B428" s="5"/>
      <c r="C428" s="16"/>
      <c r="E428" s="5"/>
    </row>
    <row r="429" spans="1:5" ht="12.5">
      <c r="A429" s="76"/>
      <c r="B429" s="5"/>
      <c r="C429" s="16"/>
      <c r="E429" s="5"/>
    </row>
    <row r="430" spans="1:5" ht="12.5">
      <c r="A430" s="76"/>
      <c r="B430" s="5"/>
      <c r="C430" s="16"/>
      <c r="E430" s="5"/>
    </row>
    <row r="431" spans="1:5" ht="12.5">
      <c r="A431" s="76"/>
      <c r="B431" s="5"/>
      <c r="C431" s="16"/>
      <c r="E431" s="5"/>
    </row>
    <row r="432" spans="1:5" ht="12.5">
      <c r="A432" s="76"/>
      <c r="B432" s="5"/>
      <c r="C432" s="16"/>
      <c r="E432" s="5"/>
    </row>
    <row r="433" spans="1:5" ht="12.5">
      <c r="A433" s="76"/>
      <c r="B433" s="5"/>
      <c r="C433" s="16"/>
      <c r="E433" s="5"/>
    </row>
    <row r="434" spans="1:5" ht="12.5">
      <c r="A434" s="76"/>
      <c r="B434" s="5"/>
      <c r="C434" s="16"/>
      <c r="E434" s="5"/>
    </row>
    <row r="435" spans="1:5" ht="12.5">
      <c r="A435" s="76"/>
      <c r="B435" s="5"/>
      <c r="C435" s="16"/>
      <c r="E435" s="5"/>
    </row>
    <row r="436" spans="1:5" ht="12.5">
      <c r="A436" s="76"/>
      <c r="B436" s="5"/>
      <c r="C436" s="16"/>
      <c r="E436" s="5"/>
    </row>
    <row r="437" spans="1:5" ht="12.5">
      <c r="A437" s="76"/>
      <c r="B437" s="5"/>
      <c r="C437" s="16"/>
      <c r="E437" s="5"/>
    </row>
    <row r="438" spans="1:5" ht="12.5">
      <c r="A438" s="76"/>
      <c r="B438" s="5"/>
      <c r="C438" s="16"/>
      <c r="E438" s="5"/>
    </row>
    <row r="439" spans="1:5" ht="12.5">
      <c r="A439" s="76"/>
      <c r="B439" s="5"/>
      <c r="C439" s="16"/>
      <c r="E439" s="5"/>
    </row>
    <row r="440" spans="1:5" ht="12.5">
      <c r="A440" s="76"/>
      <c r="B440" s="5"/>
      <c r="C440" s="16"/>
      <c r="E440" s="5"/>
    </row>
    <row r="441" spans="1:5" ht="12.5">
      <c r="A441" s="76"/>
      <c r="B441" s="5"/>
      <c r="C441" s="16"/>
      <c r="E441" s="5"/>
    </row>
    <row r="442" spans="1:5" ht="12.5">
      <c r="A442" s="76"/>
      <c r="B442" s="5"/>
      <c r="C442" s="16"/>
      <c r="E442" s="5"/>
    </row>
    <row r="443" spans="1:5" ht="12.5">
      <c r="A443" s="76"/>
      <c r="B443" s="5"/>
      <c r="C443" s="16"/>
      <c r="E443" s="5"/>
    </row>
    <row r="444" spans="1:5" ht="12.5">
      <c r="A444" s="76"/>
      <c r="B444" s="5"/>
      <c r="C444" s="16"/>
      <c r="E444" s="5"/>
    </row>
    <row r="445" spans="1:5" ht="12.5">
      <c r="A445" s="76"/>
      <c r="B445" s="5"/>
      <c r="C445" s="16"/>
      <c r="E445" s="5"/>
    </row>
    <row r="446" spans="1:5" ht="12.5">
      <c r="A446" s="76"/>
      <c r="B446" s="5"/>
      <c r="C446" s="16"/>
      <c r="E446" s="5"/>
    </row>
    <row r="447" spans="1:5" ht="12.5">
      <c r="A447" s="76"/>
      <c r="B447" s="5"/>
      <c r="C447" s="16"/>
      <c r="E447" s="5"/>
    </row>
    <row r="448" spans="1:5" ht="12.5">
      <c r="A448" s="76"/>
      <c r="B448" s="5"/>
      <c r="C448" s="16"/>
      <c r="E448" s="5"/>
    </row>
    <row r="449" spans="1:5" ht="12.5">
      <c r="A449" s="76"/>
      <c r="B449" s="5"/>
      <c r="C449" s="16"/>
      <c r="E449" s="5"/>
    </row>
    <row r="450" spans="1:5" ht="12.5">
      <c r="A450" s="76"/>
      <c r="B450" s="5"/>
      <c r="C450" s="16"/>
      <c r="E450" s="5"/>
    </row>
    <row r="451" spans="1:5" ht="12.5">
      <c r="A451" s="76"/>
      <c r="B451" s="5"/>
      <c r="C451" s="16"/>
      <c r="E451" s="5"/>
    </row>
    <row r="452" spans="1:5" ht="12.5">
      <c r="A452" s="76"/>
      <c r="B452" s="5"/>
      <c r="C452" s="16"/>
      <c r="E452" s="5"/>
    </row>
    <row r="453" spans="1:5" ht="12.5">
      <c r="A453" s="76"/>
      <c r="B453" s="5"/>
      <c r="C453" s="16"/>
      <c r="E453" s="5"/>
    </row>
    <row r="454" spans="1:5" ht="12.5">
      <c r="A454" s="76"/>
      <c r="B454" s="5"/>
      <c r="C454" s="16"/>
      <c r="E454" s="5"/>
    </row>
    <row r="455" spans="1:5" ht="12.5">
      <c r="A455" s="76"/>
      <c r="B455" s="5"/>
      <c r="C455" s="16"/>
      <c r="E455" s="5"/>
    </row>
    <row r="456" spans="1:5" ht="12.5">
      <c r="A456" s="76"/>
      <c r="B456" s="5"/>
      <c r="C456" s="16"/>
      <c r="E456" s="5"/>
    </row>
    <row r="457" spans="1:5" ht="12.5">
      <c r="A457" s="76"/>
      <c r="B457" s="5"/>
      <c r="C457" s="16"/>
      <c r="E457" s="5"/>
    </row>
    <row r="458" spans="1:5" ht="12.5">
      <c r="A458" s="76"/>
      <c r="B458" s="5"/>
      <c r="C458" s="16"/>
      <c r="E458" s="5"/>
    </row>
    <row r="459" spans="1:5" ht="12.5">
      <c r="A459" s="76"/>
      <c r="B459" s="5"/>
      <c r="C459" s="16"/>
      <c r="E459" s="5"/>
    </row>
    <row r="460" spans="1:5" ht="12.5">
      <c r="A460" s="76"/>
      <c r="B460" s="5"/>
      <c r="C460" s="16"/>
      <c r="E460" s="5"/>
    </row>
    <row r="461" spans="1:5" ht="12.5">
      <c r="A461" s="76"/>
      <c r="B461" s="5"/>
      <c r="C461" s="16"/>
      <c r="E461" s="5"/>
    </row>
    <row r="462" spans="1:5" ht="12.5">
      <c r="A462" s="76"/>
      <c r="B462" s="5"/>
      <c r="C462" s="16"/>
      <c r="E462" s="5"/>
    </row>
    <row r="463" spans="1:5" ht="12.5">
      <c r="A463" s="76"/>
      <c r="B463" s="5"/>
      <c r="C463" s="16"/>
      <c r="E463" s="5"/>
    </row>
    <row r="464" spans="1:5" ht="12.5">
      <c r="A464" s="76"/>
      <c r="B464" s="5"/>
      <c r="C464" s="16"/>
      <c r="E464" s="5"/>
    </row>
    <row r="465" spans="1:5" ht="12.5">
      <c r="A465" s="76"/>
      <c r="B465" s="5"/>
      <c r="C465" s="16"/>
      <c r="E465" s="5"/>
    </row>
    <row r="466" spans="1:5" ht="12.5">
      <c r="A466" s="76"/>
      <c r="B466" s="5"/>
      <c r="C466" s="16"/>
      <c r="E466" s="5"/>
    </row>
    <row r="467" spans="1:5" ht="12.5">
      <c r="A467" s="76"/>
      <c r="B467" s="5"/>
      <c r="C467" s="16"/>
      <c r="E467" s="5"/>
    </row>
    <row r="468" spans="1:5" ht="12.5">
      <c r="A468" s="76"/>
      <c r="B468" s="5"/>
      <c r="C468" s="16"/>
      <c r="E468" s="5"/>
    </row>
    <row r="469" spans="1:5" ht="12.5">
      <c r="A469" s="76"/>
      <c r="B469" s="5"/>
      <c r="C469" s="16"/>
      <c r="E469" s="5"/>
    </row>
    <row r="470" spans="1:5" ht="12.5">
      <c r="A470" s="76"/>
      <c r="B470" s="5"/>
      <c r="C470" s="16"/>
      <c r="E470" s="5"/>
    </row>
    <row r="471" spans="1:5" ht="12.5">
      <c r="A471" s="76"/>
      <c r="B471" s="5"/>
      <c r="C471" s="16"/>
      <c r="E471" s="5"/>
    </row>
    <row r="472" spans="1:5" ht="12.5">
      <c r="A472" s="76"/>
      <c r="B472" s="5"/>
      <c r="C472" s="16"/>
      <c r="E472" s="5"/>
    </row>
    <row r="473" spans="1:5" ht="12.5">
      <c r="A473" s="76"/>
      <c r="B473" s="5"/>
      <c r="C473" s="16"/>
      <c r="E473" s="5"/>
    </row>
    <row r="474" spans="1:5" ht="12.5">
      <c r="A474" s="76"/>
      <c r="B474" s="5"/>
      <c r="C474" s="16"/>
      <c r="E474" s="5"/>
    </row>
    <row r="475" spans="1:5" ht="12.5">
      <c r="A475" s="76"/>
      <c r="B475" s="5"/>
      <c r="C475" s="16"/>
      <c r="E475" s="5"/>
    </row>
    <row r="476" spans="1:5" ht="12.5">
      <c r="A476" s="76"/>
      <c r="B476" s="5"/>
      <c r="C476" s="16"/>
      <c r="E476" s="5"/>
    </row>
    <row r="477" spans="1:5" ht="12.5">
      <c r="A477" s="76"/>
      <c r="B477" s="5"/>
      <c r="C477" s="16"/>
      <c r="E477" s="5"/>
    </row>
    <row r="478" spans="1:5" ht="12.5">
      <c r="A478" s="76"/>
      <c r="B478" s="5"/>
      <c r="C478" s="16"/>
      <c r="E478" s="5"/>
    </row>
    <row r="479" spans="1:5" ht="12.5">
      <c r="A479" s="76"/>
      <c r="B479" s="5"/>
      <c r="C479" s="16"/>
      <c r="E479" s="5"/>
    </row>
    <row r="480" spans="1:5" ht="12.5">
      <c r="A480" s="76"/>
      <c r="B480" s="5"/>
      <c r="C480" s="16"/>
      <c r="E480" s="5"/>
    </row>
    <row r="481" spans="1:5" ht="12.5">
      <c r="A481" s="76"/>
      <c r="B481" s="5"/>
      <c r="C481" s="16"/>
      <c r="E481" s="5"/>
    </row>
    <row r="482" spans="1:5" ht="12.5">
      <c r="A482" s="76"/>
      <c r="B482" s="5"/>
      <c r="C482" s="16"/>
      <c r="E482" s="5"/>
    </row>
    <row r="483" spans="1:5" ht="12.5">
      <c r="A483" s="76"/>
      <c r="B483" s="5"/>
      <c r="C483" s="16"/>
      <c r="E483" s="5"/>
    </row>
    <row r="484" spans="1:5" ht="12.5">
      <c r="A484" s="76"/>
      <c r="B484" s="5"/>
      <c r="C484" s="16"/>
      <c r="E484" s="5"/>
    </row>
    <row r="485" spans="1:5" ht="12.5">
      <c r="A485" s="76"/>
      <c r="B485" s="5"/>
      <c r="C485" s="16"/>
      <c r="E485" s="5"/>
    </row>
    <row r="486" spans="1:5" ht="12.5">
      <c r="A486" s="76"/>
      <c r="B486" s="5"/>
      <c r="C486" s="16"/>
      <c r="E486" s="5"/>
    </row>
    <row r="487" spans="1:5" ht="12.5">
      <c r="A487" s="76"/>
      <c r="B487" s="5"/>
      <c r="C487" s="16"/>
      <c r="E487" s="5"/>
    </row>
    <row r="488" spans="1:5" ht="12.5">
      <c r="A488" s="76"/>
      <c r="B488" s="5"/>
      <c r="C488" s="16"/>
      <c r="E488" s="5"/>
    </row>
    <row r="489" spans="1:5" ht="12.5">
      <c r="A489" s="76"/>
      <c r="B489" s="5"/>
      <c r="C489" s="16"/>
      <c r="E489" s="5"/>
    </row>
    <row r="490" spans="1:5" ht="12.5">
      <c r="A490" s="76"/>
      <c r="B490" s="5"/>
      <c r="C490" s="16"/>
      <c r="E490" s="5"/>
    </row>
    <row r="491" spans="1:5" ht="12.5">
      <c r="A491" s="76"/>
      <c r="B491" s="5"/>
      <c r="C491" s="16"/>
      <c r="E491" s="5"/>
    </row>
    <row r="492" spans="1:5" ht="12.5">
      <c r="A492" s="76"/>
      <c r="B492" s="5"/>
      <c r="C492" s="16"/>
      <c r="E492" s="5"/>
    </row>
    <row r="493" spans="1:5" ht="12.5">
      <c r="A493" s="76"/>
      <c r="B493" s="5"/>
      <c r="C493" s="16"/>
      <c r="E493" s="5"/>
    </row>
    <row r="494" spans="1:5" ht="12.5">
      <c r="A494" s="76"/>
      <c r="B494" s="5"/>
      <c r="C494" s="16"/>
      <c r="E494" s="5"/>
    </row>
    <row r="495" spans="1:5" ht="12.5">
      <c r="A495" s="76"/>
      <c r="B495" s="5"/>
      <c r="C495" s="16"/>
      <c r="E495" s="5"/>
    </row>
    <row r="496" spans="1:5" ht="12.5">
      <c r="A496" s="76"/>
      <c r="B496" s="5"/>
      <c r="C496" s="16"/>
      <c r="E496" s="5"/>
    </row>
    <row r="497" spans="1:5" ht="12.5">
      <c r="A497" s="76"/>
      <c r="B497" s="5"/>
      <c r="C497" s="16"/>
      <c r="E497" s="5"/>
    </row>
    <row r="498" spans="1:5" ht="12.5">
      <c r="A498" s="76"/>
      <c r="B498" s="5"/>
      <c r="C498" s="16"/>
      <c r="E498" s="5"/>
    </row>
    <row r="499" spans="1:5" ht="12.5">
      <c r="A499" s="76"/>
      <c r="B499" s="5"/>
      <c r="C499" s="16"/>
      <c r="E499" s="5"/>
    </row>
    <row r="500" spans="1:5" ht="12.5">
      <c r="A500" s="76"/>
      <c r="B500" s="5"/>
      <c r="C500" s="16"/>
      <c r="E500" s="5"/>
    </row>
    <row r="501" spans="1:5" ht="12.5">
      <c r="A501" s="76"/>
      <c r="B501" s="5"/>
      <c r="C501" s="16"/>
      <c r="E501" s="5"/>
    </row>
    <row r="502" spans="1:5" ht="12.5">
      <c r="A502" s="76"/>
      <c r="B502" s="5"/>
      <c r="C502" s="16"/>
      <c r="E502" s="5"/>
    </row>
    <row r="503" spans="1:5" ht="12.5">
      <c r="A503" s="76"/>
      <c r="B503" s="5"/>
      <c r="C503" s="16"/>
      <c r="E503" s="5"/>
    </row>
    <row r="504" spans="1:5" ht="12.5">
      <c r="A504" s="76"/>
      <c r="B504" s="5"/>
      <c r="C504" s="16"/>
      <c r="E504" s="5"/>
    </row>
    <row r="505" spans="1:5" ht="12.5">
      <c r="A505" s="76"/>
      <c r="B505" s="5"/>
      <c r="C505" s="16"/>
      <c r="E505" s="5"/>
    </row>
    <row r="506" spans="1:5" ht="12.5">
      <c r="A506" s="76"/>
      <c r="B506" s="5"/>
      <c r="C506" s="16"/>
      <c r="E506" s="5"/>
    </row>
    <row r="507" spans="1:5" ht="12.5">
      <c r="A507" s="76"/>
      <c r="B507" s="5"/>
      <c r="C507" s="16"/>
      <c r="E507" s="5"/>
    </row>
    <row r="508" spans="1:5" ht="12.5">
      <c r="A508" s="76"/>
      <c r="B508" s="5"/>
      <c r="C508" s="16"/>
      <c r="E508" s="5"/>
    </row>
    <row r="509" spans="1:5" ht="12.5">
      <c r="A509" s="76"/>
      <c r="B509" s="5"/>
      <c r="C509" s="16"/>
      <c r="E509" s="5"/>
    </row>
    <row r="510" spans="1:5" ht="12.5">
      <c r="A510" s="76"/>
      <c r="B510" s="5"/>
      <c r="C510" s="16"/>
      <c r="E510" s="5"/>
    </row>
    <row r="511" spans="1:5" ht="12.5">
      <c r="A511" s="76"/>
      <c r="B511" s="5"/>
      <c r="C511" s="16"/>
      <c r="E511" s="5"/>
    </row>
    <row r="512" spans="1:5" ht="12.5">
      <c r="A512" s="76"/>
      <c r="B512" s="5"/>
      <c r="C512" s="16"/>
      <c r="E512" s="5"/>
    </row>
    <row r="513" spans="1:5" ht="12.5">
      <c r="A513" s="76"/>
      <c r="B513" s="5"/>
      <c r="C513" s="16"/>
      <c r="E513" s="5"/>
    </row>
    <row r="514" spans="1:5" ht="12.5">
      <c r="A514" s="76"/>
      <c r="B514" s="5"/>
      <c r="C514" s="16"/>
      <c r="E514" s="5"/>
    </row>
    <row r="515" spans="1:5" ht="12.5">
      <c r="A515" s="76"/>
      <c r="B515" s="5"/>
      <c r="C515" s="16"/>
      <c r="E515" s="5"/>
    </row>
    <row r="516" spans="1:5" ht="12.5">
      <c r="A516" s="76"/>
      <c r="B516" s="5"/>
      <c r="C516" s="16"/>
      <c r="E516" s="5"/>
    </row>
    <row r="517" spans="1:5" ht="12.5">
      <c r="A517" s="76"/>
      <c r="B517" s="5"/>
      <c r="C517" s="16"/>
      <c r="E517" s="5"/>
    </row>
    <row r="518" spans="1:5" ht="12.5">
      <c r="A518" s="76"/>
      <c r="B518" s="5"/>
      <c r="C518" s="16"/>
      <c r="E518" s="5"/>
    </row>
    <row r="519" spans="1:5" ht="12.5">
      <c r="A519" s="76"/>
      <c r="B519" s="5"/>
      <c r="C519" s="16"/>
      <c r="E519" s="5"/>
    </row>
    <row r="520" spans="1:5" ht="12.5">
      <c r="A520" s="76"/>
      <c r="B520" s="5"/>
      <c r="C520" s="16"/>
      <c r="E520" s="5"/>
    </row>
    <row r="521" spans="1:5" ht="12.5">
      <c r="A521" s="76"/>
      <c r="B521" s="5"/>
      <c r="C521" s="16"/>
      <c r="E521" s="5"/>
    </row>
    <row r="522" spans="1:5" ht="12.5">
      <c r="A522" s="76"/>
      <c r="B522" s="5"/>
      <c r="C522" s="16"/>
      <c r="E522" s="5"/>
    </row>
    <row r="523" spans="1:5" ht="12.5">
      <c r="A523" s="76"/>
      <c r="B523" s="5"/>
      <c r="C523" s="16"/>
      <c r="E523" s="5"/>
    </row>
    <row r="524" spans="1:5" ht="12.5">
      <c r="A524" s="76"/>
      <c r="B524" s="5"/>
      <c r="C524" s="16"/>
      <c r="E524" s="5"/>
    </row>
    <row r="525" spans="1:5" ht="12.5">
      <c r="A525" s="76"/>
      <c r="B525" s="5"/>
      <c r="C525" s="16"/>
      <c r="E525" s="5"/>
    </row>
    <row r="526" spans="1:5" ht="12.5">
      <c r="A526" s="76"/>
      <c r="B526" s="5"/>
      <c r="C526" s="16"/>
      <c r="E526" s="5"/>
    </row>
    <row r="527" spans="1:5" ht="12.5">
      <c r="A527" s="76"/>
      <c r="B527" s="5"/>
      <c r="C527" s="16"/>
      <c r="E527" s="5"/>
    </row>
    <row r="528" spans="1:5" ht="12.5">
      <c r="A528" s="76"/>
      <c r="B528" s="5"/>
      <c r="C528" s="16"/>
      <c r="E528" s="5"/>
    </row>
    <row r="529" spans="1:5" ht="12.5">
      <c r="A529" s="76"/>
      <c r="B529" s="5"/>
      <c r="C529" s="16"/>
      <c r="E529" s="5"/>
    </row>
    <row r="530" spans="1:5" ht="12.5">
      <c r="A530" s="76"/>
      <c r="B530" s="5"/>
      <c r="C530" s="16"/>
      <c r="E530" s="5"/>
    </row>
    <row r="531" spans="1:5" ht="12.5">
      <c r="A531" s="76"/>
      <c r="B531" s="5"/>
      <c r="C531" s="16"/>
      <c r="E531" s="5"/>
    </row>
    <row r="532" spans="1:5" ht="12.5">
      <c r="A532" s="76"/>
      <c r="B532" s="5"/>
      <c r="C532" s="16"/>
      <c r="E532" s="5"/>
    </row>
    <row r="533" spans="1:5" ht="12.5">
      <c r="A533" s="76"/>
      <c r="B533" s="5"/>
      <c r="C533" s="16"/>
      <c r="E533" s="5"/>
    </row>
    <row r="534" spans="1:5" ht="12.5">
      <c r="A534" s="76"/>
      <c r="B534" s="5"/>
      <c r="C534" s="16"/>
      <c r="E534" s="5"/>
    </row>
    <row r="535" spans="1:5" ht="12.5">
      <c r="A535" s="76"/>
      <c r="B535" s="5"/>
      <c r="C535" s="16"/>
      <c r="E535" s="5"/>
    </row>
    <row r="536" spans="1:5" ht="12.5">
      <c r="A536" s="76"/>
      <c r="B536" s="5"/>
      <c r="C536" s="16"/>
      <c r="E536" s="5"/>
    </row>
    <row r="537" spans="1:5" ht="12.5">
      <c r="A537" s="76"/>
      <c r="B537" s="5"/>
      <c r="C537" s="16"/>
      <c r="E537" s="5"/>
    </row>
    <row r="538" spans="1:5" ht="12.5">
      <c r="A538" s="76"/>
      <c r="B538" s="5"/>
      <c r="C538" s="16"/>
      <c r="E538" s="5"/>
    </row>
    <row r="539" spans="1:5" ht="12.5">
      <c r="A539" s="76"/>
      <c r="B539" s="5"/>
      <c r="C539" s="16"/>
      <c r="E539" s="5"/>
    </row>
    <row r="540" spans="1:5" ht="12.5">
      <c r="A540" s="76"/>
      <c r="B540" s="5"/>
      <c r="C540" s="16"/>
      <c r="E540" s="5"/>
    </row>
    <row r="541" spans="1:5" ht="12.5">
      <c r="A541" s="76"/>
      <c r="B541" s="5"/>
      <c r="C541" s="16"/>
      <c r="E541" s="5"/>
    </row>
    <row r="542" spans="1:5" ht="12.5">
      <c r="A542" s="76"/>
      <c r="B542" s="5"/>
      <c r="C542" s="16"/>
      <c r="E542" s="5"/>
    </row>
    <row r="543" spans="1:5" ht="12.5">
      <c r="A543" s="76"/>
      <c r="B543" s="5"/>
      <c r="C543" s="16"/>
      <c r="E543" s="5"/>
    </row>
    <row r="544" spans="1:5" ht="12.5">
      <c r="A544" s="76"/>
      <c r="B544" s="5"/>
      <c r="C544" s="16"/>
      <c r="E544" s="5"/>
    </row>
    <row r="545" spans="1:5" ht="12.5">
      <c r="A545" s="76"/>
      <c r="B545" s="5"/>
      <c r="C545" s="16"/>
      <c r="E545" s="5"/>
    </row>
    <row r="546" spans="1:5" ht="12.5">
      <c r="A546" s="76"/>
      <c r="B546" s="5"/>
      <c r="C546" s="16"/>
      <c r="E546" s="5"/>
    </row>
    <row r="547" spans="1:5" ht="12.5">
      <c r="A547" s="76"/>
      <c r="B547" s="5"/>
      <c r="C547" s="16"/>
      <c r="E547" s="5"/>
    </row>
    <row r="548" spans="1:5" ht="12.5">
      <c r="A548" s="76"/>
      <c r="B548" s="5"/>
      <c r="C548" s="16"/>
      <c r="E548" s="5"/>
    </row>
    <row r="549" spans="1:5" ht="12.5">
      <c r="A549" s="76"/>
      <c r="B549" s="5"/>
      <c r="C549" s="16"/>
      <c r="E549" s="5"/>
    </row>
    <row r="550" spans="1:5" ht="12.5">
      <c r="A550" s="76"/>
      <c r="B550" s="5"/>
      <c r="C550" s="16"/>
      <c r="E550" s="5"/>
    </row>
    <row r="551" spans="1:5" ht="12.5">
      <c r="A551" s="76"/>
      <c r="B551" s="5"/>
      <c r="C551" s="16"/>
      <c r="E551" s="5"/>
    </row>
    <row r="552" spans="1:5" ht="12.5">
      <c r="A552" s="76"/>
      <c r="B552" s="5"/>
      <c r="C552" s="16"/>
      <c r="E552" s="5"/>
    </row>
    <row r="553" spans="1:5" ht="12.5">
      <c r="A553" s="76"/>
      <c r="B553" s="5"/>
      <c r="C553" s="16"/>
      <c r="E553" s="5"/>
    </row>
    <row r="554" spans="1:5" ht="12.5">
      <c r="A554" s="76"/>
      <c r="B554" s="5"/>
      <c r="C554" s="16"/>
      <c r="E554" s="5"/>
    </row>
    <row r="555" spans="1:5" ht="12.5">
      <c r="A555" s="76"/>
      <c r="B555" s="5"/>
      <c r="C555" s="16"/>
      <c r="E555" s="5"/>
    </row>
    <row r="556" spans="1:5" ht="12.5">
      <c r="A556" s="76"/>
      <c r="B556" s="5"/>
      <c r="C556" s="16"/>
      <c r="E556" s="5"/>
    </row>
    <row r="557" spans="1:5" ht="12.5">
      <c r="A557" s="76"/>
      <c r="B557" s="5"/>
      <c r="C557" s="16"/>
      <c r="E557" s="5"/>
    </row>
    <row r="558" spans="1:5" ht="12.5">
      <c r="A558" s="76"/>
      <c r="B558" s="5"/>
      <c r="C558" s="16"/>
      <c r="E558" s="5"/>
    </row>
    <row r="559" spans="1:5" ht="12.5">
      <c r="A559" s="76"/>
      <c r="B559" s="5"/>
      <c r="C559" s="16"/>
      <c r="E559" s="5"/>
    </row>
    <row r="560" spans="1:5" ht="12.5">
      <c r="A560" s="76"/>
      <c r="B560" s="5"/>
      <c r="C560" s="16"/>
      <c r="E560" s="5"/>
    </row>
    <row r="561" spans="1:5" ht="12.5">
      <c r="A561" s="76"/>
      <c r="B561" s="5"/>
      <c r="C561" s="16"/>
      <c r="E561" s="5"/>
    </row>
    <row r="562" spans="1:5" ht="12.5">
      <c r="A562" s="76"/>
      <c r="B562" s="5"/>
      <c r="C562" s="16"/>
      <c r="E562" s="5"/>
    </row>
    <row r="563" spans="1:5" ht="12.5">
      <c r="A563" s="76"/>
      <c r="B563" s="5"/>
      <c r="C563" s="16"/>
      <c r="E563" s="5"/>
    </row>
    <row r="564" spans="1:5" ht="12.5">
      <c r="A564" s="76"/>
      <c r="B564" s="5"/>
      <c r="C564" s="16"/>
      <c r="E564" s="5"/>
    </row>
    <row r="565" spans="1:5" ht="12.5">
      <c r="A565" s="76"/>
      <c r="B565" s="5"/>
      <c r="C565" s="16"/>
      <c r="E565" s="5"/>
    </row>
    <row r="566" spans="1:5" ht="12.5">
      <c r="A566" s="76"/>
      <c r="B566" s="5"/>
      <c r="C566" s="16"/>
      <c r="E566" s="5"/>
    </row>
    <row r="567" spans="1:5" ht="12.5">
      <c r="A567" s="76"/>
      <c r="B567" s="5"/>
      <c r="C567" s="16"/>
      <c r="E567" s="5"/>
    </row>
    <row r="568" spans="1:5" ht="12.5">
      <c r="A568" s="76"/>
      <c r="B568" s="5"/>
      <c r="C568" s="16"/>
      <c r="E568" s="5"/>
    </row>
    <row r="569" spans="1:5" ht="12.5">
      <c r="A569" s="76"/>
      <c r="B569" s="5"/>
      <c r="C569" s="16"/>
      <c r="E569" s="5"/>
    </row>
    <row r="570" spans="1:5" ht="12.5">
      <c r="A570" s="76"/>
      <c r="B570" s="5"/>
      <c r="C570" s="16"/>
      <c r="E570" s="5"/>
    </row>
    <row r="571" spans="1:5" ht="12.5">
      <c r="A571" s="76"/>
      <c r="B571" s="5"/>
      <c r="C571" s="16"/>
      <c r="E571" s="5"/>
    </row>
    <row r="572" spans="1:5" ht="12.5">
      <c r="A572" s="76"/>
      <c r="B572" s="5"/>
      <c r="C572" s="16"/>
      <c r="E572" s="5"/>
    </row>
    <row r="573" spans="1:5" ht="12.5">
      <c r="A573" s="76"/>
      <c r="B573" s="5"/>
      <c r="C573" s="16"/>
      <c r="E573" s="5"/>
    </row>
    <row r="574" spans="1:5" ht="12.5">
      <c r="A574" s="76"/>
      <c r="B574" s="5"/>
      <c r="C574" s="16"/>
      <c r="E574" s="5"/>
    </row>
    <row r="575" spans="1:5" ht="12.5">
      <c r="A575" s="76"/>
      <c r="B575" s="5"/>
      <c r="C575" s="16"/>
      <c r="E575" s="5"/>
    </row>
    <row r="576" spans="1:5" ht="12.5">
      <c r="A576" s="76"/>
      <c r="B576" s="5"/>
      <c r="C576" s="16"/>
      <c r="E576" s="5"/>
    </row>
    <row r="577" spans="1:5" ht="12.5">
      <c r="A577" s="76"/>
      <c r="B577" s="5"/>
      <c r="C577" s="16"/>
      <c r="E577" s="5"/>
    </row>
    <row r="578" spans="1:5" ht="12.5">
      <c r="A578" s="76"/>
      <c r="B578" s="5"/>
      <c r="C578" s="16"/>
      <c r="E578" s="5"/>
    </row>
    <row r="579" spans="1:5" ht="12.5">
      <c r="A579" s="76"/>
      <c r="B579" s="5"/>
      <c r="C579" s="16"/>
      <c r="E579" s="5"/>
    </row>
    <row r="580" spans="1:5" ht="12.5">
      <c r="A580" s="76"/>
      <c r="B580" s="5"/>
      <c r="C580" s="16"/>
      <c r="E580" s="5"/>
    </row>
    <row r="581" spans="1:5" ht="12.5">
      <c r="A581" s="76"/>
      <c r="B581" s="5"/>
      <c r="C581" s="16"/>
      <c r="E581" s="5"/>
    </row>
    <row r="582" spans="1:5" ht="12.5">
      <c r="A582" s="76"/>
      <c r="B582" s="5"/>
      <c r="C582" s="16"/>
      <c r="E582" s="5"/>
    </row>
    <row r="583" spans="1:5" ht="12.5">
      <c r="A583" s="76"/>
      <c r="B583" s="5"/>
      <c r="C583" s="16"/>
      <c r="E583" s="5"/>
    </row>
    <row r="584" spans="1:5" ht="12.5">
      <c r="A584" s="76"/>
      <c r="B584" s="5"/>
      <c r="C584" s="16"/>
      <c r="E584" s="5"/>
    </row>
    <row r="585" spans="1:5" ht="12.5">
      <c r="A585" s="76"/>
      <c r="B585" s="5"/>
      <c r="C585" s="16"/>
      <c r="E585" s="5"/>
    </row>
    <row r="586" spans="1:5" ht="12.5">
      <c r="A586" s="76"/>
      <c r="B586" s="5"/>
      <c r="C586" s="16"/>
      <c r="E586" s="5"/>
    </row>
    <row r="587" spans="1:5" ht="12.5">
      <c r="A587" s="76"/>
      <c r="B587" s="5"/>
      <c r="C587" s="16"/>
      <c r="E587" s="5"/>
    </row>
    <row r="588" spans="1:5" ht="12.5">
      <c r="A588" s="76"/>
      <c r="B588" s="5"/>
      <c r="C588" s="16"/>
      <c r="E588" s="5"/>
    </row>
    <row r="589" spans="1:5" ht="12.5">
      <c r="A589" s="76"/>
      <c r="B589" s="5"/>
      <c r="C589" s="16"/>
      <c r="E589" s="5"/>
    </row>
    <row r="590" spans="1:5" ht="12.5">
      <c r="A590" s="76"/>
      <c r="B590" s="5"/>
      <c r="C590" s="16"/>
      <c r="E590" s="5"/>
    </row>
    <row r="591" spans="1:5" ht="12.5">
      <c r="A591" s="76"/>
      <c r="B591" s="5"/>
      <c r="C591" s="16"/>
      <c r="E591" s="5"/>
    </row>
    <row r="592" spans="1:5" ht="12.5">
      <c r="A592" s="76"/>
      <c r="B592" s="5"/>
      <c r="C592" s="16"/>
      <c r="E592" s="5"/>
    </row>
    <row r="593" spans="1:5" ht="12.5">
      <c r="A593" s="76"/>
      <c r="B593" s="5"/>
      <c r="C593" s="16"/>
      <c r="E593" s="5"/>
    </row>
    <row r="594" spans="1:5" ht="12.5">
      <c r="A594" s="76"/>
      <c r="B594" s="5"/>
      <c r="C594" s="16"/>
      <c r="E594" s="5"/>
    </row>
    <row r="595" spans="1:5" ht="12.5">
      <c r="A595" s="76"/>
      <c r="B595" s="5"/>
      <c r="C595" s="16"/>
      <c r="E595" s="5"/>
    </row>
    <row r="596" spans="1:5" ht="12.5">
      <c r="A596" s="76"/>
      <c r="B596" s="5"/>
      <c r="C596" s="16"/>
      <c r="E596" s="5"/>
    </row>
    <row r="597" spans="1:5" ht="12.5">
      <c r="A597" s="76"/>
      <c r="B597" s="5"/>
      <c r="C597" s="16"/>
      <c r="E597" s="5"/>
    </row>
    <row r="598" spans="1:5" ht="12.5">
      <c r="A598" s="76"/>
      <c r="B598" s="5"/>
      <c r="C598" s="16"/>
      <c r="E598" s="5"/>
    </row>
    <row r="599" spans="1:5" ht="12.5">
      <c r="A599" s="76"/>
      <c r="B599" s="5"/>
      <c r="C599" s="16"/>
      <c r="E599" s="5"/>
    </row>
    <row r="600" spans="1:5" ht="12.5">
      <c r="A600" s="76"/>
      <c r="B600" s="5"/>
      <c r="C600" s="16"/>
      <c r="E600" s="5"/>
    </row>
    <row r="601" spans="1:5" ht="12.5">
      <c r="A601" s="76"/>
      <c r="B601" s="5"/>
      <c r="C601" s="16"/>
      <c r="E601" s="5"/>
    </row>
    <row r="602" spans="1:5" ht="12.5">
      <c r="A602" s="76"/>
      <c r="B602" s="5"/>
      <c r="C602" s="16"/>
      <c r="E602" s="5"/>
    </row>
    <row r="603" spans="1:5" ht="12.5">
      <c r="A603" s="76"/>
      <c r="B603" s="5"/>
      <c r="C603" s="16"/>
      <c r="E603" s="5"/>
    </row>
    <row r="604" spans="1:5" ht="12.5">
      <c r="A604" s="76"/>
      <c r="B604" s="5"/>
      <c r="C604" s="16"/>
      <c r="E604" s="5"/>
    </row>
    <row r="605" spans="1:5" ht="12.5">
      <c r="A605" s="76"/>
      <c r="B605" s="5"/>
      <c r="C605" s="16"/>
      <c r="E605" s="5"/>
    </row>
    <row r="606" spans="1:5" ht="12.5">
      <c r="A606" s="76"/>
      <c r="B606" s="5"/>
      <c r="C606" s="16"/>
      <c r="E606" s="5"/>
    </row>
    <row r="607" spans="1:5" ht="12.5">
      <c r="A607" s="76"/>
      <c r="B607" s="5"/>
      <c r="C607" s="16"/>
      <c r="E607" s="5"/>
    </row>
    <row r="608" spans="1:5" ht="12.5">
      <c r="A608" s="76"/>
      <c r="B608" s="5"/>
      <c r="C608" s="16"/>
      <c r="E608" s="5"/>
    </row>
    <row r="609" spans="1:5" ht="12.5">
      <c r="A609" s="76"/>
      <c r="B609" s="5"/>
      <c r="C609" s="16"/>
      <c r="E609" s="5"/>
    </row>
    <row r="610" spans="1:5" ht="12.5">
      <c r="A610" s="76"/>
      <c r="B610" s="5"/>
      <c r="C610" s="16"/>
      <c r="E610" s="5"/>
    </row>
    <row r="611" spans="1:5" ht="12.5">
      <c r="A611" s="76"/>
      <c r="B611" s="5"/>
      <c r="C611" s="16"/>
      <c r="E611" s="5"/>
    </row>
    <row r="612" spans="1:5" ht="12.5">
      <c r="A612" s="76"/>
      <c r="B612" s="5"/>
      <c r="C612" s="16"/>
      <c r="E612" s="5"/>
    </row>
    <row r="613" spans="1:5" ht="12.5">
      <c r="A613" s="76"/>
      <c r="B613" s="5"/>
      <c r="C613" s="16"/>
      <c r="E613" s="5"/>
    </row>
    <row r="614" spans="1:5" ht="12.5">
      <c r="A614" s="76"/>
      <c r="B614" s="5"/>
      <c r="C614" s="16"/>
      <c r="E614" s="5"/>
    </row>
    <row r="615" spans="1:5" ht="12.5">
      <c r="A615" s="76"/>
      <c r="B615" s="5"/>
      <c r="C615" s="16"/>
      <c r="E615" s="5"/>
    </row>
    <row r="616" spans="1:5" ht="12.5">
      <c r="A616" s="76"/>
      <c r="B616" s="5"/>
      <c r="C616" s="16"/>
      <c r="E616" s="5"/>
    </row>
    <row r="617" spans="1:5" ht="12.5">
      <c r="A617" s="76"/>
      <c r="B617" s="5"/>
      <c r="C617" s="16"/>
      <c r="E617" s="5"/>
    </row>
    <row r="618" spans="1:5" ht="12.5">
      <c r="A618" s="76"/>
      <c r="B618" s="5"/>
      <c r="C618" s="16"/>
      <c r="E618" s="5"/>
    </row>
    <row r="619" spans="1:5" ht="12.5">
      <c r="A619" s="76"/>
      <c r="B619" s="5"/>
      <c r="C619" s="16"/>
      <c r="E619" s="5"/>
    </row>
    <row r="620" spans="1:5" ht="12.5">
      <c r="A620" s="76"/>
      <c r="B620" s="5"/>
      <c r="C620" s="16"/>
      <c r="E620" s="5"/>
    </row>
    <row r="621" spans="1:5" ht="12.5">
      <c r="A621" s="76"/>
      <c r="B621" s="5"/>
      <c r="C621" s="16"/>
      <c r="E621" s="5"/>
    </row>
    <row r="622" spans="1:5" ht="12.5">
      <c r="A622" s="76"/>
      <c r="B622" s="5"/>
      <c r="C622" s="16"/>
      <c r="E622" s="5"/>
    </row>
    <row r="623" spans="1:5" ht="12.5">
      <c r="A623" s="76"/>
      <c r="B623" s="5"/>
      <c r="C623" s="16"/>
      <c r="E623" s="5"/>
    </row>
    <row r="624" spans="1:5" ht="12.5">
      <c r="A624" s="76"/>
      <c r="B624" s="5"/>
      <c r="C624" s="16"/>
      <c r="E624" s="5"/>
    </row>
    <row r="625" spans="1:5" ht="12.5">
      <c r="A625" s="76"/>
      <c r="B625" s="5"/>
      <c r="C625" s="16"/>
      <c r="E625" s="5"/>
    </row>
    <row r="626" spans="1:5" ht="12.5">
      <c r="A626" s="76"/>
      <c r="B626" s="5"/>
      <c r="C626" s="16"/>
      <c r="E626" s="5"/>
    </row>
    <row r="627" spans="1:5" ht="12.5">
      <c r="A627" s="76"/>
      <c r="B627" s="5"/>
      <c r="C627" s="16"/>
      <c r="E627" s="5"/>
    </row>
    <row r="628" spans="1:5" ht="12.5">
      <c r="A628" s="76"/>
      <c r="B628" s="5"/>
      <c r="C628" s="16"/>
      <c r="E628" s="5"/>
    </row>
    <row r="629" spans="1:5" ht="12.5">
      <c r="A629" s="76"/>
      <c r="B629" s="5"/>
      <c r="C629" s="16"/>
      <c r="E629" s="5"/>
    </row>
    <row r="630" spans="1:5" ht="12.5">
      <c r="A630" s="76"/>
      <c r="B630" s="5"/>
      <c r="C630" s="16"/>
      <c r="E630" s="5"/>
    </row>
    <row r="631" spans="1:5" ht="12.5">
      <c r="A631" s="76"/>
      <c r="B631" s="5"/>
      <c r="C631" s="16"/>
      <c r="E631" s="5"/>
    </row>
    <row r="632" spans="1:5" ht="12.5">
      <c r="A632" s="76"/>
      <c r="B632" s="5"/>
      <c r="C632" s="16"/>
      <c r="E632" s="5"/>
    </row>
    <row r="633" spans="1:5" ht="12.5">
      <c r="A633" s="76"/>
      <c r="B633" s="5"/>
      <c r="C633" s="16"/>
      <c r="E633" s="5"/>
    </row>
    <row r="634" spans="1:5" ht="12.5">
      <c r="A634" s="76"/>
      <c r="B634" s="5"/>
      <c r="C634" s="16"/>
      <c r="E634" s="5"/>
    </row>
    <row r="635" spans="1:5" ht="12.5">
      <c r="A635" s="76"/>
      <c r="B635" s="5"/>
      <c r="C635" s="16"/>
      <c r="E635" s="5"/>
    </row>
    <row r="636" spans="1:5" ht="12.5">
      <c r="A636" s="76"/>
      <c r="B636" s="5"/>
      <c r="C636" s="16"/>
      <c r="E636" s="5"/>
    </row>
    <row r="637" spans="1:5" ht="12.5">
      <c r="A637" s="76"/>
      <c r="B637" s="5"/>
      <c r="C637" s="16"/>
      <c r="E637" s="5"/>
    </row>
    <row r="638" spans="1:5" ht="12.5">
      <c r="A638" s="76"/>
      <c r="B638" s="5"/>
      <c r="C638" s="16"/>
      <c r="E638" s="5"/>
    </row>
    <row r="639" spans="1:5" ht="12.5">
      <c r="A639" s="76"/>
      <c r="B639" s="5"/>
      <c r="C639" s="16"/>
      <c r="E639" s="5"/>
    </row>
    <row r="640" spans="1:5" ht="12.5">
      <c r="A640" s="76"/>
      <c r="B640" s="5"/>
      <c r="C640" s="16"/>
      <c r="E640" s="5"/>
    </row>
    <row r="641" spans="1:5" ht="12.5">
      <c r="A641" s="76"/>
      <c r="B641" s="5"/>
      <c r="C641" s="16"/>
      <c r="E641" s="5"/>
    </row>
    <row r="642" spans="1:5" ht="12.5">
      <c r="A642" s="76"/>
      <c r="B642" s="5"/>
      <c r="C642" s="16"/>
      <c r="E642" s="5"/>
    </row>
    <row r="643" spans="1:5" ht="12.5">
      <c r="A643" s="76"/>
      <c r="B643" s="5"/>
      <c r="C643" s="16"/>
      <c r="E643" s="5"/>
    </row>
    <row r="644" spans="1:5" ht="12.5">
      <c r="A644" s="76"/>
      <c r="B644" s="5"/>
      <c r="C644" s="16"/>
      <c r="E644" s="5"/>
    </row>
    <row r="645" spans="1:5" ht="12.5">
      <c r="A645" s="76"/>
      <c r="B645" s="5"/>
      <c r="C645" s="16"/>
      <c r="E645" s="5"/>
    </row>
    <row r="646" spans="1:5" ht="12.5">
      <c r="A646" s="76"/>
      <c r="B646" s="5"/>
      <c r="C646" s="16"/>
      <c r="E646" s="5"/>
    </row>
    <row r="647" spans="1:5" ht="12.5">
      <c r="A647" s="76"/>
      <c r="B647" s="5"/>
      <c r="C647" s="16"/>
      <c r="E647" s="5"/>
    </row>
    <row r="648" spans="1:5" ht="12.5">
      <c r="A648" s="76"/>
      <c r="B648" s="5"/>
      <c r="C648" s="16"/>
      <c r="E648" s="5"/>
    </row>
    <row r="649" spans="1:5" ht="12.5">
      <c r="A649" s="76"/>
      <c r="B649" s="5"/>
      <c r="C649" s="16"/>
      <c r="E649" s="5"/>
    </row>
    <row r="650" spans="1:5" ht="12.5">
      <c r="A650" s="76"/>
      <c r="B650" s="5"/>
      <c r="C650" s="16"/>
      <c r="E650" s="5"/>
    </row>
    <row r="651" spans="1:5" ht="12.5">
      <c r="A651" s="76"/>
      <c r="B651" s="5"/>
      <c r="C651" s="16"/>
      <c r="E651" s="5"/>
    </row>
    <row r="652" spans="1:5" ht="12.5">
      <c r="A652" s="76"/>
      <c r="B652" s="5"/>
      <c r="C652" s="16"/>
      <c r="E652" s="5"/>
    </row>
    <row r="653" spans="1:5" ht="12.5">
      <c r="A653" s="76"/>
      <c r="B653" s="5"/>
      <c r="C653" s="16"/>
      <c r="E653" s="5"/>
    </row>
    <row r="654" spans="1:5" ht="12.5">
      <c r="A654" s="76"/>
      <c r="B654" s="5"/>
      <c r="C654" s="16"/>
      <c r="E654" s="5"/>
    </row>
    <row r="655" spans="1:5" ht="12.5">
      <c r="A655" s="76"/>
      <c r="B655" s="5"/>
      <c r="C655" s="16"/>
      <c r="E655" s="5"/>
    </row>
    <row r="656" spans="1:5" ht="12.5">
      <c r="A656" s="76"/>
      <c r="B656" s="5"/>
      <c r="C656" s="16"/>
      <c r="E656" s="5"/>
    </row>
    <row r="657" spans="1:5" ht="12.5">
      <c r="A657" s="76"/>
      <c r="B657" s="5"/>
      <c r="C657" s="16"/>
      <c r="E657" s="5"/>
    </row>
    <row r="658" spans="1:5" ht="12.5">
      <c r="A658" s="76"/>
      <c r="B658" s="5"/>
      <c r="C658" s="16"/>
      <c r="E658" s="5"/>
    </row>
    <row r="659" spans="1:5" ht="12.5">
      <c r="A659" s="76"/>
      <c r="B659" s="5"/>
      <c r="C659" s="16"/>
      <c r="E659" s="5"/>
    </row>
    <row r="660" spans="1:5" ht="12.5">
      <c r="A660" s="76"/>
      <c r="B660" s="5"/>
      <c r="C660" s="16"/>
      <c r="E660" s="5"/>
    </row>
    <row r="661" spans="1:5" ht="12.5">
      <c r="A661" s="76"/>
      <c r="B661" s="5"/>
      <c r="C661" s="16"/>
      <c r="E661" s="5"/>
    </row>
    <row r="662" spans="1:5" ht="12.5">
      <c r="A662" s="76"/>
      <c r="B662" s="5"/>
      <c r="C662" s="16"/>
      <c r="E662" s="5"/>
    </row>
    <row r="663" spans="1:5" ht="12.5">
      <c r="A663" s="76"/>
      <c r="B663" s="5"/>
      <c r="C663" s="16"/>
      <c r="E663" s="5"/>
    </row>
    <row r="664" spans="1:5" ht="12.5">
      <c r="A664" s="76"/>
      <c r="B664" s="5"/>
      <c r="C664" s="16"/>
      <c r="E664" s="5"/>
    </row>
    <row r="665" spans="1:5" ht="12.5">
      <c r="A665" s="76"/>
      <c r="B665" s="5"/>
      <c r="C665" s="16"/>
      <c r="E665" s="5"/>
    </row>
    <row r="666" spans="1:5" ht="12.5">
      <c r="A666" s="76"/>
      <c r="B666" s="5"/>
      <c r="C666" s="16"/>
      <c r="E666" s="5"/>
    </row>
    <row r="667" spans="1:5" ht="12.5">
      <c r="A667" s="76"/>
      <c r="B667" s="5"/>
      <c r="C667" s="16"/>
      <c r="E667" s="5"/>
    </row>
    <row r="668" spans="1:5" ht="12.5">
      <c r="A668" s="76"/>
      <c r="B668" s="5"/>
      <c r="C668" s="16"/>
      <c r="E668" s="5"/>
    </row>
    <row r="669" spans="1:5" ht="12.5">
      <c r="A669" s="76"/>
      <c r="B669" s="5"/>
      <c r="C669" s="16"/>
      <c r="E669" s="5"/>
    </row>
    <row r="670" spans="1:5" ht="12.5">
      <c r="A670" s="76"/>
      <c r="B670" s="5"/>
      <c r="C670" s="16"/>
      <c r="E670" s="5"/>
    </row>
    <row r="671" spans="1:5" ht="12.5">
      <c r="A671" s="76"/>
      <c r="B671" s="5"/>
      <c r="C671" s="16"/>
      <c r="E671" s="5"/>
    </row>
    <row r="672" spans="1:5" ht="12.5">
      <c r="A672" s="76"/>
      <c r="B672" s="5"/>
      <c r="C672" s="16"/>
      <c r="E672" s="5"/>
    </row>
    <row r="673" spans="1:5" ht="12.5">
      <c r="A673" s="76"/>
      <c r="B673" s="5"/>
      <c r="C673" s="16"/>
      <c r="E673" s="5"/>
    </row>
    <row r="674" spans="1:5" ht="12.5">
      <c r="A674" s="76"/>
      <c r="B674" s="5"/>
      <c r="C674" s="16"/>
      <c r="E674" s="5"/>
    </row>
    <row r="675" spans="1:5" ht="12.5">
      <c r="A675" s="76"/>
      <c r="B675" s="5"/>
      <c r="C675" s="16"/>
      <c r="E675" s="5"/>
    </row>
    <row r="676" spans="1:5" ht="12.5">
      <c r="A676" s="76"/>
      <c r="B676" s="5"/>
      <c r="C676" s="16"/>
      <c r="E676" s="5"/>
    </row>
    <row r="677" spans="1:5" ht="12.5">
      <c r="A677" s="76"/>
      <c r="B677" s="5"/>
      <c r="C677" s="16"/>
      <c r="E677" s="5"/>
    </row>
    <row r="678" spans="1:5" ht="12.5">
      <c r="A678" s="76"/>
      <c r="B678" s="5"/>
      <c r="C678" s="16"/>
      <c r="E678" s="5"/>
    </row>
    <row r="679" spans="1:5" ht="12.5">
      <c r="A679" s="76"/>
      <c r="B679" s="5"/>
      <c r="C679" s="16"/>
      <c r="E679" s="5"/>
    </row>
    <row r="680" spans="1:5" ht="12.5">
      <c r="A680" s="76"/>
      <c r="B680" s="5"/>
      <c r="C680" s="16"/>
      <c r="E680" s="5"/>
    </row>
    <row r="681" spans="1:5" ht="12.5">
      <c r="A681" s="76"/>
      <c r="B681" s="5"/>
      <c r="C681" s="16"/>
      <c r="E681" s="5"/>
    </row>
    <row r="682" spans="1:5" ht="12.5">
      <c r="A682" s="76"/>
      <c r="B682" s="5"/>
      <c r="C682" s="16"/>
      <c r="E682" s="5"/>
    </row>
    <row r="683" spans="1:5" ht="12.5">
      <c r="A683" s="76"/>
      <c r="B683" s="5"/>
      <c r="C683" s="16"/>
      <c r="E683" s="5"/>
    </row>
    <row r="684" spans="1:5" ht="12.5">
      <c r="A684" s="76"/>
      <c r="B684" s="5"/>
      <c r="C684" s="16"/>
      <c r="E684" s="5"/>
    </row>
    <row r="685" spans="1:5" ht="12.5">
      <c r="A685" s="76"/>
      <c r="B685" s="5"/>
      <c r="C685" s="16"/>
      <c r="E685" s="5"/>
    </row>
    <row r="686" spans="1:5" ht="12.5">
      <c r="A686" s="76"/>
      <c r="B686" s="5"/>
      <c r="C686" s="16"/>
      <c r="E686" s="5"/>
    </row>
    <row r="687" spans="1:5" ht="12.5">
      <c r="A687" s="76"/>
      <c r="B687" s="5"/>
      <c r="C687" s="16"/>
      <c r="E687" s="5"/>
    </row>
    <row r="688" spans="1:5" ht="12.5">
      <c r="A688" s="76"/>
      <c r="B688" s="5"/>
      <c r="C688" s="16"/>
      <c r="E688" s="5"/>
    </row>
    <row r="689" spans="1:5" ht="12.5">
      <c r="A689" s="76"/>
      <c r="B689" s="5"/>
      <c r="C689" s="16"/>
      <c r="E689" s="5"/>
    </row>
    <row r="690" spans="1:5" ht="12.5">
      <c r="A690" s="76"/>
      <c r="B690" s="5"/>
      <c r="C690" s="16"/>
      <c r="E690" s="5"/>
    </row>
    <row r="691" spans="1:5" ht="12.5">
      <c r="A691" s="76"/>
      <c r="B691" s="5"/>
      <c r="C691" s="16"/>
      <c r="E691" s="5"/>
    </row>
    <row r="692" spans="1:5" ht="12.5">
      <c r="A692" s="76"/>
      <c r="B692" s="5"/>
      <c r="C692" s="16"/>
      <c r="E692" s="5"/>
    </row>
    <row r="693" spans="1:5" ht="12.5">
      <c r="A693" s="76"/>
      <c r="B693" s="5"/>
      <c r="C693" s="16"/>
      <c r="E693" s="5"/>
    </row>
    <row r="694" spans="1:5" ht="12.5">
      <c r="A694" s="76"/>
      <c r="B694" s="5"/>
      <c r="C694" s="16"/>
      <c r="E694" s="5"/>
    </row>
    <row r="695" spans="1:5" ht="12.5">
      <c r="A695" s="76"/>
      <c r="B695" s="5"/>
      <c r="C695" s="16"/>
      <c r="E695" s="5"/>
    </row>
    <row r="696" spans="1:5" ht="12.5">
      <c r="A696" s="76"/>
      <c r="B696" s="5"/>
      <c r="C696" s="16"/>
      <c r="E696" s="5"/>
    </row>
    <row r="697" spans="1:5" ht="12.5">
      <c r="A697" s="76"/>
      <c r="B697" s="5"/>
      <c r="C697" s="16"/>
      <c r="E697" s="5"/>
    </row>
    <row r="698" spans="1:5" ht="12.5">
      <c r="A698" s="76"/>
      <c r="B698" s="5"/>
      <c r="C698" s="16"/>
      <c r="E698" s="5"/>
    </row>
    <row r="699" spans="1:5" ht="12.5">
      <c r="A699" s="76"/>
      <c r="B699" s="5"/>
      <c r="C699" s="16"/>
      <c r="E699" s="5"/>
    </row>
    <row r="700" spans="1:5" ht="12.5">
      <c r="A700" s="76"/>
      <c r="B700" s="5"/>
      <c r="C700" s="16"/>
      <c r="E700" s="5"/>
    </row>
    <row r="701" spans="1:5" ht="12.5">
      <c r="A701" s="76"/>
      <c r="B701" s="5"/>
      <c r="C701" s="16"/>
      <c r="E701" s="5"/>
    </row>
    <row r="702" spans="1:5" ht="12.5">
      <c r="A702" s="76"/>
      <c r="B702" s="5"/>
      <c r="C702" s="16"/>
      <c r="E702" s="5"/>
    </row>
    <row r="703" spans="1:5" ht="12.5">
      <c r="A703" s="76"/>
      <c r="B703" s="5"/>
      <c r="C703" s="16"/>
      <c r="E703" s="5"/>
    </row>
    <row r="704" spans="1:5" ht="12.5">
      <c r="A704" s="76"/>
      <c r="B704" s="5"/>
      <c r="C704" s="16"/>
      <c r="E704" s="5"/>
    </row>
    <row r="705" spans="1:5" ht="12.5">
      <c r="A705" s="76"/>
      <c r="B705" s="5"/>
      <c r="C705" s="16"/>
      <c r="E705" s="5"/>
    </row>
    <row r="706" spans="1:5" ht="12.5">
      <c r="A706" s="76"/>
      <c r="B706" s="5"/>
      <c r="C706" s="16"/>
      <c r="E706" s="5"/>
    </row>
    <row r="707" spans="1:5" ht="12.5">
      <c r="A707" s="76"/>
      <c r="B707" s="5"/>
      <c r="C707" s="16"/>
      <c r="E707" s="5"/>
    </row>
    <row r="708" spans="1:5" ht="12.5">
      <c r="A708" s="76"/>
      <c r="B708" s="5"/>
      <c r="C708" s="16"/>
      <c r="E708" s="5"/>
    </row>
    <row r="709" spans="1:5" ht="12.5">
      <c r="A709" s="76"/>
      <c r="B709" s="5"/>
      <c r="C709" s="16"/>
      <c r="E709" s="5"/>
    </row>
    <row r="710" spans="1:5" ht="12.5">
      <c r="A710" s="76"/>
      <c r="B710" s="5"/>
      <c r="C710" s="16"/>
      <c r="E710" s="5"/>
    </row>
    <row r="711" spans="1:5" ht="12.5">
      <c r="A711" s="76"/>
      <c r="B711" s="5"/>
      <c r="C711" s="16"/>
      <c r="E711" s="5"/>
    </row>
    <row r="712" spans="1:5" ht="12.5">
      <c r="A712" s="76"/>
      <c r="B712" s="5"/>
      <c r="C712" s="16"/>
      <c r="E712" s="5"/>
    </row>
    <row r="713" spans="1:5" ht="12.5">
      <c r="A713" s="76"/>
      <c r="B713" s="5"/>
      <c r="C713" s="16"/>
      <c r="E713" s="5"/>
    </row>
    <row r="714" spans="1:5" ht="12.5">
      <c r="A714" s="76"/>
      <c r="B714" s="5"/>
      <c r="C714" s="16"/>
      <c r="E714" s="5"/>
    </row>
    <row r="715" spans="1:5" ht="12.5">
      <c r="A715" s="76"/>
      <c r="B715" s="5"/>
      <c r="C715" s="16"/>
      <c r="E715" s="5"/>
    </row>
    <row r="716" spans="1:5" ht="12.5">
      <c r="A716" s="76"/>
      <c r="B716" s="5"/>
      <c r="C716" s="16"/>
      <c r="E716" s="5"/>
    </row>
    <row r="717" spans="1:5" ht="12.5">
      <c r="A717" s="76"/>
      <c r="B717" s="5"/>
      <c r="C717" s="16"/>
      <c r="E717" s="5"/>
    </row>
    <row r="718" spans="1:5" ht="12.5">
      <c r="A718" s="76"/>
      <c r="B718" s="5"/>
      <c r="C718" s="16"/>
      <c r="E718" s="5"/>
    </row>
    <row r="719" spans="1:5" ht="12.5">
      <c r="A719" s="76"/>
      <c r="B719" s="5"/>
      <c r="C719" s="16"/>
      <c r="E719" s="5"/>
    </row>
    <row r="720" spans="1:5" ht="12.5">
      <c r="A720" s="76"/>
      <c r="B720" s="5"/>
      <c r="C720" s="16"/>
      <c r="E720" s="5"/>
    </row>
    <row r="721" spans="1:5" ht="12.5">
      <c r="A721" s="76"/>
      <c r="B721" s="5"/>
      <c r="C721" s="16"/>
      <c r="E721" s="5"/>
    </row>
    <row r="722" spans="1:5" ht="12.5">
      <c r="A722" s="76"/>
      <c r="B722" s="5"/>
      <c r="C722" s="16"/>
      <c r="E722" s="5"/>
    </row>
    <row r="723" spans="1:5" ht="12.5">
      <c r="A723" s="76"/>
      <c r="B723" s="5"/>
      <c r="C723" s="16"/>
      <c r="E723" s="5"/>
    </row>
    <row r="724" spans="1:5" ht="12.5">
      <c r="A724" s="76"/>
      <c r="B724" s="5"/>
      <c r="C724" s="16"/>
      <c r="E724" s="5"/>
    </row>
    <row r="725" spans="1:5" ht="12.5">
      <c r="A725" s="76"/>
      <c r="B725" s="5"/>
      <c r="C725" s="16"/>
      <c r="E725" s="5"/>
    </row>
    <row r="726" spans="1:5" ht="12.5">
      <c r="A726" s="76"/>
      <c r="B726" s="5"/>
      <c r="C726" s="16"/>
      <c r="E726" s="5"/>
    </row>
    <row r="727" spans="1:5" ht="12.5">
      <c r="A727" s="76"/>
      <c r="B727" s="5"/>
      <c r="C727" s="16"/>
      <c r="E727" s="5"/>
    </row>
    <row r="728" spans="1:5" ht="12.5">
      <c r="A728" s="76"/>
      <c r="B728" s="5"/>
      <c r="C728" s="16"/>
      <c r="E728" s="5"/>
    </row>
    <row r="729" spans="1:5" ht="12.5">
      <c r="A729" s="76"/>
      <c r="B729" s="5"/>
      <c r="C729" s="16"/>
      <c r="E729" s="5"/>
    </row>
    <row r="730" spans="1:5" ht="12.5">
      <c r="A730" s="76"/>
      <c r="B730" s="5"/>
      <c r="C730" s="16"/>
      <c r="E730" s="5"/>
    </row>
    <row r="731" spans="1:5" ht="12.5">
      <c r="A731" s="76"/>
      <c r="B731" s="5"/>
      <c r="C731" s="16"/>
      <c r="E731" s="5"/>
    </row>
    <row r="732" spans="1:5" ht="12.5">
      <c r="A732" s="76"/>
      <c r="B732" s="5"/>
      <c r="C732" s="16"/>
      <c r="E732" s="5"/>
    </row>
    <row r="733" spans="1:5" ht="12.5">
      <c r="A733" s="76"/>
      <c r="B733" s="5"/>
      <c r="C733" s="16"/>
      <c r="E733" s="5"/>
    </row>
    <row r="734" spans="1:5" ht="12.5">
      <c r="A734" s="76"/>
      <c r="B734" s="5"/>
      <c r="C734" s="16"/>
      <c r="E734" s="5"/>
    </row>
    <row r="735" spans="1:5" ht="12.5">
      <c r="A735" s="76"/>
      <c r="B735" s="5"/>
      <c r="C735" s="16"/>
      <c r="E735" s="5"/>
    </row>
    <row r="736" spans="1:5" ht="12.5">
      <c r="A736" s="76"/>
      <c r="B736" s="5"/>
      <c r="C736" s="16"/>
      <c r="E736" s="5"/>
    </row>
    <row r="737" spans="1:5" ht="12.5">
      <c r="A737" s="76"/>
      <c r="B737" s="5"/>
      <c r="C737" s="16"/>
      <c r="E737" s="5"/>
    </row>
    <row r="738" spans="1:5" ht="12.5">
      <c r="A738" s="76"/>
      <c r="B738" s="5"/>
      <c r="C738" s="16"/>
      <c r="E738" s="5"/>
    </row>
    <row r="739" spans="1:5" ht="12.5">
      <c r="A739" s="76"/>
      <c r="B739" s="5"/>
      <c r="C739" s="16"/>
      <c r="E739" s="5"/>
    </row>
    <row r="740" spans="1:5" ht="12.5">
      <c r="A740" s="76"/>
      <c r="B740" s="5"/>
      <c r="C740" s="16"/>
      <c r="E740" s="5"/>
    </row>
    <row r="741" spans="1:5" ht="12.5">
      <c r="A741" s="76"/>
      <c r="B741" s="5"/>
      <c r="C741" s="16"/>
      <c r="E741" s="5"/>
    </row>
    <row r="742" spans="1:5" ht="12.5">
      <c r="A742" s="76"/>
      <c r="B742" s="5"/>
      <c r="C742" s="16"/>
      <c r="E742" s="5"/>
    </row>
    <row r="743" spans="1:5" ht="12.5">
      <c r="A743" s="76"/>
      <c r="B743" s="5"/>
      <c r="C743" s="16"/>
      <c r="E743" s="5"/>
    </row>
    <row r="744" spans="1:5" ht="12.5">
      <c r="A744" s="76"/>
      <c r="B744" s="5"/>
      <c r="C744" s="16"/>
      <c r="E744" s="5"/>
    </row>
    <row r="745" spans="1:5" ht="12.5">
      <c r="A745" s="76"/>
      <c r="B745" s="5"/>
      <c r="C745" s="16"/>
      <c r="E745" s="5"/>
    </row>
    <row r="746" spans="1:5" ht="12.5">
      <c r="A746" s="76"/>
      <c r="B746" s="5"/>
      <c r="C746" s="16"/>
      <c r="E746" s="5"/>
    </row>
    <row r="747" spans="1:5" ht="12.5">
      <c r="A747" s="76"/>
      <c r="B747" s="5"/>
      <c r="C747" s="16"/>
      <c r="E747" s="5"/>
    </row>
    <row r="748" spans="1:5" ht="12.5">
      <c r="A748" s="76"/>
      <c r="B748" s="5"/>
      <c r="C748" s="16"/>
      <c r="E748" s="5"/>
    </row>
    <row r="749" spans="1:5" ht="12.5">
      <c r="A749" s="76"/>
      <c r="B749" s="5"/>
      <c r="C749" s="16"/>
      <c r="E749" s="5"/>
    </row>
    <row r="750" spans="1:5" ht="12.5">
      <c r="A750" s="76"/>
      <c r="B750" s="5"/>
      <c r="C750" s="16"/>
      <c r="E750" s="5"/>
    </row>
    <row r="751" spans="1:5" ht="12.5">
      <c r="A751" s="76"/>
      <c r="B751" s="5"/>
      <c r="C751" s="16"/>
      <c r="E751" s="5"/>
    </row>
    <row r="752" spans="1:5" ht="12.5">
      <c r="A752" s="76"/>
      <c r="B752" s="5"/>
      <c r="C752" s="16"/>
      <c r="E752" s="5"/>
    </row>
    <row r="753" spans="1:5" ht="12.5">
      <c r="A753" s="76"/>
      <c r="B753" s="5"/>
      <c r="C753" s="16"/>
      <c r="E753" s="5"/>
    </row>
    <row r="754" spans="1:5" ht="12.5">
      <c r="A754" s="76"/>
      <c r="B754" s="5"/>
      <c r="C754" s="16"/>
      <c r="E754" s="5"/>
    </row>
    <row r="755" spans="1:5" ht="12.5">
      <c r="A755" s="76"/>
      <c r="B755" s="5"/>
      <c r="C755" s="16"/>
      <c r="E755" s="5"/>
    </row>
    <row r="756" spans="1:5" ht="12.5">
      <c r="A756" s="76"/>
      <c r="B756" s="5"/>
      <c r="C756" s="16"/>
      <c r="E756" s="5"/>
    </row>
    <row r="757" spans="1:5" ht="12.5">
      <c r="A757" s="76"/>
      <c r="B757" s="5"/>
      <c r="C757" s="16"/>
      <c r="E757" s="5"/>
    </row>
    <row r="758" spans="1:5" ht="12.5">
      <c r="A758" s="76"/>
      <c r="B758" s="5"/>
      <c r="C758" s="16"/>
      <c r="E758" s="5"/>
    </row>
    <row r="759" spans="1:5" ht="12.5">
      <c r="A759" s="76"/>
      <c r="B759" s="5"/>
      <c r="C759" s="16"/>
      <c r="E759" s="5"/>
    </row>
    <row r="760" spans="1:5" ht="12.5">
      <c r="A760" s="76"/>
      <c r="B760" s="5"/>
      <c r="C760" s="16"/>
      <c r="E760" s="5"/>
    </row>
    <row r="761" spans="1:5" ht="12.5">
      <c r="A761" s="76"/>
      <c r="B761" s="5"/>
      <c r="C761" s="16"/>
      <c r="E761" s="5"/>
    </row>
    <row r="762" spans="1:5" ht="12.5">
      <c r="A762" s="76"/>
      <c r="B762" s="5"/>
      <c r="C762" s="16"/>
      <c r="E762" s="5"/>
    </row>
    <row r="763" spans="1:5" ht="12.5">
      <c r="A763" s="76"/>
      <c r="B763" s="5"/>
      <c r="C763" s="16"/>
      <c r="E763" s="5"/>
    </row>
    <row r="764" spans="1:5" ht="12.5">
      <c r="A764" s="76"/>
      <c r="B764" s="5"/>
      <c r="C764" s="16"/>
      <c r="E764" s="5"/>
    </row>
    <row r="765" spans="1:5" ht="12.5">
      <c r="A765" s="76"/>
      <c r="B765" s="5"/>
      <c r="C765" s="16"/>
      <c r="E765" s="5"/>
    </row>
    <row r="766" spans="1:5" ht="12.5">
      <c r="A766" s="76"/>
      <c r="B766" s="5"/>
      <c r="C766" s="16"/>
      <c r="E766" s="5"/>
    </row>
    <row r="767" spans="1:5" ht="12.5">
      <c r="A767" s="76"/>
      <c r="B767" s="5"/>
      <c r="C767" s="16"/>
      <c r="E767" s="5"/>
    </row>
    <row r="768" spans="1:5" ht="12.5">
      <c r="A768" s="76"/>
      <c r="B768" s="5"/>
      <c r="C768" s="16"/>
      <c r="E768" s="5"/>
    </row>
    <row r="769" spans="1:5" ht="12.5">
      <c r="A769" s="76"/>
      <c r="B769" s="5"/>
      <c r="C769" s="16"/>
      <c r="E769" s="5"/>
    </row>
    <row r="770" spans="1:5" ht="12.5">
      <c r="A770" s="76"/>
      <c r="B770" s="5"/>
      <c r="C770" s="16"/>
      <c r="E770" s="5"/>
    </row>
    <row r="771" spans="1:5" ht="12.5">
      <c r="A771" s="76"/>
      <c r="B771" s="5"/>
      <c r="C771" s="16"/>
      <c r="E771" s="5"/>
    </row>
    <row r="772" spans="1:5" ht="12.5">
      <c r="A772" s="76"/>
      <c r="B772" s="5"/>
      <c r="C772" s="16"/>
      <c r="E772" s="5"/>
    </row>
    <row r="773" spans="1:5" ht="12.5">
      <c r="A773" s="76"/>
      <c r="B773" s="5"/>
      <c r="C773" s="16"/>
      <c r="E773" s="5"/>
    </row>
    <row r="774" spans="1:5" ht="12.5">
      <c r="A774" s="76"/>
      <c r="B774" s="5"/>
      <c r="C774" s="16"/>
      <c r="E774" s="5"/>
    </row>
    <row r="775" spans="1:5" ht="12.5">
      <c r="A775" s="76"/>
      <c r="B775" s="5"/>
      <c r="C775" s="16"/>
      <c r="E775" s="5"/>
    </row>
    <row r="776" spans="1:5" ht="12.5">
      <c r="A776" s="76"/>
      <c r="B776" s="5"/>
      <c r="C776" s="16"/>
      <c r="E776" s="5"/>
    </row>
    <row r="777" spans="1:5" ht="12.5">
      <c r="A777" s="76"/>
      <c r="B777" s="5"/>
      <c r="C777" s="16"/>
      <c r="E777" s="5"/>
    </row>
    <row r="778" spans="1:5" ht="12.5">
      <c r="A778" s="76"/>
      <c r="B778" s="5"/>
      <c r="C778" s="16"/>
      <c r="E778" s="5"/>
    </row>
    <row r="779" spans="1:5" ht="12.5">
      <c r="A779" s="76"/>
      <c r="B779" s="5"/>
      <c r="C779" s="16"/>
      <c r="E779" s="5"/>
    </row>
    <row r="780" spans="1:5" ht="12.5">
      <c r="A780" s="76"/>
      <c r="B780" s="5"/>
      <c r="C780" s="16"/>
      <c r="E780" s="5"/>
    </row>
    <row r="781" spans="1:5" ht="12.5">
      <c r="A781" s="76"/>
      <c r="B781" s="5"/>
      <c r="C781" s="16"/>
      <c r="E781" s="5"/>
    </row>
    <row r="782" spans="1:5" ht="12.5">
      <c r="A782" s="76"/>
      <c r="B782" s="5"/>
      <c r="C782" s="16"/>
      <c r="E782" s="5"/>
    </row>
    <row r="783" spans="1:5" ht="12.5">
      <c r="A783" s="76"/>
      <c r="B783" s="5"/>
      <c r="C783" s="16"/>
      <c r="E783" s="5"/>
    </row>
    <row r="784" spans="1:5" ht="12.5">
      <c r="A784" s="76"/>
      <c r="B784" s="5"/>
      <c r="C784" s="16"/>
      <c r="E784" s="5"/>
    </row>
    <row r="785" spans="1:5" ht="12.5">
      <c r="A785" s="76"/>
      <c r="B785" s="5"/>
      <c r="C785" s="16"/>
      <c r="E785" s="5"/>
    </row>
    <row r="786" spans="1:5" ht="12.5">
      <c r="A786" s="76"/>
      <c r="B786" s="5"/>
      <c r="C786" s="16"/>
      <c r="E786" s="5"/>
    </row>
    <row r="787" spans="1:5" ht="12.5">
      <c r="A787" s="76"/>
      <c r="B787" s="5"/>
      <c r="C787" s="16"/>
      <c r="E787" s="5"/>
    </row>
    <row r="788" spans="1:5" ht="12.5">
      <c r="A788" s="76"/>
      <c r="B788" s="5"/>
      <c r="C788" s="16"/>
      <c r="E788" s="5"/>
    </row>
    <row r="789" spans="1:5" ht="12.5">
      <c r="A789" s="76"/>
      <c r="B789" s="5"/>
      <c r="C789" s="16"/>
      <c r="E789" s="5"/>
    </row>
    <row r="790" spans="1:5" ht="12.5">
      <c r="A790" s="76"/>
      <c r="B790" s="5"/>
      <c r="C790" s="16"/>
      <c r="E790" s="5"/>
    </row>
    <row r="791" spans="1:5" ht="12.5">
      <c r="A791" s="76"/>
      <c r="B791" s="5"/>
      <c r="C791" s="16"/>
      <c r="E791" s="5"/>
    </row>
    <row r="792" spans="1:5" ht="12.5">
      <c r="A792" s="76"/>
      <c r="B792" s="5"/>
      <c r="C792" s="16"/>
      <c r="E792" s="5"/>
    </row>
    <row r="793" spans="1:5" ht="12.5">
      <c r="A793" s="76"/>
      <c r="B793" s="5"/>
      <c r="C793" s="16"/>
      <c r="E793" s="5"/>
    </row>
    <row r="794" spans="1:5" ht="12.5">
      <c r="A794" s="76"/>
      <c r="B794" s="5"/>
      <c r="C794" s="16"/>
      <c r="E794" s="5"/>
    </row>
    <row r="795" spans="1:5" ht="12.5">
      <c r="A795" s="76"/>
      <c r="B795" s="5"/>
      <c r="C795" s="16"/>
      <c r="E795" s="5"/>
    </row>
    <row r="796" spans="1:5" ht="12.5">
      <c r="A796" s="76"/>
      <c r="B796" s="5"/>
      <c r="C796" s="16"/>
      <c r="E796" s="5"/>
    </row>
    <row r="797" spans="1:5" ht="12.5">
      <c r="A797" s="76"/>
      <c r="B797" s="5"/>
      <c r="C797" s="16"/>
      <c r="E797" s="5"/>
    </row>
    <row r="798" spans="1:5" ht="12.5">
      <c r="A798" s="76"/>
      <c r="B798" s="5"/>
      <c r="C798" s="16"/>
      <c r="E798" s="5"/>
    </row>
    <row r="799" spans="1:5" ht="12.5">
      <c r="A799" s="76"/>
      <c r="B799" s="5"/>
      <c r="C799" s="16"/>
      <c r="E799" s="5"/>
    </row>
    <row r="800" spans="1:5" ht="12.5">
      <c r="A800" s="76"/>
      <c r="B800" s="5"/>
      <c r="C800" s="16"/>
      <c r="E800" s="5"/>
    </row>
    <row r="801" spans="1:5" ht="12.5">
      <c r="A801" s="76"/>
      <c r="B801" s="5"/>
      <c r="C801" s="16"/>
      <c r="E801" s="5"/>
    </row>
    <row r="802" spans="1:5" ht="12.5">
      <c r="A802" s="76"/>
      <c r="B802" s="5"/>
      <c r="C802" s="16"/>
      <c r="E802" s="5"/>
    </row>
    <row r="803" spans="1:5" ht="12.5">
      <c r="A803" s="76"/>
      <c r="B803" s="5"/>
      <c r="C803" s="16"/>
      <c r="E803" s="5"/>
    </row>
    <row r="804" spans="1:5" ht="12.5">
      <c r="A804" s="76"/>
      <c r="B804" s="5"/>
      <c r="C804" s="16"/>
      <c r="E804" s="5"/>
    </row>
    <row r="805" spans="1:5" ht="12.5">
      <c r="A805" s="76"/>
      <c r="B805" s="5"/>
      <c r="C805" s="16"/>
      <c r="E805" s="5"/>
    </row>
    <row r="806" spans="1:5" ht="12.5">
      <c r="A806" s="76"/>
      <c r="B806" s="5"/>
      <c r="C806" s="16"/>
      <c r="E806" s="5"/>
    </row>
    <row r="807" spans="1:5" ht="12.5">
      <c r="A807" s="76"/>
      <c r="B807" s="5"/>
      <c r="C807" s="16"/>
      <c r="E807" s="5"/>
    </row>
    <row r="808" spans="1:5" ht="12.5">
      <c r="A808" s="76"/>
      <c r="B808" s="5"/>
      <c r="C808" s="16"/>
      <c r="E808" s="5"/>
    </row>
    <row r="809" spans="1:5" ht="12.5">
      <c r="A809" s="76"/>
      <c r="B809" s="5"/>
      <c r="C809" s="16"/>
      <c r="E809" s="5"/>
    </row>
    <row r="810" spans="1:5" ht="12.5">
      <c r="A810" s="76"/>
      <c r="B810" s="5"/>
      <c r="C810" s="16"/>
      <c r="E810" s="5"/>
    </row>
    <row r="811" spans="1:5" ht="12.5">
      <c r="A811" s="76"/>
      <c r="B811" s="5"/>
      <c r="C811" s="16"/>
      <c r="E811" s="5"/>
    </row>
    <row r="812" spans="1:5" ht="12.5">
      <c r="A812" s="76"/>
      <c r="B812" s="5"/>
      <c r="C812" s="16"/>
      <c r="E812" s="5"/>
    </row>
    <row r="813" spans="1:5" ht="12.5">
      <c r="A813" s="76"/>
      <c r="B813" s="5"/>
      <c r="C813" s="16"/>
      <c r="E813" s="5"/>
    </row>
    <row r="814" spans="1:5" ht="12.5">
      <c r="A814" s="76"/>
      <c r="B814" s="5"/>
      <c r="C814" s="16"/>
      <c r="E814" s="5"/>
    </row>
    <row r="815" spans="1:5" ht="12.5">
      <c r="A815" s="76"/>
      <c r="B815" s="5"/>
      <c r="C815" s="16"/>
      <c r="E815" s="5"/>
    </row>
    <row r="816" spans="1:5" ht="12.5">
      <c r="A816" s="76"/>
      <c r="B816" s="5"/>
      <c r="C816" s="16"/>
      <c r="E816" s="5"/>
    </row>
    <row r="817" spans="1:5" ht="12.5">
      <c r="A817" s="76"/>
      <c r="B817" s="5"/>
      <c r="C817" s="16"/>
      <c r="E817" s="5"/>
    </row>
    <row r="818" spans="1:5" ht="12.5">
      <c r="A818" s="76"/>
      <c r="B818" s="5"/>
      <c r="C818" s="16"/>
      <c r="E818" s="5"/>
    </row>
    <row r="819" spans="1:5" ht="12.5">
      <c r="A819" s="76"/>
      <c r="B819" s="5"/>
      <c r="C819" s="16"/>
      <c r="E819" s="5"/>
    </row>
    <row r="820" spans="1:5" ht="12.5">
      <c r="A820" s="76"/>
      <c r="B820" s="5"/>
      <c r="C820" s="16"/>
      <c r="E820" s="5"/>
    </row>
    <row r="821" spans="1:5" ht="12.5">
      <c r="A821" s="76"/>
      <c r="B821" s="5"/>
      <c r="C821" s="16"/>
      <c r="E821" s="5"/>
    </row>
    <row r="822" spans="1:5" ht="12.5">
      <c r="A822" s="76"/>
      <c r="B822" s="5"/>
      <c r="C822" s="16"/>
      <c r="E822" s="5"/>
    </row>
    <row r="823" spans="1:5" ht="12.5">
      <c r="A823" s="76"/>
      <c r="B823" s="5"/>
      <c r="C823" s="16"/>
      <c r="E823" s="5"/>
    </row>
    <row r="824" spans="1:5" ht="12.5">
      <c r="A824" s="76"/>
      <c r="B824" s="5"/>
      <c r="C824" s="16"/>
      <c r="E824" s="5"/>
    </row>
    <row r="825" spans="1:5" ht="12.5">
      <c r="A825" s="76"/>
      <c r="B825" s="5"/>
      <c r="C825" s="16"/>
      <c r="E825" s="5"/>
    </row>
    <row r="826" spans="1:5" ht="12.5">
      <c r="A826" s="76"/>
      <c r="B826" s="5"/>
      <c r="C826" s="16"/>
      <c r="E826" s="5"/>
    </row>
    <row r="827" spans="1:5" ht="12.5">
      <c r="A827" s="76"/>
      <c r="B827" s="5"/>
      <c r="C827" s="16"/>
      <c r="E827" s="5"/>
    </row>
    <row r="828" spans="1:5" ht="12.5">
      <c r="A828" s="76"/>
      <c r="B828" s="5"/>
      <c r="C828" s="16"/>
      <c r="E828" s="5"/>
    </row>
    <row r="829" spans="1:5" ht="12.5">
      <c r="A829" s="76"/>
      <c r="B829" s="5"/>
      <c r="C829" s="16"/>
      <c r="E829" s="5"/>
    </row>
    <row r="830" spans="1:5" ht="12.5">
      <c r="A830" s="76"/>
      <c r="B830" s="5"/>
      <c r="C830" s="16"/>
      <c r="E830" s="5"/>
    </row>
    <row r="831" spans="1:5" ht="12.5">
      <c r="A831" s="76"/>
      <c r="B831" s="5"/>
      <c r="C831" s="16"/>
      <c r="E831" s="5"/>
    </row>
    <row r="832" spans="1:5" ht="12.5">
      <c r="A832" s="76"/>
      <c r="B832" s="5"/>
      <c r="C832" s="16"/>
      <c r="E832" s="5"/>
    </row>
    <row r="833" spans="1:5" ht="12.5">
      <c r="A833" s="76"/>
      <c r="B833" s="5"/>
      <c r="C833" s="16"/>
      <c r="E833" s="5"/>
    </row>
    <row r="834" spans="1:5" ht="12.5">
      <c r="A834" s="76"/>
      <c r="B834" s="5"/>
      <c r="C834" s="16"/>
      <c r="E834" s="5"/>
    </row>
    <row r="835" spans="1:5" ht="12.5">
      <c r="A835" s="76"/>
      <c r="B835" s="5"/>
      <c r="C835" s="16"/>
      <c r="E835" s="5"/>
    </row>
    <row r="836" spans="1:5" ht="12.5">
      <c r="A836" s="76"/>
      <c r="B836" s="5"/>
      <c r="C836" s="16"/>
      <c r="E836" s="5"/>
    </row>
    <row r="837" spans="1:5" ht="12.5">
      <c r="A837" s="76"/>
      <c r="B837" s="5"/>
      <c r="C837" s="16"/>
      <c r="E837" s="5"/>
    </row>
    <row r="838" spans="1:5" ht="12.5">
      <c r="A838" s="76"/>
      <c r="B838" s="5"/>
      <c r="C838" s="16"/>
      <c r="E838" s="5"/>
    </row>
    <row r="839" spans="1:5" ht="12.5">
      <c r="A839" s="76"/>
      <c r="B839" s="5"/>
      <c r="C839" s="16"/>
      <c r="E839" s="5"/>
    </row>
    <row r="840" spans="1:5" ht="12.5">
      <c r="A840" s="76"/>
      <c r="B840" s="5"/>
      <c r="C840" s="16"/>
      <c r="E840" s="5"/>
    </row>
    <row r="841" spans="1:5" ht="12.5">
      <c r="A841" s="76"/>
      <c r="B841" s="5"/>
      <c r="C841" s="16"/>
      <c r="E841" s="5"/>
    </row>
    <row r="842" spans="1:5" ht="12.5">
      <c r="A842" s="76"/>
      <c r="B842" s="5"/>
      <c r="C842" s="16"/>
      <c r="E842" s="5"/>
    </row>
    <row r="843" spans="1:5" ht="12.5">
      <c r="A843" s="76"/>
      <c r="B843" s="5"/>
      <c r="C843" s="16"/>
      <c r="E843" s="5"/>
    </row>
    <row r="844" spans="1:5" ht="12.5">
      <c r="A844" s="76"/>
      <c r="B844" s="5"/>
      <c r="C844" s="16"/>
      <c r="E844" s="5"/>
    </row>
    <row r="845" spans="1:5" ht="12.5">
      <c r="A845" s="76"/>
      <c r="B845" s="5"/>
      <c r="C845" s="16"/>
      <c r="E845" s="5"/>
    </row>
    <row r="846" spans="1:5" ht="12.5">
      <c r="A846" s="76"/>
      <c r="B846" s="5"/>
      <c r="C846" s="16"/>
      <c r="E846" s="5"/>
    </row>
    <row r="847" spans="1:5" ht="12.5">
      <c r="A847" s="76"/>
      <c r="B847" s="5"/>
      <c r="C847" s="16"/>
      <c r="E847" s="5"/>
    </row>
    <row r="848" spans="1:5" ht="12.5">
      <c r="A848" s="76"/>
      <c r="B848" s="5"/>
      <c r="C848" s="16"/>
      <c r="E848" s="5"/>
    </row>
    <row r="849" spans="1:5" ht="12.5">
      <c r="A849" s="76"/>
      <c r="B849" s="5"/>
      <c r="C849" s="16"/>
      <c r="E849" s="5"/>
    </row>
    <row r="850" spans="1:5" ht="12.5">
      <c r="A850" s="76"/>
      <c r="B850" s="5"/>
      <c r="C850" s="16"/>
      <c r="E850" s="5"/>
    </row>
    <row r="851" spans="1:5" ht="12.5">
      <c r="A851" s="76"/>
      <c r="B851" s="5"/>
      <c r="C851" s="16"/>
      <c r="E851" s="5"/>
    </row>
    <row r="852" spans="1:5" ht="12.5">
      <c r="A852" s="76"/>
      <c r="B852" s="5"/>
      <c r="C852" s="16"/>
      <c r="E852" s="5"/>
    </row>
    <row r="853" spans="1:5" ht="12.5">
      <c r="A853" s="76"/>
      <c r="B853" s="5"/>
      <c r="C853" s="16"/>
      <c r="E853" s="5"/>
    </row>
    <row r="854" spans="1:5" ht="12.5">
      <c r="A854" s="76"/>
      <c r="B854" s="5"/>
      <c r="C854" s="16"/>
      <c r="E854" s="5"/>
    </row>
    <row r="855" spans="1:5" ht="12.5">
      <c r="A855" s="76"/>
      <c r="B855" s="5"/>
      <c r="C855" s="16"/>
      <c r="E855" s="5"/>
    </row>
    <row r="856" spans="1:5" ht="12.5">
      <c r="A856" s="76"/>
      <c r="B856" s="5"/>
      <c r="C856" s="16"/>
      <c r="E856" s="5"/>
    </row>
    <row r="857" spans="1:5" ht="12.5">
      <c r="A857" s="76"/>
      <c r="B857" s="5"/>
      <c r="C857" s="16"/>
      <c r="E857" s="5"/>
    </row>
    <row r="858" spans="1:5" ht="12.5">
      <c r="A858" s="76"/>
      <c r="B858" s="5"/>
      <c r="C858" s="16"/>
      <c r="E858" s="5"/>
    </row>
    <row r="859" spans="1:5" ht="12.5">
      <c r="A859" s="76"/>
      <c r="B859" s="5"/>
      <c r="C859" s="16"/>
      <c r="E859" s="5"/>
    </row>
    <row r="860" spans="1:5" ht="12.5">
      <c r="A860" s="76"/>
      <c r="B860" s="5"/>
      <c r="C860" s="16"/>
      <c r="E860" s="5"/>
    </row>
    <row r="861" spans="1:5" ht="12.5">
      <c r="A861" s="76"/>
      <c r="B861" s="5"/>
      <c r="C861" s="16"/>
      <c r="E861" s="5"/>
    </row>
    <row r="862" spans="1:5" ht="12.5">
      <c r="A862" s="76"/>
      <c r="B862" s="5"/>
      <c r="C862" s="16"/>
      <c r="E862" s="5"/>
    </row>
    <row r="863" spans="1:5" ht="12.5">
      <c r="A863" s="76"/>
      <c r="B863" s="5"/>
      <c r="C863" s="16"/>
      <c r="E863" s="5"/>
    </row>
    <row r="864" spans="1:5" ht="12.5">
      <c r="A864" s="76"/>
      <c r="B864" s="5"/>
      <c r="C864" s="16"/>
      <c r="E864" s="5"/>
    </row>
    <row r="865" spans="1:5" ht="12.5">
      <c r="A865" s="76"/>
      <c r="B865" s="5"/>
      <c r="C865" s="16"/>
      <c r="E865" s="5"/>
    </row>
    <row r="866" spans="1:5" ht="12.5">
      <c r="A866" s="76"/>
      <c r="B866" s="5"/>
      <c r="C866" s="16"/>
      <c r="E866" s="5"/>
    </row>
    <row r="867" spans="1:5" ht="12.5">
      <c r="A867" s="76"/>
      <c r="B867" s="5"/>
      <c r="C867" s="16"/>
      <c r="E867" s="5"/>
    </row>
    <row r="868" spans="1:5" ht="12.5">
      <c r="A868" s="76"/>
      <c r="B868" s="5"/>
      <c r="C868" s="16"/>
      <c r="E868" s="5"/>
    </row>
    <row r="869" spans="1:5" ht="12.5">
      <c r="A869" s="76"/>
      <c r="B869" s="5"/>
      <c r="C869" s="16"/>
      <c r="E869" s="5"/>
    </row>
    <row r="870" spans="1:5" ht="12.5">
      <c r="A870" s="76"/>
      <c r="B870" s="5"/>
      <c r="C870" s="16"/>
      <c r="E870" s="5"/>
    </row>
    <row r="871" spans="1:5" ht="12.5">
      <c r="A871" s="76"/>
      <c r="B871" s="5"/>
      <c r="C871" s="16"/>
      <c r="E871" s="5"/>
    </row>
    <row r="872" spans="1:5" ht="12.5">
      <c r="A872" s="76"/>
      <c r="B872" s="5"/>
      <c r="C872" s="16"/>
      <c r="E872" s="5"/>
    </row>
    <row r="873" spans="1:5" ht="12.5">
      <c r="A873" s="76"/>
      <c r="B873" s="5"/>
      <c r="C873" s="16"/>
      <c r="E873" s="5"/>
    </row>
    <row r="874" spans="1:5" ht="12.5">
      <c r="A874" s="76"/>
      <c r="B874" s="5"/>
      <c r="C874" s="16"/>
      <c r="E874" s="5"/>
    </row>
    <row r="875" spans="1:5" ht="12.5">
      <c r="A875" s="76"/>
      <c r="B875" s="5"/>
      <c r="C875" s="16"/>
      <c r="E875" s="5"/>
    </row>
    <row r="876" spans="1:5" ht="12.5">
      <c r="A876" s="76"/>
      <c r="B876" s="5"/>
      <c r="C876" s="16"/>
      <c r="E876" s="5"/>
    </row>
    <row r="877" spans="1:5" ht="12.5">
      <c r="A877" s="76"/>
      <c r="B877" s="5"/>
      <c r="C877" s="16"/>
      <c r="E877" s="5"/>
    </row>
    <row r="878" spans="1:5" ht="12.5">
      <c r="A878" s="76"/>
      <c r="B878" s="5"/>
      <c r="C878" s="16"/>
      <c r="E878" s="5"/>
    </row>
    <row r="879" spans="1:5" ht="12.5">
      <c r="A879" s="76"/>
      <c r="B879" s="5"/>
      <c r="C879" s="16"/>
      <c r="E879" s="5"/>
    </row>
    <row r="880" spans="1:5" ht="12.5">
      <c r="A880" s="76"/>
      <c r="B880" s="5"/>
      <c r="C880" s="16"/>
      <c r="E880" s="5"/>
    </row>
    <row r="881" spans="1:5" ht="12.5">
      <c r="A881" s="76"/>
      <c r="B881" s="5"/>
      <c r="C881" s="16"/>
      <c r="E881" s="5"/>
    </row>
    <row r="882" spans="1:5" ht="12.5">
      <c r="A882" s="76"/>
      <c r="B882" s="5"/>
      <c r="C882" s="16"/>
      <c r="E882" s="5"/>
    </row>
    <row r="883" spans="1:5" ht="12.5">
      <c r="A883" s="76"/>
      <c r="B883" s="5"/>
      <c r="C883" s="16"/>
      <c r="E883" s="5"/>
    </row>
    <row r="884" spans="1:5" ht="12.5">
      <c r="A884" s="76"/>
      <c r="B884" s="5"/>
      <c r="C884" s="16"/>
      <c r="E884" s="5"/>
    </row>
    <row r="885" spans="1:5" ht="12.5">
      <c r="A885" s="76"/>
      <c r="B885" s="5"/>
      <c r="C885" s="16"/>
      <c r="E885" s="5"/>
    </row>
    <row r="886" spans="1:5" ht="12.5">
      <c r="A886" s="76"/>
      <c r="B886" s="5"/>
      <c r="C886" s="16"/>
      <c r="E886" s="5"/>
    </row>
    <row r="887" spans="1:5" ht="12.5">
      <c r="A887" s="76"/>
      <c r="B887" s="5"/>
      <c r="C887" s="16"/>
      <c r="E887" s="5"/>
    </row>
    <row r="888" spans="1:5" ht="12.5">
      <c r="A888" s="76"/>
      <c r="B888" s="5"/>
      <c r="C888" s="16"/>
      <c r="E888" s="5"/>
    </row>
    <row r="889" spans="1:5" ht="12.5">
      <c r="A889" s="76"/>
      <c r="B889" s="5"/>
      <c r="C889" s="16"/>
      <c r="E889" s="5"/>
    </row>
    <row r="890" spans="1:5" ht="12.5">
      <c r="A890" s="76"/>
      <c r="B890" s="5"/>
      <c r="C890" s="16"/>
      <c r="E890" s="5"/>
    </row>
    <row r="891" spans="1:5" ht="12.5">
      <c r="A891" s="76"/>
      <c r="B891" s="5"/>
      <c r="C891" s="16"/>
      <c r="E891" s="5"/>
    </row>
    <row r="892" spans="1:5" ht="12.5">
      <c r="A892" s="76"/>
      <c r="B892" s="5"/>
      <c r="C892" s="16"/>
      <c r="E892" s="5"/>
    </row>
    <row r="893" spans="1:5" ht="12.5">
      <c r="A893" s="76"/>
      <c r="B893" s="5"/>
      <c r="C893" s="16"/>
      <c r="E893" s="5"/>
    </row>
    <row r="894" spans="1:5" ht="12.5">
      <c r="A894" s="76"/>
      <c r="B894" s="5"/>
      <c r="C894" s="16"/>
      <c r="E894" s="5"/>
    </row>
    <row r="895" spans="1:5" ht="12.5">
      <c r="A895" s="76"/>
      <c r="B895" s="5"/>
      <c r="C895" s="16"/>
      <c r="E895" s="5"/>
    </row>
    <row r="896" spans="1:5" ht="12.5">
      <c r="A896" s="76"/>
      <c r="B896" s="5"/>
      <c r="C896" s="16"/>
      <c r="E896" s="5"/>
    </row>
    <row r="897" spans="1:5" ht="12.5">
      <c r="A897" s="76"/>
      <c r="B897" s="5"/>
      <c r="C897" s="16"/>
      <c r="E897" s="5"/>
    </row>
    <row r="898" spans="1:5" ht="12.5">
      <c r="A898" s="76"/>
      <c r="B898" s="5"/>
      <c r="C898" s="16"/>
      <c r="E898" s="5"/>
    </row>
    <row r="899" spans="1:5" ht="12.5">
      <c r="A899" s="76"/>
      <c r="B899" s="5"/>
      <c r="C899" s="16"/>
      <c r="E899" s="5"/>
    </row>
    <row r="900" spans="1:5" ht="12.5">
      <c r="A900" s="76"/>
      <c r="B900" s="5"/>
      <c r="C900" s="16"/>
      <c r="E900" s="5"/>
    </row>
    <row r="901" spans="1:5" ht="12.5">
      <c r="A901" s="76"/>
      <c r="B901" s="5"/>
      <c r="C901" s="16"/>
      <c r="E901" s="5"/>
    </row>
    <row r="902" spans="1:5" ht="12.5">
      <c r="A902" s="76"/>
      <c r="B902" s="5"/>
      <c r="C902" s="16"/>
      <c r="E902" s="5"/>
    </row>
    <row r="903" spans="1:5" ht="12.5">
      <c r="A903" s="76"/>
      <c r="B903" s="5"/>
      <c r="C903" s="16"/>
      <c r="E903" s="5"/>
    </row>
    <row r="904" spans="1:5" ht="12.5">
      <c r="A904" s="76"/>
      <c r="B904" s="5"/>
      <c r="C904" s="16"/>
      <c r="E904" s="5"/>
    </row>
    <row r="905" spans="1:5" ht="12.5">
      <c r="A905" s="76"/>
      <c r="B905" s="5"/>
      <c r="C905" s="16"/>
      <c r="E905" s="5"/>
    </row>
    <row r="906" spans="1:5" ht="12.5">
      <c r="A906" s="76"/>
      <c r="B906" s="5"/>
      <c r="C906" s="16"/>
      <c r="E906" s="5"/>
    </row>
    <row r="907" spans="1:5" ht="12.5">
      <c r="A907" s="76"/>
      <c r="B907" s="5"/>
      <c r="C907" s="16"/>
      <c r="E907" s="5"/>
    </row>
    <row r="908" spans="1:5" ht="12.5">
      <c r="A908" s="76"/>
      <c r="B908" s="5"/>
      <c r="C908" s="16"/>
      <c r="E908" s="5"/>
    </row>
    <row r="909" spans="1:5" ht="12.5">
      <c r="A909" s="76"/>
      <c r="B909" s="5"/>
      <c r="C909" s="16"/>
      <c r="E909" s="5"/>
    </row>
    <row r="910" spans="1:5" ht="12.5">
      <c r="A910" s="76"/>
      <c r="B910" s="5"/>
      <c r="C910" s="16"/>
      <c r="E910" s="5"/>
    </row>
    <row r="911" spans="1:5" ht="12.5">
      <c r="A911" s="76"/>
      <c r="B911" s="5"/>
      <c r="C911" s="16"/>
      <c r="E911" s="5"/>
    </row>
    <row r="912" spans="1:5" ht="12.5">
      <c r="A912" s="76"/>
      <c r="B912" s="5"/>
      <c r="C912" s="16"/>
      <c r="E912" s="5"/>
    </row>
    <row r="913" spans="1:5" ht="12.5">
      <c r="A913" s="76"/>
      <c r="B913" s="5"/>
      <c r="C913" s="16"/>
      <c r="E913" s="5"/>
    </row>
    <row r="914" spans="1:5" ht="12.5">
      <c r="A914" s="76"/>
      <c r="B914" s="5"/>
      <c r="C914" s="16"/>
      <c r="E914" s="5"/>
    </row>
    <row r="915" spans="1:5" ht="12.5">
      <c r="A915" s="76"/>
      <c r="B915" s="5"/>
      <c r="C915" s="16"/>
      <c r="E915" s="5"/>
    </row>
    <row r="916" spans="1:5" ht="12.5">
      <c r="A916" s="76"/>
      <c r="B916" s="5"/>
      <c r="C916" s="16"/>
      <c r="E916" s="5"/>
    </row>
    <row r="917" spans="1:5" ht="12.5">
      <c r="A917" s="76"/>
      <c r="B917" s="5"/>
      <c r="C917" s="16"/>
      <c r="E917" s="5"/>
    </row>
    <row r="918" spans="1:5" ht="12.5">
      <c r="A918" s="76"/>
      <c r="B918" s="5"/>
      <c r="C918" s="16"/>
      <c r="E918" s="5"/>
    </row>
    <row r="919" spans="1:5" ht="12.5">
      <c r="A919" s="76"/>
      <c r="B919" s="5"/>
      <c r="C919" s="16"/>
      <c r="E919" s="5"/>
    </row>
    <row r="920" spans="1:5" ht="12.5">
      <c r="A920" s="76"/>
      <c r="B920" s="5"/>
      <c r="C920" s="16"/>
      <c r="E920" s="5"/>
    </row>
    <row r="921" spans="1:5" ht="12.5">
      <c r="A921" s="76"/>
      <c r="B921" s="5"/>
      <c r="C921" s="16"/>
      <c r="E921" s="5"/>
    </row>
    <row r="922" spans="1:5" ht="12.5">
      <c r="A922" s="76"/>
      <c r="B922" s="5"/>
      <c r="C922" s="16"/>
      <c r="E922" s="5"/>
    </row>
    <row r="923" spans="1:5" ht="12.5">
      <c r="A923" s="76"/>
      <c r="B923" s="5"/>
      <c r="C923" s="16"/>
      <c r="E923" s="5"/>
    </row>
    <row r="924" spans="1:5" ht="12.5">
      <c r="A924" s="76"/>
      <c r="B924" s="5"/>
      <c r="C924" s="16"/>
      <c r="E924" s="5"/>
    </row>
    <row r="925" spans="1:5" ht="12.5">
      <c r="A925" s="76"/>
      <c r="B925" s="5"/>
      <c r="C925" s="16"/>
      <c r="E925" s="5"/>
    </row>
    <row r="926" spans="1:5" ht="12.5">
      <c r="A926" s="76"/>
      <c r="B926" s="5"/>
      <c r="C926" s="16"/>
      <c r="E926" s="5"/>
    </row>
    <row r="927" spans="1:5" ht="12.5">
      <c r="A927" s="76"/>
      <c r="B927" s="5"/>
      <c r="C927" s="16"/>
      <c r="E927" s="5"/>
    </row>
    <row r="928" spans="1:5" ht="12.5">
      <c r="A928" s="76"/>
      <c r="B928" s="5"/>
      <c r="C928" s="16"/>
      <c r="E928" s="5"/>
    </row>
    <row r="929" spans="1:5" ht="12.5">
      <c r="A929" s="76"/>
      <c r="B929" s="5"/>
      <c r="C929" s="16"/>
      <c r="E929" s="5"/>
    </row>
    <row r="930" spans="1:5" ht="12.5">
      <c r="A930" s="76"/>
      <c r="B930" s="5"/>
      <c r="C930" s="16"/>
      <c r="E930" s="5"/>
    </row>
    <row r="931" spans="1:5" ht="12.5">
      <c r="A931" s="76"/>
      <c r="B931" s="5"/>
      <c r="C931" s="16"/>
      <c r="E931" s="5"/>
    </row>
    <row r="932" spans="1:5" ht="12.5">
      <c r="A932" s="76"/>
      <c r="B932" s="5"/>
      <c r="C932" s="16"/>
      <c r="E932" s="5"/>
    </row>
    <row r="933" spans="1:5" ht="12.5">
      <c r="A933" s="76"/>
      <c r="B933" s="5"/>
      <c r="C933" s="16"/>
      <c r="E933" s="5"/>
    </row>
    <row r="934" spans="1:5" ht="12.5">
      <c r="A934" s="76"/>
      <c r="B934" s="5"/>
      <c r="C934" s="16"/>
      <c r="E934" s="5"/>
    </row>
    <row r="935" spans="1:5" ht="12.5">
      <c r="A935" s="76"/>
      <c r="B935" s="5"/>
      <c r="C935" s="16"/>
      <c r="E935" s="5"/>
    </row>
    <row r="936" spans="1:5" ht="12.5">
      <c r="A936" s="76"/>
      <c r="B936" s="5"/>
      <c r="C936" s="16"/>
      <c r="E936" s="5"/>
    </row>
    <row r="937" spans="1:5" ht="12.5">
      <c r="A937" s="76"/>
      <c r="B937" s="5"/>
      <c r="C937" s="16"/>
      <c r="E937" s="5"/>
    </row>
    <row r="938" spans="1:5" ht="12.5">
      <c r="A938" s="76"/>
      <c r="B938" s="5"/>
      <c r="C938" s="16"/>
      <c r="E938" s="5"/>
    </row>
    <row r="939" spans="1:5" ht="12.5">
      <c r="A939" s="76"/>
      <c r="B939" s="5"/>
      <c r="C939" s="16"/>
      <c r="E939" s="5"/>
    </row>
    <row r="940" spans="1:5" ht="12.5">
      <c r="A940" s="76"/>
      <c r="B940" s="5"/>
      <c r="C940" s="16"/>
      <c r="E940" s="5"/>
    </row>
    <row r="941" spans="1:5" ht="12.5">
      <c r="A941" s="76"/>
      <c r="B941" s="5"/>
      <c r="C941" s="16"/>
      <c r="E941" s="5"/>
    </row>
    <row r="942" spans="1:5" ht="12.5">
      <c r="A942" s="76"/>
      <c r="B942" s="5"/>
      <c r="C942" s="16"/>
      <c r="E942" s="5"/>
    </row>
    <row r="943" spans="1:5" ht="12.5">
      <c r="A943" s="76"/>
      <c r="B943" s="5"/>
      <c r="C943" s="16"/>
      <c r="E943" s="5"/>
    </row>
    <row r="944" spans="1:5" ht="12.5">
      <c r="A944" s="76"/>
      <c r="B944" s="5"/>
      <c r="C944" s="16"/>
      <c r="E944" s="5"/>
    </row>
    <row r="945" spans="1:5" ht="12.5">
      <c r="A945" s="76"/>
      <c r="B945" s="5"/>
      <c r="C945" s="16"/>
      <c r="E945" s="5"/>
    </row>
    <row r="946" spans="1:5" ht="12.5">
      <c r="A946" s="76"/>
      <c r="B946" s="5"/>
      <c r="C946" s="16"/>
      <c r="E946" s="5"/>
    </row>
    <row r="947" spans="1:5" ht="12.5">
      <c r="A947" s="76"/>
      <c r="B947" s="5"/>
      <c r="C947" s="16"/>
      <c r="E947" s="5"/>
    </row>
    <row r="948" spans="1:5" ht="12.5">
      <c r="A948" s="76"/>
      <c r="B948" s="5"/>
      <c r="C948" s="16"/>
      <c r="E948" s="5"/>
    </row>
    <row r="949" spans="1:5" ht="12.5">
      <c r="A949" s="76"/>
      <c r="B949" s="5"/>
      <c r="C949" s="16"/>
      <c r="E949" s="5"/>
    </row>
    <row r="950" spans="1:5" ht="12.5">
      <c r="A950" s="76"/>
      <c r="B950" s="5"/>
      <c r="C950" s="16"/>
      <c r="E950" s="5"/>
    </row>
    <row r="951" spans="1:5" ht="12.5">
      <c r="A951" s="76"/>
      <c r="B951" s="5"/>
      <c r="C951" s="16"/>
      <c r="E951" s="5"/>
    </row>
    <row r="952" spans="1:5" ht="12.5">
      <c r="A952" s="76"/>
      <c r="B952" s="5"/>
      <c r="C952" s="16"/>
      <c r="E952" s="5"/>
    </row>
    <row r="953" spans="1:5" ht="12.5">
      <c r="A953" s="76"/>
      <c r="B953" s="5"/>
      <c r="C953" s="16"/>
      <c r="E953" s="5"/>
    </row>
    <row r="954" spans="1:5" ht="12.5">
      <c r="A954" s="76"/>
      <c r="B954" s="5"/>
      <c r="C954" s="16"/>
      <c r="E954" s="5"/>
    </row>
    <row r="955" spans="1:5" ht="12.5">
      <c r="A955" s="76"/>
      <c r="B955" s="5"/>
      <c r="C955" s="16"/>
      <c r="E955" s="5"/>
    </row>
    <row r="956" spans="1:5" ht="12.5">
      <c r="A956" s="76"/>
      <c r="B956" s="5"/>
      <c r="C956" s="16"/>
      <c r="E956" s="5"/>
    </row>
    <row r="957" spans="1:5" ht="12.5">
      <c r="A957" s="76"/>
      <c r="B957" s="5"/>
      <c r="C957" s="16"/>
      <c r="E957" s="5"/>
    </row>
    <row r="958" spans="1:5" ht="12.5">
      <c r="A958" s="76"/>
      <c r="B958" s="5"/>
      <c r="C958" s="16"/>
      <c r="E958" s="5"/>
    </row>
    <row r="959" spans="1:5" ht="12.5">
      <c r="A959" s="76"/>
      <c r="B959" s="5"/>
      <c r="C959" s="16"/>
      <c r="E959" s="5"/>
    </row>
    <row r="960" spans="1:5" ht="12.5">
      <c r="A960" s="76"/>
      <c r="B960" s="5"/>
      <c r="C960" s="16"/>
      <c r="E960" s="5"/>
    </row>
    <row r="961" spans="1:5" ht="12.5">
      <c r="A961" s="76"/>
      <c r="B961" s="5"/>
      <c r="C961" s="16"/>
      <c r="E961" s="5"/>
    </row>
    <row r="962" spans="1:5" ht="12.5">
      <c r="A962" s="76"/>
      <c r="B962" s="5"/>
      <c r="C962" s="16"/>
      <c r="E962" s="5"/>
    </row>
    <row r="963" spans="1:5" ht="12.5">
      <c r="A963" s="76"/>
      <c r="B963" s="5"/>
      <c r="C963" s="16"/>
      <c r="E963" s="5"/>
    </row>
    <row r="964" spans="1:5" ht="12.5">
      <c r="A964" s="76"/>
      <c r="B964" s="5"/>
      <c r="C964" s="16"/>
      <c r="E964" s="5"/>
    </row>
    <row r="965" spans="1:5" ht="12.5">
      <c r="A965" s="76"/>
      <c r="B965" s="5"/>
      <c r="C965" s="16"/>
      <c r="E965" s="5"/>
    </row>
    <row r="966" spans="1:5" ht="12.5">
      <c r="A966" s="76"/>
      <c r="B966" s="5"/>
      <c r="C966" s="16"/>
      <c r="E966" s="5"/>
    </row>
    <row r="967" spans="1:5" ht="12.5">
      <c r="A967" s="76"/>
      <c r="B967" s="5"/>
      <c r="C967" s="16"/>
      <c r="E967" s="5"/>
    </row>
    <row r="968" spans="1:5" ht="12.5">
      <c r="A968" s="76"/>
      <c r="B968" s="5"/>
      <c r="C968" s="16"/>
      <c r="E968" s="5"/>
    </row>
    <row r="969" spans="1:5" ht="12.5">
      <c r="A969" s="76"/>
      <c r="B969" s="5"/>
      <c r="C969" s="16"/>
      <c r="E969" s="5"/>
    </row>
    <row r="970" spans="1:5" ht="12.5">
      <c r="A970" s="76"/>
      <c r="B970" s="5"/>
      <c r="C970" s="16"/>
      <c r="E970" s="5"/>
    </row>
    <row r="971" spans="1:5" ht="12.5">
      <c r="A971" s="76"/>
      <c r="B971" s="5"/>
      <c r="C971" s="16"/>
      <c r="E971" s="5"/>
    </row>
    <row r="972" spans="1:5" ht="12.5">
      <c r="A972" s="76"/>
      <c r="B972" s="5"/>
      <c r="C972" s="16"/>
      <c r="E972" s="5"/>
    </row>
    <row r="973" spans="1:5" ht="12.5">
      <c r="A973" s="76"/>
      <c r="B973" s="5"/>
      <c r="C973" s="16"/>
      <c r="E973" s="5"/>
    </row>
    <row r="974" spans="1:5" ht="12.5">
      <c r="A974" s="76"/>
      <c r="B974" s="5"/>
      <c r="C974" s="16"/>
      <c r="E974" s="5"/>
    </row>
    <row r="975" spans="1:5" ht="12.5">
      <c r="A975" s="76"/>
      <c r="B975" s="5"/>
      <c r="C975" s="16"/>
      <c r="E975" s="5"/>
    </row>
    <row r="976" spans="1:5" ht="12.5">
      <c r="A976" s="76"/>
      <c r="B976" s="5"/>
      <c r="C976" s="16"/>
      <c r="E976" s="5"/>
    </row>
    <row r="977" spans="1:5" ht="12.5">
      <c r="A977" s="76"/>
      <c r="B977" s="5"/>
      <c r="C977" s="16"/>
      <c r="E977" s="5"/>
    </row>
    <row r="978" spans="1:5" ht="12.5">
      <c r="A978" s="76"/>
      <c r="B978" s="5"/>
      <c r="C978" s="16"/>
      <c r="E978" s="5"/>
    </row>
    <row r="979" spans="1:5" ht="12.5">
      <c r="A979" s="76"/>
      <c r="B979" s="5"/>
      <c r="C979" s="16"/>
      <c r="E979" s="5"/>
    </row>
    <row r="980" spans="1:5" ht="12.5">
      <c r="A980" s="76"/>
      <c r="B980" s="5"/>
      <c r="C980" s="16"/>
      <c r="E980" s="5"/>
    </row>
    <row r="981" spans="1:5" ht="12.5">
      <c r="A981" s="76"/>
      <c r="B981" s="5"/>
      <c r="C981" s="16"/>
      <c r="E981" s="5"/>
    </row>
    <row r="982" spans="1:5" ht="12.5">
      <c r="A982" s="76"/>
      <c r="B982" s="5"/>
      <c r="C982" s="16"/>
      <c r="E982" s="5"/>
    </row>
    <row r="983" spans="1:5" ht="12.5">
      <c r="A983" s="76"/>
      <c r="B983" s="5"/>
      <c r="C983" s="16"/>
      <c r="E983" s="5"/>
    </row>
    <row r="984" spans="1:5" ht="12.5">
      <c r="A984" s="76"/>
      <c r="B984" s="5"/>
      <c r="C984" s="16"/>
      <c r="E984" s="5"/>
    </row>
    <row r="985" spans="1:5" ht="12.5">
      <c r="A985" s="76"/>
      <c r="B985" s="5"/>
      <c r="C985" s="16"/>
      <c r="E985" s="5"/>
    </row>
    <row r="986" spans="1:5" ht="12.5">
      <c r="A986" s="76"/>
      <c r="B986" s="5"/>
      <c r="C986" s="16"/>
      <c r="E986" s="5"/>
    </row>
    <row r="987" spans="1:5" ht="12.5">
      <c r="A987" s="76"/>
      <c r="B987" s="5"/>
      <c r="C987" s="16"/>
      <c r="E987" s="5"/>
    </row>
    <row r="988" spans="1:5" ht="12.5">
      <c r="A988" s="76"/>
      <c r="B988" s="5"/>
      <c r="C988" s="16"/>
      <c r="E988" s="5"/>
    </row>
    <row r="989" spans="1:5" ht="12.5">
      <c r="A989" s="76"/>
      <c r="B989" s="5"/>
      <c r="C989" s="16"/>
      <c r="E989" s="5"/>
    </row>
    <row r="990" spans="1:5" ht="12.5">
      <c r="A990" s="76"/>
      <c r="B990" s="5"/>
      <c r="C990" s="16"/>
      <c r="E990" s="5"/>
    </row>
    <row r="991" spans="1:5" ht="12.5">
      <c r="A991" s="76"/>
      <c r="B991" s="5"/>
      <c r="C991" s="16"/>
      <c r="E991" s="5"/>
    </row>
    <row r="992" spans="1:5" ht="12.5">
      <c r="A992" s="76"/>
      <c r="B992" s="5"/>
      <c r="C992" s="16"/>
      <c r="E992" s="5"/>
    </row>
    <row r="993" spans="1:5" ht="12.5">
      <c r="A993" s="76"/>
      <c r="B993" s="5"/>
      <c r="C993" s="16"/>
      <c r="E993" s="5"/>
    </row>
    <row r="994" spans="1:5" ht="12.5">
      <c r="A994" s="76"/>
      <c r="B994" s="5"/>
      <c r="C994" s="16"/>
      <c r="E994" s="5"/>
    </row>
    <row r="995" spans="1:5" ht="12.5">
      <c r="A995" s="76"/>
      <c r="B995" s="5"/>
      <c r="C995" s="16"/>
      <c r="E995" s="5"/>
    </row>
    <row r="996" spans="1:5" ht="12.5">
      <c r="A996" s="76"/>
      <c r="B996" s="5"/>
      <c r="C996" s="16"/>
      <c r="E996" s="5"/>
    </row>
    <row r="997" spans="1:5" ht="12.5">
      <c r="A997" s="76"/>
      <c r="B997" s="5"/>
      <c r="C997" s="16"/>
      <c r="E997" s="5"/>
    </row>
    <row r="998" spans="1:5" ht="12.5">
      <c r="A998" s="76"/>
      <c r="B998" s="5"/>
      <c r="C998" s="16"/>
      <c r="E998" s="5"/>
    </row>
    <row r="999" spans="1:5" ht="12.5">
      <c r="A999" s="76"/>
      <c r="B999" s="5"/>
      <c r="C999" s="16"/>
      <c r="E999" s="5"/>
    </row>
    <row r="1000" spans="1:5" ht="12.5">
      <c r="A1000" s="76"/>
      <c r="B1000" s="5"/>
      <c r="C1000" s="16"/>
      <c r="E1000" s="5"/>
    </row>
    <row r="1001" spans="1:5" ht="12.5">
      <c r="A1001" s="76"/>
      <c r="C1001" s="16"/>
      <c r="E1001" s="5"/>
    </row>
  </sheetData>
  <conditionalFormatting sqref="A2:J1000">
    <cfRule type="expression" dxfId="7" priority="1">
      <formula>$E2="Pessoa 2"</formula>
    </cfRule>
    <cfRule type="expression" dxfId="6" priority="2">
      <formula>$E2="Pessoa 1"</formula>
    </cfRule>
  </conditionalFormatting>
  <dataValidations count="3">
    <dataValidation type="list" allowBlank="1" showErrorMessage="1" sqref="E2:E1001" xr:uid="{00000000-0002-0000-0B00-000000000000}">
      <formula1>"Pessoa 1,Pessoa 2"</formula1>
    </dataValidation>
    <dataValidation type="list" allowBlank="1" showErrorMessage="1" sqref="B2:B1000" xr:uid="{00000000-0002-0000-0B00-000001000000}">
      <formula1>"Aluguel_Cond,Home Supplies,Energia_Gás_Água_Esgoto,Internet_Telefonia,Comida_Alimentação,Manutenção_Casa,Móveis_Aparelhos_Decoração,Transporte Geral &amp; Coletivo,Transporte Uber &amp; Apps,Saúde,Academia &amp; Fitness,Educação,Roupa_Acessorios,Entretenimento_&amp;_Rest"&amp;"aurantes,Viagem/Vacation,Work-related,Imposto (IPVA-IPTU-etc),Outros,Investimento (aporte),Gasto Pessoal"</formula1>
    </dataValidation>
    <dataValidation type="custom" allowBlank="1" showDropDown="1" showErrorMessage="1" sqref="A2:A1001" xr:uid="{00000000-0002-0000-0B00-000002000000}">
      <formula1>OR(NOT(ISERROR(DATEVALUE(A2))), AND(ISNUMBER(A2), LEFT(CELL("format", A2))="D"))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6D9EEB"/>
    <outlinePr summaryBelow="0" summaryRight="0"/>
  </sheetPr>
  <dimension ref="A1:J100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2.6328125" defaultRowHeight="15.75" customHeight="1"/>
  <cols>
    <col min="1" max="1" width="18.08984375" customWidth="1"/>
    <col min="2" max="2" width="30.36328125" customWidth="1"/>
    <col min="3" max="3" width="22.36328125" customWidth="1"/>
    <col min="4" max="4" width="60.90625" customWidth="1"/>
    <col min="5" max="5" width="12.7265625" customWidth="1"/>
    <col min="6" max="6" width="44.90625" customWidth="1"/>
    <col min="7" max="7" width="6.90625" customWidth="1"/>
    <col min="9" max="9" width="43.08984375" customWidth="1"/>
  </cols>
  <sheetData>
    <row r="1" spans="1:10">
      <c r="A1" s="77" t="s">
        <v>377</v>
      </c>
      <c r="B1" s="14" t="s">
        <v>103</v>
      </c>
      <c r="C1" s="72" t="s">
        <v>104</v>
      </c>
      <c r="D1" s="14" t="s">
        <v>105</v>
      </c>
      <c r="E1" s="14" t="s">
        <v>106</v>
      </c>
      <c r="F1" s="5"/>
      <c r="H1" s="5"/>
      <c r="I1" s="5"/>
    </row>
    <row r="2" spans="1:10" ht="15.75" customHeight="1">
      <c r="A2" s="82" t="s">
        <v>378</v>
      </c>
      <c r="B2" s="38" t="s">
        <v>40</v>
      </c>
      <c r="C2" s="75">
        <v>196.09007207514</v>
      </c>
      <c r="D2" s="32" t="s">
        <v>379</v>
      </c>
      <c r="E2" s="32" t="s">
        <v>64</v>
      </c>
      <c r="F2" s="5"/>
      <c r="G2" s="5"/>
      <c r="H2" s="15"/>
      <c r="I2" s="5"/>
      <c r="J2" s="5"/>
    </row>
    <row r="3" spans="1:10" ht="15.75" customHeight="1">
      <c r="A3" s="82" t="s">
        <v>380</v>
      </c>
      <c r="B3" s="38" t="s">
        <v>37</v>
      </c>
      <c r="C3" s="75">
        <v>540.32937066240606</v>
      </c>
      <c r="D3" s="32" t="s">
        <v>381</v>
      </c>
      <c r="E3" s="32" t="s">
        <v>64</v>
      </c>
      <c r="F3" s="5"/>
      <c r="G3" s="5"/>
      <c r="H3" s="15"/>
      <c r="I3" s="5"/>
      <c r="J3" s="5"/>
    </row>
    <row r="4" spans="1:10" ht="15.75" customHeight="1">
      <c r="A4" s="82" t="s">
        <v>382</v>
      </c>
      <c r="B4" s="38" t="s">
        <v>37</v>
      </c>
      <c r="C4" s="75">
        <v>127.02864654080273</v>
      </c>
      <c r="D4" s="32" t="s">
        <v>383</v>
      </c>
      <c r="E4" s="32" t="s">
        <v>64</v>
      </c>
      <c r="F4" s="5"/>
      <c r="G4" s="5"/>
      <c r="H4" s="15"/>
      <c r="I4" s="5"/>
      <c r="J4" s="5"/>
    </row>
    <row r="5" spans="1:10" ht="15.75" customHeight="1">
      <c r="A5" s="82" t="s">
        <v>384</v>
      </c>
      <c r="B5" s="38" t="s">
        <v>37</v>
      </c>
      <c r="C5" s="75">
        <v>322.43880507363639</v>
      </c>
      <c r="D5" s="32" t="s">
        <v>385</v>
      </c>
      <c r="E5" s="32" t="s">
        <v>65</v>
      </c>
      <c r="F5" s="5"/>
      <c r="G5" s="5"/>
      <c r="H5" s="15"/>
      <c r="I5" s="5"/>
      <c r="J5" s="5"/>
    </row>
    <row r="6" spans="1:10" ht="15.75" customHeight="1">
      <c r="A6" s="82" t="s">
        <v>386</v>
      </c>
      <c r="B6" s="38" t="s">
        <v>51</v>
      </c>
      <c r="C6" s="75">
        <v>165.38980060259607</v>
      </c>
      <c r="D6" s="32" t="s">
        <v>387</v>
      </c>
      <c r="E6" s="32" t="s">
        <v>64</v>
      </c>
      <c r="F6" s="5"/>
      <c r="G6" s="5"/>
      <c r="H6" s="15"/>
      <c r="I6" s="5"/>
      <c r="J6" s="5"/>
    </row>
    <row r="7" spans="1:10" ht="15.75" customHeight="1">
      <c r="A7" s="82" t="s">
        <v>388</v>
      </c>
      <c r="B7" s="38" t="s">
        <v>33</v>
      </c>
      <c r="C7" s="75">
        <v>333.24604266808785</v>
      </c>
      <c r="D7" s="32" t="s">
        <v>389</v>
      </c>
      <c r="E7" s="32" t="s">
        <v>65</v>
      </c>
      <c r="F7" s="5"/>
      <c r="G7" s="5"/>
      <c r="H7" s="15"/>
      <c r="I7" s="5"/>
      <c r="J7" s="5"/>
    </row>
    <row r="8" spans="1:10" ht="15.75" customHeight="1">
      <c r="A8" s="82" t="s">
        <v>390</v>
      </c>
      <c r="B8" s="38" t="s">
        <v>35</v>
      </c>
      <c r="C8" s="75">
        <v>339.03214494591219</v>
      </c>
      <c r="D8" s="32" t="s">
        <v>391</v>
      </c>
      <c r="E8" s="32" t="s">
        <v>65</v>
      </c>
      <c r="F8" s="5"/>
      <c r="G8" s="5"/>
      <c r="H8" s="15"/>
      <c r="I8" s="5"/>
      <c r="J8" s="5"/>
    </row>
    <row r="9" spans="1:10" ht="15.75" customHeight="1">
      <c r="A9" s="82" t="s">
        <v>392</v>
      </c>
      <c r="B9" s="38" t="s">
        <v>37</v>
      </c>
      <c r="C9" s="75">
        <v>19.335530742198333</v>
      </c>
      <c r="D9" s="32" t="s">
        <v>393</v>
      </c>
      <c r="E9" s="32" t="s">
        <v>65</v>
      </c>
      <c r="F9" s="5"/>
      <c r="G9" s="5"/>
      <c r="H9" s="15"/>
      <c r="I9" s="5"/>
      <c r="J9" s="5"/>
    </row>
    <row r="10" spans="1:10" ht="15.75" customHeight="1">
      <c r="A10" s="82" t="s">
        <v>392</v>
      </c>
      <c r="B10" s="38" t="s">
        <v>38</v>
      </c>
      <c r="C10" s="75">
        <v>502.92740167697883</v>
      </c>
      <c r="D10" s="32" t="s">
        <v>394</v>
      </c>
      <c r="E10" s="32" t="s">
        <v>65</v>
      </c>
      <c r="F10" s="5"/>
      <c r="G10" s="5"/>
      <c r="H10" s="15"/>
      <c r="I10" s="5"/>
      <c r="J10" s="5"/>
    </row>
    <row r="11" spans="1:10" ht="15.75" customHeight="1">
      <c r="A11" s="82" t="s">
        <v>395</v>
      </c>
      <c r="B11" s="38" t="s">
        <v>48</v>
      </c>
      <c r="C11" s="75">
        <v>183.71142964456092</v>
      </c>
      <c r="D11" s="32" t="s">
        <v>396</v>
      </c>
      <c r="E11" s="32" t="s">
        <v>64</v>
      </c>
      <c r="F11" s="5"/>
      <c r="G11" s="5"/>
      <c r="H11" s="15"/>
      <c r="I11" s="5"/>
      <c r="J11" s="5"/>
    </row>
    <row r="12" spans="1:10" ht="15.75" customHeight="1">
      <c r="A12" s="82" t="s">
        <v>392</v>
      </c>
      <c r="B12" s="38" t="s">
        <v>43</v>
      </c>
      <c r="C12" s="75">
        <v>267.25549839699306</v>
      </c>
      <c r="D12" s="32" t="s">
        <v>397</v>
      </c>
      <c r="E12" s="32" t="s">
        <v>64</v>
      </c>
      <c r="F12" s="5"/>
      <c r="G12" s="5"/>
      <c r="H12" s="15"/>
      <c r="I12" s="5"/>
      <c r="J12" s="5"/>
    </row>
    <row r="13" spans="1:10" ht="15.75" customHeight="1">
      <c r="A13" s="78" t="s">
        <v>382</v>
      </c>
      <c r="B13" s="38" t="s">
        <v>109</v>
      </c>
      <c r="C13" s="75">
        <v>301.68465666462549</v>
      </c>
      <c r="D13" s="32" t="s">
        <v>398</v>
      </c>
      <c r="E13" s="32" t="s">
        <v>64</v>
      </c>
      <c r="F13" s="5"/>
      <c r="G13" s="5"/>
      <c r="H13" s="15"/>
      <c r="I13" s="5"/>
      <c r="J13" s="5"/>
    </row>
    <row r="14" spans="1:10" ht="15.75" customHeight="1">
      <c r="A14" s="78" t="s">
        <v>399</v>
      </c>
      <c r="B14" s="38" t="s">
        <v>38</v>
      </c>
      <c r="C14" s="75">
        <v>553.94319101938186</v>
      </c>
      <c r="D14" s="32" t="s">
        <v>400</v>
      </c>
      <c r="E14" s="32" t="s">
        <v>64</v>
      </c>
      <c r="F14" s="5"/>
      <c r="G14" s="5"/>
      <c r="H14" s="15"/>
      <c r="I14" s="5"/>
      <c r="J14" s="5"/>
    </row>
    <row r="15" spans="1:10" ht="15.75" customHeight="1">
      <c r="A15" s="78" t="s">
        <v>401</v>
      </c>
      <c r="B15" s="38" t="s">
        <v>38</v>
      </c>
      <c r="C15" s="75">
        <v>385.74557304817574</v>
      </c>
      <c r="D15" s="32" t="s">
        <v>402</v>
      </c>
      <c r="E15" s="32" t="s">
        <v>65</v>
      </c>
      <c r="F15" s="5"/>
      <c r="G15" s="5"/>
      <c r="H15" s="15"/>
      <c r="I15" s="5"/>
      <c r="J15" s="5"/>
    </row>
    <row r="16" spans="1:10" ht="15.75" customHeight="1">
      <c r="A16" s="78" t="s">
        <v>403</v>
      </c>
      <c r="B16" s="38" t="s">
        <v>52</v>
      </c>
      <c r="C16" s="75">
        <v>518.06677064065457</v>
      </c>
      <c r="D16" s="32" t="s">
        <v>404</v>
      </c>
      <c r="E16" s="32" t="s">
        <v>65</v>
      </c>
      <c r="F16" s="5"/>
      <c r="G16" s="5"/>
      <c r="H16" s="15"/>
      <c r="I16" s="5"/>
      <c r="J16" s="5"/>
    </row>
    <row r="17" spans="1:8" ht="15.75" customHeight="1">
      <c r="A17" s="78"/>
      <c r="B17" s="38"/>
      <c r="C17" s="43"/>
      <c r="D17" s="32"/>
      <c r="E17" s="32"/>
      <c r="H17" s="15"/>
    </row>
    <row r="18" spans="1:8" ht="15.75" customHeight="1">
      <c r="A18" s="76"/>
      <c r="B18" s="15"/>
      <c r="C18" s="16"/>
      <c r="E18" s="5"/>
      <c r="H18" s="15"/>
    </row>
    <row r="19" spans="1:8" ht="15.75" customHeight="1">
      <c r="A19" s="76"/>
      <c r="B19" s="15"/>
      <c r="E19" s="5"/>
      <c r="H19" s="15"/>
    </row>
    <row r="20" spans="1:8" ht="15.75" customHeight="1">
      <c r="A20" s="76"/>
      <c r="B20" s="15"/>
      <c r="C20" s="16"/>
      <c r="E20" s="5"/>
      <c r="H20" s="15"/>
    </row>
    <row r="21" spans="1:8" ht="15.75" customHeight="1">
      <c r="A21" s="76"/>
      <c r="B21" s="15"/>
      <c r="C21" s="16"/>
      <c r="E21" s="5"/>
      <c r="H21" s="15"/>
    </row>
    <row r="22" spans="1:8" ht="15.75" customHeight="1">
      <c r="A22" s="76"/>
      <c r="B22" s="15"/>
      <c r="C22" s="16"/>
      <c r="E22" s="5"/>
      <c r="H22" s="15"/>
    </row>
    <row r="23" spans="1:8" ht="15.75" customHeight="1">
      <c r="A23" s="76"/>
      <c r="B23" s="15"/>
      <c r="C23" s="16"/>
      <c r="E23" s="5"/>
      <c r="H23" s="15"/>
    </row>
    <row r="24" spans="1:8" ht="15.75" customHeight="1">
      <c r="A24" s="76"/>
      <c r="B24" s="15"/>
      <c r="C24" s="16"/>
      <c r="E24" s="5"/>
      <c r="H24" s="15"/>
    </row>
    <row r="25" spans="1:8" ht="15.75" customHeight="1">
      <c r="A25" s="76"/>
      <c r="B25" s="15"/>
      <c r="C25" s="16"/>
      <c r="E25" s="5"/>
      <c r="H25" s="15"/>
    </row>
    <row r="26" spans="1:8" ht="15.75" customHeight="1">
      <c r="A26" s="76"/>
      <c r="B26" s="15"/>
      <c r="C26" s="16"/>
      <c r="E26" s="5"/>
      <c r="H26" s="15"/>
    </row>
    <row r="27" spans="1:8" ht="15.75" customHeight="1">
      <c r="A27" s="76"/>
      <c r="B27" s="15"/>
      <c r="C27" s="16"/>
      <c r="E27" s="5"/>
      <c r="H27" s="15"/>
    </row>
    <row r="28" spans="1:8" ht="15.75" customHeight="1">
      <c r="A28" s="76"/>
      <c r="B28" s="15"/>
      <c r="C28" s="16"/>
      <c r="E28" s="5"/>
      <c r="H28" s="15"/>
    </row>
    <row r="29" spans="1:8" ht="15.75" customHeight="1">
      <c r="A29" s="76"/>
      <c r="B29" s="15"/>
      <c r="C29" s="16"/>
      <c r="E29" s="5"/>
      <c r="H29" s="15"/>
    </row>
    <row r="30" spans="1:8" ht="15.75" customHeight="1">
      <c r="A30" s="76"/>
      <c r="B30" s="15"/>
      <c r="C30" s="16"/>
      <c r="E30" s="5"/>
      <c r="H30" s="15"/>
    </row>
    <row r="31" spans="1:8" ht="15.75" customHeight="1">
      <c r="A31" s="76"/>
      <c r="B31" s="15"/>
      <c r="C31" s="16"/>
      <c r="E31" s="5"/>
      <c r="H31" s="15"/>
    </row>
    <row r="32" spans="1:8" ht="15.75" customHeight="1">
      <c r="A32" s="76"/>
      <c r="B32" s="15"/>
      <c r="C32" s="16"/>
      <c r="E32" s="5"/>
      <c r="H32" s="15"/>
    </row>
    <row r="33" spans="1:9" ht="15.75" customHeight="1">
      <c r="A33" s="76"/>
      <c r="B33" s="15"/>
      <c r="C33" s="16"/>
      <c r="E33" s="5"/>
      <c r="H33" s="15"/>
    </row>
    <row r="34" spans="1:9" ht="15.75" customHeight="1">
      <c r="A34" s="76"/>
      <c r="B34" s="15"/>
      <c r="C34" s="16"/>
      <c r="E34" s="5"/>
      <c r="H34" s="15"/>
    </row>
    <row r="35" spans="1:9" ht="15.75" customHeight="1">
      <c r="A35" s="76"/>
      <c r="B35" s="15"/>
      <c r="C35" s="16"/>
      <c r="E35" s="5"/>
      <c r="H35" s="15"/>
    </row>
    <row r="36" spans="1:9" ht="15.75" customHeight="1">
      <c r="A36" s="76"/>
      <c r="B36" s="15"/>
      <c r="C36" s="16"/>
      <c r="E36" s="5"/>
      <c r="H36" s="15"/>
    </row>
    <row r="37" spans="1:9" ht="15.75" customHeight="1">
      <c r="A37" s="76"/>
      <c r="B37" s="15"/>
      <c r="C37" s="16"/>
      <c r="E37" s="5"/>
      <c r="H37" s="15"/>
    </row>
    <row r="38" spans="1:9" ht="15.75" customHeight="1">
      <c r="A38" s="76"/>
      <c r="B38" s="15"/>
      <c r="C38" s="16"/>
      <c r="E38" s="5"/>
      <c r="H38" s="15"/>
    </row>
    <row r="39" spans="1:9" ht="15.75" customHeight="1">
      <c r="A39" s="76"/>
      <c r="B39" s="15"/>
      <c r="C39" s="16"/>
      <c r="E39" s="5"/>
      <c r="H39" s="15"/>
    </row>
    <row r="40" spans="1:9" ht="15.75" customHeight="1">
      <c r="A40" s="76"/>
      <c r="B40" s="15"/>
      <c r="C40" s="16"/>
      <c r="E40" s="5"/>
      <c r="H40" s="15"/>
    </row>
    <row r="41" spans="1:9" ht="15.75" customHeight="1">
      <c r="A41" s="76"/>
      <c r="B41" s="15"/>
      <c r="C41" s="16"/>
      <c r="E41" s="5"/>
      <c r="H41" s="15"/>
    </row>
    <row r="42" spans="1:9" ht="15.75" customHeight="1">
      <c r="A42" s="76"/>
      <c r="B42" s="15"/>
      <c r="C42" s="16"/>
      <c r="E42" s="5"/>
      <c r="H42" s="15"/>
    </row>
    <row r="43" spans="1:9" ht="15.75" customHeight="1">
      <c r="A43" s="76"/>
      <c r="B43" s="15"/>
      <c r="C43" s="16"/>
      <c r="E43" s="5"/>
      <c r="H43" s="15"/>
    </row>
    <row r="44" spans="1:9" ht="15.75" customHeight="1">
      <c r="A44" s="76"/>
      <c r="B44" s="15"/>
      <c r="C44" s="16"/>
      <c r="E44" s="5"/>
      <c r="F44" s="32"/>
      <c r="H44" s="15"/>
      <c r="I44" s="5"/>
    </row>
    <row r="45" spans="1:9" ht="15.75" customHeight="1">
      <c r="A45" s="76"/>
      <c r="B45" s="15"/>
      <c r="C45" s="16"/>
      <c r="E45" s="5"/>
      <c r="F45" s="32"/>
      <c r="H45" s="15"/>
      <c r="I45" s="5"/>
    </row>
    <row r="46" spans="1:9" ht="15.75" customHeight="1">
      <c r="A46" s="76"/>
      <c r="B46" s="15"/>
      <c r="C46" s="16"/>
      <c r="E46" s="5"/>
      <c r="F46" s="32"/>
      <c r="H46" s="15"/>
    </row>
    <row r="47" spans="1:9" ht="15.75" customHeight="1">
      <c r="A47" s="76"/>
      <c r="B47" s="15"/>
      <c r="C47" s="16"/>
      <c r="E47" s="5"/>
      <c r="H47" s="15"/>
    </row>
    <row r="48" spans="1:9" ht="15.75" customHeight="1">
      <c r="A48" s="76"/>
      <c r="B48" s="15"/>
      <c r="C48" s="16"/>
      <c r="E48" s="5"/>
      <c r="H48" s="15"/>
    </row>
    <row r="49" spans="1:8" ht="15.75" customHeight="1">
      <c r="A49" s="76"/>
      <c r="B49" s="15"/>
      <c r="C49" s="16"/>
      <c r="E49" s="5"/>
      <c r="H49" s="15"/>
    </row>
    <row r="50" spans="1:8" ht="15.75" customHeight="1">
      <c r="A50" s="76"/>
      <c r="B50" s="15"/>
      <c r="C50" s="16"/>
      <c r="E50" s="5"/>
      <c r="H50" s="15"/>
    </row>
    <row r="51" spans="1:8" ht="15.75" customHeight="1">
      <c r="A51" s="76"/>
      <c r="B51" s="15"/>
      <c r="C51" s="16"/>
      <c r="E51" s="5"/>
      <c r="H51" s="15"/>
    </row>
    <row r="52" spans="1:8" ht="15.75" customHeight="1">
      <c r="A52" s="76"/>
      <c r="B52" s="15"/>
      <c r="C52" s="16"/>
      <c r="E52" s="5"/>
      <c r="H52" s="15"/>
    </row>
    <row r="53" spans="1:8" ht="15.75" customHeight="1">
      <c r="A53" s="76"/>
      <c r="B53" s="15"/>
      <c r="C53" s="16"/>
      <c r="E53" s="5"/>
      <c r="H53" s="15"/>
    </row>
    <row r="54" spans="1:8" ht="15.75" customHeight="1">
      <c r="A54" s="76"/>
      <c r="B54" s="15"/>
      <c r="C54" s="16"/>
      <c r="E54" s="5"/>
      <c r="H54" s="15"/>
    </row>
    <row r="55" spans="1:8" ht="15.75" customHeight="1">
      <c r="A55" s="76"/>
      <c r="B55" s="15"/>
      <c r="C55" s="16"/>
      <c r="E55" s="5"/>
      <c r="H55" s="15"/>
    </row>
    <row r="56" spans="1:8" ht="15.75" customHeight="1">
      <c r="A56" s="76"/>
      <c r="B56" s="15"/>
      <c r="C56" s="16"/>
      <c r="E56" s="5"/>
      <c r="H56" s="15"/>
    </row>
    <row r="57" spans="1:8" ht="12.5">
      <c r="A57" s="76"/>
      <c r="B57" s="15"/>
      <c r="C57" s="16"/>
      <c r="E57" s="5"/>
      <c r="H57" s="15"/>
    </row>
    <row r="58" spans="1:8" ht="12.5">
      <c r="A58" s="76"/>
      <c r="B58" s="15"/>
      <c r="C58" s="16"/>
      <c r="E58" s="5"/>
      <c r="H58" s="15"/>
    </row>
    <row r="59" spans="1:8" ht="12.5">
      <c r="A59" s="76"/>
      <c r="B59" s="15"/>
      <c r="C59" s="16"/>
      <c r="E59" s="5"/>
      <c r="H59" s="15"/>
    </row>
    <row r="60" spans="1:8" ht="12.5">
      <c r="A60" s="76"/>
      <c r="B60" s="15"/>
      <c r="C60" s="16"/>
      <c r="E60" s="5"/>
      <c r="H60" s="15"/>
    </row>
    <row r="61" spans="1:8" ht="12.5">
      <c r="A61" s="76"/>
      <c r="B61" s="15"/>
      <c r="C61" s="16"/>
      <c r="E61" s="5"/>
      <c r="H61" s="15"/>
    </row>
    <row r="62" spans="1:8" ht="12.5">
      <c r="A62" s="76"/>
      <c r="B62" s="15"/>
      <c r="C62" s="16"/>
      <c r="E62" s="5"/>
      <c r="H62" s="15"/>
    </row>
    <row r="63" spans="1:8" ht="12.5">
      <c r="A63" s="76"/>
      <c r="B63" s="15"/>
      <c r="C63" s="16"/>
      <c r="E63" s="5"/>
      <c r="H63" s="15"/>
    </row>
    <row r="64" spans="1:8" ht="12.5">
      <c r="A64" s="76"/>
      <c r="B64" s="15"/>
      <c r="C64" s="16"/>
      <c r="E64" s="5"/>
      <c r="H64" s="15"/>
    </row>
    <row r="65" spans="1:8" ht="12.5">
      <c r="A65" s="76"/>
      <c r="B65" s="15"/>
      <c r="C65" s="16"/>
      <c r="E65" s="5"/>
      <c r="H65" s="15"/>
    </row>
    <row r="66" spans="1:8" ht="12.5">
      <c r="A66" s="76"/>
      <c r="B66" s="15"/>
      <c r="C66" s="16"/>
      <c r="E66" s="5"/>
      <c r="H66" s="15"/>
    </row>
    <row r="67" spans="1:8" ht="12.5">
      <c r="A67" s="76"/>
      <c r="B67" s="15"/>
      <c r="C67" s="16"/>
      <c r="E67" s="5"/>
      <c r="H67" s="15"/>
    </row>
    <row r="68" spans="1:8" ht="12.5">
      <c r="A68" s="76"/>
      <c r="B68" s="15"/>
      <c r="C68" s="16"/>
      <c r="E68" s="5"/>
      <c r="H68" s="15"/>
    </row>
    <row r="69" spans="1:8" ht="12.5">
      <c r="A69" s="76"/>
      <c r="B69" s="15"/>
      <c r="C69" s="16"/>
      <c r="E69" s="5"/>
      <c r="H69" s="15"/>
    </row>
    <row r="70" spans="1:8" ht="12.5">
      <c r="A70" s="76"/>
      <c r="B70" s="15"/>
      <c r="C70" s="16"/>
      <c r="E70" s="5"/>
      <c r="H70" s="15"/>
    </row>
    <row r="71" spans="1:8" ht="12.5">
      <c r="A71" s="76"/>
      <c r="B71" s="5"/>
      <c r="C71" s="16"/>
      <c r="E71" s="5"/>
    </row>
    <row r="72" spans="1:8" ht="12.5">
      <c r="A72" s="76"/>
      <c r="B72" s="5"/>
      <c r="C72" s="16"/>
      <c r="E72" s="5"/>
    </row>
    <row r="73" spans="1:8" ht="12.5">
      <c r="A73" s="76"/>
      <c r="B73" s="5"/>
      <c r="C73" s="16"/>
      <c r="E73" s="5"/>
    </row>
    <row r="74" spans="1:8" ht="12.5">
      <c r="A74" s="76"/>
      <c r="B74" s="5"/>
      <c r="C74" s="16"/>
      <c r="E74" s="5"/>
    </row>
    <row r="75" spans="1:8" ht="12.5">
      <c r="A75" s="76"/>
      <c r="B75" s="5"/>
      <c r="C75" s="16"/>
      <c r="E75" s="5"/>
    </row>
    <row r="76" spans="1:8" ht="12.5">
      <c r="A76" s="76"/>
      <c r="B76" s="5"/>
      <c r="C76" s="16"/>
      <c r="E76" s="5"/>
    </row>
    <row r="77" spans="1:8" ht="12.5">
      <c r="A77" s="76"/>
      <c r="B77" s="5"/>
      <c r="C77" s="16"/>
      <c r="E77" s="5"/>
    </row>
    <row r="78" spans="1:8" ht="12.5">
      <c r="A78" s="76"/>
      <c r="B78" s="5"/>
      <c r="C78" s="16"/>
      <c r="E78" s="5"/>
    </row>
    <row r="79" spans="1:8" ht="12.5">
      <c r="A79" s="76"/>
      <c r="B79" s="5"/>
      <c r="C79" s="16"/>
      <c r="E79" s="5"/>
    </row>
    <row r="80" spans="1:8" ht="12.5">
      <c r="A80" s="76"/>
      <c r="B80" s="5"/>
      <c r="C80" s="16"/>
      <c r="E80" s="5"/>
    </row>
    <row r="81" spans="1:5" ht="12.5">
      <c r="A81" s="76"/>
      <c r="B81" s="5"/>
      <c r="C81" s="16"/>
      <c r="E81" s="5"/>
    </row>
    <row r="82" spans="1:5" ht="12.5">
      <c r="A82" s="76"/>
      <c r="B82" s="5"/>
      <c r="C82" s="16"/>
      <c r="E82" s="5"/>
    </row>
    <row r="83" spans="1:5" ht="12.5">
      <c r="A83" s="76"/>
      <c r="B83" s="5"/>
      <c r="C83" s="16"/>
      <c r="E83" s="5"/>
    </row>
    <row r="84" spans="1:5" ht="12.5">
      <c r="A84" s="76"/>
      <c r="B84" s="5"/>
      <c r="C84" s="16"/>
      <c r="E84" s="5"/>
    </row>
    <row r="85" spans="1:5" ht="12.5">
      <c r="A85" s="76"/>
      <c r="B85" s="5"/>
      <c r="C85" s="16"/>
      <c r="E85" s="5"/>
    </row>
    <row r="86" spans="1:5" ht="12.5">
      <c r="A86" s="76"/>
      <c r="B86" s="5"/>
      <c r="C86" s="16"/>
      <c r="E86" s="5"/>
    </row>
    <row r="87" spans="1:5" ht="12.5">
      <c r="A87" s="76"/>
      <c r="B87" s="5"/>
      <c r="C87" s="16"/>
      <c r="E87" s="5"/>
    </row>
    <row r="88" spans="1:5" ht="12.5">
      <c r="A88" s="76"/>
      <c r="B88" s="5"/>
      <c r="C88" s="16"/>
      <c r="E88" s="5"/>
    </row>
    <row r="89" spans="1:5" ht="12.5">
      <c r="A89" s="76"/>
      <c r="B89" s="5"/>
      <c r="C89" s="16"/>
      <c r="E89" s="5"/>
    </row>
    <row r="90" spans="1:5" ht="12.5">
      <c r="A90" s="76"/>
      <c r="B90" s="5"/>
      <c r="C90" s="16"/>
      <c r="E90" s="5"/>
    </row>
    <row r="91" spans="1:5" ht="12.5">
      <c r="A91" s="76"/>
      <c r="B91" s="5"/>
      <c r="C91" s="16"/>
      <c r="E91" s="5"/>
    </row>
    <row r="92" spans="1:5" ht="12.5">
      <c r="A92" s="76"/>
      <c r="B92" s="5"/>
      <c r="C92" s="16"/>
      <c r="E92" s="5"/>
    </row>
    <row r="93" spans="1:5" ht="12.5">
      <c r="A93" s="76"/>
      <c r="B93" s="5"/>
      <c r="C93" s="16"/>
      <c r="E93" s="5"/>
    </row>
    <row r="94" spans="1:5" ht="12.5">
      <c r="A94" s="76"/>
      <c r="B94" s="5"/>
      <c r="C94" s="16"/>
      <c r="E94" s="5"/>
    </row>
    <row r="95" spans="1:5" ht="12.5">
      <c r="A95" s="76"/>
      <c r="B95" s="5"/>
      <c r="C95" s="16"/>
      <c r="E95" s="5"/>
    </row>
    <row r="96" spans="1:5" ht="12.5">
      <c r="A96" s="76"/>
      <c r="B96" s="5"/>
      <c r="C96" s="16"/>
      <c r="E96" s="5"/>
    </row>
    <row r="97" spans="1:5" ht="12.5">
      <c r="A97" s="76"/>
      <c r="B97" s="5"/>
      <c r="C97" s="16"/>
      <c r="E97" s="5"/>
    </row>
    <row r="98" spans="1:5" ht="12.5">
      <c r="A98" s="76"/>
      <c r="B98" s="5"/>
      <c r="C98" s="16"/>
      <c r="E98" s="5"/>
    </row>
    <row r="99" spans="1:5" ht="12.5">
      <c r="A99" s="76"/>
      <c r="B99" s="5"/>
      <c r="C99" s="16"/>
      <c r="E99" s="5"/>
    </row>
    <row r="100" spans="1:5" ht="12.5">
      <c r="A100" s="76"/>
      <c r="B100" s="5"/>
      <c r="C100" s="16"/>
      <c r="E100" s="5"/>
    </row>
    <row r="101" spans="1:5" ht="12.5">
      <c r="A101" s="76"/>
      <c r="B101" s="5"/>
      <c r="C101" s="16"/>
      <c r="E101" s="5"/>
    </row>
    <row r="102" spans="1:5" ht="12.5">
      <c r="A102" s="76"/>
      <c r="B102" s="5"/>
      <c r="C102" s="16"/>
      <c r="E102" s="5"/>
    </row>
    <row r="103" spans="1:5" ht="12.5">
      <c r="A103" s="76"/>
      <c r="B103" s="5"/>
      <c r="C103" s="16"/>
      <c r="E103" s="5"/>
    </row>
    <row r="104" spans="1:5" ht="12.5">
      <c r="A104" s="76"/>
      <c r="B104" s="5"/>
      <c r="C104" s="16"/>
      <c r="E104" s="5"/>
    </row>
    <row r="105" spans="1:5" ht="12.5">
      <c r="A105" s="76"/>
      <c r="B105" s="5"/>
      <c r="C105" s="16"/>
      <c r="E105" s="5"/>
    </row>
    <row r="106" spans="1:5" ht="12.5">
      <c r="A106" s="76"/>
      <c r="B106" s="5"/>
      <c r="C106" s="16"/>
      <c r="E106" s="5"/>
    </row>
    <row r="107" spans="1:5" ht="12.5">
      <c r="A107" s="76"/>
      <c r="B107" s="5"/>
      <c r="C107" s="16"/>
      <c r="E107" s="5"/>
    </row>
    <row r="108" spans="1:5" ht="12.5">
      <c r="A108" s="76"/>
      <c r="B108" s="5"/>
      <c r="C108" s="16"/>
      <c r="E108" s="5"/>
    </row>
    <row r="109" spans="1:5" ht="12.5">
      <c r="A109" s="76"/>
      <c r="B109" s="5"/>
      <c r="C109" s="16"/>
      <c r="E109" s="5"/>
    </row>
    <row r="110" spans="1:5" ht="12.5">
      <c r="A110" s="76"/>
      <c r="B110" s="5"/>
      <c r="C110" s="16"/>
      <c r="E110" s="5"/>
    </row>
    <row r="111" spans="1:5" ht="12.5">
      <c r="A111" s="76"/>
      <c r="B111" s="5"/>
      <c r="C111" s="16"/>
      <c r="E111" s="5"/>
    </row>
    <row r="112" spans="1:5" ht="12.5">
      <c r="A112" s="76"/>
      <c r="B112" s="5"/>
      <c r="C112" s="16"/>
      <c r="E112" s="5"/>
    </row>
    <row r="113" spans="1:5" ht="12.5">
      <c r="A113" s="76"/>
      <c r="B113" s="5"/>
      <c r="C113" s="16"/>
      <c r="E113" s="5"/>
    </row>
    <row r="114" spans="1:5" ht="12.5">
      <c r="A114" s="76"/>
      <c r="B114" s="5"/>
      <c r="C114" s="16"/>
      <c r="E114" s="5"/>
    </row>
    <row r="115" spans="1:5" ht="12.5">
      <c r="A115" s="76"/>
      <c r="B115" s="5"/>
      <c r="C115" s="16"/>
      <c r="E115" s="5"/>
    </row>
    <row r="116" spans="1:5" ht="12.5">
      <c r="A116" s="76"/>
      <c r="B116" s="5"/>
      <c r="C116" s="16"/>
      <c r="E116" s="5"/>
    </row>
    <row r="117" spans="1:5" ht="12.5">
      <c r="A117" s="76"/>
      <c r="B117" s="5"/>
      <c r="C117" s="16"/>
      <c r="E117" s="5"/>
    </row>
    <row r="118" spans="1:5" ht="12.5">
      <c r="A118" s="76"/>
      <c r="B118" s="5"/>
      <c r="C118" s="16"/>
      <c r="E118" s="5"/>
    </row>
    <row r="119" spans="1:5" ht="12.5">
      <c r="A119" s="76"/>
      <c r="B119" s="5"/>
      <c r="C119" s="16"/>
      <c r="E119" s="5"/>
    </row>
    <row r="120" spans="1:5" ht="12.5">
      <c r="A120" s="76"/>
      <c r="B120" s="5"/>
      <c r="C120" s="16"/>
      <c r="E120" s="5"/>
    </row>
    <row r="121" spans="1:5" ht="12.5">
      <c r="A121" s="76"/>
      <c r="B121" s="5"/>
      <c r="C121" s="16"/>
      <c r="E121" s="5"/>
    </row>
    <row r="122" spans="1:5" ht="12.5">
      <c r="A122" s="76"/>
      <c r="B122" s="5"/>
      <c r="C122" s="16"/>
      <c r="E122" s="5"/>
    </row>
    <row r="123" spans="1:5" ht="12.5">
      <c r="A123" s="76"/>
      <c r="B123" s="5"/>
      <c r="C123" s="16"/>
      <c r="E123" s="5"/>
    </row>
    <row r="124" spans="1:5" ht="12.5">
      <c r="A124" s="76"/>
      <c r="B124" s="5"/>
      <c r="C124" s="16"/>
      <c r="E124" s="5"/>
    </row>
    <row r="125" spans="1:5" ht="12.5">
      <c r="A125" s="76"/>
      <c r="B125" s="5"/>
      <c r="C125" s="16"/>
      <c r="E125" s="5"/>
    </row>
    <row r="126" spans="1:5" ht="12.5">
      <c r="A126" s="76"/>
      <c r="B126" s="5"/>
      <c r="C126" s="16"/>
      <c r="E126" s="5"/>
    </row>
    <row r="127" spans="1:5" ht="12.5">
      <c r="A127" s="76"/>
      <c r="B127" s="5"/>
      <c r="C127" s="16"/>
      <c r="E127" s="5"/>
    </row>
    <row r="128" spans="1:5" ht="12.5">
      <c r="A128" s="76"/>
      <c r="B128" s="5"/>
      <c r="C128" s="16"/>
      <c r="E128" s="5"/>
    </row>
    <row r="129" spans="1:5" ht="12.5">
      <c r="A129" s="76"/>
      <c r="B129" s="5"/>
      <c r="C129" s="16"/>
      <c r="E129" s="5"/>
    </row>
    <row r="130" spans="1:5" ht="12.5">
      <c r="A130" s="76"/>
      <c r="B130" s="5"/>
      <c r="C130" s="16"/>
      <c r="E130" s="5"/>
    </row>
    <row r="131" spans="1:5" ht="12.5">
      <c r="A131" s="76"/>
      <c r="B131" s="5"/>
      <c r="C131" s="16"/>
      <c r="E131" s="5"/>
    </row>
    <row r="132" spans="1:5" ht="12.5">
      <c r="A132" s="76"/>
      <c r="B132" s="5"/>
      <c r="C132" s="16"/>
      <c r="E132" s="5"/>
    </row>
    <row r="133" spans="1:5" ht="12.5">
      <c r="A133" s="76"/>
      <c r="B133" s="5"/>
      <c r="C133" s="16"/>
      <c r="E133" s="5"/>
    </row>
    <row r="134" spans="1:5" ht="12.5">
      <c r="A134" s="76"/>
      <c r="B134" s="5"/>
      <c r="C134" s="16"/>
      <c r="E134" s="5"/>
    </row>
    <row r="135" spans="1:5" ht="12.5">
      <c r="A135" s="76"/>
      <c r="B135" s="5"/>
      <c r="C135" s="16"/>
      <c r="E135" s="5"/>
    </row>
    <row r="136" spans="1:5" ht="12.5">
      <c r="A136" s="76"/>
      <c r="B136" s="5"/>
      <c r="C136" s="16"/>
      <c r="E136" s="5"/>
    </row>
    <row r="137" spans="1:5" ht="12.5">
      <c r="A137" s="76"/>
      <c r="B137" s="5"/>
      <c r="C137" s="16"/>
      <c r="E137" s="5"/>
    </row>
    <row r="138" spans="1:5" ht="12.5">
      <c r="A138" s="76"/>
      <c r="B138" s="5"/>
      <c r="C138" s="16"/>
      <c r="E138" s="5"/>
    </row>
    <row r="139" spans="1:5" ht="12.5">
      <c r="A139" s="76"/>
      <c r="B139" s="5"/>
      <c r="C139" s="16"/>
      <c r="E139" s="5"/>
    </row>
    <row r="140" spans="1:5" ht="12.5">
      <c r="A140" s="76"/>
      <c r="B140" s="5"/>
      <c r="C140" s="16"/>
      <c r="E140" s="5"/>
    </row>
    <row r="141" spans="1:5" ht="12.5">
      <c r="A141" s="76"/>
      <c r="B141" s="5"/>
      <c r="C141" s="16"/>
      <c r="E141" s="5"/>
    </row>
    <row r="142" spans="1:5" ht="12.5">
      <c r="A142" s="76"/>
      <c r="B142" s="5"/>
      <c r="C142" s="16"/>
      <c r="E142" s="5"/>
    </row>
    <row r="143" spans="1:5" ht="12.5">
      <c r="A143" s="76"/>
      <c r="B143" s="5"/>
      <c r="C143" s="16"/>
      <c r="E143" s="5"/>
    </row>
    <row r="144" spans="1:5" ht="12.5">
      <c r="A144" s="76"/>
      <c r="B144" s="5"/>
      <c r="C144" s="16"/>
      <c r="E144" s="5"/>
    </row>
    <row r="145" spans="1:5" ht="12.5">
      <c r="A145" s="76"/>
      <c r="B145" s="5"/>
      <c r="C145" s="16"/>
      <c r="E145" s="5"/>
    </row>
    <row r="146" spans="1:5" ht="12.5">
      <c r="A146" s="76"/>
      <c r="B146" s="5"/>
      <c r="C146" s="16"/>
      <c r="E146" s="5"/>
    </row>
    <row r="147" spans="1:5" ht="12.5">
      <c r="A147" s="76"/>
      <c r="B147" s="5"/>
      <c r="C147" s="16"/>
      <c r="E147" s="5"/>
    </row>
    <row r="148" spans="1:5" ht="12.5">
      <c r="A148" s="76"/>
      <c r="B148" s="5"/>
      <c r="C148" s="16"/>
      <c r="E148" s="5"/>
    </row>
    <row r="149" spans="1:5" ht="12.5">
      <c r="A149" s="76"/>
      <c r="B149" s="5"/>
      <c r="C149" s="16"/>
      <c r="E149" s="5"/>
    </row>
    <row r="150" spans="1:5" ht="12.5">
      <c r="A150" s="76"/>
      <c r="B150" s="5"/>
      <c r="C150" s="16"/>
      <c r="E150" s="5"/>
    </row>
    <row r="151" spans="1:5" ht="12.5">
      <c r="A151" s="76"/>
      <c r="B151" s="5"/>
      <c r="C151" s="16"/>
      <c r="E151" s="5"/>
    </row>
    <row r="152" spans="1:5" ht="12.5">
      <c r="A152" s="76"/>
      <c r="B152" s="5"/>
      <c r="C152" s="16"/>
      <c r="E152" s="5"/>
    </row>
    <row r="153" spans="1:5" ht="12.5">
      <c r="A153" s="76"/>
      <c r="B153" s="5"/>
      <c r="C153" s="16"/>
      <c r="E153" s="5"/>
    </row>
    <row r="154" spans="1:5" ht="12.5">
      <c r="A154" s="76"/>
      <c r="B154" s="5"/>
      <c r="C154" s="16"/>
      <c r="E154" s="5"/>
    </row>
    <row r="155" spans="1:5" ht="12.5">
      <c r="A155" s="76"/>
      <c r="B155" s="5"/>
      <c r="C155" s="16"/>
      <c r="E155" s="5"/>
    </row>
    <row r="156" spans="1:5" ht="12.5">
      <c r="A156" s="76"/>
      <c r="B156" s="5"/>
      <c r="C156" s="16"/>
      <c r="E156" s="5"/>
    </row>
    <row r="157" spans="1:5" ht="12.5">
      <c r="A157" s="76"/>
      <c r="B157" s="5"/>
      <c r="C157" s="16"/>
      <c r="E157" s="5"/>
    </row>
    <row r="158" spans="1:5" ht="12.5">
      <c r="A158" s="76"/>
      <c r="B158" s="5"/>
      <c r="C158" s="16"/>
      <c r="E158" s="5"/>
    </row>
    <row r="159" spans="1:5" ht="12.5">
      <c r="A159" s="76"/>
      <c r="B159" s="5"/>
      <c r="C159" s="16"/>
      <c r="E159" s="5"/>
    </row>
    <row r="160" spans="1:5" ht="12.5">
      <c r="A160" s="76"/>
      <c r="B160" s="5"/>
      <c r="C160" s="16"/>
      <c r="E160" s="5"/>
    </row>
    <row r="161" spans="1:5" ht="12.5">
      <c r="A161" s="76"/>
      <c r="B161" s="5"/>
      <c r="C161" s="16"/>
      <c r="E161" s="5"/>
    </row>
    <row r="162" spans="1:5" ht="12.5">
      <c r="A162" s="76"/>
      <c r="B162" s="5"/>
      <c r="C162" s="16"/>
      <c r="E162" s="5"/>
    </row>
    <row r="163" spans="1:5" ht="12.5">
      <c r="A163" s="76"/>
      <c r="B163" s="5"/>
      <c r="C163" s="16"/>
      <c r="E163" s="5"/>
    </row>
    <row r="164" spans="1:5" ht="12.5">
      <c r="A164" s="76"/>
      <c r="B164" s="5"/>
      <c r="C164" s="16"/>
      <c r="E164" s="5"/>
    </row>
    <row r="165" spans="1:5" ht="12.5">
      <c r="A165" s="76"/>
      <c r="B165" s="5"/>
      <c r="C165" s="16"/>
      <c r="E165" s="5"/>
    </row>
    <row r="166" spans="1:5" ht="12.5">
      <c r="A166" s="76"/>
      <c r="B166" s="5"/>
      <c r="C166" s="16"/>
      <c r="E166" s="5"/>
    </row>
    <row r="167" spans="1:5" ht="12.5">
      <c r="A167" s="76"/>
      <c r="B167" s="5"/>
      <c r="C167" s="16"/>
      <c r="E167" s="5"/>
    </row>
    <row r="168" spans="1:5" ht="12.5">
      <c r="A168" s="76"/>
      <c r="B168" s="5"/>
      <c r="C168" s="16"/>
      <c r="E168" s="5"/>
    </row>
    <row r="169" spans="1:5" ht="12.5">
      <c r="A169" s="76"/>
      <c r="B169" s="5"/>
      <c r="C169" s="16"/>
      <c r="E169" s="5"/>
    </row>
    <row r="170" spans="1:5" ht="12.5">
      <c r="A170" s="76"/>
      <c r="B170" s="5"/>
      <c r="C170" s="16"/>
      <c r="E170" s="5"/>
    </row>
    <row r="171" spans="1:5" ht="12.5">
      <c r="A171" s="76"/>
      <c r="B171" s="5"/>
      <c r="C171" s="16"/>
      <c r="E171" s="5"/>
    </row>
    <row r="172" spans="1:5" ht="12.5">
      <c r="A172" s="76"/>
      <c r="B172" s="5"/>
      <c r="C172" s="16"/>
      <c r="E172" s="5"/>
    </row>
    <row r="173" spans="1:5" ht="12.5">
      <c r="A173" s="76"/>
      <c r="B173" s="5"/>
      <c r="C173" s="16"/>
      <c r="E173" s="5"/>
    </row>
    <row r="174" spans="1:5" ht="12.5">
      <c r="A174" s="76"/>
      <c r="B174" s="5"/>
      <c r="C174" s="16"/>
      <c r="E174" s="5"/>
    </row>
    <row r="175" spans="1:5" ht="12.5">
      <c r="A175" s="76"/>
      <c r="B175" s="5"/>
      <c r="C175" s="16"/>
      <c r="E175" s="5"/>
    </row>
    <row r="176" spans="1:5" ht="12.5">
      <c r="A176" s="76"/>
      <c r="B176" s="5"/>
      <c r="C176" s="16"/>
      <c r="E176" s="5"/>
    </row>
    <row r="177" spans="1:5" ht="12.5">
      <c r="A177" s="76"/>
      <c r="B177" s="5"/>
      <c r="C177" s="16"/>
      <c r="E177" s="5"/>
    </row>
    <row r="178" spans="1:5" ht="12.5">
      <c r="A178" s="76"/>
      <c r="B178" s="5"/>
      <c r="C178" s="16"/>
      <c r="E178" s="5"/>
    </row>
    <row r="179" spans="1:5" ht="12.5">
      <c r="A179" s="76"/>
      <c r="B179" s="5"/>
      <c r="C179" s="16"/>
      <c r="E179" s="5"/>
    </row>
    <row r="180" spans="1:5" ht="12.5">
      <c r="A180" s="76"/>
      <c r="B180" s="5"/>
      <c r="C180" s="16"/>
      <c r="E180" s="5"/>
    </row>
    <row r="181" spans="1:5" ht="12.5">
      <c r="A181" s="76"/>
      <c r="B181" s="5"/>
      <c r="C181" s="16"/>
      <c r="E181" s="5"/>
    </row>
    <row r="182" spans="1:5" ht="12.5">
      <c r="A182" s="76"/>
      <c r="B182" s="5"/>
      <c r="C182" s="16"/>
      <c r="E182" s="5"/>
    </row>
    <row r="183" spans="1:5" ht="12.5">
      <c r="A183" s="76"/>
      <c r="B183" s="5"/>
      <c r="C183" s="16"/>
      <c r="E183" s="5"/>
    </row>
    <row r="184" spans="1:5" ht="12.5">
      <c r="A184" s="76"/>
      <c r="B184" s="5"/>
      <c r="C184" s="16"/>
      <c r="E184" s="5"/>
    </row>
    <row r="185" spans="1:5" ht="12.5">
      <c r="A185" s="76"/>
      <c r="B185" s="5"/>
      <c r="C185" s="16"/>
      <c r="E185" s="5"/>
    </row>
    <row r="186" spans="1:5" ht="12.5">
      <c r="A186" s="76"/>
      <c r="B186" s="5"/>
      <c r="C186" s="16"/>
      <c r="E186" s="5"/>
    </row>
    <row r="187" spans="1:5" ht="12.5">
      <c r="A187" s="76"/>
      <c r="B187" s="5"/>
      <c r="C187" s="16"/>
      <c r="E187" s="5"/>
    </row>
    <row r="188" spans="1:5" ht="12.5">
      <c r="A188" s="76"/>
      <c r="B188" s="5"/>
      <c r="C188" s="16"/>
      <c r="E188" s="5"/>
    </row>
    <row r="189" spans="1:5" ht="12.5">
      <c r="A189" s="76"/>
      <c r="B189" s="5"/>
      <c r="C189" s="16"/>
      <c r="E189" s="5"/>
    </row>
    <row r="190" spans="1:5" ht="12.5">
      <c r="A190" s="76"/>
      <c r="B190" s="5"/>
      <c r="C190" s="16"/>
      <c r="E190" s="5"/>
    </row>
    <row r="191" spans="1:5" ht="12.5">
      <c r="A191" s="76"/>
      <c r="B191" s="5"/>
      <c r="C191" s="16"/>
      <c r="E191" s="5"/>
    </row>
    <row r="192" spans="1:5" ht="12.5">
      <c r="A192" s="76"/>
      <c r="B192" s="5"/>
      <c r="C192" s="16"/>
      <c r="E192" s="5"/>
    </row>
    <row r="193" spans="1:5" ht="12.5">
      <c r="A193" s="76"/>
      <c r="B193" s="5"/>
      <c r="C193" s="16"/>
      <c r="E193" s="5"/>
    </row>
    <row r="194" spans="1:5" ht="12.5">
      <c r="A194" s="76"/>
      <c r="B194" s="5"/>
      <c r="C194" s="16"/>
      <c r="E194" s="5"/>
    </row>
    <row r="195" spans="1:5" ht="12.5">
      <c r="A195" s="76"/>
      <c r="B195" s="5"/>
      <c r="C195" s="16"/>
      <c r="E195" s="5"/>
    </row>
    <row r="196" spans="1:5" ht="12.5">
      <c r="A196" s="76"/>
      <c r="B196" s="5"/>
      <c r="C196" s="16"/>
      <c r="E196" s="5"/>
    </row>
    <row r="197" spans="1:5" ht="12.5">
      <c r="A197" s="76"/>
      <c r="B197" s="5"/>
      <c r="C197" s="16"/>
      <c r="E197" s="5"/>
    </row>
    <row r="198" spans="1:5" ht="12.5">
      <c r="A198" s="76"/>
      <c r="B198" s="5"/>
      <c r="C198" s="16"/>
      <c r="E198" s="5"/>
    </row>
    <row r="199" spans="1:5" ht="12.5">
      <c r="A199" s="76"/>
      <c r="B199" s="5"/>
      <c r="C199" s="16"/>
      <c r="E199" s="5"/>
    </row>
    <row r="200" spans="1:5" ht="12.5">
      <c r="A200" s="76"/>
      <c r="B200" s="5"/>
      <c r="C200" s="16"/>
      <c r="E200" s="5"/>
    </row>
    <row r="201" spans="1:5" ht="12.5">
      <c r="A201" s="76"/>
      <c r="B201" s="5"/>
      <c r="C201" s="16"/>
      <c r="E201" s="5"/>
    </row>
    <row r="202" spans="1:5" ht="12.5">
      <c r="A202" s="76"/>
      <c r="B202" s="5"/>
      <c r="C202" s="16"/>
      <c r="E202" s="5"/>
    </row>
    <row r="203" spans="1:5" ht="12.5">
      <c r="A203" s="76"/>
      <c r="B203" s="5"/>
      <c r="C203" s="16"/>
      <c r="E203" s="5"/>
    </row>
    <row r="204" spans="1:5" ht="12.5">
      <c r="A204" s="76"/>
      <c r="B204" s="5"/>
      <c r="C204" s="16"/>
      <c r="E204" s="5"/>
    </row>
    <row r="205" spans="1:5" ht="12.5">
      <c r="A205" s="76"/>
      <c r="B205" s="5"/>
      <c r="C205" s="16"/>
      <c r="E205" s="5"/>
    </row>
    <row r="206" spans="1:5" ht="12.5">
      <c r="A206" s="76"/>
      <c r="B206" s="5"/>
      <c r="C206" s="16"/>
      <c r="E206" s="5"/>
    </row>
    <row r="207" spans="1:5" ht="12.5">
      <c r="A207" s="76"/>
      <c r="B207" s="5"/>
      <c r="C207" s="16"/>
      <c r="E207" s="5"/>
    </row>
    <row r="208" spans="1:5" ht="12.5">
      <c r="A208" s="76"/>
      <c r="B208" s="5"/>
      <c r="C208" s="16"/>
      <c r="E208" s="5"/>
    </row>
    <row r="209" spans="1:5" ht="12.5">
      <c r="A209" s="76"/>
      <c r="B209" s="5"/>
      <c r="C209" s="16"/>
      <c r="E209" s="5"/>
    </row>
    <row r="210" spans="1:5" ht="12.5">
      <c r="A210" s="76"/>
      <c r="B210" s="5"/>
      <c r="C210" s="16"/>
      <c r="E210" s="5"/>
    </row>
    <row r="211" spans="1:5" ht="12.5">
      <c r="A211" s="76"/>
      <c r="B211" s="5"/>
      <c r="C211" s="16"/>
      <c r="E211" s="5"/>
    </row>
    <row r="212" spans="1:5" ht="12.5">
      <c r="A212" s="76"/>
      <c r="B212" s="5"/>
      <c r="C212" s="16"/>
      <c r="E212" s="5"/>
    </row>
    <row r="213" spans="1:5" ht="12.5">
      <c r="A213" s="76"/>
      <c r="B213" s="5"/>
      <c r="C213" s="16"/>
      <c r="E213" s="5"/>
    </row>
    <row r="214" spans="1:5" ht="12.5">
      <c r="A214" s="76"/>
      <c r="B214" s="5"/>
      <c r="C214" s="16"/>
      <c r="E214" s="5"/>
    </row>
    <row r="215" spans="1:5" ht="12.5">
      <c r="A215" s="76"/>
      <c r="B215" s="5"/>
      <c r="C215" s="16"/>
      <c r="E215" s="5"/>
    </row>
    <row r="216" spans="1:5" ht="12.5">
      <c r="A216" s="76"/>
      <c r="B216" s="5"/>
      <c r="C216" s="16"/>
      <c r="E216" s="5"/>
    </row>
    <row r="217" spans="1:5" ht="12.5">
      <c r="A217" s="76"/>
      <c r="B217" s="5"/>
      <c r="C217" s="16"/>
      <c r="E217" s="5"/>
    </row>
    <row r="218" spans="1:5" ht="12.5">
      <c r="A218" s="76"/>
      <c r="B218" s="5"/>
      <c r="C218" s="16"/>
      <c r="E218" s="5"/>
    </row>
    <row r="219" spans="1:5" ht="12.5">
      <c r="A219" s="76"/>
      <c r="B219" s="5"/>
      <c r="C219" s="16"/>
      <c r="E219" s="5"/>
    </row>
    <row r="220" spans="1:5" ht="12.5">
      <c r="A220" s="76"/>
      <c r="B220" s="5"/>
      <c r="C220" s="16"/>
      <c r="E220" s="5"/>
    </row>
    <row r="221" spans="1:5" ht="12.5">
      <c r="A221" s="76"/>
      <c r="B221" s="5"/>
      <c r="C221" s="16"/>
      <c r="E221" s="5"/>
    </row>
    <row r="222" spans="1:5" ht="12.5">
      <c r="A222" s="76"/>
      <c r="B222" s="5"/>
      <c r="C222" s="16"/>
      <c r="E222" s="5"/>
    </row>
    <row r="223" spans="1:5" ht="12.5">
      <c r="A223" s="76"/>
      <c r="B223" s="5"/>
      <c r="C223" s="16"/>
      <c r="E223" s="5"/>
    </row>
    <row r="224" spans="1:5" ht="12.5">
      <c r="A224" s="76"/>
      <c r="B224" s="5"/>
      <c r="C224" s="16"/>
      <c r="E224" s="5"/>
    </row>
    <row r="225" spans="1:5" ht="12.5">
      <c r="A225" s="76"/>
      <c r="B225" s="5"/>
      <c r="C225" s="16"/>
      <c r="E225" s="5"/>
    </row>
    <row r="226" spans="1:5" ht="12.5">
      <c r="A226" s="76"/>
      <c r="B226" s="5"/>
      <c r="C226" s="16"/>
      <c r="E226" s="5"/>
    </row>
    <row r="227" spans="1:5" ht="12.5">
      <c r="A227" s="76"/>
      <c r="B227" s="5"/>
      <c r="C227" s="16"/>
      <c r="E227" s="5"/>
    </row>
    <row r="228" spans="1:5" ht="12.5">
      <c r="A228" s="76"/>
      <c r="B228" s="5"/>
      <c r="C228" s="16"/>
      <c r="E228" s="5"/>
    </row>
    <row r="229" spans="1:5" ht="12.5">
      <c r="A229" s="76"/>
      <c r="B229" s="5"/>
      <c r="C229" s="16"/>
      <c r="E229" s="5"/>
    </row>
    <row r="230" spans="1:5" ht="12.5">
      <c r="A230" s="76"/>
      <c r="B230" s="5"/>
      <c r="C230" s="16"/>
      <c r="E230" s="5"/>
    </row>
    <row r="231" spans="1:5" ht="12.5">
      <c r="A231" s="76"/>
      <c r="B231" s="5"/>
      <c r="C231" s="16"/>
      <c r="E231" s="5"/>
    </row>
    <row r="232" spans="1:5" ht="12.5">
      <c r="A232" s="76"/>
      <c r="B232" s="5"/>
      <c r="C232" s="16"/>
      <c r="E232" s="5"/>
    </row>
    <row r="233" spans="1:5" ht="12.5">
      <c r="A233" s="76"/>
      <c r="B233" s="5"/>
      <c r="C233" s="16"/>
      <c r="E233" s="5"/>
    </row>
    <row r="234" spans="1:5" ht="12.5">
      <c r="A234" s="76"/>
      <c r="B234" s="5"/>
      <c r="C234" s="16"/>
      <c r="E234" s="5"/>
    </row>
    <row r="235" spans="1:5" ht="12.5">
      <c r="A235" s="76"/>
      <c r="B235" s="5"/>
      <c r="C235" s="16"/>
      <c r="E235" s="5"/>
    </row>
    <row r="236" spans="1:5" ht="12.5">
      <c r="A236" s="76"/>
      <c r="B236" s="5"/>
      <c r="C236" s="16"/>
      <c r="E236" s="5"/>
    </row>
    <row r="237" spans="1:5" ht="12.5">
      <c r="A237" s="76"/>
      <c r="B237" s="5"/>
      <c r="C237" s="16"/>
      <c r="E237" s="5"/>
    </row>
    <row r="238" spans="1:5" ht="12.5">
      <c r="A238" s="76"/>
      <c r="B238" s="5"/>
      <c r="C238" s="16"/>
      <c r="E238" s="5"/>
    </row>
    <row r="239" spans="1:5" ht="12.5">
      <c r="A239" s="76"/>
      <c r="B239" s="5"/>
      <c r="C239" s="16"/>
      <c r="E239" s="5"/>
    </row>
    <row r="240" spans="1:5" ht="12.5">
      <c r="A240" s="76"/>
      <c r="B240" s="5"/>
      <c r="C240" s="16"/>
      <c r="E240" s="5"/>
    </row>
    <row r="241" spans="1:5" ht="12.5">
      <c r="A241" s="76"/>
      <c r="B241" s="5"/>
      <c r="C241" s="16"/>
      <c r="E241" s="5"/>
    </row>
    <row r="242" spans="1:5" ht="12.5">
      <c r="A242" s="76"/>
      <c r="B242" s="5"/>
      <c r="C242" s="16"/>
      <c r="E242" s="5"/>
    </row>
    <row r="243" spans="1:5" ht="12.5">
      <c r="A243" s="76"/>
      <c r="B243" s="5"/>
      <c r="C243" s="16"/>
      <c r="E243" s="5"/>
    </row>
    <row r="244" spans="1:5" ht="12.5">
      <c r="A244" s="76"/>
      <c r="B244" s="5"/>
      <c r="C244" s="16"/>
      <c r="E244" s="5"/>
    </row>
    <row r="245" spans="1:5" ht="12.5">
      <c r="A245" s="76"/>
      <c r="B245" s="5"/>
      <c r="C245" s="16"/>
      <c r="E245" s="5"/>
    </row>
    <row r="246" spans="1:5" ht="12.5">
      <c r="A246" s="76"/>
      <c r="B246" s="5"/>
      <c r="C246" s="16"/>
      <c r="E246" s="5"/>
    </row>
    <row r="247" spans="1:5" ht="12.5">
      <c r="A247" s="76"/>
      <c r="B247" s="5"/>
      <c r="C247" s="16"/>
      <c r="E247" s="5"/>
    </row>
    <row r="248" spans="1:5" ht="12.5">
      <c r="A248" s="76"/>
      <c r="B248" s="5"/>
      <c r="C248" s="16"/>
      <c r="E248" s="5"/>
    </row>
    <row r="249" spans="1:5" ht="12.5">
      <c r="A249" s="76"/>
      <c r="B249" s="5"/>
      <c r="C249" s="16"/>
      <c r="E249" s="5"/>
    </row>
    <row r="250" spans="1:5" ht="12.5">
      <c r="A250" s="76"/>
      <c r="B250" s="5"/>
      <c r="C250" s="16"/>
      <c r="E250" s="5"/>
    </row>
    <row r="251" spans="1:5" ht="12.5">
      <c r="A251" s="76"/>
      <c r="B251" s="5"/>
      <c r="C251" s="16"/>
      <c r="E251" s="5"/>
    </row>
    <row r="252" spans="1:5" ht="12.5">
      <c r="A252" s="76"/>
      <c r="B252" s="5"/>
      <c r="C252" s="16"/>
      <c r="E252" s="5"/>
    </row>
    <row r="253" spans="1:5" ht="12.5">
      <c r="A253" s="76"/>
      <c r="B253" s="5"/>
      <c r="C253" s="16"/>
      <c r="E253" s="5"/>
    </row>
    <row r="254" spans="1:5" ht="12.5">
      <c r="A254" s="76"/>
      <c r="B254" s="5"/>
      <c r="C254" s="16"/>
      <c r="E254" s="5"/>
    </row>
    <row r="255" spans="1:5" ht="12.5">
      <c r="A255" s="76"/>
      <c r="B255" s="5"/>
      <c r="C255" s="16"/>
      <c r="E255" s="5"/>
    </row>
    <row r="256" spans="1:5" ht="12.5">
      <c r="A256" s="76"/>
      <c r="B256" s="5"/>
      <c r="C256" s="16"/>
      <c r="E256" s="5"/>
    </row>
    <row r="257" spans="1:5" ht="12.5">
      <c r="A257" s="76"/>
      <c r="B257" s="5"/>
      <c r="C257" s="16"/>
      <c r="E257" s="5"/>
    </row>
    <row r="258" spans="1:5" ht="12.5">
      <c r="A258" s="76"/>
      <c r="B258" s="5"/>
      <c r="C258" s="16"/>
      <c r="E258" s="5"/>
    </row>
    <row r="259" spans="1:5" ht="12.5">
      <c r="A259" s="76"/>
      <c r="B259" s="5"/>
      <c r="C259" s="16"/>
      <c r="E259" s="5"/>
    </row>
    <row r="260" spans="1:5" ht="12.5">
      <c r="A260" s="76"/>
      <c r="B260" s="5"/>
      <c r="C260" s="16"/>
      <c r="E260" s="5"/>
    </row>
    <row r="261" spans="1:5" ht="12.5">
      <c r="A261" s="76"/>
      <c r="B261" s="5"/>
      <c r="C261" s="16"/>
      <c r="E261" s="5"/>
    </row>
    <row r="262" spans="1:5" ht="12.5">
      <c r="A262" s="76"/>
      <c r="B262" s="5"/>
      <c r="C262" s="16"/>
      <c r="E262" s="5"/>
    </row>
    <row r="263" spans="1:5" ht="12.5">
      <c r="A263" s="76"/>
      <c r="B263" s="5"/>
      <c r="C263" s="16"/>
      <c r="E263" s="5"/>
    </row>
    <row r="264" spans="1:5" ht="12.5">
      <c r="A264" s="76"/>
      <c r="B264" s="5"/>
      <c r="C264" s="16"/>
      <c r="E264" s="5"/>
    </row>
    <row r="265" spans="1:5" ht="12.5">
      <c r="A265" s="76"/>
      <c r="B265" s="5"/>
      <c r="C265" s="16"/>
      <c r="E265" s="5"/>
    </row>
    <row r="266" spans="1:5" ht="12.5">
      <c r="A266" s="76"/>
      <c r="B266" s="5"/>
      <c r="C266" s="16"/>
      <c r="E266" s="5"/>
    </row>
    <row r="267" spans="1:5" ht="12.5">
      <c r="A267" s="76"/>
      <c r="B267" s="5"/>
      <c r="C267" s="16"/>
      <c r="E267" s="5"/>
    </row>
    <row r="268" spans="1:5" ht="12.5">
      <c r="A268" s="76"/>
      <c r="B268" s="5"/>
      <c r="C268" s="16"/>
      <c r="E268" s="5"/>
    </row>
    <row r="269" spans="1:5" ht="12.5">
      <c r="A269" s="76"/>
      <c r="B269" s="5"/>
      <c r="C269" s="16"/>
      <c r="E269" s="5"/>
    </row>
    <row r="270" spans="1:5" ht="12.5">
      <c r="A270" s="76"/>
      <c r="B270" s="5"/>
      <c r="C270" s="16"/>
      <c r="E270" s="5"/>
    </row>
    <row r="271" spans="1:5" ht="12.5">
      <c r="A271" s="76"/>
      <c r="B271" s="5"/>
      <c r="C271" s="16"/>
      <c r="E271" s="5"/>
    </row>
    <row r="272" spans="1:5" ht="12.5">
      <c r="A272" s="76"/>
      <c r="B272" s="5"/>
      <c r="C272" s="16"/>
      <c r="E272" s="5"/>
    </row>
    <row r="273" spans="1:5" ht="12.5">
      <c r="A273" s="76"/>
      <c r="B273" s="5"/>
      <c r="C273" s="16"/>
      <c r="E273" s="5"/>
    </row>
    <row r="274" spans="1:5" ht="12.5">
      <c r="A274" s="76"/>
      <c r="B274" s="5"/>
      <c r="C274" s="16"/>
      <c r="E274" s="5"/>
    </row>
    <row r="275" spans="1:5" ht="12.5">
      <c r="A275" s="76"/>
      <c r="B275" s="5"/>
      <c r="C275" s="16"/>
      <c r="E275" s="5"/>
    </row>
    <row r="276" spans="1:5" ht="12.5">
      <c r="A276" s="76"/>
      <c r="B276" s="5"/>
      <c r="C276" s="16"/>
      <c r="E276" s="5"/>
    </row>
    <row r="277" spans="1:5" ht="12.5">
      <c r="A277" s="76"/>
      <c r="B277" s="5"/>
      <c r="C277" s="16"/>
      <c r="E277" s="5"/>
    </row>
    <row r="278" spans="1:5" ht="12.5">
      <c r="A278" s="76"/>
      <c r="B278" s="5"/>
      <c r="C278" s="16"/>
      <c r="E278" s="5"/>
    </row>
    <row r="279" spans="1:5" ht="12.5">
      <c r="A279" s="76"/>
      <c r="B279" s="5"/>
      <c r="C279" s="16"/>
      <c r="E279" s="5"/>
    </row>
    <row r="280" spans="1:5" ht="12.5">
      <c r="A280" s="76"/>
      <c r="B280" s="5"/>
      <c r="C280" s="16"/>
      <c r="E280" s="5"/>
    </row>
    <row r="281" spans="1:5" ht="12.5">
      <c r="A281" s="76"/>
      <c r="B281" s="5"/>
      <c r="C281" s="16"/>
      <c r="E281" s="5"/>
    </row>
    <row r="282" spans="1:5" ht="12.5">
      <c r="A282" s="76"/>
      <c r="B282" s="5"/>
      <c r="C282" s="16"/>
      <c r="E282" s="5"/>
    </row>
    <row r="283" spans="1:5" ht="12.5">
      <c r="A283" s="76"/>
      <c r="B283" s="5"/>
      <c r="C283" s="16"/>
      <c r="E283" s="5"/>
    </row>
    <row r="284" spans="1:5" ht="12.5">
      <c r="A284" s="76"/>
      <c r="B284" s="5"/>
      <c r="C284" s="16"/>
      <c r="E284" s="5"/>
    </row>
    <row r="285" spans="1:5" ht="12.5">
      <c r="A285" s="76"/>
      <c r="B285" s="5"/>
      <c r="C285" s="16"/>
      <c r="E285" s="5"/>
    </row>
    <row r="286" spans="1:5" ht="12.5">
      <c r="A286" s="76"/>
      <c r="B286" s="5"/>
      <c r="C286" s="16"/>
      <c r="E286" s="5"/>
    </row>
    <row r="287" spans="1:5" ht="12.5">
      <c r="A287" s="76"/>
      <c r="B287" s="5"/>
      <c r="C287" s="16"/>
      <c r="E287" s="5"/>
    </row>
    <row r="288" spans="1:5" ht="12.5">
      <c r="A288" s="76"/>
      <c r="B288" s="5"/>
      <c r="C288" s="16"/>
      <c r="E288" s="5"/>
    </row>
    <row r="289" spans="1:5" ht="12.5">
      <c r="A289" s="76"/>
      <c r="B289" s="5"/>
      <c r="C289" s="16"/>
      <c r="E289" s="5"/>
    </row>
    <row r="290" spans="1:5" ht="12.5">
      <c r="A290" s="76"/>
      <c r="B290" s="5"/>
      <c r="C290" s="16"/>
      <c r="E290" s="5"/>
    </row>
    <row r="291" spans="1:5" ht="12.5">
      <c r="A291" s="76"/>
      <c r="B291" s="5"/>
      <c r="C291" s="16"/>
      <c r="E291" s="5"/>
    </row>
    <row r="292" spans="1:5" ht="12.5">
      <c r="A292" s="76"/>
      <c r="B292" s="5"/>
      <c r="C292" s="16"/>
      <c r="E292" s="5"/>
    </row>
    <row r="293" spans="1:5" ht="12.5">
      <c r="A293" s="76"/>
      <c r="B293" s="5"/>
      <c r="C293" s="16"/>
      <c r="E293" s="5"/>
    </row>
    <row r="294" spans="1:5" ht="12.5">
      <c r="A294" s="76"/>
      <c r="B294" s="5"/>
      <c r="C294" s="16"/>
      <c r="E294" s="5"/>
    </row>
    <row r="295" spans="1:5" ht="12.5">
      <c r="A295" s="76"/>
      <c r="B295" s="5"/>
      <c r="C295" s="16"/>
      <c r="E295" s="5"/>
    </row>
    <row r="296" spans="1:5" ht="12.5">
      <c r="A296" s="76"/>
      <c r="B296" s="5"/>
      <c r="C296" s="16"/>
      <c r="E296" s="5"/>
    </row>
    <row r="297" spans="1:5" ht="12.5">
      <c r="A297" s="76"/>
      <c r="B297" s="5"/>
      <c r="C297" s="16"/>
      <c r="E297" s="5"/>
    </row>
    <row r="298" spans="1:5" ht="12.5">
      <c r="A298" s="76"/>
      <c r="B298" s="5"/>
      <c r="C298" s="16"/>
      <c r="E298" s="5"/>
    </row>
    <row r="299" spans="1:5" ht="12.5">
      <c r="A299" s="76"/>
      <c r="B299" s="5"/>
      <c r="C299" s="16"/>
      <c r="E299" s="5"/>
    </row>
    <row r="300" spans="1:5" ht="12.5">
      <c r="A300" s="76"/>
      <c r="B300" s="5"/>
      <c r="C300" s="16"/>
      <c r="E300" s="5"/>
    </row>
    <row r="301" spans="1:5" ht="12.5">
      <c r="A301" s="76"/>
      <c r="B301" s="5"/>
      <c r="C301" s="16"/>
      <c r="E301" s="5"/>
    </row>
    <row r="302" spans="1:5" ht="12.5">
      <c r="A302" s="76"/>
      <c r="B302" s="5"/>
      <c r="C302" s="16"/>
      <c r="E302" s="5"/>
    </row>
    <row r="303" spans="1:5" ht="12.5">
      <c r="A303" s="76"/>
      <c r="B303" s="5"/>
      <c r="C303" s="16"/>
      <c r="E303" s="5"/>
    </row>
    <row r="304" spans="1:5" ht="12.5">
      <c r="A304" s="76"/>
      <c r="B304" s="5"/>
      <c r="C304" s="16"/>
      <c r="E304" s="5"/>
    </row>
    <row r="305" spans="1:5" ht="12.5">
      <c r="A305" s="76"/>
      <c r="B305" s="5"/>
      <c r="C305" s="16"/>
      <c r="E305" s="5"/>
    </row>
    <row r="306" spans="1:5" ht="12.5">
      <c r="A306" s="76"/>
      <c r="B306" s="5"/>
      <c r="C306" s="16"/>
      <c r="E306" s="5"/>
    </row>
    <row r="307" spans="1:5" ht="12.5">
      <c r="A307" s="76"/>
      <c r="B307" s="5"/>
      <c r="C307" s="16"/>
      <c r="E307" s="5"/>
    </row>
    <row r="308" spans="1:5" ht="12.5">
      <c r="A308" s="76"/>
      <c r="B308" s="5"/>
      <c r="C308" s="16"/>
      <c r="E308" s="5"/>
    </row>
    <row r="309" spans="1:5" ht="12.5">
      <c r="A309" s="76"/>
      <c r="B309" s="5"/>
      <c r="C309" s="16"/>
      <c r="E309" s="5"/>
    </row>
    <row r="310" spans="1:5" ht="12.5">
      <c r="A310" s="76"/>
      <c r="B310" s="5"/>
      <c r="C310" s="16"/>
      <c r="E310" s="5"/>
    </row>
    <row r="311" spans="1:5" ht="12.5">
      <c r="A311" s="76"/>
      <c r="B311" s="5"/>
      <c r="C311" s="16"/>
      <c r="E311" s="5"/>
    </row>
    <row r="312" spans="1:5" ht="12.5">
      <c r="A312" s="76"/>
      <c r="B312" s="5"/>
      <c r="C312" s="16"/>
      <c r="E312" s="5"/>
    </row>
    <row r="313" spans="1:5" ht="12.5">
      <c r="A313" s="76"/>
      <c r="B313" s="5"/>
      <c r="C313" s="16"/>
      <c r="E313" s="5"/>
    </row>
    <row r="314" spans="1:5" ht="12.5">
      <c r="A314" s="76"/>
      <c r="B314" s="5"/>
      <c r="C314" s="16"/>
      <c r="E314" s="5"/>
    </row>
    <row r="315" spans="1:5" ht="12.5">
      <c r="A315" s="76"/>
      <c r="B315" s="5"/>
      <c r="C315" s="16"/>
      <c r="E315" s="5"/>
    </row>
    <row r="316" spans="1:5" ht="12.5">
      <c r="A316" s="76"/>
      <c r="B316" s="5"/>
      <c r="C316" s="16"/>
      <c r="E316" s="5"/>
    </row>
    <row r="317" spans="1:5" ht="12.5">
      <c r="A317" s="76"/>
      <c r="B317" s="5"/>
      <c r="C317" s="16"/>
      <c r="E317" s="5"/>
    </row>
    <row r="318" spans="1:5" ht="12.5">
      <c r="A318" s="76"/>
      <c r="B318" s="5"/>
      <c r="C318" s="16"/>
      <c r="E318" s="5"/>
    </row>
    <row r="319" spans="1:5" ht="12.5">
      <c r="A319" s="76"/>
      <c r="B319" s="5"/>
      <c r="C319" s="16"/>
      <c r="E319" s="5"/>
    </row>
    <row r="320" spans="1:5" ht="12.5">
      <c r="A320" s="76"/>
      <c r="B320" s="5"/>
      <c r="C320" s="16"/>
      <c r="E320" s="5"/>
    </row>
    <row r="321" spans="1:5" ht="12.5">
      <c r="A321" s="76"/>
      <c r="B321" s="5"/>
      <c r="C321" s="16"/>
      <c r="E321" s="5"/>
    </row>
    <row r="322" spans="1:5" ht="12.5">
      <c r="A322" s="76"/>
      <c r="B322" s="5"/>
      <c r="C322" s="16"/>
      <c r="E322" s="5"/>
    </row>
    <row r="323" spans="1:5" ht="12.5">
      <c r="A323" s="76"/>
      <c r="B323" s="5"/>
      <c r="C323" s="16"/>
      <c r="E323" s="5"/>
    </row>
    <row r="324" spans="1:5" ht="12.5">
      <c r="A324" s="76"/>
      <c r="B324" s="5"/>
      <c r="C324" s="16"/>
      <c r="E324" s="5"/>
    </row>
    <row r="325" spans="1:5" ht="12.5">
      <c r="A325" s="76"/>
      <c r="B325" s="5"/>
      <c r="C325" s="16"/>
      <c r="E325" s="5"/>
    </row>
    <row r="326" spans="1:5" ht="12.5">
      <c r="A326" s="76"/>
      <c r="B326" s="5"/>
      <c r="C326" s="16"/>
      <c r="E326" s="5"/>
    </row>
    <row r="327" spans="1:5" ht="12.5">
      <c r="A327" s="76"/>
      <c r="B327" s="5"/>
      <c r="C327" s="16"/>
      <c r="E327" s="5"/>
    </row>
    <row r="328" spans="1:5" ht="12.5">
      <c r="A328" s="76"/>
      <c r="B328" s="5"/>
      <c r="C328" s="16"/>
      <c r="E328" s="5"/>
    </row>
    <row r="329" spans="1:5" ht="12.5">
      <c r="A329" s="76"/>
      <c r="B329" s="5"/>
      <c r="C329" s="16"/>
      <c r="E329" s="5"/>
    </row>
    <row r="330" spans="1:5" ht="12.5">
      <c r="A330" s="76"/>
      <c r="B330" s="5"/>
      <c r="C330" s="16"/>
      <c r="E330" s="5"/>
    </row>
    <row r="331" spans="1:5" ht="12.5">
      <c r="A331" s="76"/>
      <c r="B331" s="5"/>
      <c r="C331" s="16"/>
      <c r="E331" s="5"/>
    </row>
    <row r="332" spans="1:5" ht="12.5">
      <c r="A332" s="76"/>
      <c r="B332" s="5"/>
      <c r="C332" s="16"/>
      <c r="E332" s="5"/>
    </row>
    <row r="333" spans="1:5" ht="12.5">
      <c r="A333" s="76"/>
      <c r="B333" s="5"/>
      <c r="C333" s="16"/>
      <c r="E333" s="5"/>
    </row>
    <row r="334" spans="1:5" ht="12.5">
      <c r="A334" s="76"/>
      <c r="B334" s="5"/>
      <c r="C334" s="16"/>
      <c r="E334" s="5"/>
    </row>
    <row r="335" spans="1:5" ht="12.5">
      <c r="A335" s="76"/>
      <c r="B335" s="5"/>
      <c r="C335" s="16"/>
      <c r="E335" s="5"/>
    </row>
    <row r="336" spans="1:5" ht="12.5">
      <c r="A336" s="76"/>
      <c r="B336" s="5"/>
      <c r="C336" s="16"/>
      <c r="E336" s="5"/>
    </row>
    <row r="337" spans="1:5" ht="12.5">
      <c r="A337" s="76"/>
      <c r="B337" s="5"/>
      <c r="C337" s="16"/>
      <c r="E337" s="5"/>
    </row>
    <row r="338" spans="1:5" ht="12.5">
      <c r="A338" s="76"/>
      <c r="B338" s="5"/>
      <c r="C338" s="16"/>
      <c r="E338" s="5"/>
    </row>
    <row r="339" spans="1:5" ht="12.5">
      <c r="A339" s="76"/>
      <c r="B339" s="5"/>
      <c r="C339" s="16"/>
      <c r="E339" s="5"/>
    </row>
    <row r="340" spans="1:5" ht="12.5">
      <c r="A340" s="76"/>
      <c r="B340" s="5"/>
      <c r="C340" s="16"/>
      <c r="E340" s="5"/>
    </row>
    <row r="341" spans="1:5" ht="12.5">
      <c r="A341" s="76"/>
      <c r="B341" s="5"/>
      <c r="C341" s="16"/>
      <c r="E341" s="5"/>
    </row>
    <row r="342" spans="1:5" ht="12.5">
      <c r="A342" s="76"/>
      <c r="B342" s="5"/>
      <c r="C342" s="16"/>
      <c r="E342" s="5"/>
    </row>
    <row r="343" spans="1:5" ht="12.5">
      <c r="A343" s="76"/>
      <c r="B343" s="5"/>
      <c r="C343" s="16"/>
      <c r="E343" s="5"/>
    </row>
    <row r="344" spans="1:5" ht="12.5">
      <c r="A344" s="76"/>
      <c r="B344" s="5"/>
      <c r="C344" s="16"/>
      <c r="E344" s="5"/>
    </row>
    <row r="345" spans="1:5" ht="12.5">
      <c r="A345" s="76"/>
      <c r="B345" s="5"/>
      <c r="C345" s="16"/>
      <c r="E345" s="5"/>
    </row>
    <row r="346" spans="1:5" ht="12.5">
      <c r="A346" s="76"/>
      <c r="B346" s="5"/>
      <c r="C346" s="16"/>
      <c r="E346" s="5"/>
    </row>
    <row r="347" spans="1:5" ht="12.5">
      <c r="A347" s="76"/>
      <c r="B347" s="5"/>
      <c r="C347" s="16"/>
      <c r="E347" s="5"/>
    </row>
    <row r="348" spans="1:5" ht="12.5">
      <c r="A348" s="76"/>
      <c r="B348" s="5"/>
      <c r="C348" s="16"/>
      <c r="E348" s="5"/>
    </row>
    <row r="349" spans="1:5" ht="12.5">
      <c r="A349" s="76"/>
      <c r="B349" s="5"/>
      <c r="C349" s="16"/>
      <c r="E349" s="5"/>
    </row>
    <row r="350" spans="1:5" ht="12.5">
      <c r="A350" s="76"/>
      <c r="B350" s="5"/>
      <c r="C350" s="16"/>
      <c r="E350" s="5"/>
    </row>
    <row r="351" spans="1:5" ht="12.5">
      <c r="A351" s="76"/>
      <c r="B351" s="5"/>
      <c r="C351" s="16"/>
      <c r="E351" s="5"/>
    </row>
    <row r="352" spans="1:5" ht="12.5">
      <c r="A352" s="76"/>
      <c r="B352" s="5"/>
      <c r="C352" s="16"/>
      <c r="E352" s="5"/>
    </row>
    <row r="353" spans="1:5" ht="12.5">
      <c r="A353" s="76"/>
      <c r="B353" s="5"/>
      <c r="C353" s="16"/>
      <c r="E353" s="5"/>
    </row>
    <row r="354" spans="1:5" ht="12.5">
      <c r="A354" s="76"/>
      <c r="B354" s="5"/>
      <c r="C354" s="16"/>
      <c r="E354" s="5"/>
    </row>
    <row r="355" spans="1:5" ht="12.5">
      <c r="A355" s="76"/>
      <c r="B355" s="5"/>
      <c r="C355" s="16"/>
      <c r="E355" s="5"/>
    </row>
    <row r="356" spans="1:5" ht="12.5">
      <c r="A356" s="76"/>
      <c r="B356" s="5"/>
      <c r="C356" s="16"/>
      <c r="E356" s="5"/>
    </row>
    <row r="357" spans="1:5" ht="12.5">
      <c r="A357" s="76"/>
      <c r="B357" s="5"/>
      <c r="C357" s="16"/>
      <c r="E357" s="5"/>
    </row>
    <row r="358" spans="1:5" ht="12.5">
      <c r="A358" s="76"/>
      <c r="B358" s="5"/>
      <c r="C358" s="16"/>
      <c r="E358" s="5"/>
    </row>
    <row r="359" spans="1:5" ht="12.5">
      <c r="A359" s="76"/>
      <c r="B359" s="5"/>
      <c r="C359" s="16"/>
      <c r="E359" s="5"/>
    </row>
    <row r="360" spans="1:5" ht="12.5">
      <c r="A360" s="76"/>
      <c r="B360" s="5"/>
      <c r="C360" s="16"/>
      <c r="E360" s="5"/>
    </row>
    <row r="361" spans="1:5" ht="12.5">
      <c r="A361" s="76"/>
      <c r="B361" s="5"/>
      <c r="C361" s="16"/>
      <c r="E361" s="5"/>
    </row>
    <row r="362" spans="1:5" ht="12.5">
      <c r="A362" s="76"/>
      <c r="B362" s="5"/>
      <c r="C362" s="16"/>
      <c r="E362" s="5"/>
    </row>
    <row r="363" spans="1:5" ht="12.5">
      <c r="A363" s="76"/>
      <c r="B363" s="5"/>
      <c r="C363" s="16"/>
      <c r="E363" s="5"/>
    </row>
    <row r="364" spans="1:5" ht="12.5">
      <c r="A364" s="76"/>
      <c r="B364" s="5"/>
      <c r="C364" s="16"/>
      <c r="E364" s="5"/>
    </row>
    <row r="365" spans="1:5" ht="12.5">
      <c r="A365" s="76"/>
      <c r="B365" s="5"/>
      <c r="C365" s="16"/>
      <c r="E365" s="5"/>
    </row>
    <row r="366" spans="1:5" ht="12.5">
      <c r="A366" s="76"/>
      <c r="B366" s="5"/>
      <c r="C366" s="16"/>
      <c r="E366" s="5"/>
    </row>
    <row r="367" spans="1:5" ht="12.5">
      <c r="A367" s="76"/>
      <c r="B367" s="5"/>
      <c r="C367" s="16"/>
      <c r="E367" s="5"/>
    </row>
    <row r="368" spans="1:5" ht="12.5">
      <c r="A368" s="76"/>
      <c r="B368" s="5"/>
      <c r="C368" s="16"/>
      <c r="E368" s="5"/>
    </row>
    <row r="369" spans="1:5" ht="12.5">
      <c r="A369" s="76"/>
      <c r="B369" s="5"/>
      <c r="C369" s="16"/>
      <c r="E369" s="5"/>
    </row>
    <row r="370" spans="1:5" ht="12.5">
      <c r="A370" s="76"/>
      <c r="B370" s="5"/>
      <c r="C370" s="16"/>
      <c r="E370" s="5"/>
    </row>
    <row r="371" spans="1:5" ht="12.5">
      <c r="A371" s="76"/>
      <c r="B371" s="5"/>
      <c r="C371" s="16"/>
      <c r="E371" s="5"/>
    </row>
    <row r="372" spans="1:5" ht="12.5">
      <c r="A372" s="76"/>
      <c r="B372" s="5"/>
      <c r="C372" s="16"/>
      <c r="E372" s="5"/>
    </row>
    <row r="373" spans="1:5" ht="12.5">
      <c r="A373" s="76"/>
      <c r="B373" s="5"/>
      <c r="C373" s="16"/>
      <c r="E373" s="5"/>
    </row>
    <row r="374" spans="1:5" ht="12.5">
      <c r="A374" s="76"/>
      <c r="B374" s="5"/>
      <c r="C374" s="16"/>
      <c r="E374" s="5"/>
    </row>
    <row r="375" spans="1:5" ht="12.5">
      <c r="A375" s="76"/>
      <c r="B375" s="5"/>
      <c r="C375" s="16"/>
      <c r="E375" s="5"/>
    </row>
    <row r="376" spans="1:5" ht="12.5">
      <c r="A376" s="76"/>
      <c r="B376" s="5"/>
      <c r="C376" s="16"/>
      <c r="E376" s="5"/>
    </row>
    <row r="377" spans="1:5" ht="12.5">
      <c r="A377" s="76"/>
      <c r="B377" s="5"/>
      <c r="C377" s="16"/>
      <c r="E377" s="5"/>
    </row>
    <row r="378" spans="1:5" ht="12.5">
      <c r="A378" s="76"/>
      <c r="B378" s="5"/>
      <c r="C378" s="16"/>
      <c r="E378" s="5"/>
    </row>
    <row r="379" spans="1:5" ht="12.5">
      <c r="A379" s="76"/>
      <c r="B379" s="5"/>
      <c r="C379" s="16"/>
      <c r="E379" s="5"/>
    </row>
    <row r="380" spans="1:5" ht="12.5">
      <c r="A380" s="76"/>
      <c r="B380" s="5"/>
      <c r="C380" s="16"/>
      <c r="E380" s="5"/>
    </row>
    <row r="381" spans="1:5" ht="12.5">
      <c r="A381" s="76"/>
      <c r="B381" s="5"/>
      <c r="C381" s="16"/>
      <c r="E381" s="5"/>
    </row>
    <row r="382" spans="1:5" ht="12.5">
      <c r="A382" s="76"/>
      <c r="B382" s="5"/>
      <c r="C382" s="16"/>
      <c r="E382" s="5"/>
    </row>
    <row r="383" spans="1:5" ht="12.5">
      <c r="A383" s="76"/>
      <c r="B383" s="5"/>
      <c r="C383" s="16"/>
      <c r="E383" s="5"/>
    </row>
    <row r="384" spans="1:5" ht="12.5">
      <c r="A384" s="76"/>
      <c r="B384" s="5"/>
      <c r="C384" s="16"/>
      <c r="E384" s="5"/>
    </row>
    <row r="385" spans="1:5" ht="12.5">
      <c r="A385" s="76"/>
      <c r="B385" s="5"/>
      <c r="C385" s="16"/>
      <c r="E385" s="5"/>
    </row>
    <row r="386" spans="1:5" ht="12.5">
      <c r="A386" s="76"/>
      <c r="B386" s="5"/>
      <c r="C386" s="16"/>
      <c r="E386" s="5"/>
    </row>
    <row r="387" spans="1:5" ht="12.5">
      <c r="A387" s="76"/>
      <c r="B387" s="5"/>
      <c r="C387" s="16"/>
      <c r="E387" s="5"/>
    </row>
    <row r="388" spans="1:5" ht="12.5">
      <c r="A388" s="76"/>
      <c r="B388" s="5"/>
      <c r="C388" s="16"/>
      <c r="E388" s="5"/>
    </row>
    <row r="389" spans="1:5" ht="12.5">
      <c r="A389" s="76"/>
      <c r="B389" s="5"/>
      <c r="C389" s="16"/>
      <c r="E389" s="5"/>
    </row>
    <row r="390" spans="1:5" ht="12.5">
      <c r="A390" s="76"/>
      <c r="B390" s="5"/>
      <c r="C390" s="16"/>
      <c r="E390" s="5"/>
    </row>
    <row r="391" spans="1:5" ht="12.5">
      <c r="A391" s="76"/>
      <c r="B391" s="5"/>
      <c r="C391" s="16"/>
      <c r="E391" s="5"/>
    </row>
    <row r="392" spans="1:5" ht="12.5">
      <c r="A392" s="76"/>
      <c r="B392" s="5"/>
      <c r="C392" s="16"/>
      <c r="E392" s="5"/>
    </row>
    <row r="393" spans="1:5" ht="12.5">
      <c r="A393" s="76"/>
      <c r="B393" s="5"/>
      <c r="C393" s="16"/>
      <c r="E393" s="5"/>
    </row>
    <row r="394" spans="1:5" ht="12.5">
      <c r="A394" s="76"/>
      <c r="B394" s="5"/>
      <c r="C394" s="16"/>
      <c r="E394" s="5"/>
    </row>
    <row r="395" spans="1:5" ht="12.5">
      <c r="A395" s="76"/>
      <c r="B395" s="5"/>
      <c r="C395" s="16"/>
      <c r="E395" s="5"/>
    </row>
    <row r="396" spans="1:5" ht="12.5">
      <c r="A396" s="76"/>
      <c r="B396" s="5"/>
      <c r="C396" s="16"/>
      <c r="E396" s="5"/>
    </row>
    <row r="397" spans="1:5" ht="12.5">
      <c r="A397" s="76"/>
      <c r="B397" s="5"/>
      <c r="C397" s="16"/>
      <c r="E397" s="5"/>
    </row>
    <row r="398" spans="1:5" ht="12.5">
      <c r="A398" s="76"/>
      <c r="B398" s="5"/>
      <c r="C398" s="16"/>
      <c r="E398" s="5"/>
    </row>
    <row r="399" spans="1:5" ht="12.5">
      <c r="A399" s="76"/>
      <c r="B399" s="5"/>
      <c r="C399" s="16"/>
      <c r="E399" s="5"/>
    </row>
    <row r="400" spans="1:5" ht="12.5">
      <c r="A400" s="76"/>
      <c r="B400" s="5"/>
      <c r="C400" s="16"/>
      <c r="E400" s="5"/>
    </row>
    <row r="401" spans="1:5" ht="12.5">
      <c r="A401" s="76"/>
      <c r="B401" s="5"/>
      <c r="C401" s="16"/>
      <c r="E401" s="5"/>
    </row>
    <row r="402" spans="1:5" ht="12.5">
      <c r="A402" s="76"/>
      <c r="B402" s="5"/>
      <c r="C402" s="16"/>
      <c r="E402" s="5"/>
    </row>
    <row r="403" spans="1:5" ht="12.5">
      <c r="A403" s="76"/>
      <c r="B403" s="5"/>
      <c r="C403" s="16"/>
      <c r="E403" s="5"/>
    </row>
    <row r="404" spans="1:5" ht="12.5">
      <c r="A404" s="76"/>
      <c r="B404" s="5"/>
      <c r="C404" s="16"/>
      <c r="E404" s="5"/>
    </row>
    <row r="405" spans="1:5" ht="12.5">
      <c r="A405" s="76"/>
      <c r="B405" s="5"/>
      <c r="C405" s="16"/>
      <c r="E405" s="5"/>
    </row>
    <row r="406" spans="1:5" ht="12.5">
      <c r="A406" s="76"/>
      <c r="B406" s="5"/>
      <c r="C406" s="16"/>
      <c r="E406" s="5"/>
    </row>
    <row r="407" spans="1:5" ht="12.5">
      <c r="A407" s="76"/>
      <c r="B407" s="5"/>
      <c r="C407" s="16"/>
      <c r="E407" s="5"/>
    </row>
    <row r="408" spans="1:5" ht="12.5">
      <c r="A408" s="76"/>
      <c r="B408" s="5"/>
      <c r="C408" s="16"/>
      <c r="E408" s="5"/>
    </row>
    <row r="409" spans="1:5" ht="12.5">
      <c r="A409" s="76"/>
      <c r="B409" s="5"/>
      <c r="C409" s="16"/>
      <c r="E409" s="5"/>
    </row>
    <row r="410" spans="1:5" ht="12.5">
      <c r="A410" s="76"/>
      <c r="B410" s="5"/>
      <c r="C410" s="16"/>
      <c r="E410" s="5"/>
    </row>
    <row r="411" spans="1:5" ht="12.5">
      <c r="A411" s="76"/>
      <c r="B411" s="5"/>
      <c r="C411" s="16"/>
      <c r="E411" s="5"/>
    </row>
    <row r="412" spans="1:5" ht="12.5">
      <c r="A412" s="76"/>
      <c r="B412" s="5"/>
      <c r="C412" s="16"/>
      <c r="E412" s="5"/>
    </row>
    <row r="413" spans="1:5" ht="12.5">
      <c r="A413" s="76"/>
      <c r="B413" s="5"/>
      <c r="C413" s="16"/>
      <c r="E413" s="5"/>
    </row>
    <row r="414" spans="1:5" ht="12.5">
      <c r="A414" s="76"/>
      <c r="B414" s="5"/>
      <c r="C414" s="16"/>
      <c r="E414" s="5"/>
    </row>
    <row r="415" spans="1:5" ht="12.5">
      <c r="A415" s="76"/>
      <c r="B415" s="5"/>
      <c r="C415" s="16"/>
      <c r="E415" s="5"/>
    </row>
    <row r="416" spans="1:5" ht="12.5">
      <c r="A416" s="76"/>
      <c r="B416" s="5"/>
      <c r="C416" s="16"/>
      <c r="E416" s="5"/>
    </row>
    <row r="417" spans="1:5" ht="12.5">
      <c r="A417" s="76"/>
      <c r="B417" s="5"/>
      <c r="C417" s="16"/>
      <c r="E417" s="5"/>
    </row>
    <row r="418" spans="1:5" ht="12.5">
      <c r="A418" s="76"/>
      <c r="B418" s="5"/>
      <c r="C418" s="16"/>
      <c r="E418" s="5"/>
    </row>
    <row r="419" spans="1:5" ht="12.5">
      <c r="A419" s="76"/>
      <c r="B419" s="5"/>
      <c r="C419" s="16"/>
      <c r="E419" s="5"/>
    </row>
    <row r="420" spans="1:5" ht="12.5">
      <c r="A420" s="76"/>
      <c r="B420" s="5"/>
      <c r="C420" s="16"/>
      <c r="E420" s="5"/>
    </row>
    <row r="421" spans="1:5" ht="12.5">
      <c r="A421" s="76"/>
      <c r="B421" s="5"/>
      <c r="C421" s="16"/>
      <c r="E421" s="5"/>
    </row>
    <row r="422" spans="1:5" ht="12.5">
      <c r="A422" s="76"/>
      <c r="B422" s="5"/>
      <c r="C422" s="16"/>
      <c r="E422" s="5"/>
    </row>
    <row r="423" spans="1:5" ht="12.5">
      <c r="A423" s="76"/>
      <c r="B423" s="5"/>
      <c r="C423" s="16"/>
      <c r="E423" s="5"/>
    </row>
    <row r="424" spans="1:5" ht="12.5">
      <c r="A424" s="76"/>
      <c r="B424" s="5"/>
      <c r="C424" s="16"/>
      <c r="E424" s="5"/>
    </row>
    <row r="425" spans="1:5" ht="12.5">
      <c r="A425" s="76"/>
      <c r="B425" s="5"/>
      <c r="C425" s="16"/>
      <c r="E425" s="5"/>
    </row>
    <row r="426" spans="1:5" ht="12.5">
      <c r="A426" s="76"/>
      <c r="B426" s="5"/>
      <c r="C426" s="16"/>
      <c r="E426" s="5"/>
    </row>
    <row r="427" spans="1:5" ht="12.5">
      <c r="A427" s="76"/>
      <c r="B427" s="5"/>
      <c r="C427" s="16"/>
      <c r="E427" s="5"/>
    </row>
    <row r="428" spans="1:5" ht="12.5">
      <c r="A428" s="76"/>
      <c r="B428" s="5"/>
      <c r="C428" s="16"/>
      <c r="E428" s="5"/>
    </row>
    <row r="429" spans="1:5" ht="12.5">
      <c r="A429" s="76"/>
      <c r="B429" s="5"/>
      <c r="C429" s="16"/>
      <c r="E429" s="5"/>
    </row>
    <row r="430" spans="1:5" ht="12.5">
      <c r="A430" s="76"/>
      <c r="B430" s="5"/>
      <c r="C430" s="16"/>
      <c r="E430" s="5"/>
    </row>
    <row r="431" spans="1:5" ht="12.5">
      <c r="A431" s="76"/>
      <c r="B431" s="5"/>
      <c r="C431" s="16"/>
      <c r="E431" s="5"/>
    </row>
    <row r="432" spans="1:5" ht="12.5">
      <c r="A432" s="76"/>
      <c r="B432" s="5"/>
      <c r="C432" s="16"/>
      <c r="E432" s="5"/>
    </row>
    <row r="433" spans="1:5" ht="12.5">
      <c r="A433" s="76"/>
      <c r="B433" s="5"/>
      <c r="C433" s="16"/>
      <c r="E433" s="5"/>
    </row>
    <row r="434" spans="1:5" ht="12.5">
      <c r="A434" s="76"/>
      <c r="B434" s="5"/>
      <c r="C434" s="16"/>
      <c r="E434" s="5"/>
    </row>
    <row r="435" spans="1:5" ht="12.5">
      <c r="A435" s="76"/>
      <c r="B435" s="5"/>
      <c r="C435" s="16"/>
      <c r="E435" s="5"/>
    </row>
    <row r="436" spans="1:5" ht="12.5">
      <c r="A436" s="76"/>
      <c r="B436" s="5"/>
      <c r="C436" s="16"/>
      <c r="E436" s="5"/>
    </row>
    <row r="437" spans="1:5" ht="12.5">
      <c r="A437" s="76"/>
      <c r="B437" s="5"/>
      <c r="C437" s="16"/>
      <c r="E437" s="5"/>
    </row>
    <row r="438" spans="1:5" ht="12.5">
      <c r="A438" s="76"/>
      <c r="B438" s="5"/>
      <c r="C438" s="16"/>
      <c r="E438" s="5"/>
    </row>
    <row r="439" spans="1:5" ht="12.5">
      <c r="A439" s="76"/>
      <c r="B439" s="5"/>
      <c r="C439" s="16"/>
      <c r="E439" s="5"/>
    </row>
    <row r="440" spans="1:5" ht="12.5">
      <c r="A440" s="76"/>
      <c r="B440" s="5"/>
      <c r="C440" s="16"/>
      <c r="E440" s="5"/>
    </row>
    <row r="441" spans="1:5" ht="12.5">
      <c r="A441" s="76"/>
      <c r="B441" s="5"/>
      <c r="C441" s="16"/>
      <c r="E441" s="5"/>
    </row>
    <row r="442" spans="1:5" ht="12.5">
      <c r="A442" s="76"/>
      <c r="B442" s="5"/>
      <c r="C442" s="16"/>
      <c r="E442" s="5"/>
    </row>
    <row r="443" spans="1:5" ht="12.5">
      <c r="A443" s="76"/>
      <c r="B443" s="5"/>
      <c r="C443" s="16"/>
      <c r="E443" s="5"/>
    </row>
    <row r="444" spans="1:5" ht="12.5">
      <c r="A444" s="76"/>
      <c r="B444" s="5"/>
      <c r="C444" s="16"/>
      <c r="E444" s="5"/>
    </row>
    <row r="445" spans="1:5" ht="12.5">
      <c r="A445" s="76"/>
      <c r="B445" s="5"/>
      <c r="C445" s="16"/>
      <c r="E445" s="5"/>
    </row>
    <row r="446" spans="1:5" ht="12.5">
      <c r="A446" s="76"/>
      <c r="B446" s="5"/>
      <c r="C446" s="16"/>
      <c r="E446" s="5"/>
    </row>
    <row r="447" spans="1:5" ht="12.5">
      <c r="A447" s="76"/>
      <c r="B447" s="5"/>
      <c r="C447" s="16"/>
      <c r="E447" s="5"/>
    </row>
    <row r="448" spans="1:5" ht="12.5">
      <c r="A448" s="76"/>
      <c r="B448" s="5"/>
      <c r="C448" s="16"/>
      <c r="E448" s="5"/>
    </row>
    <row r="449" spans="1:5" ht="12.5">
      <c r="A449" s="76"/>
      <c r="B449" s="5"/>
      <c r="C449" s="16"/>
      <c r="E449" s="5"/>
    </row>
    <row r="450" spans="1:5" ht="12.5">
      <c r="A450" s="76"/>
      <c r="B450" s="5"/>
      <c r="C450" s="16"/>
      <c r="E450" s="5"/>
    </row>
    <row r="451" spans="1:5" ht="12.5">
      <c r="A451" s="76"/>
      <c r="B451" s="5"/>
      <c r="C451" s="16"/>
      <c r="E451" s="5"/>
    </row>
    <row r="452" spans="1:5" ht="12.5">
      <c r="A452" s="76"/>
      <c r="B452" s="5"/>
      <c r="C452" s="16"/>
      <c r="E452" s="5"/>
    </row>
    <row r="453" spans="1:5" ht="12.5">
      <c r="A453" s="76"/>
      <c r="B453" s="5"/>
      <c r="C453" s="16"/>
      <c r="E453" s="5"/>
    </row>
    <row r="454" spans="1:5" ht="12.5">
      <c r="A454" s="76"/>
      <c r="B454" s="5"/>
      <c r="C454" s="16"/>
      <c r="E454" s="5"/>
    </row>
    <row r="455" spans="1:5" ht="12.5">
      <c r="A455" s="76"/>
      <c r="B455" s="5"/>
      <c r="C455" s="16"/>
      <c r="E455" s="5"/>
    </row>
    <row r="456" spans="1:5" ht="12.5">
      <c r="A456" s="76"/>
      <c r="B456" s="5"/>
      <c r="C456" s="16"/>
      <c r="E456" s="5"/>
    </row>
    <row r="457" spans="1:5" ht="12.5">
      <c r="A457" s="76"/>
      <c r="B457" s="5"/>
      <c r="C457" s="16"/>
      <c r="E457" s="5"/>
    </row>
    <row r="458" spans="1:5" ht="12.5">
      <c r="A458" s="76"/>
      <c r="B458" s="5"/>
      <c r="C458" s="16"/>
      <c r="E458" s="5"/>
    </row>
    <row r="459" spans="1:5" ht="12.5">
      <c r="A459" s="76"/>
      <c r="B459" s="5"/>
      <c r="C459" s="16"/>
      <c r="E459" s="5"/>
    </row>
    <row r="460" spans="1:5" ht="12.5">
      <c r="A460" s="76"/>
      <c r="B460" s="5"/>
      <c r="C460" s="16"/>
      <c r="E460" s="5"/>
    </row>
    <row r="461" spans="1:5" ht="12.5">
      <c r="A461" s="76"/>
      <c r="B461" s="5"/>
      <c r="C461" s="16"/>
      <c r="E461" s="5"/>
    </row>
    <row r="462" spans="1:5" ht="12.5">
      <c r="A462" s="76"/>
      <c r="B462" s="5"/>
      <c r="C462" s="16"/>
      <c r="E462" s="5"/>
    </row>
    <row r="463" spans="1:5" ht="12.5">
      <c r="A463" s="76"/>
      <c r="B463" s="5"/>
      <c r="C463" s="16"/>
      <c r="E463" s="5"/>
    </row>
    <row r="464" spans="1:5" ht="12.5">
      <c r="A464" s="76"/>
      <c r="B464" s="5"/>
      <c r="C464" s="16"/>
      <c r="E464" s="5"/>
    </row>
    <row r="465" spans="1:5" ht="12.5">
      <c r="A465" s="76"/>
      <c r="B465" s="5"/>
      <c r="C465" s="16"/>
      <c r="E465" s="5"/>
    </row>
    <row r="466" spans="1:5" ht="12.5">
      <c r="A466" s="76"/>
      <c r="B466" s="5"/>
      <c r="C466" s="16"/>
      <c r="E466" s="5"/>
    </row>
    <row r="467" spans="1:5" ht="12.5">
      <c r="A467" s="76"/>
      <c r="B467" s="5"/>
      <c r="C467" s="16"/>
      <c r="E467" s="5"/>
    </row>
    <row r="468" spans="1:5" ht="12.5">
      <c r="A468" s="76"/>
      <c r="B468" s="5"/>
      <c r="C468" s="16"/>
      <c r="E468" s="5"/>
    </row>
    <row r="469" spans="1:5" ht="12.5">
      <c r="A469" s="76"/>
      <c r="B469" s="5"/>
      <c r="C469" s="16"/>
      <c r="E469" s="5"/>
    </row>
    <row r="470" spans="1:5" ht="12.5">
      <c r="A470" s="76"/>
      <c r="B470" s="5"/>
      <c r="C470" s="16"/>
      <c r="E470" s="5"/>
    </row>
    <row r="471" spans="1:5" ht="12.5">
      <c r="A471" s="76"/>
      <c r="B471" s="5"/>
      <c r="C471" s="16"/>
      <c r="E471" s="5"/>
    </row>
    <row r="472" spans="1:5" ht="12.5">
      <c r="A472" s="76"/>
      <c r="B472" s="5"/>
      <c r="C472" s="16"/>
      <c r="E472" s="5"/>
    </row>
    <row r="473" spans="1:5" ht="12.5">
      <c r="A473" s="76"/>
      <c r="B473" s="5"/>
      <c r="C473" s="16"/>
      <c r="E473" s="5"/>
    </row>
    <row r="474" spans="1:5" ht="12.5">
      <c r="A474" s="76"/>
      <c r="B474" s="5"/>
      <c r="C474" s="16"/>
      <c r="E474" s="5"/>
    </row>
    <row r="475" spans="1:5" ht="12.5">
      <c r="A475" s="76"/>
      <c r="B475" s="5"/>
      <c r="C475" s="16"/>
      <c r="E475" s="5"/>
    </row>
    <row r="476" spans="1:5" ht="12.5">
      <c r="A476" s="76"/>
      <c r="B476" s="5"/>
      <c r="C476" s="16"/>
      <c r="E476" s="5"/>
    </row>
    <row r="477" spans="1:5" ht="12.5">
      <c r="A477" s="76"/>
      <c r="B477" s="5"/>
      <c r="C477" s="16"/>
      <c r="E477" s="5"/>
    </row>
    <row r="478" spans="1:5" ht="12.5">
      <c r="A478" s="76"/>
      <c r="B478" s="5"/>
      <c r="C478" s="16"/>
      <c r="E478" s="5"/>
    </row>
    <row r="479" spans="1:5" ht="12.5">
      <c r="A479" s="76"/>
      <c r="B479" s="5"/>
      <c r="C479" s="16"/>
      <c r="E479" s="5"/>
    </row>
    <row r="480" spans="1:5" ht="12.5">
      <c r="A480" s="76"/>
      <c r="B480" s="5"/>
      <c r="C480" s="16"/>
      <c r="E480" s="5"/>
    </row>
    <row r="481" spans="1:5" ht="12.5">
      <c r="A481" s="76"/>
      <c r="B481" s="5"/>
      <c r="C481" s="16"/>
      <c r="E481" s="5"/>
    </row>
    <row r="482" spans="1:5" ht="12.5">
      <c r="A482" s="76"/>
      <c r="B482" s="5"/>
      <c r="C482" s="16"/>
      <c r="E482" s="5"/>
    </row>
    <row r="483" spans="1:5" ht="12.5">
      <c r="A483" s="76"/>
      <c r="B483" s="5"/>
      <c r="C483" s="16"/>
      <c r="E483" s="5"/>
    </row>
    <row r="484" spans="1:5" ht="12.5">
      <c r="A484" s="76"/>
      <c r="B484" s="5"/>
      <c r="C484" s="16"/>
      <c r="E484" s="5"/>
    </row>
    <row r="485" spans="1:5" ht="12.5">
      <c r="A485" s="76"/>
      <c r="B485" s="5"/>
      <c r="C485" s="16"/>
      <c r="E485" s="5"/>
    </row>
    <row r="486" spans="1:5" ht="12.5">
      <c r="A486" s="76"/>
      <c r="B486" s="5"/>
      <c r="C486" s="16"/>
      <c r="E486" s="5"/>
    </row>
    <row r="487" spans="1:5" ht="12.5">
      <c r="A487" s="76"/>
      <c r="B487" s="5"/>
      <c r="C487" s="16"/>
      <c r="E487" s="5"/>
    </row>
    <row r="488" spans="1:5" ht="12.5">
      <c r="A488" s="76"/>
      <c r="B488" s="5"/>
      <c r="C488" s="16"/>
      <c r="E488" s="5"/>
    </row>
    <row r="489" spans="1:5" ht="12.5">
      <c r="A489" s="76"/>
      <c r="B489" s="5"/>
      <c r="C489" s="16"/>
      <c r="E489" s="5"/>
    </row>
    <row r="490" spans="1:5" ht="12.5">
      <c r="A490" s="76"/>
      <c r="B490" s="5"/>
      <c r="C490" s="16"/>
      <c r="E490" s="5"/>
    </row>
    <row r="491" spans="1:5" ht="12.5">
      <c r="A491" s="76"/>
      <c r="B491" s="5"/>
      <c r="C491" s="16"/>
      <c r="E491" s="5"/>
    </row>
    <row r="492" spans="1:5" ht="12.5">
      <c r="A492" s="76"/>
      <c r="B492" s="5"/>
      <c r="C492" s="16"/>
      <c r="E492" s="5"/>
    </row>
    <row r="493" spans="1:5" ht="12.5">
      <c r="A493" s="76"/>
      <c r="B493" s="5"/>
      <c r="C493" s="16"/>
      <c r="E493" s="5"/>
    </row>
    <row r="494" spans="1:5" ht="12.5">
      <c r="A494" s="76"/>
      <c r="B494" s="5"/>
      <c r="C494" s="16"/>
      <c r="E494" s="5"/>
    </row>
    <row r="495" spans="1:5" ht="12.5">
      <c r="A495" s="76"/>
      <c r="B495" s="5"/>
      <c r="C495" s="16"/>
      <c r="E495" s="5"/>
    </row>
    <row r="496" spans="1:5" ht="12.5">
      <c r="A496" s="76"/>
      <c r="B496" s="5"/>
      <c r="C496" s="16"/>
      <c r="E496" s="5"/>
    </row>
    <row r="497" spans="1:5" ht="12.5">
      <c r="A497" s="76"/>
      <c r="B497" s="5"/>
      <c r="C497" s="16"/>
      <c r="E497" s="5"/>
    </row>
    <row r="498" spans="1:5" ht="12.5">
      <c r="A498" s="76"/>
      <c r="B498" s="5"/>
      <c r="C498" s="16"/>
      <c r="E498" s="5"/>
    </row>
    <row r="499" spans="1:5" ht="12.5">
      <c r="A499" s="76"/>
      <c r="B499" s="5"/>
      <c r="C499" s="16"/>
      <c r="E499" s="5"/>
    </row>
    <row r="500" spans="1:5" ht="12.5">
      <c r="A500" s="76"/>
      <c r="B500" s="5"/>
      <c r="C500" s="16"/>
      <c r="E500" s="5"/>
    </row>
    <row r="501" spans="1:5" ht="12.5">
      <c r="A501" s="76"/>
      <c r="B501" s="5"/>
      <c r="C501" s="16"/>
      <c r="E501" s="5"/>
    </row>
    <row r="502" spans="1:5" ht="12.5">
      <c r="A502" s="76"/>
      <c r="B502" s="5"/>
      <c r="C502" s="16"/>
      <c r="E502" s="5"/>
    </row>
    <row r="503" spans="1:5" ht="12.5">
      <c r="A503" s="76"/>
      <c r="B503" s="5"/>
      <c r="C503" s="16"/>
      <c r="E503" s="5"/>
    </row>
    <row r="504" spans="1:5" ht="12.5">
      <c r="A504" s="76"/>
      <c r="B504" s="5"/>
      <c r="C504" s="16"/>
      <c r="E504" s="5"/>
    </row>
    <row r="505" spans="1:5" ht="12.5">
      <c r="A505" s="76"/>
      <c r="B505" s="5"/>
      <c r="C505" s="16"/>
      <c r="E505" s="5"/>
    </row>
    <row r="506" spans="1:5" ht="12.5">
      <c r="A506" s="76"/>
      <c r="B506" s="5"/>
      <c r="C506" s="16"/>
      <c r="E506" s="5"/>
    </row>
    <row r="507" spans="1:5" ht="12.5">
      <c r="A507" s="76"/>
      <c r="B507" s="5"/>
      <c r="C507" s="16"/>
      <c r="E507" s="5"/>
    </row>
    <row r="508" spans="1:5" ht="12.5">
      <c r="A508" s="76"/>
      <c r="B508" s="5"/>
      <c r="C508" s="16"/>
      <c r="E508" s="5"/>
    </row>
    <row r="509" spans="1:5" ht="12.5">
      <c r="A509" s="76"/>
      <c r="B509" s="5"/>
      <c r="C509" s="16"/>
      <c r="E509" s="5"/>
    </row>
    <row r="510" spans="1:5" ht="12.5">
      <c r="A510" s="76"/>
      <c r="B510" s="5"/>
      <c r="C510" s="16"/>
      <c r="E510" s="5"/>
    </row>
    <row r="511" spans="1:5" ht="12.5">
      <c r="A511" s="76"/>
      <c r="B511" s="5"/>
      <c r="C511" s="16"/>
      <c r="E511" s="5"/>
    </row>
    <row r="512" spans="1:5" ht="12.5">
      <c r="A512" s="76"/>
      <c r="B512" s="5"/>
      <c r="C512" s="16"/>
      <c r="E512" s="5"/>
    </row>
    <row r="513" spans="1:5" ht="12.5">
      <c r="A513" s="76"/>
      <c r="B513" s="5"/>
      <c r="C513" s="16"/>
      <c r="E513" s="5"/>
    </row>
    <row r="514" spans="1:5" ht="12.5">
      <c r="A514" s="76"/>
      <c r="B514" s="5"/>
      <c r="C514" s="16"/>
      <c r="E514" s="5"/>
    </row>
    <row r="515" spans="1:5" ht="12.5">
      <c r="A515" s="76"/>
      <c r="B515" s="5"/>
      <c r="C515" s="16"/>
      <c r="E515" s="5"/>
    </row>
    <row r="516" spans="1:5" ht="12.5">
      <c r="A516" s="76"/>
      <c r="B516" s="5"/>
      <c r="C516" s="16"/>
      <c r="E516" s="5"/>
    </row>
    <row r="517" spans="1:5" ht="12.5">
      <c r="A517" s="76"/>
      <c r="B517" s="5"/>
      <c r="C517" s="16"/>
      <c r="E517" s="5"/>
    </row>
    <row r="518" spans="1:5" ht="12.5">
      <c r="A518" s="76"/>
      <c r="B518" s="5"/>
      <c r="C518" s="16"/>
      <c r="E518" s="5"/>
    </row>
    <row r="519" spans="1:5" ht="12.5">
      <c r="A519" s="76"/>
      <c r="B519" s="5"/>
      <c r="C519" s="16"/>
      <c r="E519" s="5"/>
    </row>
    <row r="520" spans="1:5" ht="12.5">
      <c r="A520" s="76"/>
      <c r="B520" s="5"/>
      <c r="C520" s="16"/>
      <c r="E520" s="5"/>
    </row>
    <row r="521" spans="1:5" ht="12.5">
      <c r="A521" s="76"/>
      <c r="B521" s="5"/>
      <c r="C521" s="16"/>
      <c r="E521" s="5"/>
    </row>
    <row r="522" spans="1:5" ht="12.5">
      <c r="A522" s="76"/>
      <c r="B522" s="5"/>
      <c r="C522" s="16"/>
      <c r="E522" s="5"/>
    </row>
    <row r="523" spans="1:5" ht="12.5">
      <c r="A523" s="76"/>
      <c r="B523" s="5"/>
      <c r="C523" s="16"/>
      <c r="E523" s="5"/>
    </row>
    <row r="524" spans="1:5" ht="12.5">
      <c r="A524" s="76"/>
      <c r="B524" s="5"/>
      <c r="C524" s="16"/>
      <c r="E524" s="5"/>
    </row>
    <row r="525" spans="1:5" ht="12.5">
      <c r="A525" s="76"/>
      <c r="B525" s="5"/>
      <c r="C525" s="16"/>
      <c r="E525" s="5"/>
    </row>
    <row r="526" spans="1:5" ht="12.5">
      <c r="A526" s="76"/>
      <c r="B526" s="5"/>
      <c r="C526" s="16"/>
      <c r="E526" s="5"/>
    </row>
    <row r="527" spans="1:5" ht="12.5">
      <c r="A527" s="76"/>
      <c r="B527" s="5"/>
      <c r="C527" s="16"/>
      <c r="E527" s="5"/>
    </row>
    <row r="528" spans="1:5" ht="12.5">
      <c r="A528" s="76"/>
      <c r="B528" s="5"/>
      <c r="C528" s="16"/>
      <c r="E528" s="5"/>
    </row>
    <row r="529" spans="1:5" ht="12.5">
      <c r="A529" s="76"/>
      <c r="B529" s="5"/>
      <c r="C529" s="16"/>
      <c r="E529" s="5"/>
    </row>
    <row r="530" spans="1:5" ht="12.5">
      <c r="A530" s="76"/>
      <c r="B530" s="5"/>
      <c r="C530" s="16"/>
      <c r="E530" s="5"/>
    </row>
    <row r="531" spans="1:5" ht="12.5">
      <c r="A531" s="76"/>
      <c r="B531" s="5"/>
      <c r="C531" s="16"/>
      <c r="E531" s="5"/>
    </row>
    <row r="532" spans="1:5" ht="12.5">
      <c r="A532" s="76"/>
      <c r="B532" s="5"/>
      <c r="C532" s="16"/>
      <c r="E532" s="5"/>
    </row>
    <row r="533" spans="1:5" ht="12.5">
      <c r="A533" s="76"/>
      <c r="B533" s="5"/>
      <c r="C533" s="16"/>
      <c r="E533" s="5"/>
    </row>
    <row r="534" spans="1:5" ht="12.5">
      <c r="A534" s="76"/>
      <c r="B534" s="5"/>
      <c r="C534" s="16"/>
      <c r="E534" s="5"/>
    </row>
    <row r="535" spans="1:5" ht="12.5">
      <c r="A535" s="76"/>
      <c r="B535" s="5"/>
      <c r="C535" s="16"/>
      <c r="E535" s="5"/>
    </row>
    <row r="536" spans="1:5" ht="12.5">
      <c r="A536" s="76"/>
      <c r="B536" s="5"/>
      <c r="C536" s="16"/>
      <c r="E536" s="5"/>
    </row>
    <row r="537" spans="1:5" ht="12.5">
      <c r="A537" s="76"/>
      <c r="B537" s="5"/>
      <c r="C537" s="16"/>
      <c r="E537" s="5"/>
    </row>
    <row r="538" spans="1:5" ht="12.5">
      <c r="A538" s="76"/>
      <c r="B538" s="5"/>
      <c r="C538" s="16"/>
      <c r="E538" s="5"/>
    </row>
    <row r="539" spans="1:5" ht="12.5">
      <c r="A539" s="76"/>
      <c r="B539" s="5"/>
      <c r="C539" s="16"/>
      <c r="E539" s="5"/>
    </row>
    <row r="540" spans="1:5" ht="12.5">
      <c r="A540" s="76"/>
      <c r="B540" s="5"/>
      <c r="C540" s="16"/>
      <c r="E540" s="5"/>
    </row>
    <row r="541" spans="1:5" ht="12.5">
      <c r="A541" s="76"/>
      <c r="B541" s="5"/>
      <c r="C541" s="16"/>
      <c r="E541" s="5"/>
    </row>
    <row r="542" spans="1:5" ht="12.5">
      <c r="A542" s="76"/>
      <c r="B542" s="5"/>
      <c r="C542" s="16"/>
      <c r="E542" s="5"/>
    </row>
    <row r="543" spans="1:5" ht="12.5">
      <c r="A543" s="76"/>
      <c r="B543" s="5"/>
      <c r="C543" s="16"/>
      <c r="E543" s="5"/>
    </row>
    <row r="544" spans="1:5" ht="12.5">
      <c r="A544" s="76"/>
      <c r="B544" s="5"/>
      <c r="C544" s="16"/>
      <c r="E544" s="5"/>
    </row>
    <row r="545" spans="1:5" ht="12.5">
      <c r="A545" s="76"/>
      <c r="B545" s="5"/>
      <c r="C545" s="16"/>
      <c r="E545" s="5"/>
    </row>
    <row r="546" spans="1:5" ht="12.5">
      <c r="A546" s="76"/>
      <c r="B546" s="5"/>
      <c r="C546" s="16"/>
      <c r="E546" s="5"/>
    </row>
    <row r="547" spans="1:5" ht="12.5">
      <c r="A547" s="76"/>
      <c r="B547" s="5"/>
      <c r="C547" s="16"/>
      <c r="E547" s="5"/>
    </row>
    <row r="548" spans="1:5" ht="12.5">
      <c r="A548" s="76"/>
      <c r="B548" s="5"/>
      <c r="C548" s="16"/>
      <c r="E548" s="5"/>
    </row>
    <row r="549" spans="1:5" ht="12.5">
      <c r="A549" s="76"/>
      <c r="B549" s="5"/>
      <c r="C549" s="16"/>
      <c r="E549" s="5"/>
    </row>
    <row r="550" spans="1:5" ht="12.5">
      <c r="A550" s="76"/>
      <c r="B550" s="5"/>
      <c r="C550" s="16"/>
      <c r="E550" s="5"/>
    </row>
    <row r="551" spans="1:5" ht="12.5">
      <c r="A551" s="76"/>
      <c r="B551" s="5"/>
      <c r="C551" s="16"/>
      <c r="E551" s="5"/>
    </row>
    <row r="552" spans="1:5" ht="12.5">
      <c r="A552" s="76"/>
      <c r="B552" s="5"/>
      <c r="C552" s="16"/>
      <c r="E552" s="5"/>
    </row>
    <row r="553" spans="1:5" ht="12.5">
      <c r="A553" s="76"/>
      <c r="B553" s="5"/>
      <c r="C553" s="16"/>
      <c r="E553" s="5"/>
    </row>
    <row r="554" spans="1:5" ht="12.5">
      <c r="A554" s="76"/>
      <c r="B554" s="5"/>
      <c r="C554" s="16"/>
      <c r="E554" s="5"/>
    </row>
    <row r="555" spans="1:5" ht="12.5">
      <c r="A555" s="76"/>
      <c r="B555" s="5"/>
      <c r="C555" s="16"/>
      <c r="E555" s="5"/>
    </row>
    <row r="556" spans="1:5" ht="12.5">
      <c r="A556" s="76"/>
      <c r="B556" s="5"/>
      <c r="C556" s="16"/>
      <c r="E556" s="5"/>
    </row>
    <row r="557" spans="1:5" ht="12.5">
      <c r="A557" s="76"/>
      <c r="B557" s="5"/>
      <c r="C557" s="16"/>
      <c r="E557" s="5"/>
    </row>
    <row r="558" spans="1:5" ht="12.5">
      <c r="A558" s="76"/>
      <c r="B558" s="5"/>
      <c r="C558" s="16"/>
      <c r="E558" s="5"/>
    </row>
    <row r="559" spans="1:5" ht="12.5">
      <c r="A559" s="76"/>
      <c r="B559" s="5"/>
      <c r="C559" s="16"/>
      <c r="E559" s="5"/>
    </row>
    <row r="560" spans="1:5" ht="12.5">
      <c r="A560" s="76"/>
      <c r="B560" s="5"/>
      <c r="C560" s="16"/>
      <c r="E560" s="5"/>
    </row>
    <row r="561" spans="1:5" ht="12.5">
      <c r="A561" s="76"/>
      <c r="B561" s="5"/>
      <c r="C561" s="16"/>
      <c r="E561" s="5"/>
    </row>
    <row r="562" spans="1:5" ht="12.5">
      <c r="A562" s="76"/>
      <c r="B562" s="5"/>
      <c r="C562" s="16"/>
      <c r="E562" s="5"/>
    </row>
    <row r="563" spans="1:5" ht="12.5">
      <c r="A563" s="76"/>
      <c r="B563" s="5"/>
      <c r="C563" s="16"/>
      <c r="E563" s="5"/>
    </row>
    <row r="564" spans="1:5" ht="12.5">
      <c r="A564" s="76"/>
      <c r="B564" s="5"/>
      <c r="C564" s="16"/>
      <c r="E564" s="5"/>
    </row>
    <row r="565" spans="1:5" ht="12.5">
      <c r="A565" s="76"/>
      <c r="B565" s="5"/>
      <c r="C565" s="16"/>
      <c r="E565" s="5"/>
    </row>
    <row r="566" spans="1:5" ht="12.5">
      <c r="A566" s="76"/>
      <c r="B566" s="5"/>
      <c r="C566" s="16"/>
      <c r="E566" s="5"/>
    </row>
    <row r="567" spans="1:5" ht="12.5">
      <c r="A567" s="76"/>
      <c r="B567" s="5"/>
      <c r="C567" s="16"/>
      <c r="E567" s="5"/>
    </row>
    <row r="568" spans="1:5" ht="12.5">
      <c r="A568" s="76"/>
      <c r="B568" s="5"/>
      <c r="C568" s="16"/>
      <c r="E568" s="5"/>
    </row>
    <row r="569" spans="1:5" ht="12.5">
      <c r="A569" s="76"/>
      <c r="B569" s="5"/>
      <c r="C569" s="16"/>
      <c r="E569" s="5"/>
    </row>
    <row r="570" spans="1:5" ht="12.5">
      <c r="A570" s="76"/>
      <c r="B570" s="5"/>
      <c r="C570" s="16"/>
      <c r="E570" s="5"/>
    </row>
    <row r="571" spans="1:5" ht="12.5">
      <c r="A571" s="76"/>
      <c r="B571" s="5"/>
      <c r="C571" s="16"/>
      <c r="E571" s="5"/>
    </row>
    <row r="572" spans="1:5" ht="12.5">
      <c r="A572" s="76"/>
      <c r="B572" s="5"/>
      <c r="C572" s="16"/>
      <c r="E572" s="5"/>
    </row>
    <row r="573" spans="1:5" ht="12.5">
      <c r="A573" s="76"/>
      <c r="B573" s="5"/>
      <c r="C573" s="16"/>
      <c r="E573" s="5"/>
    </row>
    <row r="574" spans="1:5" ht="12.5">
      <c r="A574" s="76"/>
      <c r="B574" s="5"/>
      <c r="C574" s="16"/>
      <c r="E574" s="5"/>
    </row>
    <row r="575" spans="1:5" ht="12.5">
      <c r="A575" s="76"/>
      <c r="B575" s="5"/>
      <c r="C575" s="16"/>
      <c r="E575" s="5"/>
    </row>
    <row r="576" spans="1:5" ht="12.5">
      <c r="A576" s="76"/>
      <c r="B576" s="5"/>
      <c r="C576" s="16"/>
      <c r="E576" s="5"/>
    </row>
    <row r="577" spans="1:5" ht="12.5">
      <c r="A577" s="76"/>
      <c r="B577" s="5"/>
      <c r="C577" s="16"/>
      <c r="E577" s="5"/>
    </row>
    <row r="578" spans="1:5" ht="12.5">
      <c r="A578" s="76"/>
      <c r="B578" s="5"/>
      <c r="C578" s="16"/>
      <c r="E578" s="5"/>
    </row>
    <row r="579" spans="1:5" ht="12.5">
      <c r="A579" s="76"/>
      <c r="B579" s="5"/>
      <c r="C579" s="16"/>
      <c r="E579" s="5"/>
    </row>
    <row r="580" spans="1:5" ht="12.5">
      <c r="A580" s="76"/>
      <c r="B580" s="5"/>
      <c r="C580" s="16"/>
      <c r="E580" s="5"/>
    </row>
    <row r="581" spans="1:5" ht="12.5">
      <c r="A581" s="76"/>
      <c r="B581" s="5"/>
      <c r="C581" s="16"/>
      <c r="E581" s="5"/>
    </row>
    <row r="582" spans="1:5" ht="12.5">
      <c r="A582" s="76"/>
      <c r="B582" s="5"/>
      <c r="C582" s="16"/>
      <c r="E582" s="5"/>
    </row>
    <row r="583" spans="1:5" ht="12.5">
      <c r="A583" s="76"/>
      <c r="B583" s="5"/>
      <c r="C583" s="16"/>
      <c r="E583" s="5"/>
    </row>
    <row r="584" spans="1:5" ht="12.5">
      <c r="A584" s="76"/>
      <c r="B584" s="5"/>
      <c r="C584" s="16"/>
      <c r="E584" s="5"/>
    </row>
    <row r="585" spans="1:5" ht="12.5">
      <c r="A585" s="76"/>
      <c r="B585" s="5"/>
      <c r="C585" s="16"/>
      <c r="E585" s="5"/>
    </row>
    <row r="586" spans="1:5" ht="12.5">
      <c r="A586" s="76"/>
      <c r="B586" s="5"/>
      <c r="C586" s="16"/>
      <c r="E586" s="5"/>
    </row>
    <row r="587" spans="1:5" ht="12.5">
      <c r="A587" s="76"/>
      <c r="B587" s="5"/>
      <c r="C587" s="16"/>
      <c r="E587" s="5"/>
    </row>
    <row r="588" spans="1:5" ht="12.5">
      <c r="A588" s="76"/>
      <c r="B588" s="5"/>
      <c r="C588" s="16"/>
      <c r="E588" s="5"/>
    </row>
    <row r="589" spans="1:5" ht="12.5">
      <c r="A589" s="76"/>
      <c r="B589" s="5"/>
      <c r="C589" s="16"/>
      <c r="E589" s="5"/>
    </row>
    <row r="590" spans="1:5" ht="12.5">
      <c r="A590" s="76"/>
      <c r="B590" s="5"/>
      <c r="C590" s="16"/>
      <c r="E590" s="5"/>
    </row>
    <row r="591" spans="1:5" ht="12.5">
      <c r="A591" s="76"/>
      <c r="B591" s="5"/>
      <c r="C591" s="16"/>
      <c r="E591" s="5"/>
    </row>
    <row r="592" spans="1:5" ht="12.5">
      <c r="A592" s="76"/>
      <c r="B592" s="5"/>
      <c r="C592" s="16"/>
      <c r="E592" s="5"/>
    </row>
    <row r="593" spans="1:5" ht="12.5">
      <c r="A593" s="76"/>
      <c r="B593" s="5"/>
      <c r="C593" s="16"/>
      <c r="E593" s="5"/>
    </row>
    <row r="594" spans="1:5" ht="12.5">
      <c r="A594" s="76"/>
      <c r="B594" s="5"/>
      <c r="C594" s="16"/>
      <c r="E594" s="5"/>
    </row>
    <row r="595" spans="1:5" ht="12.5">
      <c r="A595" s="76"/>
      <c r="B595" s="5"/>
      <c r="C595" s="16"/>
      <c r="E595" s="5"/>
    </row>
    <row r="596" spans="1:5" ht="12.5">
      <c r="A596" s="76"/>
      <c r="B596" s="5"/>
      <c r="C596" s="16"/>
      <c r="E596" s="5"/>
    </row>
    <row r="597" spans="1:5" ht="12.5">
      <c r="A597" s="76"/>
      <c r="B597" s="5"/>
      <c r="C597" s="16"/>
      <c r="E597" s="5"/>
    </row>
    <row r="598" spans="1:5" ht="12.5">
      <c r="A598" s="76"/>
      <c r="B598" s="5"/>
      <c r="C598" s="16"/>
      <c r="E598" s="5"/>
    </row>
    <row r="599" spans="1:5" ht="12.5">
      <c r="A599" s="76"/>
      <c r="B599" s="5"/>
      <c r="C599" s="16"/>
      <c r="E599" s="5"/>
    </row>
    <row r="600" spans="1:5" ht="12.5">
      <c r="A600" s="76"/>
      <c r="B600" s="5"/>
      <c r="C600" s="16"/>
      <c r="E600" s="5"/>
    </row>
    <row r="601" spans="1:5" ht="12.5">
      <c r="A601" s="76"/>
      <c r="B601" s="5"/>
      <c r="C601" s="16"/>
      <c r="E601" s="5"/>
    </row>
    <row r="602" spans="1:5" ht="12.5">
      <c r="A602" s="76"/>
      <c r="B602" s="5"/>
      <c r="C602" s="16"/>
      <c r="E602" s="5"/>
    </row>
    <row r="603" spans="1:5" ht="12.5">
      <c r="A603" s="76"/>
      <c r="B603" s="5"/>
      <c r="C603" s="16"/>
      <c r="E603" s="5"/>
    </row>
    <row r="604" spans="1:5" ht="12.5">
      <c r="A604" s="76"/>
      <c r="B604" s="5"/>
      <c r="C604" s="16"/>
      <c r="E604" s="5"/>
    </row>
    <row r="605" spans="1:5" ht="12.5">
      <c r="A605" s="76"/>
      <c r="B605" s="5"/>
      <c r="C605" s="16"/>
      <c r="E605" s="5"/>
    </row>
    <row r="606" spans="1:5" ht="12.5">
      <c r="A606" s="76"/>
      <c r="B606" s="5"/>
      <c r="C606" s="16"/>
      <c r="E606" s="5"/>
    </row>
    <row r="607" spans="1:5" ht="12.5">
      <c r="A607" s="76"/>
      <c r="B607" s="5"/>
      <c r="C607" s="16"/>
      <c r="E607" s="5"/>
    </row>
    <row r="608" spans="1:5" ht="12.5">
      <c r="A608" s="76"/>
      <c r="B608" s="5"/>
      <c r="C608" s="16"/>
      <c r="E608" s="5"/>
    </row>
    <row r="609" spans="1:5" ht="12.5">
      <c r="A609" s="76"/>
      <c r="B609" s="5"/>
      <c r="C609" s="16"/>
      <c r="E609" s="5"/>
    </row>
    <row r="610" spans="1:5" ht="12.5">
      <c r="A610" s="76"/>
      <c r="B610" s="5"/>
      <c r="C610" s="16"/>
      <c r="E610" s="5"/>
    </row>
    <row r="611" spans="1:5" ht="12.5">
      <c r="A611" s="76"/>
      <c r="B611" s="5"/>
      <c r="C611" s="16"/>
      <c r="E611" s="5"/>
    </row>
    <row r="612" spans="1:5" ht="12.5">
      <c r="A612" s="76"/>
      <c r="B612" s="5"/>
      <c r="C612" s="16"/>
      <c r="E612" s="5"/>
    </row>
    <row r="613" spans="1:5" ht="12.5">
      <c r="A613" s="76"/>
      <c r="B613" s="5"/>
      <c r="C613" s="16"/>
      <c r="E613" s="5"/>
    </row>
    <row r="614" spans="1:5" ht="12.5">
      <c r="A614" s="76"/>
      <c r="B614" s="5"/>
      <c r="C614" s="16"/>
      <c r="E614" s="5"/>
    </row>
    <row r="615" spans="1:5" ht="12.5">
      <c r="A615" s="76"/>
      <c r="B615" s="5"/>
      <c r="C615" s="16"/>
      <c r="E615" s="5"/>
    </row>
    <row r="616" spans="1:5" ht="12.5">
      <c r="A616" s="76"/>
      <c r="B616" s="5"/>
      <c r="C616" s="16"/>
      <c r="E616" s="5"/>
    </row>
    <row r="617" spans="1:5" ht="12.5">
      <c r="A617" s="76"/>
      <c r="B617" s="5"/>
      <c r="C617" s="16"/>
      <c r="E617" s="5"/>
    </row>
    <row r="618" spans="1:5" ht="12.5">
      <c r="A618" s="76"/>
      <c r="B618" s="5"/>
      <c r="C618" s="16"/>
      <c r="E618" s="5"/>
    </row>
    <row r="619" spans="1:5" ht="12.5">
      <c r="A619" s="76"/>
      <c r="B619" s="5"/>
      <c r="C619" s="16"/>
      <c r="E619" s="5"/>
    </row>
    <row r="620" spans="1:5" ht="12.5">
      <c r="A620" s="76"/>
      <c r="B620" s="5"/>
      <c r="C620" s="16"/>
      <c r="E620" s="5"/>
    </row>
    <row r="621" spans="1:5" ht="12.5">
      <c r="A621" s="76"/>
      <c r="B621" s="5"/>
      <c r="C621" s="16"/>
      <c r="E621" s="5"/>
    </row>
    <row r="622" spans="1:5" ht="12.5">
      <c r="A622" s="76"/>
      <c r="B622" s="5"/>
      <c r="C622" s="16"/>
      <c r="E622" s="5"/>
    </row>
    <row r="623" spans="1:5" ht="12.5">
      <c r="A623" s="76"/>
      <c r="B623" s="5"/>
      <c r="C623" s="16"/>
      <c r="E623" s="5"/>
    </row>
    <row r="624" spans="1:5" ht="12.5">
      <c r="A624" s="76"/>
      <c r="B624" s="5"/>
      <c r="C624" s="16"/>
      <c r="E624" s="5"/>
    </row>
    <row r="625" spans="1:5" ht="12.5">
      <c r="A625" s="76"/>
      <c r="B625" s="5"/>
      <c r="C625" s="16"/>
      <c r="E625" s="5"/>
    </row>
    <row r="626" spans="1:5" ht="12.5">
      <c r="A626" s="76"/>
      <c r="B626" s="5"/>
      <c r="C626" s="16"/>
      <c r="E626" s="5"/>
    </row>
    <row r="627" spans="1:5" ht="12.5">
      <c r="A627" s="76"/>
      <c r="B627" s="5"/>
      <c r="C627" s="16"/>
      <c r="E627" s="5"/>
    </row>
    <row r="628" spans="1:5" ht="12.5">
      <c r="A628" s="76"/>
      <c r="B628" s="5"/>
      <c r="C628" s="16"/>
      <c r="E628" s="5"/>
    </row>
    <row r="629" spans="1:5" ht="12.5">
      <c r="A629" s="76"/>
      <c r="B629" s="5"/>
      <c r="C629" s="16"/>
      <c r="E629" s="5"/>
    </row>
    <row r="630" spans="1:5" ht="12.5">
      <c r="A630" s="76"/>
      <c r="B630" s="5"/>
      <c r="C630" s="16"/>
      <c r="E630" s="5"/>
    </row>
    <row r="631" spans="1:5" ht="12.5">
      <c r="A631" s="76"/>
      <c r="B631" s="5"/>
      <c r="C631" s="16"/>
      <c r="E631" s="5"/>
    </row>
    <row r="632" spans="1:5" ht="12.5">
      <c r="A632" s="76"/>
      <c r="B632" s="5"/>
      <c r="C632" s="16"/>
      <c r="E632" s="5"/>
    </row>
    <row r="633" spans="1:5" ht="12.5">
      <c r="A633" s="76"/>
      <c r="B633" s="5"/>
      <c r="C633" s="16"/>
      <c r="E633" s="5"/>
    </row>
    <row r="634" spans="1:5" ht="12.5">
      <c r="A634" s="76"/>
      <c r="B634" s="5"/>
      <c r="C634" s="16"/>
      <c r="E634" s="5"/>
    </row>
    <row r="635" spans="1:5" ht="12.5">
      <c r="A635" s="76"/>
      <c r="B635" s="5"/>
      <c r="C635" s="16"/>
      <c r="E635" s="5"/>
    </row>
    <row r="636" spans="1:5" ht="12.5">
      <c r="A636" s="76"/>
      <c r="B636" s="5"/>
      <c r="C636" s="16"/>
      <c r="E636" s="5"/>
    </row>
    <row r="637" spans="1:5" ht="12.5">
      <c r="A637" s="76"/>
      <c r="B637" s="5"/>
      <c r="C637" s="16"/>
      <c r="E637" s="5"/>
    </row>
    <row r="638" spans="1:5" ht="12.5">
      <c r="A638" s="76"/>
      <c r="B638" s="5"/>
      <c r="C638" s="16"/>
      <c r="E638" s="5"/>
    </row>
    <row r="639" spans="1:5" ht="12.5">
      <c r="A639" s="76"/>
      <c r="B639" s="5"/>
      <c r="C639" s="16"/>
      <c r="E639" s="5"/>
    </row>
    <row r="640" spans="1:5" ht="12.5">
      <c r="A640" s="76"/>
      <c r="B640" s="5"/>
      <c r="C640" s="16"/>
      <c r="E640" s="5"/>
    </row>
    <row r="641" spans="1:5" ht="12.5">
      <c r="A641" s="76"/>
      <c r="B641" s="5"/>
      <c r="C641" s="16"/>
      <c r="E641" s="5"/>
    </row>
    <row r="642" spans="1:5" ht="12.5">
      <c r="A642" s="76"/>
      <c r="B642" s="5"/>
      <c r="C642" s="16"/>
      <c r="E642" s="5"/>
    </row>
    <row r="643" spans="1:5" ht="12.5">
      <c r="A643" s="76"/>
      <c r="B643" s="5"/>
      <c r="C643" s="16"/>
      <c r="E643" s="5"/>
    </row>
    <row r="644" spans="1:5" ht="12.5">
      <c r="A644" s="76"/>
      <c r="B644" s="5"/>
      <c r="C644" s="16"/>
      <c r="E644" s="5"/>
    </row>
    <row r="645" spans="1:5" ht="12.5">
      <c r="A645" s="76"/>
      <c r="B645" s="5"/>
      <c r="C645" s="16"/>
      <c r="E645" s="5"/>
    </row>
    <row r="646" spans="1:5" ht="12.5">
      <c r="A646" s="76"/>
      <c r="B646" s="5"/>
      <c r="C646" s="16"/>
      <c r="E646" s="5"/>
    </row>
    <row r="647" spans="1:5" ht="12.5">
      <c r="A647" s="76"/>
      <c r="B647" s="5"/>
      <c r="C647" s="16"/>
      <c r="E647" s="5"/>
    </row>
    <row r="648" spans="1:5" ht="12.5">
      <c r="A648" s="76"/>
      <c r="B648" s="5"/>
      <c r="C648" s="16"/>
      <c r="E648" s="5"/>
    </row>
    <row r="649" spans="1:5" ht="12.5">
      <c r="A649" s="76"/>
      <c r="B649" s="5"/>
      <c r="C649" s="16"/>
      <c r="E649" s="5"/>
    </row>
    <row r="650" spans="1:5" ht="12.5">
      <c r="A650" s="76"/>
      <c r="B650" s="5"/>
      <c r="C650" s="16"/>
      <c r="E650" s="5"/>
    </row>
    <row r="651" spans="1:5" ht="12.5">
      <c r="A651" s="76"/>
      <c r="B651" s="5"/>
      <c r="C651" s="16"/>
      <c r="E651" s="5"/>
    </row>
    <row r="652" spans="1:5" ht="12.5">
      <c r="A652" s="76"/>
      <c r="B652" s="5"/>
      <c r="C652" s="16"/>
      <c r="E652" s="5"/>
    </row>
    <row r="653" spans="1:5" ht="12.5">
      <c r="A653" s="76"/>
      <c r="B653" s="5"/>
      <c r="C653" s="16"/>
      <c r="E653" s="5"/>
    </row>
    <row r="654" spans="1:5" ht="12.5">
      <c r="A654" s="76"/>
      <c r="B654" s="5"/>
      <c r="C654" s="16"/>
      <c r="E654" s="5"/>
    </row>
    <row r="655" spans="1:5" ht="12.5">
      <c r="A655" s="76"/>
      <c r="B655" s="5"/>
      <c r="C655" s="16"/>
      <c r="E655" s="5"/>
    </row>
    <row r="656" spans="1:5" ht="12.5">
      <c r="A656" s="76"/>
      <c r="B656" s="5"/>
      <c r="C656" s="16"/>
      <c r="E656" s="5"/>
    </row>
    <row r="657" spans="1:5" ht="12.5">
      <c r="A657" s="76"/>
      <c r="B657" s="5"/>
      <c r="C657" s="16"/>
      <c r="E657" s="5"/>
    </row>
    <row r="658" spans="1:5" ht="12.5">
      <c r="A658" s="76"/>
      <c r="B658" s="5"/>
      <c r="C658" s="16"/>
      <c r="E658" s="5"/>
    </row>
    <row r="659" spans="1:5" ht="12.5">
      <c r="A659" s="76"/>
      <c r="B659" s="5"/>
      <c r="C659" s="16"/>
      <c r="E659" s="5"/>
    </row>
    <row r="660" spans="1:5" ht="12.5">
      <c r="A660" s="76"/>
      <c r="B660" s="5"/>
      <c r="C660" s="16"/>
      <c r="E660" s="5"/>
    </row>
    <row r="661" spans="1:5" ht="12.5">
      <c r="A661" s="76"/>
      <c r="B661" s="5"/>
      <c r="C661" s="16"/>
      <c r="E661" s="5"/>
    </row>
    <row r="662" spans="1:5" ht="12.5">
      <c r="A662" s="76"/>
      <c r="B662" s="5"/>
      <c r="C662" s="16"/>
      <c r="E662" s="5"/>
    </row>
    <row r="663" spans="1:5" ht="12.5">
      <c r="A663" s="76"/>
      <c r="B663" s="5"/>
      <c r="C663" s="16"/>
      <c r="E663" s="5"/>
    </row>
    <row r="664" spans="1:5" ht="12.5">
      <c r="A664" s="76"/>
      <c r="B664" s="5"/>
      <c r="C664" s="16"/>
      <c r="E664" s="5"/>
    </row>
    <row r="665" spans="1:5" ht="12.5">
      <c r="A665" s="76"/>
      <c r="B665" s="5"/>
      <c r="C665" s="16"/>
      <c r="E665" s="5"/>
    </row>
    <row r="666" spans="1:5" ht="12.5">
      <c r="A666" s="76"/>
      <c r="B666" s="5"/>
      <c r="C666" s="16"/>
      <c r="E666" s="5"/>
    </row>
    <row r="667" spans="1:5" ht="12.5">
      <c r="A667" s="76"/>
      <c r="B667" s="5"/>
      <c r="C667" s="16"/>
      <c r="E667" s="5"/>
    </row>
    <row r="668" spans="1:5" ht="12.5">
      <c r="A668" s="76"/>
      <c r="B668" s="5"/>
      <c r="C668" s="16"/>
      <c r="E668" s="5"/>
    </row>
    <row r="669" spans="1:5" ht="12.5">
      <c r="A669" s="76"/>
      <c r="B669" s="5"/>
      <c r="C669" s="16"/>
      <c r="E669" s="5"/>
    </row>
    <row r="670" spans="1:5" ht="12.5">
      <c r="A670" s="76"/>
      <c r="B670" s="5"/>
      <c r="C670" s="16"/>
      <c r="E670" s="5"/>
    </row>
    <row r="671" spans="1:5" ht="12.5">
      <c r="A671" s="76"/>
      <c r="B671" s="5"/>
      <c r="C671" s="16"/>
      <c r="E671" s="5"/>
    </row>
    <row r="672" spans="1:5" ht="12.5">
      <c r="A672" s="76"/>
      <c r="B672" s="5"/>
      <c r="C672" s="16"/>
      <c r="E672" s="5"/>
    </row>
    <row r="673" spans="1:5" ht="12.5">
      <c r="A673" s="76"/>
      <c r="B673" s="5"/>
      <c r="C673" s="16"/>
      <c r="E673" s="5"/>
    </row>
    <row r="674" spans="1:5" ht="12.5">
      <c r="A674" s="76"/>
      <c r="B674" s="5"/>
      <c r="C674" s="16"/>
      <c r="E674" s="5"/>
    </row>
    <row r="675" spans="1:5" ht="12.5">
      <c r="A675" s="76"/>
      <c r="B675" s="5"/>
      <c r="C675" s="16"/>
      <c r="E675" s="5"/>
    </row>
    <row r="676" spans="1:5" ht="12.5">
      <c r="A676" s="76"/>
      <c r="B676" s="5"/>
      <c r="C676" s="16"/>
      <c r="E676" s="5"/>
    </row>
    <row r="677" spans="1:5" ht="12.5">
      <c r="A677" s="76"/>
      <c r="B677" s="5"/>
      <c r="C677" s="16"/>
      <c r="E677" s="5"/>
    </row>
    <row r="678" spans="1:5" ht="12.5">
      <c r="A678" s="76"/>
      <c r="B678" s="5"/>
      <c r="C678" s="16"/>
      <c r="E678" s="5"/>
    </row>
    <row r="679" spans="1:5" ht="12.5">
      <c r="A679" s="76"/>
      <c r="B679" s="5"/>
      <c r="C679" s="16"/>
      <c r="E679" s="5"/>
    </row>
    <row r="680" spans="1:5" ht="12.5">
      <c r="A680" s="76"/>
      <c r="B680" s="5"/>
      <c r="C680" s="16"/>
      <c r="E680" s="5"/>
    </row>
    <row r="681" spans="1:5" ht="12.5">
      <c r="A681" s="76"/>
      <c r="B681" s="5"/>
      <c r="C681" s="16"/>
      <c r="E681" s="5"/>
    </row>
    <row r="682" spans="1:5" ht="12.5">
      <c r="A682" s="76"/>
      <c r="B682" s="5"/>
      <c r="C682" s="16"/>
      <c r="E682" s="5"/>
    </row>
    <row r="683" spans="1:5" ht="12.5">
      <c r="A683" s="76"/>
      <c r="B683" s="5"/>
      <c r="C683" s="16"/>
      <c r="E683" s="5"/>
    </row>
    <row r="684" spans="1:5" ht="12.5">
      <c r="A684" s="76"/>
      <c r="B684" s="5"/>
      <c r="C684" s="16"/>
      <c r="E684" s="5"/>
    </row>
    <row r="685" spans="1:5" ht="12.5">
      <c r="A685" s="76"/>
      <c r="B685" s="5"/>
      <c r="C685" s="16"/>
      <c r="E685" s="5"/>
    </row>
    <row r="686" spans="1:5" ht="12.5">
      <c r="A686" s="76"/>
      <c r="B686" s="5"/>
      <c r="C686" s="16"/>
      <c r="E686" s="5"/>
    </row>
    <row r="687" spans="1:5" ht="12.5">
      <c r="A687" s="76"/>
      <c r="B687" s="5"/>
      <c r="C687" s="16"/>
      <c r="E687" s="5"/>
    </row>
    <row r="688" spans="1:5" ht="12.5">
      <c r="A688" s="76"/>
      <c r="B688" s="5"/>
      <c r="C688" s="16"/>
      <c r="E688" s="5"/>
    </row>
    <row r="689" spans="1:5" ht="12.5">
      <c r="A689" s="76"/>
      <c r="B689" s="5"/>
      <c r="C689" s="16"/>
      <c r="E689" s="5"/>
    </row>
    <row r="690" spans="1:5" ht="12.5">
      <c r="A690" s="76"/>
      <c r="B690" s="5"/>
      <c r="C690" s="16"/>
      <c r="E690" s="5"/>
    </row>
    <row r="691" spans="1:5" ht="12.5">
      <c r="A691" s="76"/>
      <c r="B691" s="5"/>
      <c r="C691" s="16"/>
      <c r="E691" s="5"/>
    </row>
    <row r="692" spans="1:5" ht="12.5">
      <c r="A692" s="76"/>
      <c r="B692" s="5"/>
      <c r="C692" s="16"/>
      <c r="E692" s="5"/>
    </row>
    <row r="693" spans="1:5" ht="12.5">
      <c r="A693" s="76"/>
      <c r="B693" s="5"/>
      <c r="C693" s="16"/>
      <c r="E693" s="5"/>
    </row>
    <row r="694" spans="1:5" ht="12.5">
      <c r="A694" s="76"/>
      <c r="B694" s="5"/>
      <c r="C694" s="16"/>
      <c r="E694" s="5"/>
    </row>
    <row r="695" spans="1:5" ht="12.5">
      <c r="A695" s="76"/>
      <c r="B695" s="5"/>
      <c r="C695" s="16"/>
      <c r="E695" s="5"/>
    </row>
    <row r="696" spans="1:5" ht="12.5">
      <c r="A696" s="76"/>
      <c r="B696" s="5"/>
      <c r="C696" s="16"/>
      <c r="E696" s="5"/>
    </row>
    <row r="697" spans="1:5" ht="12.5">
      <c r="A697" s="76"/>
      <c r="B697" s="5"/>
      <c r="C697" s="16"/>
      <c r="E697" s="5"/>
    </row>
    <row r="698" spans="1:5" ht="12.5">
      <c r="A698" s="76"/>
      <c r="B698" s="5"/>
      <c r="C698" s="16"/>
      <c r="E698" s="5"/>
    </row>
    <row r="699" spans="1:5" ht="12.5">
      <c r="A699" s="76"/>
      <c r="B699" s="5"/>
      <c r="C699" s="16"/>
      <c r="E699" s="5"/>
    </row>
    <row r="700" spans="1:5" ht="12.5">
      <c r="A700" s="76"/>
      <c r="B700" s="5"/>
      <c r="C700" s="16"/>
      <c r="E700" s="5"/>
    </row>
    <row r="701" spans="1:5" ht="12.5">
      <c r="A701" s="76"/>
      <c r="B701" s="5"/>
      <c r="C701" s="16"/>
      <c r="E701" s="5"/>
    </row>
    <row r="702" spans="1:5" ht="12.5">
      <c r="A702" s="76"/>
      <c r="B702" s="5"/>
      <c r="C702" s="16"/>
      <c r="E702" s="5"/>
    </row>
    <row r="703" spans="1:5" ht="12.5">
      <c r="A703" s="76"/>
      <c r="B703" s="5"/>
      <c r="C703" s="16"/>
      <c r="E703" s="5"/>
    </row>
    <row r="704" spans="1:5" ht="12.5">
      <c r="A704" s="76"/>
      <c r="B704" s="5"/>
      <c r="C704" s="16"/>
      <c r="E704" s="5"/>
    </row>
    <row r="705" spans="1:5" ht="12.5">
      <c r="A705" s="76"/>
      <c r="B705" s="5"/>
      <c r="C705" s="16"/>
      <c r="E705" s="5"/>
    </row>
    <row r="706" spans="1:5" ht="12.5">
      <c r="A706" s="76"/>
      <c r="B706" s="5"/>
      <c r="C706" s="16"/>
      <c r="E706" s="5"/>
    </row>
    <row r="707" spans="1:5" ht="12.5">
      <c r="A707" s="76"/>
      <c r="B707" s="5"/>
      <c r="C707" s="16"/>
      <c r="E707" s="5"/>
    </row>
    <row r="708" spans="1:5" ht="12.5">
      <c r="A708" s="76"/>
      <c r="B708" s="5"/>
      <c r="C708" s="16"/>
      <c r="E708" s="5"/>
    </row>
    <row r="709" spans="1:5" ht="12.5">
      <c r="A709" s="76"/>
      <c r="B709" s="5"/>
      <c r="C709" s="16"/>
      <c r="E709" s="5"/>
    </row>
    <row r="710" spans="1:5" ht="12.5">
      <c r="A710" s="76"/>
      <c r="B710" s="5"/>
      <c r="C710" s="16"/>
      <c r="E710" s="5"/>
    </row>
    <row r="711" spans="1:5" ht="12.5">
      <c r="A711" s="76"/>
      <c r="B711" s="5"/>
      <c r="C711" s="16"/>
      <c r="E711" s="5"/>
    </row>
    <row r="712" spans="1:5" ht="12.5">
      <c r="A712" s="76"/>
      <c r="B712" s="5"/>
      <c r="C712" s="16"/>
      <c r="E712" s="5"/>
    </row>
    <row r="713" spans="1:5" ht="12.5">
      <c r="A713" s="76"/>
      <c r="B713" s="5"/>
      <c r="C713" s="16"/>
      <c r="E713" s="5"/>
    </row>
    <row r="714" spans="1:5" ht="12.5">
      <c r="A714" s="76"/>
      <c r="B714" s="5"/>
      <c r="C714" s="16"/>
      <c r="E714" s="5"/>
    </row>
    <row r="715" spans="1:5" ht="12.5">
      <c r="A715" s="76"/>
      <c r="B715" s="5"/>
      <c r="C715" s="16"/>
      <c r="E715" s="5"/>
    </row>
    <row r="716" spans="1:5" ht="12.5">
      <c r="A716" s="76"/>
      <c r="B716" s="5"/>
      <c r="C716" s="16"/>
      <c r="E716" s="5"/>
    </row>
    <row r="717" spans="1:5" ht="12.5">
      <c r="A717" s="76"/>
      <c r="B717" s="5"/>
      <c r="C717" s="16"/>
      <c r="E717" s="5"/>
    </row>
    <row r="718" spans="1:5" ht="12.5">
      <c r="A718" s="76"/>
      <c r="B718" s="5"/>
      <c r="C718" s="16"/>
      <c r="E718" s="5"/>
    </row>
    <row r="719" spans="1:5" ht="12.5">
      <c r="A719" s="76"/>
      <c r="B719" s="5"/>
      <c r="C719" s="16"/>
      <c r="E719" s="5"/>
    </row>
    <row r="720" spans="1:5" ht="12.5">
      <c r="A720" s="76"/>
      <c r="B720" s="5"/>
      <c r="C720" s="16"/>
      <c r="E720" s="5"/>
    </row>
    <row r="721" spans="1:5" ht="12.5">
      <c r="A721" s="76"/>
      <c r="B721" s="5"/>
      <c r="C721" s="16"/>
      <c r="E721" s="5"/>
    </row>
    <row r="722" spans="1:5" ht="12.5">
      <c r="A722" s="76"/>
      <c r="B722" s="5"/>
      <c r="C722" s="16"/>
      <c r="E722" s="5"/>
    </row>
    <row r="723" spans="1:5" ht="12.5">
      <c r="A723" s="76"/>
      <c r="B723" s="5"/>
      <c r="C723" s="16"/>
      <c r="E723" s="5"/>
    </row>
    <row r="724" spans="1:5" ht="12.5">
      <c r="A724" s="76"/>
      <c r="B724" s="5"/>
      <c r="C724" s="16"/>
      <c r="E724" s="5"/>
    </row>
    <row r="725" spans="1:5" ht="12.5">
      <c r="A725" s="76"/>
      <c r="B725" s="5"/>
      <c r="C725" s="16"/>
      <c r="E725" s="5"/>
    </row>
    <row r="726" spans="1:5" ht="12.5">
      <c r="A726" s="76"/>
      <c r="B726" s="5"/>
      <c r="C726" s="16"/>
      <c r="E726" s="5"/>
    </row>
    <row r="727" spans="1:5" ht="12.5">
      <c r="A727" s="76"/>
      <c r="B727" s="5"/>
      <c r="C727" s="16"/>
      <c r="E727" s="5"/>
    </row>
    <row r="728" spans="1:5" ht="12.5">
      <c r="A728" s="76"/>
      <c r="B728" s="5"/>
      <c r="C728" s="16"/>
      <c r="E728" s="5"/>
    </row>
    <row r="729" spans="1:5" ht="12.5">
      <c r="A729" s="76"/>
      <c r="B729" s="5"/>
      <c r="C729" s="16"/>
      <c r="E729" s="5"/>
    </row>
    <row r="730" spans="1:5" ht="12.5">
      <c r="A730" s="76"/>
      <c r="B730" s="5"/>
      <c r="C730" s="16"/>
      <c r="E730" s="5"/>
    </row>
    <row r="731" spans="1:5" ht="12.5">
      <c r="A731" s="76"/>
      <c r="B731" s="5"/>
      <c r="C731" s="16"/>
      <c r="E731" s="5"/>
    </row>
    <row r="732" spans="1:5" ht="12.5">
      <c r="A732" s="76"/>
      <c r="B732" s="5"/>
      <c r="C732" s="16"/>
      <c r="E732" s="5"/>
    </row>
    <row r="733" spans="1:5" ht="12.5">
      <c r="A733" s="76"/>
      <c r="B733" s="5"/>
      <c r="C733" s="16"/>
      <c r="E733" s="5"/>
    </row>
    <row r="734" spans="1:5" ht="12.5">
      <c r="A734" s="76"/>
      <c r="B734" s="5"/>
      <c r="C734" s="16"/>
      <c r="E734" s="5"/>
    </row>
    <row r="735" spans="1:5" ht="12.5">
      <c r="A735" s="76"/>
      <c r="B735" s="5"/>
      <c r="C735" s="16"/>
      <c r="E735" s="5"/>
    </row>
    <row r="736" spans="1:5" ht="12.5">
      <c r="A736" s="76"/>
      <c r="B736" s="5"/>
      <c r="C736" s="16"/>
      <c r="E736" s="5"/>
    </row>
    <row r="737" spans="1:5" ht="12.5">
      <c r="A737" s="76"/>
      <c r="B737" s="5"/>
      <c r="C737" s="16"/>
      <c r="E737" s="5"/>
    </row>
    <row r="738" spans="1:5" ht="12.5">
      <c r="A738" s="76"/>
      <c r="B738" s="5"/>
      <c r="C738" s="16"/>
      <c r="E738" s="5"/>
    </row>
    <row r="739" spans="1:5" ht="12.5">
      <c r="A739" s="76"/>
      <c r="B739" s="5"/>
      <c r="C739" s="16"/>
      <c r="E739" s="5"/>
    </row>
    <row r="740" spans="1:5" ht="12.5">
      <c r="A740" s="76"/>
      <c r="B740" s="5"/>
      <c r="C740" s="16"/>
      <c r="E740" s="5"/>
    </row>
    <row r="741" spans="1:5" ht="12.5">
      <c r="A741" s="76"/>
      <c r="B741" s="5"/>
      <c r="C741" s="16"/>
      <c r="E741" s="5"/>
    </row>
    <row r="742" spans="1:5" ht="12.5">
      <c r="A742" s="76"/>
      <c r="B742" s="5"/>
      <c r="C742" s="16"/>
      <c r="E742" s="5"/>
    </row>
    <row r="743" spans="1:5" ht="12.5">
      <c r="A743" s="76"/>
      <c r="B743" s="5"/>
      <c r="C743" s="16"/>
      <c r="E743" s="5"/>
    </row>
    <row r="744" spans="1:5" ht="12.5">
      <c r="A744" s="76"/>
      <c r="B744" s="5"/>
      <c r="C744" s="16"/>
      <c r="E744" s="5"/>
    </row>
    <row r="745" spans="1:5" ht="12.5">
      <c r="A745" s="76"/>
      <c r="B745" s="5"/>
      <c r="C745" s="16"/>
      <c r="E745" s="5"/>
    </row>
    <row r="746" spans="1:5" ht="12.5">
      <c r="A746" s="76"/>
      <c r="B746" s="5"/>
      <c r="C746" s="16"/>
      <c r="E746" s="5"/>
    </row>
    <row r="747" spans="1:5" ht="12.5">
      <c r="A747" s="76"/>
      <c r="B747" s="5"/>
      <c r="C747" s="16"/>
      <c r="E747" s="5"/>
    </row>
    <row r="748" spans="1:5" ht="12.5">
      <c r="A748" s="76"/>
      <c r="B748" s="5"/>
      <c r="C748" s="16"/>
      <c r="E748" s="5"/>
    </row>
    <row r="749" spans="1:5" ht="12.5">
      <c r="A749" s="76"/>
      <c r="B749" s="5"/>
      <c r="C749" s="16"/>
      <c r="E749" s="5"/>
    </row>
    <row r="750" spans="1:5" ht="12.5">
      <c r="A750" s="76"/>
      <c r="B750" s="5"/>
      <c r="C750" s="16"/>
      <c r="E750" s="5"/>
    </row>
    <row r="751" spans="1:5" ht="12.5">
      <c r="A751" s="76"/>
      <c r="B751" s="5"/>
      <c r="C751" s="16"/>
      <c r="E751" s="5"/>
    </row>
    <row r="752" spans="1:5" ht="12.5">
      <c r="A752" s="76"/>
      <c r="B752" s="5"/>
      <c r="C752" s="16"/>
      <c r="E752" s="5"/>
    </row>
    <row r="753" spans="1:5" ht="12.5">
      <c r="A753" s="76"/>
      <c r="B753" s="5"/>
      <c r="C753" s="16"/>
      <c r="E753" s="5"/>
    </row>
    <row r="754" spans="1:5" ht="12.5">
      <c r="A754" s="76"/>
      <c r="B754" s="5"/>
      <c r="C754" s="16"/>
      <c r="E754" s="5"/>
    </row>
    <row r="755" spans="1:5" ht="12.5">
      <c r="A755" s="76"/>
      <c r="B755" s="5"/>
      <c r="C755" s="16"/>
      <c r="E755" s="5"/>
    </row>
    <row r="756" spans="1:5" ht="12.5">
      <c r="A756" s="76"/>
      <c r="B756" s="5"/>
      <c r="C756" s="16"/>
      <c r="E756" s="5"/>
    </row>
    <row r="757" spans="1:5" ht="12.5">
      <c r="A757" s="76"/>
      <c r="B757" s="5"/>
      <c r="C757" s="16"/>
      <c r="E757" s="5"/>
    </row>
    <row r="758" spans="1:5" ht="12.5">
      <c r="A758" s="76"/>
      <c r="B758" s="5"/>
      <c r="C758" s="16"/>
      <c r="E758" s="5"/>
    </row>
    <row r="759" spans="1:5" ht="12.5">
      <c r="A759" s="76"/>
      <c r="B759" s="5"/>
      <c r="C759" s="16"/>
      <c r="E759" s="5"/>
    </row>
    <row r="760" spans="1:5" ht="12.5">
      <c r="A760" s="76"/>
      <c r="B760" s="5"/>
      <c r="C760" s="16"/>
      <c r="E760" s="5"/>
    </row>
    <row r="761" spans="1:5" ht="12.5">
      <c r="A761" s="76"/>
      <c r="B761" s="5"/>
      <c r="C761" s="16"/>
      <c r="E761" s="5"/>
    </row>
    <row r="762" spans="1:5" ht="12.5">
      <c r="A762" s="76"/>
      <c r="B762" s="5"/>
      <c r="C762" s="16"/>
      <c r="E762" s="5"/>
    </row>
    <row r="763" spans="1:5" ht="12.5">
      <c r="A763" s="76"/>
      <c r="B763" s="5"/>
      <c r="C763" s="16"/>
      <c r="E763" s="5"/>
    </row>
    <row r="764" spans="1:5" ht="12.5">
      <c r="A764" s="76"/>
      <c r="B764" s="5"/>
      <c r="C764" s="16"/>
      <c r="E764" s="5"/>
    </row>
    <row r="765" spans="1:5" ht="12.5">
      <c r="A765" s="76"/>
      <c r="B765" s="5"/>
      <c r="C765" s="16"/>
      <c r="E765" s="5"/>
    </row>
    <row r="766" spans="1:5" ht="12.5">
      <c r="A766" s="76"/>
      <c r="B766" s="5"/>
      <c r="C766" s="16"/>
      <c r="E766" s="5"/>
    </row>
    <row r="767" spans="1:5" ht="12.5">
      <c r="A767" s="76"/>
      <c r="B767" s="5"/>
      <c r="C767" s="16"/>
      <c r="E767" s="5"/>
    </row>
    <row r="768" spans="1:5" ht="12.5">
      <c r="A768" s="76"/>
      <c r="B768" s="5"/>
      <c r="C768" s="16"/>
      <c r="E768" s="5"/>
    </row>
    <row r="769" spans="1:5" ht="12.5">
      <c r="A769" s="76"/>
      <c r="B769" s="5"/>
      <c r="C769" s="16"/>
      <c r="E769" s="5"/>
    </row>
    <row r="770" spans="1:5" ht="12.5">
      <c r="A770" s="76"/>
      <c r="B770" s="5"/>
      <c r="C770" s="16"/>
      <c r="E770" s="5"/>
    </row>
    <row r="771" spans="1:5" ht="12.5">
      <c r="A771" s="76"/>
      <c r="B771" s="5"/>
      <c r="C771" s="16"/>
      <c r="E771" s="5"/>
    </row>
    <row r="772" spans="1:5" ht="12.5">
      <c r="A772" s="76"/>
      <c r="B772" s="5"/>
      <c r="C772" s="16"/>
      <c r="E772" s="5"/>
    </row>
    <row r="773" spans="1:5" ht="12.5">
      <c r="A773" s="76"/>
      <c r="B773" s="5"/>
      <c r="C773" s="16"/>
      <c r="E773" s="5"/>
    </row>
    <row r="774" spans="1:5" ht="12.5">
      <c r="A774" s="76"/>
      <c r="B774" s="5"/>
      <c r="C774" s="16"/>
      <c r="E774" s="5"/>
    </row>
    <row r="775" spans="1:5" ht="12.5">
      <c r="A775" s="76"/>
      <c r="B775" s="5"/>
      <c r="C775" s="16"/>
      <c r="E775" s="5"/>
    </row>
    <row r="776" spans="1:5" ht="12.5">
      <c r="A776" s="76"/>
      <c r="B776" s="5"/>
      <c r="C776" s="16"/>
      <c r="E776" s="5"/>
    </row>
    <row r="777" spans="1:5" ht="12.5">
      <c r="A777" s="76"/>
      <c r="B777" s="5"/>
      <c r="C777" s="16"/>
      <c r="E777" s="5"/>
    </row>
    <row r="778" spans="1:5" ht="12.5">
      <c r="A778" s="76"/>
      <c r="B778" s="5"/>
      <c r="C778" s="16"/>
      <c r="E778" s="5"/>
    </row>
    <row r="779" spans="1:5" ht="12.5">
      <c r="A779" s="76"/>
      <c r="B779" s="5"/>
      <c r="C779" s="16"/>
      <c r="E779" s="5"/>
    </row>
    <row r="780" spans="1:5" ht="12.5">
      <c r="A780" s="76"/>
      <c r="B780" s="5"/>
      <c r="C780" s="16"/>
      <c r="E780" s="5"/>
    </row>
    <row r="781" spans="1:5" ht="12.5">
      <c r="A781" s="76"/>
      <c r="B781" s="5"/>
      <c r="C781" s="16"/>
      <c r="E781" s="5"/>
    </row>
    <row r="782" spans="1:5" ht="12.5">
      <c r="A782" s="76"/>
      <c r="B782" s="5"/>
      <c r="C782" s="16"/>
      <c r="E782" s="5"/>
    </row>
    <row r="783" spans="1:5" ht="12.5">
      <c r="A783" s="76"/>
      <c r="B783" s="5"/>
      <c r="C783" s="16"/>
      <c r="E783" s="5"/>
    </row>
    <row r="784" spans="1:5" ht="12.5">
      <c r="A784" s="76"/>
      <c r="B784" s="5"/>
      <c r="C784" s="16"/>
      <c r="E784" s="5"/>
    </row>
    <row r="785" spans="1:5" ht="12.5">
      <c r="A785" s="76"/>
      <c r="B785" s="5"/>
      <c r="C785" s="16"/>
      <c r="E785" s="5"/>
    </row>
    <row r="786" spans="1:5" ht="12.5">
      <c r="A786" s="76"/>
      <c r="B786" s="5"/>
      <c r="C786" s="16"/>
      <c r="E786" s="5"/>
    </row>
    <row r="787" spans="1:5" ht="12.5">
      <c r="A787" s="76"/>
      <c r="B787" s="5"/>
      <c r="C787" s="16"/>
      <c r="E787" s="5"/>
    </row>
    <row r="788" spans="1:5" ht="12.5">
      <c r="A788" s="76"/>
      <c r="B788" s="5"/>
      <c r="C788" s="16"/>
      <c r="E788" s="5"/>
    </row>
    <row r="789" spans="1:5" ht="12.5">
      <c r="A789" s="76"/>
      <c r="B789" s="5"/>
      <c r="C789" s="16"/>
      <c r="E789" s="5"/>
    </row>
    <row r="790" spans="1:5" ht="12.5">
      <c r="A790" s="76"/>
      <c r="B790" s="5"/>
      <c r="C790" s="16"/>
      <c r="E790" s="5"/>
    </row>
    <row r="791" spans="1:5" ht="12.5">
      <c r="A791" s="76"/>
      <c r="B791" s="5"/>
      <c r="C791" s="16"/>
      <c r="E791" s="5"/>
    </row>
    <row r="792" spans="1:5" ht="12.5">
      <c r="A792" s="76"/>
      <c r="B792" s="5"/>
      <c r="C792" s="16"/>
      <c r="E792" s="5"/>
    </row>
    <row r="793" spans="1:5" ht="12.5">
      <c r="A793" s="76"/>
      <c r="B793" s="5"/>
      <c r="C793" s="16"/>
      <c r="E793" s="5"/>
    </row>
    <row r="794" spans="1:5" ht="12.5">
      <c r="A794" s="76"/>
      <c r="B794" s="5"/>
      <c r="C794" s="16"/>
      <c r="E794" s="5"/>
    </row>
    <row r="795" spans="1:5" ht="12.5">
      <c r="A795" s="76"/>
      <c r="B795" s="5"/>
      <c r="C795" s="16"/>
      <c r="E795" s="5"/>
    </row>
    <row r="796" spans="1:5" ht="12.5">
      <c r="A796" s="76"/>
      <c r="B796" s="5"/>
      <c r="C796" s="16"/>
      <c r="E796" s="5"/>
    </row>
    <row r="797" spans="1:5" ht="12.5">
      <c r="A797" s="76"/>
      <c r="B797" s="5"/>
      <c r="C797" s="16"/>
      <c r="E797" s="5"/>
    </row>
    <row r="798" spans="1:5" ht="12.5">
      <c r="A798" s="76"/>
      <c r="B798" s="5"/>
      <c r="C798" s="16"/>
      <c r="E798" s="5"/>
    </row>
    <row r="799" spans="1:5" ht="12.5">
      <c r="A799" s="76"/>
      <c r="B799" s="5"/>
      <c r="C799" s="16"/>
      <c r="E799" s="5"/>
    </row>
    <row r="800" spans="1:5" ht="12.5">
      <c r="A800" s="76"/>
      <c r="B800" s="5"/>
      <c r="C800" s="16"/>
      <c r="E800" s="5"/>
    </row>
    <row r="801" spans="1:5" ht="12.5">
      <c r="A801" s="76"/>
      <c r="B801" s="5"/>
      <c r="C801" s="16"/>
      <c r="E801" s="5"/>
    </row>
    <row r="802" spans="1:5" ht="12.5">
      <c r="A802" s="76"/>
      <c r="B802" s="5"/>
      <c r="C802" s="16"/>
      <c r="E802" s="5"/>
    </row>
    <row r="803" spans="1:5" ht="12.5">
      <c r="A803" s="76"/>
      <c r="B803" s="5"/>
      <c r="C803" s="16"/>
      <c r="E803" s="5"/>
    </row>
    <row r="804" spans="1:5" ht="12.5">
      <c r="A804" s="76"/>
      <c r="B804" s="5"/>
      <c r="C804" s="16"/>
      <c r="E804" s="5"/>
    </row>
    <row r="805" spans="1:5" ht="12.5">
      <c r="A805" s="76"/>
      <c r="B805" s="5"/>
      <c r="C805" s="16"/>
      <c r="E805" s="5"/>
    </row>
    <row r="806" spans="1:5" ht="12.5">
      <c r="A806" s="76"/>
      <c r="B806" s="5"/>
      <c r="C806" s="16"/>
      <c r="E806" s="5"/>
    </row>
    <row r="807" spans="1:5" ht="12.5">
      <c r="A807" s="76"/>
      <c r="B807" s="5"/>
      <c r="C807" s="16"/>
      <c r="E807" s="5"/>
    </row>
    <row r="808" spans="1:5" ht="12.5">
      <c r="A808" s="76"/>
      <c r="B808" s="5"/>
      <c r="C808" s="16"/>
      <c r="E808" s="5"/>
    </row>
    <row r="809" spans="1:5" ht="12.5">
      <c r="A809" s="76"/>
      <c r="B809" s="5"/>
      <c r="C809" s="16"/>
      <c r="E809" s="5"/>
    </row>
    <row r="810" spans="1:5" ht="12.5">
      <c r="A810" s="76"/>
      <c r="B810" s="5"/>
      <c r="C810" s="16"/>
      <c r="E810" s="5"/>
    </row>
    <row r="811" spans="1:5" ht="12.5">
      <c r="A811" s="76"/>
      <c r="B811" s="5"/>
      <c r="C811" s="16"/>
      <c r="E811" s="5"/>
    </row>
    <row r="812" spans="1:5" ht="12.5">
      <c r="A812" s="76"/>
      <c r="B812" s="5"/>
      <c r="C812" s="16"/>
      <c r="E812" s="5"/>
    </row>
    <row r="813" spans="1:5" ht="12.5">
      <c r="A813" s="76"/>
      <c r="B813" s="5"/>
      <c r="C813" s="16"/>
      <c r="E813" s="5"/>
    </row>
    <row r="814" spans="1:5" ht="12.5">
      <c r="A814" s="76"/>
      <c r="B814" s="5"/>
      <c r="C814" s="16"/>
      <c r="E814" s="5"/>
    </row>
    <row r="815" spans="1:5" ht="12.5">
      <c r="A815" s="76"/>
      <c r="B815" s="5"/>
      <c r="C815" s="16"/>
      <c r="E815" s="5"/>
    </row>
    <row r="816" spans="1:5" ht="12.5">
      <c r="A816" s="76"/>
      <c r="B816" s="5"/>
      <c r="C816" s="16"/>
      <c r="E816" s="5"/>
    </row>
    <row r="817" spans="1:5" ht="12.5">
      <c r="A817" s="76"/>
      <c r="B817" s="5"/>
      <c r="C817" s="16"/>
      <c r="E817" s="5"/>
    </row>
    <row r="818" spans="1:5" ht="12.5">
      <c r="A818" s="76"/>
      <c r="B818" s="5"/>
      <c r="C818" s="16"/>
      <c r="E818" s="5"/>
    </row>
    <row r="819" spans="1:5" ht="12.5">
      <c r="A819" s="76"/>
      <c r="B819" s="5"/>
      <c r="C819" s="16"/>
      <c r="E819" s="5"/>
    </row>
    <row r="820" spans="1:5" ht="12.5">
      <c r="A820" s="76"/>
      <c r="B820" s="5"/>
      <c r="C820" s="16"/>
      <c r="E820" s="5"/>
    </row>
    <row r="821" spans="1:5" ht="12.5">
      <c r="A821" s="76"/>
      <c r="B821" s="5"/>
      <c r="C821" s="16"/>
      <c r="E821" s="5"/>
    </row>
    <row r="822" spans="1:5" ht="12.5">
      <c r="A822" s="76"/>
      <c r="B822" s="5"/>
      <c r="C822" s="16"/>
      <c r="E822" s="5"/>
    </row>
    <row r="823" spans="1:5" ht="12.5">
      <c r="A823" s="76"/>
      <c r="B823" s="5"/>
      <c r="C823" s="16"/>
      <c r="E823" s="5"/>
    </row>
    <row r="824" spans="1:5" ht="12.5">
      <c r="A824" s="76"/>
      <c r="B824" s="5"/>
      <c r="C824" s="16"/>
      <c r="E824" s="5"/>
    </row>
    <row r="825" spans="1:5" ht="12.5">
      <c r="A825" s="76"/>
      <c r="B825" s="5"/>
      <c r="C825" s="16"/>
      <c r="E825" s="5"/>
    </row>
    <row r="826" spans="1:5" ht="12.5">
      <c r="A826" s="76"/>
      <c r="B826" s="5"/>
      <c r="C826" s="16"/>
      <c r="E826" s="5"/>
    </row>
    <row r="827" spans="1:5" ht="12.5">
      <c r="A827" s="76"/>
      <c r="B827" s="5"/>
      <c r="C827" s="16"/>
      <c r="E827" s="5"/>
    </row>
    <row r="828" spans="1:5" ht="12.5">
      <c r="A828" s="76"/>
      <c r="B828" s="5"/>
      <c r="C828" s="16"/>
      <c r="E828" s="5"/>
    </row>
    <row r="829" spans="1:5" ht="12.5">
      <c r="A829" s="76"/>
      <c r="B829" s="5"/>
      <c r="C829" s="16"/>
      <c r="E829" s="5"/>
    </row>
    <row r="830" spans="1:5" ht="12.5">
      <c r="A830" s="76"/>
      <c r="B830" s="5"/>
      <c r="C830" s="16"/>
      <c r="E830" s="5"/>
    </row>
    <row r="831" spans="1:5" ht="12.5">
      <c r="A831" s="76"/>
      <c r="B831" s="5"/>
      <c r="C831" s="16"/>
      <c r="E831" s="5"/>
    </row>
    <row r="832" spans="1:5" ht="12.5">
      <c r="A832" s="76"/>
      <c r="B832" s="5"/>
      <c r="C832" s="16"/>
      <c r="E832" s="5"/>
    </row>
    <row r="833" spans="1:5" ht="12.5">
      <c r="A833" s="76"/>
      <c r="B833" s="5"/>
      <c r="C833" s="16"/>
      <c r="E833" s="5"/>
    </row>
    <row r="834" spans="1:5" ht="12.5">
      <c r="A834" s="76"/>
      <c r="B834" s="5"/>
      <c r="C834" s="16"/>
      <c r="E834" s="5"/>
    </row>
    <row r="835" spans="1:5" ht="12.5">
      <c r="A835" s="76"/>
      <c r="B835" s="5"/>
      <c r="C835" s="16"/>
      <c r="E835" s="5"/>
    </row>
    <row r="836" spans="1:5" ht="12.5">
      <c r="A836" s="76"/>
      <c r="B836" s="5"/>
      <c r="C836" s="16"/>
      <c r="E836" s="5"/>
    </row>
    <row r="837" spans="1:5" ht="12.5">
      <c r="A837" s="76"/>
      <c r="B837" s="5"/>
      <c r="C837" s="16"/>
      <c r="E837" s="5"/>
    </row>
    <row r="838" spans="1:5" ht="12.5">
      <c r="A838" s="76"/>
      <c r="B838" s="5"/>
      <c r="C838" s="16"/>
      <c r="E838" s="5"/>
    </row>
    <row r="839" spans="1:5" ht="12.5">
      <c r="A839" s="76"/>
      <c r="B839" s="5"/>
      <c r="C839" s="16"/>
      <c r="E839" s="5"/>
    </row>
    <row r="840" spans="1:5" ht="12.5">
      <c r="A840" s="76"/>
      <c r="B840" s="5"/>
      <c r="C840" s="16"/>
      <c r="E840" s="5"/>
    </row>
    <row r="841" spans="1:5" ht="12.5">
      <c r="A841" s="76"/>
      <c r="B841" s="5"/>
      <c r="C841" s="16"/>
      <c r="E841" s="5"/>
    </row>
    <row r="842" spans="1:5" ht="12.5">
      <c r="A842" s="76"/>
      <c r="B842" s="5"/>
      <c r="C842" s="16"/>
      <c r="E842" s="5"/>
    </row>
    <row r="843" spans="1:5" ht="12.5">
      <c r="A843" s="76"/>
      <c r="B843" s="5"/>
      <c r="C843" s="16"/>
      <c r="E843" s="5"/>
    </row>
    <row r="844" spans="1:5" ht="12.5">
      <c r="A844" s="76"/>
      <c r="B844" s="5"/>
      <c r="C844" s="16"/>
      <c r="E844" s="5"/>
    </row>
    <row r="845" spans="1:5" ht="12.5">
      <c r="A845" s="76"/>
      <c r="B845" s="5"/>
      <c r="C845" s="16"/>
      <c r="E845" s="5"/>
    </row>
    <row r="846" spans="1:5" ht="12.5">
      <c r="A846" s="76"/>
      <c r="B846" s="5"/>
      <c r="C846" s="16"/>
      <c r="E846" s="5"/>
    </row>
    <row r="847" spans="1:5" ht="12.5">
      <c r="A847" s="76"/>
      <c r="B847" s="5"/>
      <c r="C847" s="16"/>
      <c r="E847" s="5"/>
    </row>
    <row r="848" spans="1:5" ht="12.5">
      <c r="A848" s="76"/>
      <c r="B848" s="5"/>
      <c r="C848" s="16"/>
      <c r="E848" s="5"/>
    </row>
    <row r="849" spans="1:5" ht="12.5">
      <c r="A849" s="76"/>
      <c r="B849" s="5"/>
      <c r="C849" s="16"/>
      <c r="E849" s="5"/>
    </row>
    <row r="850" spans="1:5" ht="12.5">
      <c r="A850" s="76"/>
      <c r="B850" s="5"/>
      <c r="C850" s="16"/>
      <c r="E850" s="5"/>
    </row>
    <row r="851" spans="1:5" ht="12.5">
      <c r="A851" s="76"/>
      <c r="B851" s="5"/>
      <c r="C851" s="16"/>
      <c r="E851" s="5"/>
    </row>
    <row r="852" spans="1:5" ht="12.5">
      <c r="A852" s="76"/>
      <c r="B852" s="5"/>
      <c r="C852" s="16"/>
      <c r="E852" s="5"/>
    </row>
    <row r="853" spans="1:5" ht="12.5">
      <c r="A853" s="76"/>
      <c r="B853" s="5"/>
      <c r="C853" s="16"/>
      <c r="E853" s="5"/>
    </row>
    <row r="854" spans="1:5" ht="12.5">
      <c r="A854" s="76"/>
      <c r="B854" s="5"/>
      <c r="C854" s="16"/>
      <c r="E854" s="5"/>
    </row>
    <row r="855" spans="1:5" ht="12.5">
      <c r="A855" s="76"/>
      <c r="B855" s="5"/>
      <c r="C855" s="16"/>
      <c r="E855" s="5"/>
    </row>
    <row r="856" spans="1:5" ht="12.5">
      <c r="A856" s="76"/>
      <c r="B856" s="5"/>
      <c r="C856" s="16"/>
      <c r="E856" s="5"/>
    </row>
    <row r="857" spans="1:5" ht="12.5">
      <c r="A857" s="76"/>
      <c r="B857" s="5"/>
      <c r="C857" s="16"/>
      <c r="E857" s="5"/>
    </row>
    <row r="858" spans="1:5" ht="12.5">
      <c r="A858" s="76"/>
      <c r="B858" s="5"/>
      <c r="C858" s="16"/>
      <c r="E858" s="5"/>
    </row>
    <row r="859" spans="1:5" ht="12.5">
      <c r="A859" s="76"/>
      <c r="B859" s="5"/>
      <c r="C859" s="16"/>
      <c r="E859" s="5"/>
    </row>
    <row r="860" spans="1:5" ht="12.5">
      <c r="A860" s="76"/>
      <c r="B860" s="5"/>
      <c r="C860" s="16"/>
      <c r="E860" s="5"/>
    </row>
    <row r="861" spans="1:5" ht="12.5">
      <c r="A861" s="76"/>
      <c r="B861" s="5"/>
      <c r="C861" s="16"/>
      <c r="E861" s="5"/>
    </row>
    <row r="862" spans="1:5" ht="12.5">
      <c r="A862" s="76"/>
      <c r="B862" s="5"/>
      <c r="C862" s="16"/>
      <c r="E862" s="5"/>
    </row>
    <row r="863" spans="1:5" ht="12.5">
      <c r="A863" s="76"/>
      <c r="B863" s="5"/>
      <c r="C863" s="16"/>
      <c r="E863" s="5"/>
    </row>
    <row r="864" spans="1:5" ht="12.5">
      <c r="A864" s="76"/>
      <c r="B864" s="5"/>
      <c r="C864" s="16"/>
      <c r="E864" s="5"/>
    </row>
    <row r="865" spans="1:5" ht="12.5">
      <c r="A865" s="76"/>
      <c r="B865" s="5"/>
      <c r="C865" s="16"/>
      <c r="E865" s="5"/>
    </row>
    <row r="866" spans="1:5" ht="12.5">
      <c r="A866" s="76"/>
      <c r="B866" s="5"/>
      <c r="C866" s="16"/>
      <c r="E866" s="5"/>
    </row>
    <row r="867" spans="1:5" ht="12.5">
      <c r="A867" s="76"/>
      <c r="B867" s="5"/>
      <c r="C867" s="16"/>
      <c r="E867" s="5"/>
    </row>
    <row r="868" spans="1:5" ht="12.5">
      <c r="A868" s="76"/>
      <c r="B868" s="5"/>
      <c r="C868" s="16"/>
      <c r="E868" s="5"/>
    </row>
    <row r="869" spans="1:5" ht="12.5">
      <c r="A869" s="76"/>
      <c r="B869" s="5"/>
      <c r="C869" s="16"/>
      <c r="E869" s="5"/>
    </row>
    <row r="870" spans="1:5" ht="12.5">
      <c r="A870" s="76"/>
      <c r="B870" s="5"/>
      <c r="C870" s="16"/>
      <c r="E870" s="5"/>
    </row>
    <row r="871" spans="1:5" ht="12.5">
      <c r="A871" s="76"/>
      <c r="B871" s="5"/>
      <c r="C871" s="16"/>
      <c r="E871" s="5"/>
    </row>
    <row r="872" spans="1:5" ht="12.5">
      <c r="A872" s="76"/>
      <c r="B872" s="5"/>
      <c r="C872" s="16"/>
      <c r="E872" s="5"/>
    </row>
    <row r="873" spans="1:5" ht="12.5">
      <c r="A873" s="76"/>
      <c r="B873" s="5"/>
      <c r="C873" s="16"/>
      <c r="E873" s="5"/>
    </row>
    <row r="874" spans="1:5" ht="12.5">
      <c r="A874" s="76"/>
      <c r="B874" s="5"/>
      <c r="C874" s="16"/>
      <c r="E874" s="5"/>
    </row>
    <row r="875" spans="1:5" ht="12.5">
      <c r="A875" s="76"/>
      <c r="B875" s="5"/>
      <c r="C875" s="16"/>
      <c r="E875" s="5"/>
    </row>
    <row r="876" spans="1:5" ht="12.5">
      <c r="A876" s="76"/>
      <c r="B876" s="5"/>
      <c r="C876" s="16"/>
      <c r="E876" s="5"/>
    </row>
    <row r="877" spans="1:5" ht="12.5">
      <c r="A877" s="76"/>
      <c r="B877" s="5"/>
      <c r="C877" s="16"/>
      <c r="E877" s="5"/>
    </row>
    <row r="878" spans="1:5" ht="12.5">
      <c r="A878" s="76"/>
      <c r="B878" s="5"/>
      <c r="C878" s="16"/>
      <c r="E878" s="5"/>
    </row>
    <row r="879" spans="1:5" ht="12.5">
      <c r="A879" s="76"/>
      <c r="B879" s="5"/>
      <c r="C879" s="16"/>
      <c r="E879" s="5"/>
    </row>
    <row r="880" spans="1:5" ht="12.5">
      <c r="A880" s="76"/>
      <c r="B880" s="5"/>
      <c r="C880" s="16"/>
      <c r="E880" s="5"/>
    </row>
    <row r="881" spans="1:5" ht="12.5">
      <c r="A881" s="76"/>
      <c r="B881" s="5"/>
      <c r="C881" s="16"/>
      <c r="E881" s="5"/>
    </row>
    <row r="882" spans="1:5" ht="12.5">
      <c r="A882" s="76"/>
      <c r="B882" s="5"/>
      <c r="C882" s="16"/>
      <c r="E882" s="5"/>
    </row>
    <row r="883" spans="1:5" ht="12.5">
      <c r="A883" s="76"/>
      <c r="B883" s="5"/>
      <c r="C883" s="16"/>
      <c r="E883" s="5"/>
    </row>
    <row r="884" spans="1:5" ht="12.5">
      <c r="A884" s="76"/>
      <c r="B884" s="5"/>
      <c r="C884" s="16"/>
      <c r="E884" s="5"/>
    </row>
    <row r="885" spans="1:5" ht="12.5">
      <c r="A885" s="76"/>
      <c r="B885" s="5"/>
      <c r="C885" s="16"/>
      <c r="E885" s="5"/>
    </row>
    <row r="886" spans="1:5" ht="12.5">
      <c r="A886" s="76"/>
      <c r="B886" s="5"/>
      <c r="C886" s="16"/>
      <c r="E886" s="5"/>
    </row>
    <row r="887" spans="1:5" ht="12.5">
      <c r="A887" s="76"/>
      <c r="B887" s="5"/>
      <c r="C887" s="16"/>
      <c r="E887" s="5"/>
    </row>
    <row r="888" spans="1:5" ht="12.5">
      <c r="A888" s="76"/>
      <c r="B888" s="5"/>
      <c r="C888" s="16"/>
      <c r="E888" s="5"/>
    </row>
    <row r="889" spans="1:5" ht="12.5">
      <c r="A889" s="76"/>
      <c r="B889" s="5"/>
      <c r="C889" s="16"/>
      <c r="E889" s="5"/>
    </row>
    <row r="890" spans="1:5" ht="12.5">
      <c r="A890" s="76"/>
      <c r="B890" s="5"/>
      <c r="C890" s="16"/>
      <c r="E890" s="5"/>
    </row>
    <row r="891" spans="1:5" ht="12.5">
      <c r="A891" s="76"/>
      <c r="B891" s="5"/>
      <c r="C891" s="16"/>
      <c r="E891" s="5"/>
    </row>
    <row r="892" spans="1:5" ht="12.5">
      <c r="A892" s="76"/>
      <c r="B892" s="5"/>
      <c r="C892" s="16"/>
      <c r="E892" s="5"/>
    </row>
    <row r="893" spans="1:5" ht="12.5">
      <c r="A893" s="76"/>
      <c r="B893" s="5"/>
      <c r="C893" s="16"/>
      <c r="E893" s="5"/>
    </row>
    <row r="894" spans="1:5" ht="12.5">
      <c r="A894" s="76"/>
      <c r="B894" s="5"/>
      <c r="C894" s="16"/>
      <c r="E894" s="5"/>
    </row>
    <row r="895" spans="1:5" ht="12.5">
      <c r="A895" s="76"/>
      <c r="B895" s="5"/>
      <c r="C895" s="16"/>
      <c r="E895" s="5"/>
    </row>
    <row r="896" spans="1:5" ht="12.5">
      <c r="A896" s="76"/>
      <c r="B896" s="5"/>
      <c r="C896" s="16"/>
      <c r="E896" s="5"/>
    </row>
    <row r="897" spans="1:5" ht="12.5">
      <c r="A897" s="76"/>
      <c r="B897" s="5"/>
      <c r="C897" s="16"/>
      <c r="E897" s="5"/>
    </row>
    <row r="898" spans="1:5" ht="12.5">
      <c r="A898" s="76"/>
      <c r="B898" s="5"/>
      <c r="C898" s="16"/>
      <c r="E898" s="5"/>
    </row>
    <row r="899" spans="1:5" ht="12.5">
      <c r="A899" s="76"/>
      <c r="B899" s="5"/>
      <c r="C899" s="16"/>
      <c r="E899" s="5"/>
    </row>
    <row r="900" spans="1:5" ht="12.5">
      <c r="A900" s="76"/>
      <c r="B900" s="5"/>
      <c r="C900" s="16"/>
      <c r="E900" s="5"/>
    </row>
    <row r="901" spans="1:5" ht="12.5">
      <c r="A901" s="76"/>
      <c r="B901" s="5"/>
      <c r="C901" s="16"/>
      <c r="E901" s="5"/>
    </row>
    <row r="902" spans="1:5" ht="12.5">
      <c r="A902" s="76"/>
      <c r="B902" s="5"/>
      <c r="C902" s="16"/>
      <c r="E902" s="5"/>
    </row>
    <row r="903" spans="1:5" ht="12.5">
      <c r="A903" s="76"/>
      <c r="B903" s="5"/>
      <c r="C903" s="16"/>
      <c r="E903" s="5"/>
    </row>
    <row r="904" spans="1:5" ht="12.5">
      <c r="A904" s="76"/>
      <c r="B904" s="5"/>
      <c r="C904" s="16"/>
      <c r="E904" s="5"/>
    </row>
    <row r="905" spans="1:5" ht="12.5">
      <c r="A905" s="76"/>
      <c r="B905" s="5"/>
      <c r="C905" s="16"/>
      <c r="E905" s="5"/>
    </row>
    <row r="906" spans="1:5" ht="12.5">
      <c r="A906" s="76"/>
      <c r="B906" s="5"/>
      <c r="C906" s="16"/>
      <c r="E906" s="5"/>
    </row>
    <row r="907" spans="1:5" ht="12.5">
      <c r="A907" s="76"/>
      <c r="B907" s="5"/>
      <c r="C907" s="16"/>
      <c r="E907" s="5"/>
    </row>
    <row r="908" spans="1:5" ht="12.5">
      <c r="A908" s="76"/>
      <c r="B908" s="5"/>
      <c r="C908" s="16"/>
      <c r="E908" s="5"/>
    </row>
    <row r="909" spans="1:5" ht="12.5">
      <c r="A909" s="76"/>
      <c r="B909" s="5"/>
      <c r="C909" s="16"/>
      <c r="E909" s="5"/>
    </row>
    <row r="910" spans="1:5" ht="12.5">
      <c r="A910" s="76"/>
      <c r="B910" s="5"/>
      <c r="C910" s="16"/>
      <c r="E910" s="5"/>
    </row>
    <row r="911" spans="1:5" ht="12.5">
      <c r="A911" s="76"/>
      <c r="B911" s="5"/>
      <c r="C911" s="16"/>
      <c r="E911" s="5"/>
    </row>
    <row r="912" spans="1:5" ht="12.5">
      <c r="A912" s="76"/>
      <c r="B912" s="5"/>
      <c r="C912" s="16"/>
      <c r="E912" s="5"/>
    </row>
    <row r="913" spans="1:5" ht="12.5">
      <c r="A913" s="76"/>
      <c r="B913" s="5"/>
      <c r="C913" s="16"/>
      <c r="E913" s="5"/>
    </row>
    <row r="914" spans="1:5" ht="12.5">
      <c r="A914" s="76"/>
      <c r="B914" s="5"/>
      <c r="C914" s="16"/>
      <c r="E914" s="5"/>
    </row>
    <row r="915" spans="1:5" ht="12.5">
      <c r="A915" s="76"/>
      <c r="B915" s="5"/>
      <c r="C915" s="16"/>
      <c r="E915" s="5"/>
    </row>
    <row r="916" spans="1:5" ht="12.5">
      <c r="A916" s="76"/>
      <c r="B916" s="5"/>
      <c r="C916" s="16"/>
      <c r="E916" s="5"/>
    </row>
    <row r="917" spans="1:5" ht="12.5">
      <c r="A917" s="76"/>
      <c r="B917" s="5"/>
      <c r="C917" s="16"/>
      <c r="E917" s="5"/>
    </row>
    <row r="918" spans="1:5" ht="12.5">
      <c r="A918" s="76"/>
      <c r="B918" s="5"/>
      <c r="C918" s="16"/>
      <c r="E918" s="5"/>
    </row>
    <row r="919" spans="1:5" ht="12.5">
      <c r="A919" s="76"/>
      <c r="B919" s="5"/>
      <c r="C919" s="16"/>
      <c r="E919" s="5"/>
    </row>
    <row r="920" spans="1:5" ht="12.5">
      <c r="A920" s="76"/>
      <c r="B920" s="5"/>
      <c r="C920" s="16"/>
      <c r="E920" s="5"/>
    </row>
    <row r="921" spans="1:5" ht="12.5">
      <c r="A921" s="76"/>
      <c r="B921" s="5"/>
      <c r="C921" s="16"/>
      <c r="E921" s="5"/>
    </row>
    <row r="922" spans="1:5" ht="12.5">
      <c r="A922" s="76"/>
      <c r="B922" s="5"/>
      <c r="C922" s="16"/>
      <c r="E922" s="5"/>
    </row>
    <row r="923" spans="1:5" ht="12.5">
      <c r="A923" s="76"/>
      <c r="B923" s="5"/>
      <c r="C923" s="16"/>
      <c r="E923" s="5"/>
    </row>
    <row r="924" spans="1:5" ht="12.5">
      <c r="A924" s="76"/>
      <c r="B924" s="5"/>
      <c r="C924" s="16"/>
      <c r="E924" s="5"/>
    </row>
    <row r="925" spans="1:5" ht="12.5">
      <c r="A925" s="76"/>
      <c r="B925" s="5"/>
      <c r="C925" s="16"/>
      <c r="E925" s="5"/>
    </row>
    <row r="926" spans="1:5" ht="12.5">
      <c r="A926" s="76"/>
      <c r="B926" s="5"/>
      <c r="C926" s="16"/>
      <c r="E926" s="5"/>
    </row>
    <row r="927" spans="1:5" ht="12.5">
      <c r="A927" s="76"/>
      <c r="B927" s="5"/>
      <c r="C927" s="16"/>
      <c r="E927" s="5"/>
    </row>
    <row r="928" spans="1:5" ht="12.5">
      <c r="A928" s="76"/>
      <c r="B928" s="5"/>
      <c r="C928" s="16"/>
      <c r="E928" s="5"/>
    </row>
    <row r="929" spans="1:5" ht="12.5">
      <c r="A929" s="76"/>
      <c r="B929" s="5"/>
      <c r="C929" s="16"/>
      <c r="E929" s="5"/>
    </row>
    <row r="930" spans="1:5" ht="12.5">
      <c r="A930" s="76"/>
      <c r="B930" s="5"/>
      <c r="C930" s="16"/>
      <c r="E930" s="5"/>
    </row>
    <row r="931" spans="1:5" ht="12.5">
      <c r="A931" s="76"/>
      <c r="B931" s="5"/>
      <c r="C931" s="16"/>
      <c r="E931" s="5"/>
    </row>
    <row r="932" spans="1:5" ht="12.5">
      <c r="A932" s="76"/>
      <c r="B932" s="5"/>
      <c r="C932" s="16"/>
      <c r="E932" s="5"/>
    </row>
    <row r="933" spans="1:5" ht="12.5">
      <c r="A933" s="76"/>
      <c r="B933" s="5"/>
      <c r="C933" s="16"/>
      <c r="E933" s="5"/>
    </row>
    <row r="934" spans="1:5" ht="12.5">
      <c r="A934" s="76"/>
      <c r="B934" s="5"/>
      <c r="C934" s="16"/>
      <c r="E934" s="5"/>
    </row>
    <row r="935" spans="1:5" ht="12.5">
      <c r="A935" s="76"/>
      <c r="B935" s="5"/>
      <c r="C935" s="16"/>
      <c r="E935" s="5"/>
    </row>
    <row r="936" spans="1:5" ht="12.5">
      <c r="A936" s="76"/>
      <c r="B936" s="5"/>
      <c r="C936" s="16"/>
      <c r="E936" s="5"/>
    </row>
    <row r="937" spans="1:5" ht="12.5">
      <c r="A937" s="76"/>
      <c r="B937" s="5"/>
      <c r="C937" s="16"/>
      <c r="E937" s="5"/>
    </row>
    <row r="938" spans="1:5" ht="12.5">
      <c r="A938" s="76"/>
      <c r="B938" s="5"/>
      <c r="C938" s="16"/>
      <c r="E938" s="5"/>
    </row>
    <row r="939" spans="1:5" ht="12.5">
      <c r="A939" s="76"/>
      <c r="B939" s="5"/>
      <c r="C939" s="16"/>
      <c r="E939" s="5"/>
    </row>
    <row r="940" spans="1:5" ht="12.5">
      <c r="A940" s="76"/>
      <c r="B940" s="5"/>
      <c r="C940" s="16"/>
      <c r="E940" s="5"/>
    </row>
    <row r="941" spans="1:5" ht="12.5">
      <c r="A941" s="76"/>
      <c r="B941" s="5"/>
      <c r="C941" s="16"/>
      <c r="E941" s="5"/>
    </row>
    <row r="942" spans="1:5" ht="12.5">
      <c r="A942" s="76"/>
      <c r="B942" s="5"/>
      <c r="C942" s="16"/>
      <c r="E942" s="5"/>
    </row>
    <row r="943" spans="1:5" ht="12.5">
      <c r="A943" s="76"/>
      <c r="B943" s="5"/>
      <c r="C943" s="16"/>
      <c r="E943" s="5"/>
    </row>
    <row r="944" spans="1:5" ht="12.5">
      <c r="A944" s="76"/>
      <c r="B944" s="5"/>
      <c r="C944" s="16"/>
      <c r="E944" s="5"/>
    </row>
    <row r="945" spans="1:5" ht="12.5">
      <c r="A945" s="76"/>
      <c r="B945" s="5"/>
      <c r="C945" s="16"/>
      <c r="E945" s="5"/>
    </row>
    <row r="946" spans="1:5" ht="12.5">
      <c r="A946" s="76"/>
      <c r="B946" s="5"/>
      <c r="C946" s="16"/>
      <c r="E946" s="5"/>
    </row>
    <row r="947" spans="1:5" ht="12.5">
      <c r="A947" s="76"/>
      <c r="B947" s="5"/>
      <c r="C947" s="16"/>
      <c r="E947" s="5"/>
    </row>
    <row r="948" spans="1:5" ht="12.5">
      <c r="A948" s="76"/>
      <c r="B948" s="5"/>
      <c r="C948" s="16"/>
      <c r="E948" s="5"/>
    </row>
    <row r="949" spans="1:5" ht="12.5">
      <c r="A949" s="76"/>
      <c r="B949" s="5"/>
      <c r="C949" s="16"/>
      <c r="E949" s="5"/>
    </row>
    <row r="950" spans="1:5" ht="12.5">
      <c r="A950" s="76"/>
      <c r="B950" s="5"/>
      <c r="C950" s="16"/>
      <c r="E950" s="5"/>
    </row>
    <row r="951" spans="1:5" ht="12.5">
      <c r="A951" s="76"/>
      <c r="B951" s="5"/>
      <c r="C951" s="16"/>
      <c r="E951" s="5"/>
    </row>
    <row r="952" spans="1:5" ht="12.5">
      <c r="A952" s="76"/>
      <c r="B952" s="5"/>
      <c r="C952" s="16"/>
      <c r="E952" s="5"/>
    </row>
    <row r="953" spans="1:5" ht="12.5">
      <c r="A953" s="76"/>
      <c r="B953" s="5"/>
      <c r="C953" s="16"/>
      <c r="E953" s="5"/>
    </row>
    <row r="954" spans="1:5" ht="12.5">
      <c r="A954" s="76"/>
      <c r="B954" s="5"/>
      <c r="C954" s="16"/>
      <c r="E954" s="5"/>
    </row>
    <row r="955" spans="1:5" ht="12.5">
      <c r="A955" s="76"/>
      <c r="B955" s="5"/>
      <c r="C955" s="16"/>
      <c r="E955" s="5"/>
    </row>
    <row r="956" spans="1:5" ht="12.5">
      <c r="A956" s="76"/>
      <c r="B956" s="5"/>
      <c r="C956" s="16"/>
      <c r="E956" s="5"/>
    </row>
    <row r="957" spans="1:5" ht="12.5">
      <c r="A957" s="76"/>
      <c r="B957" s="5"/>
      <c r="C957" s="16"/>
      <c r="E957" s="5"/>
    </row>
    <row r="958" spans="1:5" ht="12.5">
      <c r="A958" s="76"/>
      <c r="B958" s="5"/>
      <c r="C958" s="16"/>
      <c r="E958" s="5"/>
    </row>
    <row r="959" spans="1:5" ht="12.5">
      <c r="A959" s="76"/>
      <c r="B959" s="5"/>
      <c r="C959" s="16"/>
      <c r="E959" s="5"/>
    </row>
    <row r="960" spans="1:5" ht="12.5">
      <c r="A960" s="76"/>
      <c r="B960" s="5"/>
      <c r="C960" s="16"/>
      <c r="E960" s="5"/>
    </row>
    <row r="961" spans="1:5" ht="12.5">
      <c r="A961" s="76"/>
      <c r="B961" s="5"/>
      <c r="C961" s="16"/>
      <c r="E961" s="5"/>
    </row>
    <row r="962" spans="1:5" ht="12.5">
      <c r="A962" s="76"/>
      <c r="B962" s="5"/>
      <c r="C962" s="16"/>
      <c r="E962" s="5"/>
    </row>
    <row r="963" spans="1:5" ht="12.5">
      <c r="A963" s="76"/>
      <c r="B963" s="5"/>
      <c r="C963" s="16"/>
      <c r="E963" s="5"/>
    </row>
    <row r="964" spans="1:5" ht="12.5">
      <c r="A964" s="76"/>
      <c r="B964" s="5"/>
      <c r="C964" s="16"/>
      <c r="E964" s="5"/>
    </row>
    <row r="965" spans="1:5" ht="12.5">
      <c r="A965" s="76"/>
      <c r="B965" s="5"/>
      <c r="C965" s="16"/>
      <c r="E965" s="5"/>
    </row>
    <row r="966" spans="1:5" ht="12.5">
      <c r="A966" s="76"/>
      <c r="B966" s="5"/>
      <c r="C966" s="16"/>
      <c r="E966" s="5"/>
    </row>
    <row r="967" spans="1:5" ht="12.5">
      <c r="A967" s="76"/>
      <c r="B967" s="5"/>
      <c r="C967" s="16"/>
      <c r="E967" s="5"/>
    </row>
    <row r="968" spans="1:5" ht="12.5">
      <c r="A968" s="76"/>
      <c r="B968" s="5"/>
      <c r="C968" s="16"/>
      <c r="E968" s="5"/>
    </row>
    <row r="969" spans="1:5" ht="12.5">
      <c r="A969" s="76"/>
      <c r="B969" s="5"/>
      <c r="C969" s="16"/>
      <c r="E969" s="5"/>
    </row>
    <row r="970" spans="1:5" ht="12.5">
      <c r="A970" s="76"/>
      <c r="B970" s="5"/>
      <c r="C970" s="16"/>
      <c r="E970" s="5"/>
    </row>
    <row r="971" spans="1:5" ht="12.5">
      <c r="A971" s="76"/>
      <c r="B971" s="5"/>
      <c r="C971" s="16"/>
      <c r="E971" s="5"/>
    </row>
    <row r="972" spans="1:5" ht="12.5">
      <c r="A972" s="76"/>
      <c r="B972" s="5"/>
      <c r="C972" s="16"/>
      <c r="E972" s="5"/>
    </row>
    <row r="973" spans="1:5" ht="12.5">
      <c r="A973" s="76"/>
      <c r="B973" s="5"/>
      <c r="C973" s="16"/>
      <c r="E973" s="5"/>
    </row>
    <row r="974" spans="1:5" ht="12.5">
      <c r="A974" s="76"/>
      <c r="B974" s="5"/>
      <c r="C974" s="16"/>
      <c r="E974" s="5"/>
    </row>
    <row r="975" spans="1:5" ht="12.5">
      <c r="A975" s="76"/>
      <c r="B975" s="5"/>
      <c r="C975" s="16"/>
      <c r="E975" s="5"/>
    </row>
    <row r="976" spans="1:5" ht="12.5">
      <c r="A976" s="76"/>
      <c r="B976" s="5"/>
      <c r="C976" s="16"/>
      <c r="E976" s="5"/>
    </row>
    <row r="977" spans="1:5" ht="12.5">
      <c r="A977" s="76"/>
      <c r="B977" s="5"/>
      <c r="C977" s="16"/>
      <c r="E977" s="5"/>
    </row>
    <row r="978" spans="1:5" ht="12.5">
      <c r="A978" s="76"/>
      <c r="B978" s="5"/>
      <c r="C978" s="16"/>
      <c r="E978" s="5"/>
    </row>
    <row r="979" spans="1:5" ht="12.5">
      <c r="A979" s="76"/>
      <c r="B979" s="5"/>
      <c r="C979" s="16"/>
      <c r="E979" s="5"/>
    </row>
    <row r="980" spans="1:5" ht="12.5">
      <c r="A980" s="76"/>
      <c r="B980" s="5"/>
      <c r="C980" s="16"/>
      <c r="E980" s="5"/>
    </row>
    <row r="981" spans="1:5" ht="12.5">
      <c r="A981" s="76"/>
      <c r="B981" s="5"/>
      <c r="C981" s="16"/>
      <c r="E981" s="5"/>
    </row>
    <row r="982" spans="1:5" ht="12.5">
      <c r="A982" s="76"/>
      <c r="B982" s="5"/>
      <c r="C982" s="16"/>
      <c r="E982" s="5"/>
    </row>
    <row r="983" spans="1:5" ht="12.5">
      <c r="A983" s="76"/>
      <c r="B983" s="5"/>
      <c r="C983" s="16"/>
      <c r="E983" s="5"/>
    </row>
    <row r="984" spans="1:5" ht="12.5">
      <c r="A984" s="76"/>
      <c r="B984" s="5"/>
      <c r="C984" s="16"/>
      <c r="E984" s="5"/>
    </row>
    <row r="985" spans="1:5" ht="12.5">
      <c r="A985" s="76"/>
      <c r="B985" s="5"/>
      <c r="C985" s="16"/>
      <c r="E985" s="5"/>
    </row>
    <row r="986" spans="1:5" ht="12.5">
      <c r="A986" s="76"/>
      <c r="B986" s="5"/>
      <c r="C986" s="16"/>
      <c r="E986" s="5"/>
    </row>
    <row r="987" spans="1:5" ht="12.5">
      <c r="A987" s="76"/>
      <c r="B987" s="5"/>
      <c r="C987" s="16"/>
      <c r="E987" s="5"/>
    </row>
    <row r="988" spans="1:5" ht="12.5">
      <c r="A988" s="76"/>
      <c r="B988" s="5"/>
      <c r="C988" s="16"/>
      <c r="E988" s="5"/>
    </row>
    <row r="989" spans="1:5" ht="12.5">
      <c r="A989" s="76"/>
      <c r="B989" s="5"/>
      <c r="C989" s="16"/>
      <c r="E989" s="5"/>
    </row>
    <row r="990" spans="1:5" ht="12.5">
      <c r="A990" s="76"/>
      <c r="B990" s="5"/>
      <c r="C990" s="16"/>
      <c r="E990" s="5"/>
    </row>
    <row r="991" spans="1:5" ht="12.5">
      <c r="A991" s="76"/>
      <c r="B991" s="5"/>
      <c r="C991" s="16"/>
      <c r="E991" s="5"/>
    </row>
    <row r="992" spans="1:5" ht="12.5">
      <c r="A992" s="76"/>
      <c r="B992" s="5"/>
      <c r="C992" s="16"/>
      <c r="E992" s="5"/>
    </row>
    <row r="993" spans="1:5" ht="12.5">
      <c r="A993" s="76"/>
      <c r="B993" s="5"/>
      <c r="C993" s="16"/>
      <c r="E993" s="5"/>
    </row>
    <row r="994" spans="1:5" ht="12.5">
      <c r="A994" s="76"/>
      <c r="B994" s="5"/>
      <c r="C994" s="16"/>
      <c r="E994" s="5"/>
    </row>
    <row r="995" spans="1:5" ht="12.5">
      <c r="A995" s="76"/>
      <c r="B995" s="5"/>
      <c r="C995" s="16"/>
      <c r="E995" s="5"/>
    </row>
    <row r="996" spans="1:5" ht="12.5">
      <c r="A996" s="76"/>
      <c r="B996" s="5"/>
      <c r="C996" s="16"/>
      <c r="E996" s="5"/>
    </row>
    <row r="997" spans="1:5" ht="12.5">
      <c r="A997" s="76"/>
      <c r="B997" s="5"/>
      <c r="C997" s="16"/>
      <c r="E997" s="5"/>
    </row>
    <row r="998" spans="1:5" ht="12.5">
      <c r="A998" s="76"/>
      <c r="B998" s="5"/>
      <c r="C998" s="16"/>
      <c r="E998" s="5"/>
    </row>
    <row r="999" spans="1:5" ht="12.5">
      <c r="A999" s="76"/>
      <c r="B999" s="5"/>
      <c r="C999" s="16"/>
      <c r="E999" s="5"/>
    </row>
    <row r="1000" spans="1:5" ht="12.5">
      <c r="A1000" s="76"/>
      <c r="B1000" s="5"/>
      <c r="C1000" s="16"/>
      <c r="E1000" s="5"/>
    </row>
    <row r="1001" spans="1:5" ht="12.5">
      <c r="A1001" s="76"/>
      <c r="C1001" s="16"/>
      <c r="E1001" s="5"/>
    </row>
  </sheetData>
  <conditionalFormatting sqref="A2:J1000">
    <cfRule type="expression" dxfId="5" priority="1">
      <formula>$E2="Pessoa 2"</formula>
    </cfRule>
    <cfRule type="expression" dxfId="4" priority="2">
      <formula>$E2="Pessoa 1"</formula>
    </cfRule>
  </conditionalFormatting>
  <dataValidations count="3">
    <dataValidation type="list" allowBlank="1" showErrorMessage="1" sqref="E2:E1001" xr:uid="{00000000-0002-0000-0C00-000000000000}">
      <formula1>"Pessoa 1,Pessoa 2"</formula1>
    </dataValidation>
    <dataValidation type="list" allowBlank="1" showErrorMessage="1" sqref="B2:B1000" xr:uid="{00000000-0002-0000-0C00-000001000000}">
      <formula1>"Aluguel_Cond,Home Supplies,Energia_Gás_Água_Esgoto,Internet_Telefonia,Comida_Alimentação,Manutenção_Casa,Móveis_Aparelhos_Decoração,Transporte Geral &amp; Coletivo,Transporte Uber &amp; Apps,Saúde,Academia &amp; Fitness,Educação,Roupa_Acessorios,Entretenimento_&amp;_Rest"&amp;"aurantes,Viagem/Vacation,Work-related,Imposto (IPVA-IPTU-etc),Outros,Investimento (aporte),Gasto Pessoal"</formula1>
    </dataValidation>
    <dataValidation type="custom" allowBlank="1" showDropDown="1" showErrorMessage="1" sqref="A2:A1001" xr:uid="{00000000-0002-0000-0C00-000002000000}">
      <formula1>OR(NOT(ISERROR(DATEVALUE(A2))), AND(ISNUMBER(A2), LEFT(CELL("format", A2))="D"))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6D9EEB"/>
    <outlinePr summaryBelow="0" summaryRight="0"/>
  </sheetPr>
  <dimension ref="A1:J100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2.6328125" defaultRowHeight="15.75" customHeight="1"/>
  <cols>
    <col min="1" max="1" width="18.08984375" customWidth="1"/>
    <col min="2" max="2" width="30.36328125" customWidth="1"/>
    <col min="3" max="3" width="22.36328125" customWidth="1"/>
    <col min="4" max="4" width="60.90625" customWidth="1"/>
    <col min="5" max="5" width="12.7265625" customWidth="1"/>
    <col min="6" max="6" width="44.90625" customWidth="1"/>
    <col min="7" max="7" width="6.90625" customWidth="1"/>
    <col min="9" max="9" width="43.08984375" customWidth="1"/>
  </cols>
  <sheetData>
    <row r="1" spans="1:10">
      <c r="A1" s="71" t="s">
        <v>405</v>
      </c>
      <c r="B1" s="14" t="s">
        <v>103</v>
      </c>
      <c r="C1" s="72" t="s">
        <v>104</v>
      </c>
      <c r="D1" s="14" t="s">
        <v>105</v>
      </c>
      <c r="E1" s="14" t="s">
        <v>106</v>
      </c>
      <c r="F1" s="14"/>
      <c r="G1" s="20"/>
      <c r="H1" s="14"/>
      <c r="I1" s="14"/>
    </row>
    <row r="2" spans="1:10" ht="15.75" customHeight="1">
      <c r="A2" s="78" t="s">
        <v>406</v>
      </c>
      <c r="B2" s="38" t="s">
        <v>52</v>
      </c>
      <c r="C2" s="75">
        <v>420.26270066109697</v>
      </c>
      <c r="D2" s="32" t="s">
        <v>407</v>
      </c>
      <c r="E2" s="32" t="s">
        <v>64</v>
      </c>
      <c r="F2" s="80"/>
      <c r="G2" s="5"/>
      <c r="H2" s="42"/>
      <c r="I2" s="5"/>
      <c r="J2" s="5"/>
    </row>
    <row r="3" spans="1:10" ht="15.75" customHeight="1">
      <c r="A3" s="78" t="s">
        <v>408</v>
      </c>
      <c r="B3" s="38" t="s">
        <v>35</v>
      </c>
      <c r="C3" s="75">
        <v>269.06136925502392</v>
      </c>
      <c r="D3" s="32" t="s">
        <v>409</v>
      </c>
      <c r="E3" s="32" t="s">
        <v>65</v>
      </c>
      <c r="F3" s="80"/>
      <c r="G3" s="5"/>
      <c r="H3" s="42"/>
      <c r="I3" s="5"/>
      <c r="J3" s="5"/>
    </row>
    <row r="4" spans="1:10" ht="15.75" customHeight="1">
      <c r="A4" s="78" t="s">
        <v>410</v>
      </c>
      <c r="B4" s="38" t="s">
        <v>33</v>
      </c>
      <c r="C4" s="75">
        <v>160.07876256482243</v>
      </c>
      <c r="D4" s="32" t="s">
        <v>411</v>
      </c>
      <c r="E4" s="32" t="s">
        <v>64</v>
      </c>
      <c r="F4" s="80"/>
      <c r="G4" s="5"/>
      <c r="H4" s="42"/>
      <c r="I4" s="5"/>
      <c r="J4" s="5"/>
    </row>
    <row r="5" spans="1:10" ht="15.75" customHeight="1">
      <c r="A5" s="78" t="s">
        <v>412</v>
      </c>
      <c r="B5" s="38" t="s">
        <v>46</v>
      </c>
      <c r="C5" s="75">
        <v>50.548727049223338</v>
      </c>
      <c r="D5" s="32" t="s">
        <v>413</v>
      </c>
      <c r="E5" s="32" t="s">
        <v>64</v>
      </c>
      <c r="F5" s="80"/>
      <c r="G5" s="5"/>
      <c r="H5" s="42"/>
      <c r="I5" s="5"/>
      <c r="J5" s="5"/>
    </row>
    <row r="6" spans="1:10" ht="15.75" customHeight="1">
      <c r="A6" s="78" t="s">
        <v>408</v>
      </c>
      <c r="B6" s="38" t="s">
        <v>37</v>
      </c>
      <c r="C6" s="75">
        <v>74.434040407424547</v>
      </c>
      <c r="D6" s="32" t="s">
        <v>414</v>
      </c>
      <c r="E6" s="32" t="s">
        <v>65</v>
      </c>
      <c r="F6" s="80"/>
      <c r="G6" s="5"/>
      <c r="H6" s="42"/>
      <c r="I6" s="5"/>
      <c r="J6" s="5"/>
    </row>
    <row r="7" spans="1:10" ht="15.75" customHeight="1">
      <c r="A7" s="78" t="s">
        <v>415</v>
      </c>
      <c r="B7" s="38" t="s">
        <v>40</v>
      </c>
      <c r="C7" s="75">
        <v>245.46588127817969</v>
      </c>
      <c r="D7" s="32" t="s">
        <v>416</v>
      </c>
      <c r="E7" s="32" t="s">
        <v>64</v>
      </c>
      <c r="F7" s="80"/>
      <c r="G7" s="5"/>
      <c r="H7" s="42"/>
      <c r="I7" s="5"/>
      <c r="J7" s="5"/>
    </row>
    <row r="8" spans="1:10" ht="15.75" customHeight="1">
      <c r="A8" s="78" t="s">
        <v>417</v>
      </c>
      <c r="B8" s="38" t="s">
        <v>37</v>
      </c>
      <c r="C8" s="75">
        <v>469.41709112577576</v>
      </c>
      <c r="D8" s="32" t="s">
        <v>418</v>
      </c>
      <c r="E8" s="32" t="s">
        <v>65</v>
      </c>
      <c r="F8" s="80"/>
      <c r="G8" s="5"/>
      <c r="H8" s="42"/>
      <c r="I8" s="5"/>
      <c r="J8" s="5"/>
    </row>
    <row r="9" spans="1:10" ht="15.75" customHeight="1">
      <c r="A9" s="78" t="s">
        <v>419</v>
      </c>
      <c r="B9" s="38" t="s">
        <v>109</v>
      </c>
      <c r="C9" s="75">
        <v>256.34233034338848</v>
      </c>
      <c r="D9" s="32" t="s">
        <v>420</v>
      </c>
      <c r="E9" s="32" t="s">
        <v>65</v>
      </c>
      <c r="F9" s="80"/>
      <c r="G9" s="5"/>
      <c r="H9" s="42"/>
      <c r="I9" s="5"/>
      <c r="J9" s="5"/>
    </row>
    <row r="10" spans="1:10" ht="15.75" customHeight="1">
      <c r="A10" s="78" t="s">
        <v>410</v>
      </c>
      <c r="B10" s="38" t="s">
        <v>46</v>
      </c>
      <c r="C10" s="75">
        <v>507.99376960006668</v>
      </c>
      <c r="D10" s="32" t="s">
        <v>421</v>
      </c>
      <c r="E10" s="32" t="s">
        <v>64</v>
      </c>
      <c r="F10" s="80"/>
      <c r="G10" s="5"/>
      <c r="H10" s="42"/>
      <c r="I10" s="5"/>
      <c r="J10" s="5"/>
    </row>
    <row r="11" spans="1:10" ht="15.75" customHeight="1">
      <c r="A11" s="78" t="s">
        <v>422</v>
      </c>
      <c r="B11" s="38" t="s">
        <v>40</v>
      </c>
      <c r="C11" s="75">
        <v>450.64407610503639</v>
      </c>
      <c r="D11" s="32" t="s">
        <v>423</v>
      </c>
      <c r="E11" s="32" t="s">
        <v>65</v>
      </c>
      <c r="F11" s="80"/>
      <c r="G11" s="5"/>
      <c r="H11" s="42"/>
      <c r="I11" s="5"/>
      <c r="J11" s="5"/>
    </row>
    <row r="12" spans="1:10" ht="15.75" customHeight="1">
      <c r="A12" s="78" t="s">
        <v>424</v>
      </c>
      <c r="B12" s="38" t="s">
        <v>52</v>
      </c>
      <c r="C12" s="75">
        <v>46.596047664791215</v>
      </c>
      <c r="D12" s="32" t="s">
        <v>425</v>
      </c>
      <c r="E12" s="32" t="s">
        <v>65</v>
      </c>
      <c r="F12" s="80"/>
      <c r="G12" s="5"/>
      <c r="H12" s="42"/>
      <c r="I12" s="5"/>
      <c r="J12" s="5"/>
    </row>
    <row r="13" spans="1:10" ht="15.75" customHeight="1">
      <c r="A13" s="78" t="s">
        <v>426</v>
      </c>
      <c r="B13" s="38" t="s">
        <v>42</v>
      </c>
      <c r="C13" s="75">
        <v>8.5028405682341219</v>
      </c>
      <c r="D13" s="32" t="s">
        <v>427</v>
      </c>
      <c r="E13" s="32" t="s">
        <v>65</v>
      </c>
      <c r="F13" s="80"/>
      <c r="G13" s="5"/>
      <c r="H13" s="42"/>
      <c r="I13" s="5"/>
      <c r="J13" s="5"/>
    </row>
    <row r="14" spans="1:10" ht="15.75" customHeight="1">
      <c r="A14" s="78" t="s">
        <v>428</v>
      </c>
      <c r="B14" s="38" t="s">
        <v>42</v>
      </c>
      <c r="C14" s="75">
        <v>565.72633835068791</v>
      </c>
      <c r="D14" s="32" t="s">
        <v>429</v>
      </c>
      <c r="E14" s="32" t="s">
        <v>65</v>
      </c>
      <c r="F14" s="80"/>
      <c r="G14" s="5"/>
      <c r="H14" s="42"/>
      <c r="I14" s="5"/>
      <c r="J14" s="5"/>
    </row>
    <row r="15" spans="1:10" ht="15.75" customHeight="1">
      <c r="A15" s="78" t="s">
        <v>430</v>
      </c>
      <c r="B15" s="38" t="s">
        <v>51</v>
      </c>
      <c r="C15" s="75">
        <v>561.15313810335454</v>
      </c>
      <c r="D15" s="32" t="s">
        <v>431</v>
      </c>
      <c r="E15" s="32" t="s">
        <v>64</v>
      </c>
      <c r="F15" s="80"/>
      <c r="G15" s="5"/>
      <c r="H15" s="42"/>
      <c r="I15" s="5"/>
      <c r="J15" s="5"/>
    </row>
    <row r="16" spans="1:10" ht="15.75" customHeight="1">
      <c r="A16" s="78" t="s">
        <v>432</v>
      </c>
      <c r="B16" s="38" t="s">
        <v>38</v>
      </c>
      <c r="C16" s="75">
        <v>33.068730844356367</v>
      </c>
      <c r="D16" s="32" t="s">
        <v>433</v>
      </c>
      <c r="E16" s="32" t="s">
        <v>65</v>
      </c>
      <c r="F16" s="80"/>
      <c r="G16" s="5"/>
      <c r="H16" s="42"/>
      <c r="I16" s="5"/>
      <c r="J16" s="5"/>
    </row>
    <row r="17" spans="1:10" ht="15.75" customHeight="1">
      <c r="A17" s="78" t="s">
        <v>428</v>
      </c>
      <c r="B17" s="38" t="s">
        <v>52</v>
      </c>
      <c r="C17" s="75">
        <v>86.260101527567883</v>
      </c>
      <c r="D17" s="32" t="s">
        <v>434</v>
      </c>
      <c r="E17" s="32" t="s">
        <v>64</v>
      </c>
      <c r="F17" s="80"/>
      <c r="G17" s="5"/>
      <c r="H17" s="42"/>
      <c r="I17" s="5"/>
      <c r="J17" s="5"/>
    </row>
    <row r="18" spans="1:10" ht="15.75" customHeight="1">
      <c r="A18" s="78" t="s">
        <v>408</v>
      </c>
      <c r="B18" s="38" t="s">
        <v>36</v>
      </c>
      <c r="C18" s="75">
        <v>43.022015835449395</v>
      </c>
      <c r="D18" s="32" t="s">
        <v>435</v>
      </c>
      <c r="E18" s="32" t="s">
        <v>64</v>
      </c>
      <c r="F18" s="80"/>
      <c r="G18" s="5"/>
      <c r="H18" s="42"/>
      <c r="I18" s="5"/>
      <c r="J18" s="5"/>
    </row>
    <row r="19" spans="1:10" ht="15.75" customHeight="1">
      <c r="A19" s="78" t="s">
        <v>428</v>
      </c>
      <c r="B19" s="38" t="s">
        <v>52</v>
      </c>
      <c r="C19" s="75">
        <v>515.46068545452727</v>
      </c>
      <c r="D19" s="32" t="s">
        <v>434</v>
      </c>
      <c r="E19" s="32" t="s">
        <v>64</v>
      </c>
      <c r="F19" s="80"/>
      <c r="G19" s="5"/>
      <c r="H19" s="42"/>
      <c r="I19" s="5"/>
      <c r="J19" s="5"/>
    </row>
    <row r="20" spans="1:10" ht="15.75" customHeight="1">
      <c r="A20" s="78" t="s">
        <v>410</v>
      </c>
      <c r="B20" s="38" t="s">
        <v>52</v>
      </c>
      <c r="C20" s="75">
        <v>75.217876529217577</v>
      </c>
      <c r="D20" s="32" t="s">
        <v>436</v>
      </c>
      <c r="E20" s="32" t="s">
        <v>64</v>
      </c>
      <c r="F20" s="80"/>
      <c r="G20" s="5"/>
      <c r="H20" s="42"/>
      <c r="I20" s="5"/>
      <c r="J20" s="5"/>
    </row>
    <row r="21" spans="1:10" ht="15.75" customHeight="1">
      <c r="A21" s="73"/>
      <c r="B21" s="15"/>
      <c r="C21" s="16"/>
      <c r="E21" s="5"/>
      <c r="F21" s="80"/>
      <c r="H21" s="42"/>
    </row>
    <row r="22" spans="1:10" ht="15.75" customHeight="1">
      <c r="A22" s="73"/>
      <c r="B22" s="15"/>
      <c r="C22" s="16"/>
      <c r="E22" s="5"/>
      <c r="F22" s="80"/>
      <c r="H22" s="42"/>
    </row>
    <row r="23" spans="1:10" ht="15.75" customHeight="1">
      <c r="A23" s="73"/>
      <c r="B23" s="15"/>
      <c r="C23" s="16"/>
      <c r="E23" s="5"/>
      <c r="F23" s="80"/>
      <c r="H23" s="42"/>
    </row>
    <row r="24" spans="1:10" ht="15.75" customHeight="1">
      <c r="A24" s="73"/>
      <c r="B24" s="15"/>
      <c r="C24" s="16"/>
      <c r="E24" s="5"/>
      <c r="F24" s="80"/>
      <c r="H24" s="42"/>
    </row>
    <row r="25" spans="1:10" ht="15.75" customHeight="1">
      <c r="A25" s="73"/>
      <c r="B25" s="15"/>
      <c r="C25" s="16"/>
      <c r="E25" s="5"/>
      <c r="F25" s="80"/>
      <c r="H25" s="42"/>
    </row>
    <row r="26" spans="1:10" ht="15.75" customHeight="1">
      <c r="A26" s="73"/>
      <c r="B26" s="15"/>
      <c r="C26" s="16"/>
      <c r="E26" s="5"/>
      <c r="F26" s="20"/>
      <c r="H26" s="42"/>
    </row>
    <row r="27" spans="1:10" ht="15.75" customHeight="1">
      <c r="A27" s="73"/>
      <c r="B27" s="15"/>
      <c r="C27" s="16"/>
      <c r="E27" s="5"/>
      <c r="F27" s="20"/>
      <c r="H27" s="42"/>
    </row>
    <row r="28" spans="1:10" ht="15.75" customHeight="1">
      <c r="A28" s="73"/>
      <c r="B28" s="15"/>
      <c r="C28" s="16"/>
      <c r="E28" s="5"/>
      <c r="F28" s="20"/>
      <c r="H28" s="42"/>
    </row>
    <row r="29" spans="1:10" ht="15.75" customHeight="1">
      <c r="A29" s="73"/>
      <c r="B29" s="15"/>
      <c r="C29" s="16"/>
      <c r="E29" s="5"/>
      <c r="F29" s="20"/>
      <c r="H29" s="42"/>
    </row>
    <row r="30" spans="1:10" ht="15.75" customHeight="1">
      <c r="A30" s="73"/>
      <c r="B30" s="15"/>
      <c r="C30" s="16"/>
      <c r="E30" s="5"/>
      <c r="F30" s="20"/>
      <c r="H30" s="42"/>
    </row>
    <row r="31" spans="1:10" ht="15.75" customHeight="1">
      <c r="A31" s="73"/>
      <c r="B31" s="15"/>
      <c r="C31" s="16"/>
      <c r="E31" s="5"/>
      <c r="F31" s="20"/>
      <c r="H31" s="42"/>
    </row>
    <row r="32" spans="1:10" ht="15.75" customHeight="1">
      <c r="A32" s="73"/>
      <c r="B32" s="15"/>
      <c r="C32" s="16"/>
      <c r="E32" s="5"/>
      <c r="F32" s="20"/>
      <c r="H32" s="42"/>
    </row>
    <row r="33" spans="1:9" ht="15.75" customHeight="1">
      <c r="A33" s="73"/>
      <c r="B33" s="15"/>
      <c r="C33" s="16"/>
      <c r="E33" s="5"/>
      <c r="F33" s="20"/>
      <c r="H33" s="42"/>
    </row>
    <row r="34" spans="1:9" ht="15.75" customHeight="1">
      <c r="A34" s="73"/>
      <c r="B34" s="15"/>
      <c r="C34" s="16"/>
      <c r="E34" s="5"/>
      <c r="F34" s="20"/>
      <c r="H34" s="42"/>
    </row>
    <row r="35" spans="1:9" ht="15.75" customHeight="1">
      <c r="A35" s="73"/>
      <c r="B35" s="15"/>
      <c r="C35" s="16"/>
      <c r="E35" s="5"/>
      <c r="F35" s="20"/>
      <c r="H35" s="42"/>
    </row>
    <row r="36" spans="1:9" ht="15.75" customHeight="1">
      <c r="A36" s="73"/>
      <c r="B36" s="15"/>
      <c r="C36" s="16"/>
      <c r="E36" s="5"/>
      <c r="F36" s="20"/>
      <c r="H36" s="42"/>
    </row>
    <row r="37" spans="1:9" ht="15.75" customHeight="1">
      <c r="A37" s="73"/>
      <c r="B37" s="15"/>
      <c r="C37" s="16"/>
      <c r="E37" s="5"/>
      <c r="F37" s="20"/>
      <c r="H37" s="42"/>
    </row>
    <row r="38" spans="1:9" ht="15.75" customHeight="1">
      <c r="A38" s="73"/>
      <c r="B38" s="15"/>
      <c r="C38" s="16"/>
      <c r="E38" s="5"/>
      <c r="F38" s="20"/>
      <c r="H38" s="42"/>
    </row>
    <row r="39" spans="1:9" ht="15.75" customHeight="1">
      <c r="A39" s="73"/>
      <c r="B39" s="15"/>
      <c r="C39" s="16"/>
      <c r="E39" s="5"/>
      <c r="F39" s="20"/>
      <c r="H39" s="42"/>
    </row>
    <row r="40" spans="1:9" ht="15.75" customHeight="1">
      <c r="A40" s="73"/>
      <c r="B40" s="15"/>
      <c r="C40" s="16"/>
      <c r="E40" s="5"/>
      <c r="F40" s="20"/>
      <c r="H40" s="42"/>
    </row>
    <row r="41" spans="1:9" ht="15.75" customHeight="1">
      <c r="A41" s="73"/>
      <c r="B41" s="15"/>
      <c r="C41" s="16"/>
      <c r="E41" s="5"/>
      <c r="F41" s="20"/>
      <c r="H41" s="42"/>
    </row>
    <row r="42" spans="1:9" ht="15.75" customHeight="1">
      <c r="A42" s="73"/>
      <c r="B42" s="15"/>
      <c r="C42" s="16"/>
      <c r="E42" s="5"/>
      <c r="F42" s="20"/>
      <c r="H42" s="42"/>
    </row>
    <row r="43" spans="1:9" ht="15.75" customHeight="1">
      <c r="A43" s="73"/>
      <c r="B43" s="15"/>
      <c r="C43" s="16"/>
      <c r="E43" s="5"/>
      <c r="F43" s="20"/>
      <c r="H43" s="42"/>
    </row>
    <row r="44" spans="1:9" ht="15.75" customHeight="1">
      <c r="A44" s="73"/>
      <c r="B44" s="15"/>
      <c r="C44" s="16"/>
      <c r="E44" s="5"/>
      <c r="F44" s="32"/>
      <c r="H44" s="15"/>
      <c r="I44" s="5"/>
    </row>
    <row r="45" spans="1:9" ht="15.75" customHeight="1">
      <c r="A45" s="73"/>
      <c r="B45" s="15"/>
      <c r="C45" s="16"/>
      <c r="E45" s="5"/>
      <c r="F45" s="32"/>
      <c r="H45" s="15"/>
      <c r="I45" s="5"/>
    </row>
    <row r="46" spans="1:9" ht="15.75" customHeight="1">
      <c r="A46" s="73"/>
      <c r="B46" s="15"/>
      <c r="C46" s="16"/>
      <c r="E46" s="5"/>
      <c r="F46" s="32"/>
      <c r="H46" s="15"/>
    </row>
    <row r="47" spans="1:9" ht="15.75" customHeight="1">
      <c r="A47" s="73"/>
      <c r="B47" s="15"/>
      <c r="C47" s="16"/>
      <c r="E47" s="5"/>
      <c r="F47" s="20"/>
      <c r="H47" s="42"/>
    </row>
    <row r="48" spans="1:9" ht="15.75" customHeight="1">
      <c r="A48" s="73"/>
      <c r="B48" s="15"/>
      <c r="C48" s="16"/>
      <c r="E48" s="5"/>
      <c r="F48" s="20"/>
      <c r="H48" s="42"/>
    </row>
    <row r="49" spans="1:8" ht="15.75" customHeight="1">
      <c r="A49" s="73"/>
      <c r="B49" s="15"/>
      <c r="C49" s="16"/>
      <c r="E49" s="5"/>
      <c r="F49" s="20"/>
      <c r="H49" s="42"/>
    </row>
    <row r="50" spans="1:8" ht="15.75" customHeight="1">
      <c r="A50" s="73"/>
      <c r="B50" s="15"/>
      <c r="C50" s="16"/>
      <c r="E50" s="5"/>
      <c r="F50" s="20"/>
      <c r="H50" s="42"/>
    </row>
    <row r="51" spans="1:8" ht="15.75" customHeight="1">
      <c r="A51" s="73"/>
      <c r="B51" s="15"/>
      <c r="C51" s="16"/>
      <c r="E51" s="5"/>
      <c r="F51" s="20"/>
      <c r="H51" s="42"/>
    </row>
    <row r="52" spans="1:8" ht="15.75" customHeight="1">
      <c r="A52" s="73"/>
      <c r="B52" s="15"/>
      <c r="C52" s="16"/>
      <c r="E52" s="5"/>
      <c r="F52" s="20"/>
      <c r="H52" s="42"/>
    </row>
    <row r="53" spans="1:8" ht="15.75" customHeight="1">
      <c r="A53" s="73"/>
      <c r="B53" s="15"/>
      <c r="C53" s="16"/>
      <c r="E53" s="5"/>
      <c r="F53" s="20"/>
      <c r="H53" s="42"/>
    </row>
    <row r="54" spans="1:8" ht="15.75" customHeight="1">
      <c r="A54" s="73"/>
      <c r="B54" s="15"/>
      <c r="C54" s="16"/>
      <c r="E54" s="5"/>
      <c r="F54" s="20"/>
      <c r="H54" s="42"/>
    </row>
    <row r="55" spans="1:8" ht="15.75" customHeight="1">
      <c r="A55" s="73"/>
      <c r="B55" s="15"/>
      <c r="C55" s="16"/>
      <c r="E55" s="5"/>
      <c r="F55" s="20"/>
      <c r="H55" s="42"/>
    </row>
    <row r="56" spans="1:8" ht="15.75" customHeight="1">
      <c r="A56" s="73"/>
      <c r="B56" s="15"/>
      <c r="C56" s="16"/>
      <c r="E56" s="5"/>
      <c r="F56" s="20"/>
      <c r="H56" s="42"/>
    </row>
    <row r="57" spans="1:8" ht="12.5">
      <c r="A57" s="73"/>
      <c r="B57" s="15"/>
      <c r="C57" s="16"/>
      <c r="E57" s="5"/>
      <c r="F57" s="20"/>
      <c r="H57" s="42"/>
    </row>
    <row r="58" spans="1:8" ht="12.5">
      <c r="A58" s="73"/>
      <c r="B58" s="15"/>
      <c r="C58" s="16"/>
      <c r="E58" s="5"/>
      <c r="F58" s="20"/>
      <c r="H58" s="42"/>
    </row>
    <row r="59" spans="1:8" ht="12.5">
      <c r="A59" s="73"/>
      <c r="B59" s="15"/>
      <c r="C59" s="16"/>
      <c r="E59" s="5"/>
      <c r="F59" s="20"/>
      <c r="H59" s="42"/>
    </row>
    <row r="60" spans="1:8" ht="12.5">
      <c r="A60" s="73"/>
      <c r="B60" s="15"/>
      <c r="C60" s="16"/>
      <c r="E60" s="5"/>
      <c r="F60" s="20"/>
      <c r="H60" s="42"/>
    </row>
    <row r="61" spans="1:8" ht="12.5">
      <c r="A61" s="73"/>
      <c r="B61" s="15"/>
      <c r="C61" s="16"/>
      <c r="E61" s="5"/>
      <c r="F61" s="20"/>
      <c r="H61" s="42"/>
    </row>
    <row r="62" spans="1:8" ht="12.5">
      <c r="A62" s="73"/>
      <c r="B62" s="15"/>
      <c r="C62" s="16"/>
      <c r="E62" s="5"/>
      <c r="F62" s="20"/>
      <c r="H62" s="42"/>
    </row>
    <row r="63" spans="1:8" ht="12.5">
      <c r="A63" s="73"/>
      <c r="B63" s="15"/>
      <c r="C63" s="16"/>
      <c r="E63" s="5"/>
      <c r="F63" s="20"/>
      <c r="H63" s="42"/>
    </row>
    <row r="64" spans="1:8" ht="12.5">
      <c r="A64" s="73"/>
      <c r="B64" s="15"/>
      <c r="C64" s="16"/>
      <c r="E64" s="5"/>
      <c r="F64" s="20"/>
      <c r="H64" s="42"/>
    </row>
    <row r="65" spans="1:8" ht="12.5">
      <c r="A65" s="73"/>
      <c r="B65" s="15"/>
      <c r="C65" s="16"/>
      <c r="E65" s="5"/>
      <c r="F65" s="20"/>
      <c r="H65" s="42"/>
    </row>
    <row r="66" spans="1:8" ht="12.5">
      <c r="A66" s="73"/>
      <c r="B66" s="15"/>
      <c r="C66" s="16"/>
      <c r="E66" s="5"/>
      <c r="F66" s="20"/>
      <c r="H66" s="42"/>
    </row>
    <row r="67" spans="1:8" ht="12.5">
      <c r="A67" s="73"/>
      <c r="B67" s="15"/>
      <c r="C67" s="16"/>
      <c r="E67" s="5"/>
      <c r="F67" s="20"/>
      <c r="H67" s="42"/>
    </row>
    <row r="68" spans="1:8" ht="12.5">
      <c r="A68" s="73"/>
      <c r="B68" s="15"/>
      <c r="C68" s="16"/>
      <c r="E68" s="5"/>
      <c r="F68" s="20"/>
      <c r="H68" s="42"/>
    </row>
    <row r="69" spans="1:8" ht="12.5">
      <c r="A69" s="73"/>
      <c r="B69" s="15"/>
      <c r="C69" s="16"/>
      <c r="E69" s="5"/>
      <c r="F69" s="20"/>
      <c r="H69" s="15"/>
    </row>
    <row r="70" spans="1:8" ht="12.5">
      <c r="A70" s="73"/>
      <c r="B70" s="15"/>
      <c r="C70" s="16"/>
      <c r="E70" s="5"/>
      <c r="F70" s="20"/>
      <c r="H70" s="15"/>
    </row>
    <row r="71" spans="1:8" ht="12.5">
      <c r="A71" s="73"/>
      <c r="B71" s="15"/>
      <c r="C71" s="16"/>
      <c r="E71" s="5"/>
      <c r="F71" s="20"/>
    </row>
    <row r="72" spans="1:8" ht="12.5">
      <c r="A72" s="73"/>
      <c r="B72" s="15"/>
      <c r="C72" s="16"/>
      <c r="E72" s="5"/>
    </row>
    <row r="73" spans="1:8" ht="12.5">
      <c r="A73" s="73"/>
      <c r="B73" s="15"/>
      <c r="C73" s="16"/>
      <c r="E73" s="5"/>
    </row>
    <row r="74" spans="1:8" ht="12.5">
      <c r="A74" s="76"/>
      <c r="B74" s="15"/>
      <c r="C74" s="16"/>
      <c r="E74" s="5"/>
    </row>
    <row r="75" spans="1:8" ht="12.5">
      <c r="A75" s="76"/>
      <c r="B75" s="15"/>
      <c r="C75" s="16"/>
      <c r="E75" s="5"/>
    </row>
    <row r="76" spans="1:8" ht="12.5">
      <c r="A76" s="76"/>
      <c r="B76" s="15"/>
      <c r="C76" s="16"/>
      <c r="E76" s="5"/>
    </row>
    <row r="77" spans="1:8" ht="12.5">
      <c r="A77" s="76"/>
      <c r="B77" s="15"/>
      <c r="C77" s="16"/>
      <c r="E77" s="5"/>
    </row>
    <row r="78" spans="1:8" ht="12.5">
      <c r="A78" s="76"/>
      <c r="B78" s="5"/>
      <c r="C78" s="16"/>
      <c r="E78" s="5"/>
    </row>
    <row r="79" spans="1:8" ht="12.5">
      <c r="A79" s="76"/>
      <c r="B79" s="5"/>
      <c r="C79" s="16"/>
      <c r="E79" s="5"/>
    </row>
    <row r="80" spans="1:8" ht="12.5">
      <c r="A80" s="76"/>
      <c r="B80" s="5"/>
      <c r="C80" s="16"/>
      <c r="E80" s="5"/>
    </row>
    <row r="81" spans="1:5" ht="12.5">
      <c r="A81" s="76"/>
      <c r="B81" s="5"/>
      <c r="C81" s="16"/>
      <c r="E81" s="5"/>
    </row>
    <row r="82" spans="1:5" ht="12.5">
      <c r="A82" s="76"/>
      <c r="B82" s="5"/>
      <c r="C82" s="16"/>
      <c r="E82" s="5"/>
    </row>
    <row r="83" spans="1:5" ht="12.5">
      <c r="A83" s="76"/>
      <c r="B83" s="5"/>
      <c r="C83" s="16"/>
      <c r="E83" s="5"/>
    </row>
    <row r="84" spans="1:5" ht="12.5">
      <c r="A84" s="76"/>
      <c r="B84" s="5"/>
      <c r="C84" s="16"/>
      <c r="E84" s="5"/>
    </row>
    <row r="85" spans="1:5" ht="12.5">
      <c r="A85" s="76"/>
      <c r="B85" s="5"/>
      <c r="C85" s="16"/>
      <c r="E85" s="5"/>
    </row>
    <row r="86" spans="1:5" ht="12.5">
      <c r="A86" s="76"/>
      <c r="B86" s="5"/>
      <c r="C86" s="16"/>
      <c r="E86" s="5"/>
    </row>
    <row r="87" spans="1:5" ht="12.5">
      <c r="A87" s="76"/>
      <c r="B87" s="5"/>
      <c r="C87" s="16"/>
      <c r="E87" s="5"/>
    </row>
    <row r="88" spans="1:5" ht="12.5">
      <c r="A88" s="76"/>
      <c r="B88" s="5"/>
      <c r="C88" s="16"/>
      <c r="E88" s="5"/>
    </row>
    <row r="89" spans="1:5" ht="12.5">
      <c r="A89" s="76"/>
      <c r="B89" s="5"/>
      <c r="C89" s="16"/>
      <c r="E89" s="5"/>
    </row>
    <row r="90" spans="1:5" ht="12.5">
      <c r="A90" s="76"/>
      <c r="B90" s="5"/>
      <c r="C90" s="16"/>
      <c r="E90" s="5"/>
    </row>
    <row r="91" spans="1:5" ht="12.5">
      <c r="A91" s="76"/>
      <c r="B91" s="5"/>
      <c r="C91" s="16"/>
      <c r="E91" s="5"/>
    </row>
    <row r="92" spans="1:5" ht="12.5">
      <c r="A92" s="76"/>
      <c r="B92" s="5"/>
      <c r="C92" s="16"/>
      <c r="E92" s="5"/>
    </row>
    <row r="93" spans="1:5" ht="12.5">
      <c r="A93" s="76"/>
      <c r="B93" s="5"/>
      <c r="C93" s="16"/>
      <c r="E93" s="5"/>
    </row>
    <row r="94" spans="1:5" ht="12.5">
      <c r="A94" s="76"/>
      <c r="B94" s="5"/>
      <c r="C94" s="16"/>
      <c r="E94" s="5"/>
    </row>
    <row r="95" spans="1:5" ht="12.5">
      <c r="A95" s="76"/>
      <c r="B95" s="5"/>
      <c r="C95" s="16"/>
      <c r="E95" s="5"/>
    </row>
    <row r="96" spans="1:5" ht="12.5">
      <c r="A96" s="76"/>
      <c r="B96" s="5"/>
      <c r="C96" s="16"/>
      <c r="E96" s="5"/>
    </row>
    <row r="97" spans="1:5" ht="12.5">
      <c r="A97" s="76"/>
      <c r="B97" s="5"/>
      <c r="C97" s="16"/>
      <c r="E97" s="5"/>
    </row>
    <row r="98" spans="1:5" ht="12.5">
      <c r="A98" s="76"/>
      <c r="B98" s="5"/>
      <c r="C98" s="16"/>
      <c r="E98" s="5"/>
    </row>
    <row r="99" spans="1:5" ht="12.5">
      <c r="A99" s="76"/>
      <c r="B99" s="5"/>
      <c r="C99" s="16"/>
      <c r="E99" s="5"/>
    </row>
    <row r="100" spans="1:5" ht="12.5">
      <c r="A100" s="76"/>
      <c r="B100" s="5"/>
      <c r="C100" s="16"/>
      <c r="E100" s="5"/>
    </row>
    <row r="101" spans="1:5" ht="12.5">
      <c r="A101" s="76"/>
      <c r="B101" s="5"/>
      <c r="C101" s="16"/>
      <c r="E101" s="5"/>
    </row>
    <row r="102" spans="1:5" ht="12.5">
      <c r="A102" s="76"/>
      <c r="B102" s="5"/>
      <c r="C102" s="16"/>
      <c r="E102" s="5"/>
    </row>
    <row r="103" spans="1:5" ht="12.5">
      <c r="A103" s="76"/>
      <c r="B103" s="5"/>
      <c r="C103" s="16"/>
      <c r="E103" s="5"/>
    </row>
    <row r="104" spans="1:5" ht="12.5">
      <c r="A104" s="76"/>
      <c r="B104" s="5"/>
      <c r="C104" s="16"/>
      <c r="E104" s="5"/>
    </row>
    <row r="105" spans="1:5" ht="12.5">
      <c r="A105" s="76"/>
      <c r="B105" s="5"/>
      <c r="C105" s="16"/>
      <c r="E105" s="5"/>
    </row>
    <row r="106" spans="1:5" ht="12.5">
      <c r="A106" s="76"/>
      <c r="B106" s="5"/>
      <c r="C106" s="16"/>
      <c r="E106" s="5"/>
    </row>
    <row r="107" spans="1:5" ht="12.5">
      <c r="A107" s="76"/>
      <c r="B107" s="5"/>
      <c r="C107" s="16"/>
      <c r="E107" s="5"/>
    </row>
    <row r="108" spans="1:5" ht="12.5">
      <c r="A108" s="76"/>
      <c r="B108" s="5"/>
      <c r="C108" s="16"/>
      <c r="E108" s="5"/>
    </row>
    <row r="109" spans="1:5" ht="12.5">
      <c r="A109" s="76"/>
      <c r="B109" s="5"/>
      <c r="C109" s="16"/>
      <c r="E109" s="5"/>
    </row>
    <row r="110" spans="1:5" ht="12.5">
      <c r="A110" s="76"/>
      <c r="B110" s="5"/>
      <c r="C110" s="16"/>
      <c r="E110" s="5"/>
    </row>
    <row r="111" spans="1:5" ht="12.5">
      <c r="A111" s="76"/>
      <c r="B111" s="5"/>
      <c r="C111" s="16"/>
      <c r="E111" s="5"/>
    </row>
    <row r="112" spans="1:5" ht="12.5">
      <c r="A112" s="76"/>
      <c r="B112" s="5"/>
      <c r="C112" s="16"/>
      <c r="E112" s="5"/>
    </row>
    <row r="113" spans="1:5" ht="12.5">
      <c r="A113" s="76"/>
      <c r="B113" s="5"/>
      <c r="C113" s="16"/>
      <c r="E113" s="5"/>
    </row>
    <row r="114" spans="1:5" ht="12.5">
      <c r="A114" s="76"/>
      <c r="B114" s="5"/>
      <c r="C114" s="16"/>
      <c r="E114" s="5"/>
    </row>
    <row r="115" spans="1:5" ht="12.5">
      <c r="A115" s="76"/>
      <c r="B115" s="5"/>
      <c r="C115" s="16"/>
      <c r="E115" s="5"/>
    </row>
    <row r="116" spans="1:5" ht="12.5">
      <c r="A116" s="76"/>
      <c r="B116" s="5"/>
      <c r="C116" s="16"/>
      <c r="E116" s="5"/>
    </row>
    <row r="117" spans="1:5" ht="12.5">
      <c r="A117" s="76"/>
      <c r="B117" s="5"/>
      <c r="C117" s="16"/>
      <c r="E117" s="5"/>
    </row>
    <row r="118" spans="1:5" ht="12.5">
      <c r="A118" s="76"/>
      <c r="B118" s="5"/>
      <c r="C118" s="16"/>
      <c r="E118" s="5"/>
    </row>
    <row r="119" spans="1:5" ht="12.5">
      <c r="A119" s="76"/>
      <c r="B119" s="5"/>
      <c r="C119" s="16"/>
      <c r="E119" s="5"/>
    </row>
    <row r="120" spans="1:5" ht="12.5">
      <c r="A120" s="76"/>
      <c r="B120" s="5"/>
      <c r="C120" s="16"/>
      <c r="E120" s="5"/>
    </row>
    <row r="121" spans="1:5" ht="12.5">
      <c r="A121" s="76"/>
      <c r="B121" s="5"/>
      <c r="C121" s="16"/>
      <c r="E121" s="5"/>
    </row>
    <row r="122" spans="1:5" ht="12.5">
      <c r="A122" s="76"/>
      <c r="B122" s="5"/>
      <c r="C122" s="16"/>
      <c r="E122" s="5"/>
    </row>
    <row r="123" spans="1:5" ht="12.5">
      <c r="A123" s="76"/>
      <c r="B123" s="5"/>
      <c r="C123" s="16"/>
      <c r="E123" s="5"/>
    </row>
    <row r="124" spans="1:5" ht="12.5">
      <c r="A124" s="76"/>
      <c r="B124" s="5"/>
      <c r="C124" s="16"/>
      <c r="E124" s="5"/>
    </row>
    <row r="125" spans="1:5" ht="12.5">
      <c r="A125" s="76"/>
      <c r="B125" s="5"/>
      <c r="C125" s="16"/>
      <c r="E125" s="5"/>
    </row>
    <row r="126" spans="1:5" ht="12.5">
      <c r="A126" s="76"/>
      <c r="B126" s="5"/>
      <c r="C126" s="16"/>
      <c r="E126" s="5"/>
    </row>
    <row r="127" spans="1:5" ht="12.5">
      <c r="A127" s="76"/>
      <c r="B127" s="5"/>
      <c r="C127" s="16"/>
      <c r="E127" s="5"/>
    </row>
    <row r="128" spans="1:5" ht="12.5">
      <c r="A128" s="76"/>
      <c r="B128" s="5"/>
      <c r="C128" s="16"/>
      <c r="E128" s="5"/>
    </row>
    <row r="129" spans="1:5" ht="12.5">
      <c r="A129" s="76"/>
      <c r="B129" s="5"/>
      <c r="C129" s="16"/>
      <c r="E129" s="5"/>
    </row>
    <row r="130" spans="1:5" ht="12.5">
      <c r="A130" s="76"/>
      <c r="B130" s="5"/>
      <c r="C130" s="16"/>
      <c r="E130" s="5"/>
    </row>
    <row r="131" spans="1:5" ht="12.5">
      <c r="A131" s="76"/>
      <c r="B131" s="5"/>
      <c r="C131" s="16"/>
      <c r="E131" s="5"/>
    </row>
    <row r="132" spans="1:5" ht="12.5">
      <c r="A132" s="76"/>
      <c r="B132" s="5"/>
      <c r="C132" s="16"/>
      <c r="E132" s="5"/>
    </row>
    <row r="133" spans="1:5" ht="12.5">
      <c r="A133" s="76"/>
      <c r="B133" s="5"/>
      <c r="C133" s="16"/>
      <c r="E133" s="5"/>
    </row>
    <row r="134" spans="1:5" ht="12.5">
      <c r="A134" s="76"/>
      <c r="B134" s="5"/>
      <c r="C134" s="16"/>
      <c r="E134" s="5"/>
    </row>
    <row r="135" spans="1:5" ht="12.5">
      <c r="A135" s="76"/>
      <c r="B135" s="5"/>
      <c r="C135" s="16"/>
      <c r="E135" s="5"/>
    </row>
    <row r="136" spans="1:5" ht="12.5">
      <c r="A136" s="76"/>
      <c r="B136" s="5"/>
      <c r="C136" s="16"/>
      <c r="E136" s="5"/>
    </row>
    <row r="137" spans="1:5" ht="12.5">
      <c r="A137" s="76"/>
      <c r="B137" s="5"/>
      <c r="C137" s="16"/>
      <c r="E137" s="5"/>
    </row>
    <row r="138" spans="1:5" ht="12.5">
      <c r="A138" s="76"/>
      <c r="B138" s="5"/>
      <c r="C138" s="16"/>
      <c r="E138" s="5"/>
    </row>
    <row r="139" spans="1:5" ht="12.5">
      <c r="A139" s="76"/>
      <c r="B139" s="5"/>
      <c r="C139" s="16"/>
      <c r="E139" s="5"/>
    </row>
    <row r="140" spans="1:5" ht="12.5">
      <c r="A140" s="76"/>
      <c r="B140" s="5"/>
      <c r="C140" s="16"/>
      <c r="E140" s="5"/>
    </row>
    <row r="141" spans="1:5" ht="12.5">
      <c r="A141" s="76"/>
      <c r="B141" s="5"/>
      <c r="C141" s="16"/>
      <c r="E141" s="5"/>
    </row>
    <row r="142" spans="1:5" ht="12.5">
      <c r="A142" s="76"/>
      <c r="B142" s="5"/>
      <c r="C142" s="16"/>
      <c r="E142" s="5"/>
    </row>
    <row r="143" spans="1:5" ht="12.5">
      <c r="A143" s="76"/>
      <c r="B143" s="5"/>
      <c r="C143" s="16"/>
      <c r="E143" s="5"/>
    </row>
    <row r="144" spans="1:5" ht="12.5">
      <c r="A144" s="76"/>
      <c r="B144" s="5"/>
      <c r="C144" s="16"/>
      <c r="E144" s="5"/>
    </row>
    <row r="145" spans="1:5" ht="12.5">
      <c r="A145" s="76"/>
      <c r="B145" s="5"/>
      <c r="C145" s="16"/>
      <c r="E145" s="5"/>
    </row>
    <row r="146" spans="1:5" ht="12.5">
      <c r="A146" s="76"/>
      <c r="B146" s="5"/>
      <c r="C146" s="16"/>
      <c r="E146" s="5"/>
    </row>
    <row r="147" spans="1:5" ht="12.5">
      <c r="A147" s="76"/>
      <c r="B147" s="5"/>
      <c r="C147" s="16"/>
      <c r="E147" s="5"/>
    </row>
    <row r="148" spans="1:5" ht="12.5">
      <c r="A148" s="76"/>
      <c r="B148" s="5"/>
      <c r="C148" s="16"/>
      <c r="E148" s="5"/>
    </row>
    <row r="149" spans="1:5" ht="12.5">
      <c r="A149" s="76"/>
      <c r="B149" s="5"/>
      <c r="C149" s="16"/>
      <c r="E149" s="5"/>
    </row>
    <row r="150" spans="1:5" ht="12.5">
      <c r="A150" s="76"/>
      <c r="B150" s="5"/>
      <c r="C150" s="16"/>
      <c r="E150" s="5"/>
    </row>
    <row r="151" spans="1:5" ht="12.5">
      <c r="A151" s="76"/>
      <c r="B151" s="5"/>
      <c r="C151" s="16"/>
      <c r="E151" s="5"/>
    </row>
    <row r="152" spans="1:5" ht="12.5">
      <c r="A152" s="76"/>
      <c r="B152" s="5"/>
      <c r="C152" s="16"/>
      <c r="E152" s="5"/>
    </row>
    <row r="153" spans="1:5" ht="12.5">
      <c r="A153" s="76"/>
      <c r="B153" s="5"/>
      <c r="C153" s="16"/>
      <c r="E153" s="5"/>
    </row>
    <row r="154" spans="1:5" ht="12.5">
      <c r="A154" s="76"/>
      <c r="B154" s="5"/>
      <c r="C154" s="16"/>
      <c r="E154" s="5"/>
    </row>
    <row r="155" spans="1:5" ht="12.5">
      <c r="A155" s="76"/>
      <c r="B155" s="5"/>
      <c r="C155" s="16"/>
      <c r="E155" s="5"/>
    </row>
    <row r="156" spans="1:5" ht="12.5">
      <c r="A156" s="76"/>
      <c r="B156" s="5"/>
      <c r="C156" s="16"/>
      <c r="E156" s="5"/>
    </row>
    <row r="157" spans="1:5" ht="12.5">
      <c r="A157" s="76"/>
      <c r="B157" s="5"/>
      <c r="C157" s="16"/>
      <c r="E157" s="5"/>
    </row>
    <row r="158" spans="1:5" ht="12.5">
      <c r="A158" s="76"/>
      <c r="B158" s="5"/>
      <c r="C158" s="16"/>
      <c r="E158" s="5"/>
    </row>
    <row r="159" spans="1:5" ht="12.5">
      <c r="A159" s="76"/>
      <c r="B159" s="5"/>
      <c r="C159" s="16"/>
      <c r="E159" s="5"/>
    </row>
    <row r="160" spans="1:5" ht="12.5">
      <c r="A160" s="76"/>
      <c r="B160" s="5"/>
      <c r="C160" s="16"/>
      <c r="E160" s="5"/>
    </row>
    <row r="161" spans="1:5" ht="12.5">
      <c r="A161" s="76"/>
      <c r="B161" s="5"/>
      <c r="C161" s="16"/>
      <c r="E161" s="5"/>
    </row>
    <row r="162" spans="1:5" ht="12.5">
      <c r="A162" s="76"/>
      <c r="B162" s="5"/>
      <c r="C162" s="16"/>
      <c r="E162" s="5"/>
    </row>
    <row r="163" spans="1:5" ht="12.5">
      <c r="A163" s="76"/>
      <c r="B163" s="5"/>
      <c r="C163" s="16"/>
      <c r="E163" s="5"/>
    </row>
    <row r="164" spans="1:5" ht="12.5">
      <c r="A164" s="76"/>
      <c r="B164" s="5"/>
      <c r="C164" s="16"/>
      <c r="E164" s="5"/>
    </row>
    <row r="165" spans="1:5" ht="12.5">
      <c r="A165" s="76"/>
      <c r="B165" s="5"/>
      <c r="C165" s="16"/>
      <c r="E165" s="5"/>
    </row>
    <row r="166" spans="1:5" ht="12.5">
      <c r="A166" s="76"/>
      <c r="B166" s="5"/>
      <c r="C166" s="16"/>
      <c r="E166" s="5"/>
    </row>
    <row r="167" spans="1:5" ht="12.5">
      <c r="A167" s="76"/>
      <c r="B167" s="5"/>
      <c r="C167" s="16"/>
      <c r="E167" s="5"/>
    </row>
    <row r="168" spans="1:5" ht="12.5">
      <c r="A168" s="76"/>
      <c r="B168" s="5"/>
      <c r="C168" s="16"/>
      <c r="E168" s="5"/>
    </row>
    <row r="169" spans="1:5" ht="12.5">
      <c r="A169" s="76"/>
      <c r="B169" s="5"/>
      <c r="C169" s="16"/>
      <c r="E169" s="5"/>
    </row>
    <row r="170" spans="1:5" ht="12.5">
      <c r="A170" s="76"/>
      <c r="B170" s="5"/>
      <c r="C170" s="16"/>
      <c r="E170" s="5"/>
    </row>
    <row r="171" spans="1:5" ht="12.5">
      <c r="A171" s="76"/>
      <c r="B171" s="5"/>
      <c r="C171" s="16"/>
      <c r="E171" s="5"/>
    </row>
    <row r="172" spans="1:5" ht="12.5">
      <c r="A172" s="76"/>
      <c r="B172" s="5"/>
      <c r="C172" s="16"/>
      <c r="E172" s="5"/>
    </row>
    <row r="173" spans="1:5" ht="12.5">
      <c r="A173" s="76"/>
      <c r="B173" s="5"/>
      <c r="C173" s="16"/>
      <c r="E173" s="5"/>
    </row>
    <row r="174" spans="1:5" ht="12.5">
      <c r="A174" s="76"/>
      <c r="B174" s="5"/>
      <c r="C174" s="16"/>
      <c r="E174" s="5"/>
    </row>
    <row r="175" spans="1:5" ht="12.5">
      <c r="A175" s="76"/>
      <c r="B175" s="5"/>
      <c r="C175" s="16"/>
      <c r="E175" s="5"/>
    </row>
    <row r="176" spans="1:5" ht="12.5">
      <c r="A176" s="76"/>
      <c r="B176" s="5"/>
      <c r="C176" s="16"/>
      <c r="E176" s="5"/>
    </row>
    <row r="177" spans="1:5" ht="12.5">
      <c r="A177" s="76"/>
      <c r="B177" s="5"/>
      <c r="C177" s="16"/>
      <c r="E177" s="5"/>
    </row>
    <row r="178" spans="1:5" ht="12.5">
      <c r="A178" s="76"/>
      <c r="B178" s="5"/>
      <c r="C178" s="16"/>
      <c r="E178" s="5"/>
    </row>
    <row r="179" spans="1:5" ht="12.5">
      <c r="A179" s="76"/>
      <c r="B179" s="5"/>
      <c r="C179" s="16"/>
      <c r="E179" s="5"/>
    </row>
    <row r="180" spans="1:5" ht="12.5">
      <c r="A180" s="76"/>
      <c r="B180" s="5"/>
      <c r="C180" s="16"/>
      <c r="E180" s="5"/>
    </row>
    <row r="181" spans="1:5" ht="12.5">
      <c r="A181" s="76"/>
      <c r="B181" s="5"/>
      <c r="C181" s="16"/>
      <c r="E181" s="5"/>
    </row>
    <row r="182" spans="1:5" ht="12.5">
      <c r="A182" s="76"/>
      <c r="B182" s="5"/>
      <c r="C182" s="16"/>
      <c r="E182" s="5"/>
    </row>
    <row r="183" spans="1:5" ht="12.5">
      <c r="A183" s="76"/>
      <c r="B183" s="5"/>
      <c r="C183" s="16"/>
      <c r="E183" s="5"/>
    </row>
    <row r="184" spans="1:5" ht="12.5">
      <c r="A184" s="76"/>
      <c r="B184" s="5"/>
      <c r="C184" s="16"/>
      <c r="E184" s="5"/>
    </row>
    <row r="185" spans="1:5" ht="12.5">
      <c r="A185" s="76"/>
      <c r="B185" s="5"/>
      <c r="C185" s="16"/>
      <c r="E185" s="5"/>
    </row>
    <row r="186" spans="1:5" ht="12.5">
      <c r="A186" s="76"/>
      <c r="B186" s="5"/>
      <c r="C186" s="16"/>
      <c r="E186" s="5"/>
    </row>
    <row r="187" spans="1:5" ht="12.5">
      <c r="A187" s="76"/>
      <c r="B187" s="5"/>
      <c r="C187" s="16"/>
      <c r="E187" s="5"/>
    </row>
    <row r="188" spans="1:5" ht="12.5">
      <c r="A188" s="76"/>
      <c r="B188" s="5"/>
      <c r="C188" s="16"/>
      <c r="E188" s="5"/>
    </row>
    <row r="189" spans="1:5" ht="12.5">
      <c r="A189" s="76"/>
      <c r="B189" s="5"/>
      <c r="C189" s="16"/>
      <c r="E189" s="5"/>
    </row>
    <row r="190" spans="1:5" ht="12.5">
      <c r="A190" s="76"/>
      <c r="B190" s="5"/>
      <c r="C190" s="16"/>
      <c r="E190" s="5"/>
    </row>
    <row r="191" spans="1:5" ht="12.5">
      <c r="A191" s="76"/>
      <c r="B191" s="5"/>
      <c r="C191" s="16"/>
      <c r="E191" s="5"/>
    </row>
    <row r="192" spans="1:5" ht="12.5">
      <c r="A192" s="76"/>
      <c r="B192" s="5"/>
      <c r="C192" s="16"/>
      <c r="E192" s="5"/>
    </row>
    <row r="193" spans="1:5" ht="12.5">
      <c r="A193" s="76"/>
      <c r="B193" s="5"/>
      <c r="C193" s="16"/>
      <c r="E193" s="5"/>
    </row>
    <row r="194" spans="1:5" ht="12.5">
      <c r="A194" s="76"/>
      <c r="B194" s="5"/>
      <c r="C194" s="16"/>
      <c r="E194" s="5"/>
    </row>
    <row r="195" spans="1:5" ht="12.5">
      <c r="A195" s="76"/>
      <c r="B195" s="5"/>
      <c r="C195" s="16"/>
      <c r="E195" s="5"/>
    </row>
    <row r="196" spans="1:5" ht="12.5">
      <c r="A196" s="76"/>
      <c r="B196" s="5"/>
      <c r="C196" s="16"/>
      <c r="E196" s="5"/>
    </row>
    <row r="197" spans="1:5" ht="12.5">
      <c r="A197" s="76"/>
      <c r="B197" s="5"/>
      <c r="C197" s="16"/>
      <c r="E197" s="5"/>
    </row>
    <row r="198" spans="1:5" ht="12.5">
      <c r="A198" s="76"/>
      <c r="B198" s="5"/>
      <c r="C198" s="16"/>
      <c r="E198" s="5"/>
    </row>
    <row r="199" spans="1:5" ht="12.5">
      <c r="A199" s="76"/>
      <c r="B199" s="5"/>
      <c r="C199" s="16"/>
      <c r="E199" s="5"/>
    </row>
    <row r="200" spans="1:5" ht="12.5">
      <c r="A200" s="76"/>
      <c r="B200" s="5"/>
      <c r="C200" s="16"/>
      <c r="E200" s="5"/>
    </row>
    <row r="201" spans="1:5" ht="12.5">
      <c r="A201" s="76"/>
      <c r="B201" s="5"/>
      <c r="C201" s="16"/>
      <c r="E201" s="5"/>
    </row>
    <row r="202" spans="1:5" ht="12.5">
      <c r="A202" s="76"/>
      <c r="B202" s="5"/>
      <c r="C202" s="16"/>
      <c r="E202" s="5"/>
    </row>
    <row r="203" spans="1:5" ht="12.5">
      <c r="A203" s="76"/>
      <c r="B203" s="5"/>
      <c r="C203" s="16"/>
      <c r="E203" s="5"/>
    </row>
    <row r="204" spans="1:5" ht="12.5">
      <c r="A204" s="76"/>
      <c r="B204" s="5"/>
      <c r="C204" s="16"/>
      <c r="E204" s="5"/>
    </row>
    <row r="205" spans="1:5" ht="12.5">
      <c r="A205" s="76"/>
      <c r="B205" s="5"/>
      <c r="C205" s="16"/>
      <c r="E205" s="5"/>
    </row>
    <row r="206" spans="1:5" ht="12.5">
      <c r="A206" s="76"/>
      <c r="B206" s="5"/>
      <c r="C206" s="16"/>
      <c r="E206" s="5"/>
    </row>
    <row r="207" spans="1:5" ht="12.5">
      <c r="A207" s="76"/>
      <c r="B207" s="5"/>
      <c r="C207" s="16"/>
      <c r="E207" s="5"/>
    </row>
    <row r="208" spans="1:5" ht="12.5">
      <c r="A208" s="76"/>
      <c r="B208" s="5"/>
      <c r="C208" s="16"/>
      <c r="E208" s="5"/>
    </row>
    <row r="209" spans="1:5" ht="12.5">
      <c r="A209" s="76"/>
      <c r="B209" s="5"/>
      <c r="C209" s="16"/>
      <c r="E209" s="5"/>
    </row>
    <row r="210" spans="1:5" ht="12.5">
      <c r="A210" s="76"/>
      <c r="B210" s="5"/>
      <c r="C210" s="16"/>
      <c r="E210" s="5"/>
    </row>
    <row r="211" spans="1:5" ht="12.5">
      <c r="A211" s="76"/>
      <c r="B211" s="5"/>
      <c r="C211" s="16"/>
      <c r="E211" s="5"/>
    </row>
    <row r="212" spans="1:5" ht="12.5">
      <c r="A212" s="76"/>
      <c r="B212" s="5"/>
      <c r="C212" s="16"/>
      <c r="E212" s="5"/>
    </row>
    <row r="213" spans="1:5" ht="12.5">
      <c r="A213" s="76"/>
      <c r="B213" s="5"/>
      <c r="C213" s="16"/>
      <c r="E213" s="5"/>
    </row>
    <row r="214" spans="1:5" ht="12.5">
      <c r="A214" s="76"/>
      <c r="B214" s="5"/>
      <c r="C214" s="16"/>
      <c r="E214" s="5"/>
    </row>
    <row r="215" spans="1:5" ht="12.5">
      <c r="A215" s="76"/>
      <c r="B215" s="5"/>
      <c r="C215" s="16"/>
      <c r="E215" s="5"/>
    </row>
    <row r="216" spans="1:5" ht="12.5">
      <c r="A216" s="76"/>
      <c r="B216" s="5"/>
      <c r="C216" s="16"/>
      <c r="E216" s="5"/>
    </row>
    <row r="217" spans="1:5" ht="12.5">
      <c r="A217" s="76"/>
      <c r="B217" s="5"/>
      <c r="C217" s="16"/>
      <c r="E217" s="5"/>
    </row>
    <row r="218" spans="1:5" ht="12.5">
      <c r="A218" s="76"/>
      <c r="B218" s="5"/>
      <c r="C218" s="16"/>
      <c r="E218" s="5"/>
    </row>
    <row r="219" spans="1:5" ht="12.5">
      <c r="A219" s="76"/>
      <c r="B219" s="5"/>
      <c r="C219" s="16"/>
      <c r="E219" s="5"/>
    </row>
    <row r="220" spans="1:5" ht="12.5">
      <c r="A220" s="76"/>
      <c r="B220" s="5"/>
      <c r="C220" s="16"/>
      <c r="E220" s="5"/>
    </row>
    <row r="221" spans="1:5" ht="12.5">
      <c r="A221" s="76"/>
      <c r="B221" s="5"/>
      <c r="C221" s="16"/>
      <c r="E221" s="5"/>
    </row>
    <row r="222" spans="1:5" ht="12.5">
      <c r="A222" s="76"/>
      <c r="B222" s="5"/>
      <c r="C222" s="16"/>
      <c r="E222" s="5"/>
    </row>
    <row r="223" spans="1:5" ht="12.5">
      <c r="A223" s="76"/>
      <c r="B223" s="5"/>
      <c r="C223" s="16"/>
      <c r="E223" s="5"/>
    </row>
    <row r="224" spans="1:5" ht="12.5">
      <c r="A224" s="76"/>
      <c r="B224" s="5"/>
      <c r="C224" s="16"/>
      <c r="E224" s="5"/>
    </row>
    <row r="225" spans="1:5" ht="12.5">
      <c r="A225" s="76"/>
      <c r="B225" s="5"/>
      <c r="C225" s="16"/>
      <c r="E225" s="5"/>
    </row>
    <row r="226" spans="1:5" ht="12.5">
      <c r="A226" s="76"/>
      <c r="B226" s="5"/>
      <c r="C226" s="16"/>
      <c r="E226" s="5"/>
    </row>
    <row r="227" spans="1:5" ht="12.5">
      <c r="A227" s="76"/>
      <c r="B227" s="5"/>
      <c r="C227" s="16"/>
      <c r="E227" s="5"/>
    </row>
    <row r="228" spans="1:5" ht="12.5">
      <c r="A228" s="76"/>
      <c r="B228" s="5"/>
      <c r="C228" s="16"/>
      <c r="E228" s="5"/>
    </row>
    <row r="229" spans="1:5" ht="12.5">
      <c r="A229" s="76"/>
      <c r="B229" s="5"/>
      <c r="C229" s="16"/>
      <c r="E229" s="5"/>
    </row>
    <row r="230" spans="1:5" ht="12.5">
      <c r="A230" s="76"/>
      <c r="B230" s="5"/>
      <c r="C230" s="16"/>
      <c r="E230" s="5"/>
    </row>
    <row r="231" spans="1:5" ht="12.5">
      <c r="A231" s="76"/>
      <c r="B231" s="5"/>
      <c r="C231" s="16"/>
      <c r="E231" s="5"/>
    </row>
    <row r="232" spans="1:5" ht="12.5">
      <c r="A232" s="76"/>
      <c r="B232" s="5"/>
      <c r="C232" s="16"/>
      <c r="E232" s="5"/>
    </row>
    <row r="233" spans="1:5" ht="12.5">
      <c r="A233" s="76"/>
      <c r="B233" s="5"/>
      <c r="C233" s="16"/>
      <c r="E233" s="5"/>
    </row>
    <row r="234" spans="1:5" ht="12.5">
      <c r="A234" s="76"/>
      <c r="B234" s="5"/>
      <c r="C234" s="16"/>
      <c r="E234" s="5"/>
    </row>
    <row r="235" spans="1:5" ht="12.5">
      <c r="A235" s="76"/>
      <c r="B235" s="5"/>
      <c r="C235" s="16"/>
      <c r="E235" s="5"/>
    </row>
    <row r="236" spans="1:5" ht="12.5">
      <c r="A236" s="76"/>
      <c r="B236" s="5"/>
      <c r="C236" s="16"/>
      <c r="E236" s="5"/>
    </row>
    <row r="237" spans="1:5" ht="12.5">
      <c r="A237" s="76"/>
      <c r="B237" s="5"/>
      <c r="C237" s="16"/>
      <c r="E237" s="5"/>
    </row>
    <row r="238" spans="1:5" ht="12.5">
      <c r="A238" s="76"/>
      <c r="B238" s="5"/>
      <c r="C238" s="16"/>
      <c r="E238" s="5"/>
    </row>
    <row r="239" spans="1:5" ht="12.5">
      <c r="A239" s="76"/>
      <c r="B239" s="5"/>
      <c r="C239" s="16"/>
      <c r="E239" s="5"/>
    </row>
    <row r="240" spans="1:5" ht="12.5">
      <c r="A240" s="76"/>
      <c r="B240" s="5"/>
      <c r="C240" s="16"/>
      <c r="E240" s="5"/>
    </row>
    <row r="241" spans="1:5" ht="12.5">
      <c r="A241" s="76"/>
      <c r="B241" s="5"/>
      <c r="C241" s="16"/>
      <c r="E241" s="5"/>
    </row>
    <row r="242" spans="1:5" ht="12.5">
      <c r="A242" s="76"/>
      <c r="B242" s="5"/>
      <c r="C242" s="16"/>
      <c r="E242" s="5"/>
    </row>
    <row r="243" spans="1:5" ht="12.5">
      <c r="A243" s="76"/>
      <c r="B243" s="5"/>
      <c r="C243" s="16"/>
      <c r="E243" s="5"/>
    </row>
    <row r="244" spans="1:5" ht="12.5">
      <c r="A244" s="76"/>
      <c r="B244" s="5"/>
      <c r="C244" s="16"/>
      <c r="E244" s="5"/>
    </row>
    <row r="245" spans="1:5" ht="12.5">
      <c r="A245" s="76"/>
      <c r="B245" s="5"/>
      <c r="C245" s="16"/>
      <c r="E245" s="5"/>
    </row>
    <row r="246" spans="1:5" ht="12.5">
      <c r="A246" s="76"/>
      <c r="B246" s="5"/>
      <c r="C246" s="16"/>
      <c r="E246" s="5"/>
    </row>
    <row r="247" spans="1:5" ht="12.5">
      <c r="A247" s="76"/>
      <c r="B247" s="5"/>
      <c r="C247" s="16"/>
      <c r="E247" s="5"/>
    </row>
    <row r="248" spans="1:5" ht="12.5">
      <c r="A248" s="76"/>
      <c r="B248" s="5"/>
      <c r="C248" s="16"/>
      <c r="E248" s="5"/>
    </row>
    <row r="249" spans="1:5" ht="12.5">
      <c r="A249" s="76"/>
      <c r="B249" s="5"/>
      <c r="C249" s="16"/>
      <c r="E249" s="5"/>
    </row>
    <row r="250" spans="1:5" ht="12.5">
      <c r="A250" s="76"/>
      <c r="B250" s="5"/>
      <c r="C250" s="16"/>
      <c r="E250" s="5"/>
    </row>
    <row r="251" spans="1:5" ht="12.5">
      <c r="A251" s="76"/>
      <c r="B251" s="5"/>
      <c r="C251" s="16"/>
      <c r="E251" s="5"/>
    </row>
    <row r="252" spans="1:5" ht="12.5">
      <c r="A252" s="76"/>
      <c r="B252" s="5"/>
      <c r="C252" s="16"/>
      <c r="E252" s="5"/>
    </row>
    <row r="253" spans="1:5" ht="12.5">
      <c r="A253" s="76"/>
      <c r="B253" s="5"/>
      <c r="C253" s="16"/>
      <c r="E253" s="5"/>
    </row>
    <row r="254" spans="1:5" ht="12.5">
      <c r="A254" s="76"/>
      <c r="B254" s="5"/>
      <c r="C254" s="16"/>
      <c r="E254" s="5"/>
    </row>
    <row r="255" spans="1:5" ht="12.5">
      <c r="A255" s="76"/>
      <c r="B255" s="5"/>
      <c r="C255" s="16"/>
      <c r="E255" s="5"/>
    </row>
    <row r="256" spans="1:5" ht="12.5">
      <c r="A256" s="76"/>
      <c r="B256" s="5"/>
      <c r="C256" s="16"/>
      <c r="E256" s="5"/>
    </row>
    <row r="257" spans="1:5" ht="12.5">
      <c r="A257" s="76"/>
      <c r="B257" s="5"/>
      <c r="C257" s="16"/>
      <c r="E257" s="5"/>
    </row>
    <row r="258" spans="1:5" ht="12.5">
      <c r="A258" s="76"/>
      <c r="B258" s="5"/>
      <c r="C258" s="16"/>
      <c r="E258" s="5"/>
    </row>
    <row r="259" spans="1:5" ht="12.5">
      <c r="A259" s="76"/>
      <c r="B259" s="5"/>
      <c r="C259" s="16"/>
      <c r="E259" s="5"/>
    </row>
    <row r="260" spans="1:5" ht="12.5">
      <c r="A260" s="76"/>
      <c r="B260" s="5"/>
      <c r="C260" s="16"/>
      <c r="E260" s="5"/>
    </row>
    <row r="261" spans="1:5" ht="12.5">
      <c r="A261" s="76"/>
      <c r="B261" s="5"/>
      <c r="C261" s="16"/>
      <c r="E261" s="5"/>
    </row>
    <row r="262" spans="1:5" ht="12.5">
      <c r="A262" s="76"/>
      <c r="B262" s="5"/>
      <c r="C262" s="16"/>
      <c r="E262" s="5"/>
    </row>
    <row r="263" spans="1:5" ht="12.5">
      <c r="A263" s="76"/>
      <c r="B263" s="5"/>
      <c r="C263" s="16"/>
      <c r="E263" s="5"/>
    </row>
    <row r="264" spans="1:5" ht="12.5">
      <c r="A264" s="76"/>
      <c r="B264" s="5"/>
      <c r="C264" s="16"/>
      <c r="E264" s="5"/>
    </row>
    <row r="265" spans="1:5" ht="12.5">
      <c r="A265" s="76"/>
      <c r="B265" s="5"/>
      <c r="C265" s="16"/>
      <c r="E265" s="5"/>
    </row>
    <row r="266" spans="1:5" ht="12.5">
      <c r="A266" s="76"/>
      <c r="B266" s="5"/>
      <c r="C266" s="16"/>
      <c r="E266" s="5"/>
    </row>
    <row r="267" spans="1:5" ht="12.5">
      <c r="A267" s="76"/>
      <c r="B267" s="5"/>
      <c r="C267" s="16"/>
      <c r="E267" s="5"/>
    </row>
    <row r="268" spans="1:5" ht="12.5">
      <c r="A268" s="76"/>
      <c r="B268" s="5"/>
      <c r="C268" s="16"/>
      <c r="E268" s="5"/>
    </row>
    <row r="269" spans="1:5" ht="12.5">
      <c r="A269" s="76"/>
      <c r="B269" s="5"/>
      <c r="C269" s="16"/>
      <c r="E269" s="5"/>
    </row>
    <row r="270" spans="1:5" ht="12.5">
      <c r="A270" s="76"/>
      <c r="B270" s="5"/>
      <c r="C270" s="16"/>
      <c r="E270" s="5"/>
    </row>
    <row r="271" spans="1:5" ht="12.5">
      <c r="A271" s="76"/>
      <c r="B271" s="5"/>
      <c r="C271" s="16"/>
      <c r="E271" s="5"/>
    </row>
    <row r="272" spans="1:5" ht="12.5">
      <c r="A272" s="76"/>
      <c r="B272" s="5"/>
      <c r="C272" s="16"/>
      <c r="E272" s="5"/>
    </row>
    <row r="273" spans="1:5" ht="12.5">
      <c r="A273" s="76"/>
      <c r="B273" s="5"/>
      <c r="C273" s="16"/>
      <c r="E273" s="5"/>
    </row>
    <row r="274" spans="1:5" ht="12.5">
      <c r="A274" s="76"/>
      <c r="B274" s="5"/>
      <c r="C274" s="16"/>
      <c r="E274" s="5"/>
    </row>
    <row r="275" spans="1:5" ht="12.5">
      <c r="A275" s="76"/>
      <c r="B275" s="5"/>
      <c r="C275" s="16"/>
      <c r="E275" s="5"/>
    </row>
    <row r="276" spans="1:5" ht="12.5">
      <c r="A276" s="76"/>
      <c r="B276" s="5"/>
      <c r="C276" s="16"/>
      <c r="E276" s="5"/>
    </row>
    <row r="277" spans="1:5" ht="12.5">
      <c r="A277" s="76"/>
      <c r="B277" s="5"/>
      <c r="C277" s="16"/>
      <c r="E277" s="5"/>
    </row>
    <row r="278" spans="1:5" ht="12.5">
      <c r="A278" s="76"/>
      <c r="B278" s="5"/>
      <c r="C278" s="16"/>
      <c r="E278" s="5"/>
    </row>
    <row r="279" spans="1:5" ht="12.5">
      <c r="A279" s="76"/>
      <c r="B279" s="5"/>
      <c r="C279" s="16"/>
      <c r="E279" s="5"/>
    </row>
    <row r="280" spans="1:5" ht="12.5">
      <c r="A280" s="76"/>
      <c r="B280" s="5"/>
      <c r="C280" s="16"/>
      <c r="E280" s="5"/>
    </row>
    <row r="281" spans="1:5" ht="12.5">
      <c r="A281" s="76"/>
      <c r="B281" s="5"/>
      <c r="C281" s="16"/>
      <c r="E281" s="5"/>
    </row>
    <row r="282" spans="1:5" ht="12.5">
      <c r="A282" s="76"/>
      <c r="B282" s="5"/>
      <c r="C282" s="16"/>
      <c r="E282" s="5"/>
    </row>
    <row r="283" spans="1:5" ht="12.5">
      <c r="A283" s="76"/>
      <c r="B283" s="5"/>
      <c r="C283" s="16"/>
      <c r="E283" s="5"/>
    </row>
    <row r="284" spans="1:5" ht="12.5">
      <c r="A284" s="76"/>
      <c r="B284" s="5"/>
      <c r="C284" s="16"/>
      <c r="E284" s="5"/>
    </row>
    <row r="285" spans="1:5" ht="12.5">
      <c r="A285" s="76"/>
      <c r="B285" s="5"/>
      <c r="C285" s="16"/>
      <c r="E285" s="5"/>
    </row>
    <row r="286" spans="1:5" ht="12.5">
      <c r="A286" s="76"/>
      <c r="B286" s="5"/>
      <c r="C286" s="16"/>
      <c r="E286" s="5"/>
    </row>
    <row r="287" spans="1:5" ht="12.5">
      <c r="A287" s="76"/>
      <c r="B287" s="5"/>
      <c r="C287" s="16"/>
      <c r="E287" s="5"/>
    </row>
    <row r="288" spans="1:5" ht="12.5">
      <c r="A288" s="76"/>
      <c r="B288" s="5"/>
      <c r="C288" s="16"/>
      <c r="E288" s="5"/>
    </row>
    <row r="289" spans="1:5" ht="12.5">
      <c r="A289" s="76"/>
      <c r="B289" s="5"/>
      <c r="C289" s="16"/>
      <c r="E289" s="5"/>
    </row>
    <row r="290" spans="1:5" ht="12.5">
      <c r="A290" s="76"/>
      <c r="B290" s="5"/>
      <c r="C290" s="16"/>
      <c r="E290" s="5"/>
    </row>
    <row r="291" spans="1:5" ht="12.5">
      <c r="A291" s="76"/>
      <c r="B291" s="5"/>
      <c r="C291" s="16"/>
      <c r="E291" s="5"/>
    </row>
    <row r="292" spans="1:5" ht="12.5">
      <c r="A292" s="76"/>
      <c r="B292" s="5"/>
      <c r="C292" s="16"/>
      <c r="E292" s="5"/>
    </row>
    <row r="293" spans="1:5" ht="12.5">
      <c r="A293" s="76"/>
      <c r="B293" s="5"/>
      <c r="C293" s="16"/>
      <c r="E293" s="5"/>
    </row>
    <row r="294" spans="1:5" ht="12.5">
      <c r="A294" s="76"/>
      <c r="B294" s="5"/>
      <c r="C294" s="16"/>
      <c r="E294" s="5"/>
    </row>
    <row r="295" spans="1:5" ht="12.5">
      <c r="A295" s="76"/>
      <c r="B295" s="5"/>
      <c r="C295" s="16"/>
      <c r="E295" s="5"/>
    </row>
    <row r="296" spans="1:5" ht="12.5">
      <c r="A296" s="76"/>
      <c r="B296" s="5"/>
      <c r="C296" s="16"/>
      <c r="E296" s="5"/>
    </row>
    <row r="297" spans="1:5" ht="12.5">
      <c r="A297" s="76"/>
      <c r="B297" s="5"/>
      <c r="C297" s="16"/>
      <c r="E297" s="5"/>
    </row>
    <row r="298" spans="1:5" ht="12.5">
      <c r="A298" s="76"/>
      <c r="B298" s="5"/>
      <c r="C298" s="16"/>
      <c r="E298" s="5"/>
    </row>
    <row r="299" spans="1:5" ht="12.5">
      <c r="A299" s="76"/>
      <c r="B299" s="5"/>
      <c r="C299" s="16"/>
      <c r="E299" s="5"/>
    </row>
    <row r="300" spans="1:5" ht="12.5">
      <c r="A300" s="76"/>
      <c r="B300" s="5"/>
      <c r="C300" s="16"/>
      <c r="E300" s="5"/>
    </row>
    <row r="301" spans="1:5" ht="12.5">
      <c r="A301" s="76"/>
      <c r="B301" s="5"/>
      <c r="C301" s="16"/>
      <c r="E301" s="5"/>
    </row>
    <row r="302" spans="1:5" ht="12.5">
      <c r="A302" s="76"/>
      <c r="B302" s="5"/>
      <c r="C302" s="16"/>
      <c r="E302" s="5"/>
    </row>
    <row r="303" spans="1:5" ht="12.5">
      <c r="A303" s="76"/>
      <c r="B303" s="5"/>
      <c r="C303" s="16"/>
      <c r="E303" s="5"/>
    </row>
    <row r="304" spans="1:5" ht="12.5">
      <c r="A304" s="76"/>
      <c r="B304" s="5"/>
      <c r="C304" s="16"/>
      <c r="E304" s="5"/>
    </row>
    <row r="305" spans="1:5" ht="12.5">
      <c r="A305" s="76"/>
      <c r="B305" s="5"/>
      <c r="C305" s="16"/>
      <c r="E305" s="5"/>
    </row>
    <row r="306" spans="1:5" ht="12.5">
      <c r="A306" s="76"/>
      <c r="B306" s="5"/>
      <c r="C306" s="16"/>
      <c r="E306" s="5"/>
    </row>
    <row r="307" spans="1:5" ht="12.5">
      <c r="A307" s="76"/>
      <c r="B307" s="5"/>
      <c r="C307" s="16"/>
      <c r="E307" s="5"/>
    </row>
    <row r="308" spans="1:5" ht="12.5">
      <c r="A308" s="76"/>
      <c r="B308" s="5"/>
      <c r="C308" s="16"/>
      <c r="E308" s="5"/>
    </row>
    <row r="309" spans="1:5" ht="12.5">
      <c r="A309" s="76"/>
      <c r="B309" s="5"/>
      <c r="C309" s="16"/>
      <c r="E309" s="5"/>
    </row>
    <row r="310" spans="1:5" ht="12.5">
      <c r="A310" s="76"/>
      <c r="B310" s="5"/>
      <c r="C310" s="16"/>
      <c r="E310" s="5"/>
    </row>
    <row r="311" spans="1:5" ht="12.5">
      <c r="A311" s="76"/>
      <c r="B311" s="5"/>
      <c r="C311" s="16"/>
      <c r="E311" s="5"/>
    </row>
    <row r="312" spans="1:5" ht="12.5">
      <c r="A312" s="76"/>
      <c r="B312" s="5"/>
      <c r="C312" s="16"/>
      <c r="E312" s="5"/>
    </row>
    <row r="313" spans="1:5" ht="12.5">
      <c r="A313" s="76"/>
      <c r="B313" s="5"/>
      <c r="C313" s="16"/>
      <c r="E313" s="5"/>
    </row>
    <row r="314" spans="1:5" ht="12.5">
      <c r="A314" s="76"/>
      <c r="B314" s="5"/>
      <c r="C314" s="16"/>
      <c r="E314" s="5"/>
    </row>
    <row r="315" spans="1:5" ht="12.5">
      <c r="A315" s="76"/>
      <c r="B315" s="5"/>
      <c r="C315" s="16"/>
      <c r="E315" s="5"/>
    </row>
    <row r="316" spans="1:5" ht="12.5">
      <c r="A316" s="76"/>
      <c r="B316" s="5"/>
      <c r="C316" s="16"/>
      <c r="E316" s="5"/>
    </row>
    <row r="317" spans="1:5" ht="12.5">
      <c r="A317" s="76"/>
      <c r="B317" s="5"/>
      <c r="C317" s="16"/>
      <c r="E317" s="5"/>
    </row>
    <row r="318" spans="1:5" ht="12.5">
      <c r="A318" s="76"/>
      <c r="B318" s="5"/>
      <c r="C318" s="16"/>
      <c r="E318" s="5"/>
    </row>
    <row r="319" spans="1:5" ht="12.5">
      <c r="A319" s="76"/>
      <c r="B319" s="5"/>
      <c r="C319" s="16"/>
      <c r="E319" s="5"/>
    </row>
    <row r="320" spans="1:5" ht="12.5">
      <c r="A320" s="76"/>
      <c r="B320" s="5"/>
      <c r="C320" s="16"/>
      <c r="E320" s="5"/>
    </row>
    <row r="321" spans="1:5" ht="12.5">
      <c r="A321" s="76"/>
      <c r="B321" s="5"/>
      <c r="C321" s="16"/>
      <c r="E321" s="5"/>
    </row>
    <row r="322" spans="1:5" ht="12.5">
      <c r="A322" s="76"/>
      <c r="B322" s="5"/>
      <c r="C322" s="16"/>
      <c r="E322" s="5"/>
    </row>
    <row r="323" spans="1:5" ht="12.5">
      <c r="A323" s="76"/>
      <c r="B323" s="5"/>
      <c r="C323" s="16"/>
      <c r="E323" s="5"/>
    </row>
    <row r="324" spans="1:5" ht="12.5">
      <c r="A324" s="76"/>
      <c r="B324" s="5"/>
      <c r="C324" s="16"/>
      <c r="E324" s="5"/>
    </row>
    <row r="325" spans="1:5" ht="12.5">
      <c r="A325" s="76"/>
      <c r="B325" s="5"/>
      <c r="C325" s="16"/>
      <c r="E325" s="5"/>
    </row>
    <row r="326" spans="1:5" ht="12.5">
      <c r="A326" s="76"/>
      <c r="B326" s="5"/>
      <c r="C326" s="16"/>
      <c r="E326" s="5"/>
    </row>
    <row r="327" spans="1:5" ht="12.5">
      <c r="A327" s="76"/>
      <c r="B327" s="5"/>
      <c r="C327" s="16"/>
      <c r="E327" s="5"/>
    </row>
    <row r="328" spans="1:5" ht="12.5">
      <c r="A328" s="76"/>
      <c r="B328" s="5"/>
      <c r="C328" s="16"/>
      <c r="E328" s="5"/>
    </row>
    <row r="329" spans="1:5" ht="12.5">
      <c r="A329" s="76"/>
      <c r="B329" s="5"/>
      <c r="C329" s="16"/>
      <c r="E329" s="5"/>
    </row>
    <row r="330" spans="1:5" ht="12.5">
      <c r="A330" s="76"/>
      <c r="B330" s="5"/>
      <c r="C330" s="16"/>
      <c r="E330" s="5"/>
    </row>
    <row r="331" spans="1:5" ht="12.5">
      <c r="A331" s="76"/>
      <c r="B331" s="5"/>
      <c r="C331" s="16"/>
      <c r="E331" s="5"/>
    </row>
    <row r="332" spans="1:5" ht="12.5">
      <c r="A332" s="76"/>
      <c r="B332" s="5"/>
      <c r="C332" s="16"/>
      <c r="E332" s="5"/>
    </row>
    <row r="333" spans="1:5" ht="12.5">
      <c r="A333" s="76"/>
      <c r="B333" s="5"/>
      <c r="C333" s="16"/>
      <c r="E333" s="5"/>
    </row>
    <row r="334" spans="1:5" ht="12.5">
      <c r="A334" s="76"/>
      <c r="B334" s="5"/>
      <c r="C334" s="16"/>
      <c r="E334" s="5"/>
    </row>
    <row r="335" spans="1:5" ht="12.5">
      <c r="A335" s="76"/>
      <c r="B335" s="5"/>
      <c r="C335" s="16"/>
      <c r="E335" s="5"/>
    </row>
    <row r="336" spans="1:5" ht="12.5">
      <c r="A336" s="76"/>
      <c r="B336" s="5"/>
      <c r="C336" s="16"/>
      <c r="E336" s="5"/>
    </row>
    <row r="337" spans="1:5" ht="12.5">
      <c r="A337" s="76"/>
      <c r="B337" s="5"/>
      <c r="C337" s="16"/>
      <c r="E337" s="5"/>
    </row>
    <row r="338" spans="1:5" ht="12.5">
      <c r="A338" s="76"/>
      <c r="B338" s="5"/>
      <c r="C338" s="16"/>
      <c r="E338" s="5"/>
    </row>
    <row r="339" spans="1:5" ht="12.5">
      <c r="A339" s="76"/>
      <c r="B339" s="5"/>
      <c r="C339" s="16"/>
      <c r="E339" s="5"/>
    </row>
    <row r="340" spans="1:5" ht="12.5">
      <c r="A340" s="76"/>
      <c r="B340" s="5"/>
      <c r="C340" s="16"/>
      <c r="E340" s="5"/>
    </row>
    <row r="341" spans="1:5" ht="12.5">
      <c r="A341" s="76"/>
      <c r="B341" s="5"/>
      <c r="C341" s="16"/>
      <c r="E341" s="5"/>
    </row>
    <row r="342" spans="1:5" ht="12.5">
      <c r="A342" s="76"/>
      <c r="B342" s="5"/>
      <c r="C342" s="16"/>
      <c r="E342" s="5"/>
    </row>
    <row r="343" spans="1:5" ht="12.5">
      <c r="A343" s="76"/>
      <c r="B343" s="5"/>
      <c r="C343" s="16"/>
      <c r="E343" s="5"/>
    </row>
    <row r="344" spans="1:5" ht="12.5">
      <c r="A344" s="76"/>
      <c r="B344" s="5"/>
      <c r="C344" s="16"/>
      <c r="E344" s="5"/>
    </row>
    <row r="345" spans="1:5" ht="12.5">
      <c r="A345" s="76"/>
      <c r="B345" s="5"/>
      <c r="C345" s="16"/>
      <c r="E345" s="5"/>
    </row>
    <row r="346" spans="1:5" ht="12.5">
      <c r="A346" s="76"/>
      <c r="B346" s="5"/>
      <c r="C346" s="16"/>
      <c r="E346" s="5"/>
    </row>
    <row r="347" spans="1:5" ht="12.5">
      <c r="A347" s="76"/>
      <c r="B347" s="5"/>
      <c r="C347" s="16"/>
      <c r="E347" s="5"/>
    </row>
    <row r="348" spans="1:5" ht="12.5">
      <c r="A348" s="76"/>
      <c r="B348" s="5"/>
      <c r="C348" s="16"/>
      <c r="E348" s="5"/>
    </row>
    <row r="349" spans="1:5" ht="12.5">
      <c r="A349" s="76"/>
      <c r="B349" s="5"/>
      <c r="C349" s="16"/>
      <c r="E349" s="5"/>
    </row>
    <row r="350" spans="1:5" ht="12.5">
      <c r="A350" s="76"/>
      <c r="B350" s="5"/>
      <c r="C350" s="16"/>
      <c r="E350" s="5"/>
    </row>
    <row r="351" spans="1:5" ht="12.5">
      <c r="A351" s="76"/>
      <c r="B351" s="5"/>
      <c r="C351" s="16"/>
      <c r="E351" s="5"/>
    </row>
    <row r="352" spans="1:5" ht="12.5">
      <c r="A352" s="76"/>
      <c r="B352" s="5"/>
      <c r="C352" s="16"/>
      <c r="E352" s="5"/>
    </row>
    <row r="353" spans="1:5" ht="12.5">
      <c r="A353" s="76"/>
      <c r="B353" s="5"/>
      <c r="C353" s="16"/>
      <c r="E353" s="5"/>
    </row>
    <row r="354" spans="1:5" ht="12.5">
      <c r="A354" s="76"/>
      <c r="B354" s="5"/>
      <c r="C354" s="16"/>
      <c r="E354" s="5"/>
    </row>
    <row r="355" spans="1:5" ht="12.5">
      <c r="A355" s="76"/>
      <c r="B355" s="5"/>
      <c r="C355" s="16"/>
      <c r="E355" s="5"/>
    </row>
    <row r="356" spans="1:5" ht="12.5">
      <c r="A356" s="76"/>
      <c r="B356" s="5"/>
      <c r="C356" s="16"/>
      <c r="E356" s="5"/>
    </row>
    <row r="357" spans="1:5" ht="12.5">
      <c r="A357" s="76"/>
      <c r="B357" s="5"/>
      <c r="C357" s="16"/>
      <c r="E357" s="5"/>
    </row>
    <row r="358" spans="1:5" ht="12.5">
      <c r="A358" s="76"/>
      <c r="B358" s="5"/>
      <c r="C358" s="16"/>
      <c r="E358" s="5"/>
    </row>
    <row r="359" spans="1:5" ht="12.5">
      <c r="A359" s="76"/>
      <c r="B359" s="5"/>
      <c r="C359" s="16"/>
      <c r="E359" s="5"/>
    </row>
    <row r="360" spans="1:5" ht="12.5">
      <c r="A360" s="76"/>
      <c r="B360" s="5"/>
      <c r="C360" s="16"/>
      <c r="E360" s="5"/>
    </row>
    <row r="361" spans="1:5" ht="12.5">
      <c r="A361" s="76"/>
      <c r="B361" s="5"/>
      <c r="C361" s="16"/>
      <c r="E361" s="5"/>
    </row>
    <row r="362" spans="1:5" ht="12.5">
      <c r="A362" s="76"/>
      <c r="B362" s="5"/>
      <c r="C362" s="16"/>
      <c r="E362" s="5"/>
    </row>
    <row r="363" spans="1:5" ht="12.5">
      <c r="A363" s="76"/>
      <c r="B363" s="5"/>
      <c r="C363" s="16"/>
      <c r="E363" s="5"/>
    </row>
    <row r="364" spans="1:5" ht="12.5">
      <c r="A364" s="76"/>
      <c r="B364" s="5"/>
      <c r="C364" s="16"/>
      <c r="E364" s="5"/>
    </row>
    <row r="365" spans="1:5" ht="12.5">
      <c r="A365" s="76"/>
      <c r="B365" s="5"/>
      <c r="C365" s="16"/>
      <c r="E365" s="5"/>
    </row>
    <row r="366" spans="1:5" ht="12.5">
      <c r="A366" s="76"/>
      <c r="B366" s="5"/>
      <c r="C366" s="16"/>
      <c r="E366" s="5"/>
    </row>
    <row r="367" spans="1:5" ht="12.5">
      <c r="A367" s="76"/>
      <c r="B367" s="5"/>
      <c r="C367" s="16"/>
      <c r="E367" s="5"/>
    </row>
    <row r="368" spans="1:5" ht="12.5">
      <c r="A368" s="76"/>
      <c r="B368" s="5"/>
      <c r="C368" s="16"/>
      <c r="E368" s="5"/>
    </row>
    <row r="369" spans="1:5" ht="12.5">
      <c r="A369" s="76"/>
      <c r="B369" s="5"/>
      <c r="C369" s="16"/>
      <c r="E369" s="5"/>
    </row>
    <row r="370" spans="1:5" ht="12.5">
      <c r="A370" s="76"/>
      <c r="B370" s="5"/>
      <c r="C370" s="16"/>
      <c r="E370" s="5"/>
    </row>
    <row r="371" spans="1:5" ht="12.5">
      <c r="A371" s="76"/>
      <c r="B371" s="5"/>
      <c r="C371" s="16"/>
      <c r="E371" s="5"/>
    </row>
    <row r="372" spans="1:5" ht="12.5">
      <c r="A372" s="76"/>
      <c r="B372" s="5"/>
      <c r="C372" s="16"/>
      <c r="E372" s="5"/>
    </row>
    <row r="373" spans="1:5" ht="12.5">
      <c r="A373" s="76"/>
      <c r="B373" s="5"/>
      <c r="C373" s="16"/>
      <c r="E373" s="5"/>
    </row>
    <row r="374" spans="1:5" ht="12.5">
      <c r="A374" s="76"/>
      <c r="B374" s="5"/>
      <c r="C374" s="16"/>
      <c r="E374" s="5"/>
    </row>
    <row r="375" spans="1:5" ht="12.5">
      <c r="A375" s="76"/>
      <c r="B375" s="5"/>
      <c r="C375" s="16"/>
      <c r="E375" s="5"/>
    </row>
    <row r="376" spans="1:5" ht="12.5">
      <c r="A376" s="76"/>
      <c r="B376" s="5"/>
      <c r="C376" s="16"/>
      <c r="E376" s="5"/>
    </row>
    <row r="377" spans="1:5" ht="12.5">
      <c r="A377" s="76"/>
      <c r="B377" s="5"/>
      <c r="C377" s="16"/>
      <c r="E377" s="5"/>
    </row>
    <row r="378" spans="1:5" ht="12.5">
      <c r="A378" s="76"/>
      <c r="B378" s="5"/>
      <c r="C378" s="16"/>
      <c r="E378" s="5"/>
    </row>
    <row r="379" spans="1:5" ht="12.5">
      <c r="A379" s="76"/>
      <c r="B379" s="5"/>
      <c r="C379" s="16"/>
      <c r="E379" s="5"/>
    </row>
    <row r="380" spans="1:5" ht="12.5">
      <c r="A380" s="76"/>
      <c r="B380" s="5"/>
      <c r="C380" s="16"/>
      <c r="E380" s="5"/>
    </row>
    <row r="381" spans="1:5" ht="12.5">
      <c r="A381" s="76"/>
      <c r="B381" s="5"/>
      <c r="C381" s="16"/>
      <c r="E381" s="5"/>
    </row>
    <row r="382" spans="1:5" ht="12.5">
      <c r="A382" s="76"/>
      <c r="B382" s="5"/>
      <c r="C382" s="16"/>
      <c r="E382" s="5"/>
    </row>
    <row r="383" spans="1:5" ht="12.5">
      <c r="A383" s="76"/>
      <c r="B383" s="5"/>
      <c r="C383" s="16"/>
      <c r="E383" s="5"/>
    </row>
    <row r="384" spans="1:5" ht="12.5">
      <c r="A384" s="76"/>
      <c r="B384" s="5"/>
      <c r="C384" s="16"/>
      <c r="E384" s="5"/>
    </row>
    <row r="385" spans="1:5" ht="12.5">
      <c r="A385" s="76"/>
      <c r="B385" s="5"/>
      <c r="C385" s="16"/>
      <c r="E385" s="5"/>
    </row>
    <row r="386" spans="1:5" ht="12.5">
      <c r="A386" s="76"/>
      <c r="B386" s="5"/>
      <c r="C386" s="16"/>
      <c r="E386" s="5"/>
    </row>
    <row r="387" spans="1:5" ht="12.5">
      <c r="A387" s="76"/>
      <c r="B387" s="5"/>
      <c r="C387" s="16"/>
      <c r="E387" s="5"/>
    </row>
    <row r="388" spans="1:5" ht="12.5">
      <c r="A388" s="76"/>
      <c r="B388" s="5"/>
      <c r="C388" s="16"/>
      <c r="E388" s="5"/>
    </row>
    <row r="389" spans="1:5" ht="12.5">
      <c r="A389" s="76"/>
      <c r="B389" s="5"/>
      <c r="C389" s="16"/>
      <c r="E389" s="5"/>
    </row>
    <row r="390" spans="1:5" ht="12.5">
      <c r="A390" s="76"/>
      <c r="B390" s="5"/>
      <c r="C390" s="16"/>
      <c r="E390" s="5"/>
    </row>
    <row r="391" spans="1:5" ht="12.5">
      <c r="A391" s="76"/>
      <c r="B391" s="5"/>
      <c r="C391" s="16"/>
      <c r="E391" s="5"/>
    </row>
    <row r="392" spans="1:5" ht="12.5">
      <c r="A392" s="76"/>
      <c r="B392" s="5"/>
      <c r="C392" s="16"/>
      <c r="E392" s="5"/>
    </row>
    <row r="393" spans="1:5" ht="12.5">
      <c r="A393" s="76"/>
      <c r="B393" s="5"/>
      <c r="C393" s="16"/>
      <c r="E393" s="5"/>
    </row>
    <row r="394" spans="1:5" ht="12.5">
      <c r="A394" s="76"/>
      <c r="B394" s="5"/>
      <c r="C394" s="16"/>
      <c r="E394" s="5"/>
    </row>
    <row r="395" spans="1:5" ht="12.5">
      <c r="A395" s="76"/>
      <c r="B395" s="5"/>
      <c r="C395" s="16"/>
      <c r="E395" s="5"/>
    </row>
    <row r="396" spans="1:5" ht="12.5">
      <c r="A396" s="76"/>
      <c r="B396" s="5"/>
      <c r="C396" s="16"/>
      <c r="E396" s="5"/>
    </row>
    <row r="397" spans="1:5" ht="12.5">
      <c r="A397" s="76"/>
      <c r="B397" s="5"/>
      <c r="C397" s="16"/>
      <c r="E397" s="5"/>
    </row>
    <row r="398" spans="1:5" ht="12.5">
      <c r="A398" s="76"/>
      <c r="B398" s="5"/>
      <c r="C398" s="16"/>
      <c r="E398" s="5"/>
    </row>
    <row r="399" spans="1:5" ht="12.5">
      <c r="A399" s="76"/>
      <c r="B399" s="5"/>
      <c r="C399" s="16"/>
      <c r="E399" s="5"/>
    </row>
    <row r="400" spans="1:5" ht="12.5">
      <c r="A400" s="76"/>
      <c r="B400" s="5"/>
      <c r="C400" s="16"/>
      <c r="E400" s="5"/>
    </row>
    <row r="401" spans="1:5" ht="12.5">
      <c r="A401" s="76"/>
      <c r="B401" s="5"/>
      <c r="C401" s="16"/>
      <c r="E401" s="5"/>
    </row>
    <row r="402" spans="1:5" ht="12.5">
      <c r="A402" s="76"/>
      <c r="B402" s="5"/>
      <c r="C402" s="16"/>
      <c r="E402" s="5"/>
    </row>
    <row r="403" spans="1:5" ht="12.5">
      <c r="A403" s="76"/>
      <c r="B403" s="5"/>
      <c r="C403" s="16"/>
      <c r="E403" s="5"/>
    </row>
    <row r="404" spans="1:5" ht="12.5">
      <c r="A404" s="76"/>
      <c r="B404" s="5"/>
      <c r="C404" s="16"/>
      <c r="E404" s="5"/>
    </row>
    <row r="405" spans="1:5" ht="12.5">
      <c r="A405" s="76"/>
      <c r="B405" s="5"/>
      <c r="C405" s="16"/>
      <c r="E405" s="5"/>
    </row>
    <row r="406" spans="1:5" ht="12.5">
      <c r="A406" s="76"/>
      <c r="B406" s="5"/>
      <c r="C406" s="16"/>
      <c r="E406" s="5"/>
    </row>
    <row r="407" spans="1:5" ht="12.5">
      <c r="A407" s="76"/>
      <c r="B407" s="5"/>
      <c r="C407" s="16"/>
      <c r="E407" s="5"/>
    </row>
    <row r="408" spans="1:5" ht="12.5">
      <c r="A408" s="76"/>
      <c r="B408" s="5"/>
      <c r="C408" s="16"/>
      <c r="E408" s="5"/>
    </row>
    <row r="409" spans="1:5" ht="12.5">
      <c r="A409" s="76"/>
      <c r="B409" s="5"/>
      <c r="C409" s="16"/>
      <c r="E409" s="5"/>
    </row>
    <row r="410" spans="1:5" ht="12.5">
      <c r="A410" s="76"/>
      <c r="B410" s="5"/>
      <c r="C410" s="16"/>
      <c r="E410" s="5"/>
    </row>
    <row r="411" spans="1:5" ht="12.5">
      <c r="A411" s="76"/>
      <c r="B411" s="5"/>
      <c r="C411" s="16"/>
      <c r="E411" s="5"/>
    </row>
    <row r="412" spans="1:5" ht="12.5">
      <c r="A412" s="76"/>
      <c r="B412" s="5"/>
      <c r="C412" s="16"/>
      <c r="E412" s="5"/>
    </row>
    <row r="413" spans="1:5" ht="12.5">
      <c r="A413" s="76"/>
      <c r="B413" s="5"/>
      <c r="C413" s="16"/>
      <c r="E413" s="5"/>
    </row>
    <row r="414" spans="1:5" ht="12.5">
      <c r="A414" s="76"/>
      <c r="B414" s="5"/>
      <c r="C414" s="16"/>
      <c r="E414" s="5"/>
    </row>
    <row r="415" spans="1:5" ht="12.5">
      <c r="A415" s="76"/>
      <c r="B415" s="5"/>
      <c r="C415" s="16"/>
      <c r="E415" s="5"/>
    </row>
    <row r="416" spans="1:5" ht="12.5">
      <c r="A416" s="76"/>
      <c r="B416" s="5"/>
      <c r="C416" s="16"/>
      <c r="E416" s="5"/>
    </row>
    <row r="417" spans="1:5" ht="12.5">
      <c r="A417" s="76"/>
      <c r="B417" s="5"/>
      <c r="C417" s="16"/>
      <c r="E417" s="5"/>
    </row>
    <row r="418" spans="1:5" ht="12.5">
      <c r="A418" s="76"/>
      <c r="B418" s="5"/>
      <c r="C418" s="16"/>
      <c r="E418" s="5"/>
    </row>
    <row r="419" spans="1:5" ht="12.5">
      <c r="A419" s="76"/>
      <c r="B419" s="5"/>
      <c r="C419" s="16"/>
      <c r="E419" s="5"/>
    </row>
    <row r="420" spans="1:5" ht="12.5">
      <c r="A420" s="76"/>
      <c r="B420" s="5"/>
      <c r="C420" s="16"/>
      <c r="E420" s="5"/>
    </row>
    <row r="421" spans="1:5" ht="12.5">
      <c r="A421" s="76"/>
      <c r="B421" s="5"/>
      <c r="C421" s="16"/>
      <c r="E421" s="5"/>
    </row>
    <row r="422" spans="1:5" ht="12.5">
      <c r="A422" s="76"/>
      <c r="B422" s="5"/>
      <c r="C422" s="16"/>
      <c r="E422" s="5"/>
    </row>
    <row r="423" spans="1:5" ht="12.5">
      <c r="A423" s="76"/>
      <c r="B423" s="5"/>
      <c r="C423" s="16"/>
      <c r="E423" s="5"/>
    </row>
    <row r="424" spans="1:5" ht="12.5">
      <c r="A424" s="76"/>
      <c r="B424" s="5"/>
      <c r="C424" s="16"/>
      <c r="E424" s="5"/>
    </row>
    <row r="425" spans="1:5" ht="12.5">
      <c r="A425" s="76"/>
      <c r="B425" s="5"/>
      <c r="C425" s="16"/>
      <c r="E425" s="5"/>
    </row>
    <row r="426" spans="1:5" ht="12.5">
      <c r="A426" s="76"/>
      <c r="B426" s="5"/>
      <c r="C426" s="16"/>
      <c r="E426" s="5"/>
    </row>
    <row r="427" spans="1:5" ht="12.5">
      <c r="A427" s="76"/>
      <c r="B427" s="5"/>
      <c r="C427" s="16"/>
      <c r="E427" s="5"/>
    </row>
    <row r="428" spans="1:5" ht="12.5">
      <c r="A428" s="76"/>
      <c r="B428" s="5"/>
      <c r="C428" s="16"/>
      <c r="E428" s="5"/>
    </row>
    <row r="429" spans="1:5" ht="12.5">
      <c r="A429" s="76"/>
      <c r="B429" s="5"/>
      <c r="C429" s="16"/>
      <c r="E429" s="5"/>
    </row>
    <row r="430" spans="1:5" ht="12.5">
      <c r="A430" s="76"/>
      <c r="B430" s="5"/>
      <c r="C430" s="16"/>
      <c r="E430" s="5"/>
    </row>
    <row r="431" spans="1:5" ht="12.5">
      <c r="A431" s="76"/>
      <c r="B431" s="5"/>
      <c r="C431" s="16"/>
      <c r="E431" s="5"/>
    </row>
    <row r="432" spans="1:5" ht="12.5">
      <c r="A432" s="76"/>
      <c r="B432" s="5"/>
      <c r="C432" s="16"/>
      <c r="E432" s="5"/>
    </row>
    <row r="433" spans="1:5" ht="12.5">
      <c r="A433" s="76"/>
      <c r="B433" s="5"/>
      <c r="C433" s="16"/>
      <c r="E433" s="5"/>
    </row>
    <row r="434" spans="1:5" ht="12.5">
      <c r="A434" s="76"/>
      <c r="B434" s="5"/>
      <c r="C434" s="16"/>
      <c r="E434" s="5"/>
    </row>
    <row r="435" spans="1:5" ht="12.5">
      <c r="A435" s="76"/>
      <c r="B435" s="5"/>
      <c r="C435" s="16"/>
      <c r="E435" s="5"/>
    </row>
    <row r="436" spans="1:5" ht="12.5">
      <c r="A436" s="76"/>
      <c r="B436" s="5"/>
      <c r="C436" s="16"/>
      <c r="E436" s="5"/>
    </row>
    <row r="437" spans="1:5" ht="12.5">
      <c r="A437" s="76"/>
      <c r="B437" s="5"/>
      <c r="C437" s="16"/>
      <c r="E437" s="5"/>
    </row>
    <row r="438" spans="1:5" ht="12.5">
      <c r="A438" s="76"/>
      <c r="B438" s="5"/>
      <c r="C438" s="16"/>
      <c r="E438" s="5"/>
    </row>
    <row r="439" spans="1:5" ht="12.5">
      <c r="A439" s="76"/>
      <c r="B439" s="5"/>
      <c r="C439" s="16"/>
      <c r="E439" s="5"/>
    </row>
    <row r="440" spans="1:5" ht="12.5">
      <c r="A440" s="76"/>
      <c r="B440" s="5"/>
      <c r="C440" s="16"/>
      <c r="E440" s="5"/>
    </row>
    <row r="441" spans="1:5" ht="12.5">
      <c r="A441" s="76"/>
      <c r="B441" s="5"/>
      <c r="C441" s="16"/>
      <c r="E441" s="5"/>
    </row>
    <row r="442" spans="1:5" ht="12.5">
      <c r="A442" s="76"/>
      <c r="B442" s="5"/>
      <c r="C442" s="16"/>
      <c r="E442" s="5"/>
    </row>
    <row r="443" spans="1:5" ht="12.5">
      <c r="A443" s="76"/>
      <c r="B443" s="5"/>
      <c r="C443" s="16"/>
      <c r="E443" s="5"/>
    </row>
    <row r="444" spans="1:5" ht="12.5">
      <c r="A444" s="76"/>
      <c r="B444" s="5"/>
      <c r="C444" s="16"/>
      <c r="E444" s="5"/>
    </row>
    <row r="445" spans="1:5" ht="12.5">
      <c r="A445" s="76"/>
      <c r="B445" s="5"/>
      <c r="C445" s="16"/>
      <c r="E445" s="5"/>
    </row>
    <row r="446" spans="1:5" ht="12.5">
      <c r="A446" s="76"/>
      <c r="B446" s="5"/>
      <c r="C446" s="16"/>
      <c r="E446" s="5"/>
    </row>
    <row r="447" spans="1:5" ht="12.5">
      <c r="A447" s="76"/>
      <c r="B447" s="5"/>
      <c r="C447" s="16"/>
      <c r="E447" s="5"/>
    </row>
    <row r="448" spans="1:5" ht="12.5">
      <c r="A448" s="76"/>
      <c r="B448" s="5"/>
      <c r="C448" s="16"/>
      <c r="E448" s="5"/>
    </row>
    <row r="449" spans="1:5" ht="12.5">
      <c r="A449" s="76"/>
      <c r="B449" s="5"/>
      <c r="C449" s="16"/>
      <c r="E449" s="5"/>
    </row>
    <row r="450" spans="1:5" ht="12.5">
      <c r="A450" s="76"/>
      <c r="B450" s="5"/>
      <c r="C450" s="16"/>
      <c r="E450" s="5"/>
    </row>
    <row r="451" spans="1:5" ht="12.5">
      <c r="A451" s="76"/>
      <c r="B451" s="5"/>
      <c r="C451" s="16"/>
      <c r="E451" s="5"/>
    </row>
    <row r="452" spans="1:5" ht="12.5">
      <c r="A452" s="76"/>
      <c r="B452" s="5"/>
      <c r="C452" s="16"/>
      <c r="E452" s="5"/>
    </row>
    <row r="453" spans="1:5" ht="12.5">
      <c r="A453" s="76"/>
      <c r="B453" s="5"/>
      <c r="C453" s="16"/>
      <c r="E453" s="5"/>
    </row>
    <row r="454" spans="1:5" ht="12.5">
      <c r="A454" s="76"/>
      <c r="B454" s="5"/>
      <c r="C454" s="16"/>
      <c r="E454" s="5"/>
    </row>
    <row r="455" spans="1:5" ht="12.5">
      <c r="A455" s="76"/>
      <c r="B455" s="5"/>
      <c r="C455" s="16"/>
      <c r="E455" s="5"/>
    </row>
    <row r="456" spans="1:5" ht="12.5">
      <c r="A456" s="76"/>
      <c r="B456" s="5"/>
      <c r="C456" s="16"/>
      <c r="E456" s="5"/>
    </row>
    <row r="457" spans="1:5" ht="12.5">
      <c r="A457" s="76"/>
      <c r="B457" s="5"/>
      <c r="C457" s="16"/>
      <c r="E457" s="5"/>
    </row>
    <row r="458" spans="1:5" ht="12.5">
      <c r="A458" s="76"/>
      <c r="B458" s="5"/>
      <c r="C458" s="16"/>
      <c r="E458" s="5"/>
    </row>
    <row r="459" spans="1:5" ht="12.5">
      <c r="A459" s="76"/>
      <c r="B459" s="5"/>
      <c r="C459" s="16"/>
      <c r="E459" s="5"/>
    </row>
    <row r="460" spans="1:5" ht="12.5">
      <c r="A460" s="76"/>
      <c r="B460" s="5"/>
      <c r="C460" s="16"/>
      <c r="E460" s="5"/>
    </row>
    <row r="461" spans="1:5" ht="12.5">
      <c r="A461" s="76"/>
      <c r="B461" s="5"/>
      <c r="C461" s="16"/>
      <c r="E461" s="5"/>
    </row>
    <row r="462" spans="1:5" ht="12.5">
      <c r="A462" s="76"/>
      <c r="B462" s="5"/>
      <c r="C462" s="16"/>
      <c r="E462" s="5"/>
    </row>
    <row r="463" spans="1:5" ht="12.5">
      <c r="A463" s="76"/>
      <c r="B463" s="5"/>
      <c r="C463" s="16"/>
      <c r="E463" s="5"/>
    </row>
    <row r="464" spans="1:5" ht="12.5">
      <c r="A464" s="76"/>
      <c r="B464" s="5"/>
      <c r="C464" s="16"/>
      <c r="E464" s="5"/>
    </row>
    <row r="465" spans="1:5" ht="12.5">
      <c r="A465" s="76"/>
      <c r="B465" s="5"/>
      <c r="C465" s="16"/>
      <c r="E465" s="5"/>
    </row>
    <row r="466" spans="1:5" ht="12.5">
      <c r="A466" s="76"/>
      <c r="B466" s="5"/>
      <c r="C466" s="16"/>
      <c r="E466" s="5"/>
    </row>
    <row r="467" spans="1:5" ht="12.5">
      <c r="A467" s="76"/>
      <c r="B467" s="5"/>
      <c r="C467" s="16"/>
      <c r="E467" s="5"/>
    </row>
    <row r="468" spans="1:5" ht="12.5">
      <c r="A468" s="76"/>
      <c r="B468" s="5"/>
      <c r="C468" s="16"/>
      <c r="E468" s="5"/>
    </row>
    <row r="469" spans="1:5" ht="12.5">
      <c r="A469" s="76"/>
      <c r="B469" s="5"/>
      <c r="C469" s="16"/>
      <c r="E469" s="5"/>
    </row>
    <row r="470" spans="1:5" ht="12.5">
      <c r="A470" s="76"/>
      <c r="B470" s="5"/>
      <c r="C470" s="16"/>
      <c r="E470" s="5"/>
    </row>
    <row r="471" spans="1:5" ht="12.5">
      <c r="A471" s="76"/>
      <c r="B471" s="5"/>
      <c r="C471" s="16"/>
      <c r="E471" s="5"/>
    </row>
    <row r="472" spans="1:5" ht="12.5">
      <c r="A472" s="76"/>
      <c r="B472" s="5"/>
      <c r="C472" s="16"/>
      <c r="E472" s="5"/>
    </row>
    <row r="473" spans="1:5" ht="12.5">
      <c r="A473" s="76"/>
      <c r="B473" s="5"/>
      <c r="C473" s="16"/>
      <c r="E473" s="5"/>
    </row>
    <row r="474" spans="1:5" ht="12.5">
      <c r="A474" s="76"/>
      <c r="B474" s="5"/>
      <c r="C474" s="16"/>
      <c r="E474" s="5"/>
    </row>
    <row r="475" spans="1:5" ht="12.5">
      <c r="A475" s="76"/>
      <c r="B475" s="5"/>
      <c r="C475" s="16"/>
      <c r="E475" s="5"/>
    </row>
    <row r="476" spans="1:5" ht="12.5">
      <c r="A476" s="76"/>
      <c r="B476" s="5"/>
      <c r="C476" s="16"/>
      <c r="E476" s="5"/>
    </row>
    <row r="477" spans="1:5" ht="12.5">
      <c r="A477" s="76"/>
      <c r="B477" s="5"/>
      <c r="C477" s="16"/>
      <c r="E477" s="5"/>
    </row>
    <row r="478" spans="1:5" ht="12.5">
      <c r="A478" s="76"/>
      <c r="B478" s="5"/>
      <c r="C478" s="16"/>
      <c r="E478" s="5"/>
    </row>
    <row r="479" spans="1:5" ht="12.5">
      <c r="A479" s="76"/>
      <c r="B479" s="5"/>
      <c r="C479" s="16"/>
      <c r="E479" s="5"/>
    </row>
    <row r="480" spans="1:5" ht="12.5">
      <c r="A480" s="76"/>
      <c r="B480" s="5"/>
      <c r="C480" s="16"/>
      <c r="E480" s="5"/>
    </row>
    <row r="481" spans="1:5" ht="12.5">
      <c r="A481" s="76"/>
      <c r="B481" s="5"/>
      <c r="C481" s="16"/>
      <c r="E481" s="5"/>
    </row>
    <row r="482" spans="1:5" ht="12.5">
      <c r="A482" s="76"/>
      <c r="B482" s="5"/>
      <c r="C482" s="16"/>
      <c r="E482" s="5"/>
    </row>
    <row r="483" spans="1:5" ht="12.5">
      <c r="A483" s="76"/>
      <c r="B483" s="5"/>
      <c r="C483" s="16"/>
      <c r="E483" s="5"/>
    </row>
    <row r="484" spans="1:5" ht="12.5">
      <c r="A484" s="76"/>
      <c r="B484" s="5"/>
      <c r="C484" s="16"/>
      <c r="E484" s="5"/>
    </row>
    <row r="485" spans="1:5" ht="12.5">
      <c r="A485" s="76"/>
      <c r="B485" s="5"/>
      <c r="C485" s="16"/>
      <c r="E485" s="5"/>
    </row>
    <row r="486" spans="1:5" ht="12.5">
      <c r="A486" s="76"/>
      <c r="B486" s="5"/>
      <c r="C486" s="16"/>
      <c r="E486" s="5"/>
    </row>
    <row r="487" spans="1:5" ht="12.5">
      <c r="A487" s="76"/>
      <c r="B487" s="5"/>
      <c r="C487" s="16"/>
      <c r="E487" s="5"/>
    </row>
    <row r="488" spans="1:5" ht="12.5">
      <c r="A488" s="76"/>
      <c r="B488" s="5"/>
      <c r="C488" s="16"/>
      <c r="E488" s="5"/>
    </row>
    <row r="489" spans="1:5" ht="12.5">
      <c r="A489" s="76"/>
      <c r="B489" s="5"/>
      <c r="C489" s="16"/>
      <c r="E489" s="5"/>
    </row>
    <row r="490" spans="1:5" ht="12.5">
      <c r="A490" s="76"/>
      <c r="B490" s="5"/>
      <c r="C490" s="16"/>
      <c r="E490" s="5"/>
    </row>
    <row r="491" spans="1:5" ht="12.5">
      <c r="A491" s="76"/>
      <c r="B491" s="5"/>
      <c r="C491" s="16"/>
      <c r="E491" s="5"/>
    </row>
    <row r="492" spans="1:5" ht="12.5">
      <c r="A492" s="76"/>
      <c r="B492" s="5"/>
      <c r="C492" s="16"/>
      <c r="E492" s="5"/>
    </row>
    <row r="493" spans="1:5" ht="12.5">
      <c r="A493" s="76"/>
      <c r="B493" s="5"/>
      <c r="C493" s="16"/>
      <c r="E493" s="5"/>
    </row>
    <row r="494" spans="1:5" ht="12.5">
      <c r="A494" s="76"/>
      <c r="B494" s="5"/>
      <c r="C494" s="16"/>
      <c r="E494" s="5"/>
    </row>
    <row r="495" spans="1:5" ht="12.5">
      <c r="A495" s="76"/>
      <c r="B495" s="5"/>
      <c r="C495" s="16"/>
      <c r="E495" s="5"/>
    </row>
    <row r="496" spans="1:5" ht="12.5">
      <c r="A496" s="76"/>
      <c r="B496" s="5"/>
      <c r="C496" s="16"/>
      <c r="E496" s="5"/>
    </row>
    <row r="497" spans="1:5" ht="12.5">
      <c r="A497" s="76"/>
      <c r="B497" s="5"/>
      <c r="C497" s="16"/>
      <c r="E497" s="5"/>
    </row>
    <row r="498" spans="1:5" ht="12.5">
      <c r="A498" s="76"/>
      <c r="B498" s="5"/>
      <c r="C498" s="16"/>
      <c r="E498" s="5"/>
    </row>
    <row r="499" spans="1:5" ht="12.5">
      <c r="A499" s="76"/>
      <c r="B499" s="5"/>
      <c r="C499" s="16"/>
      <c r="E499" s="5"/>
    </row>
    <row r="500" spans="1:5" ht="12.5">
      <c r="A500" s="76"/>
      <c r="B500" s="5"/>
      <c r="C500" s="16"/>
      <c r="E500" s="5"/>
    </row>
    <row r="501" spans="1:5" ht="12.5">
      <c r="A501" s="76"/>
      <c r="B501" s="5"/>
      <c r="C501" s="16"/>
      <c r="E501" s="5"/>
    </row>
    <row r="502" spans="1:5" ht="12.5">
      <c r="A502" s="76"/>
      <c r="B502" s="5"/>
      <c r="C502" s="16"/>
      <c r="E502" s="5"/>
    </row>
    <row r="503" spans="1:5" ht="12.5">
      <c r="A503" s="76"/>
      <c r="B503" s="5"/>
      <c r="C503" s="16"/>
      <c r="E503" s="5"/>
    </row>
    <row r="504" spans="1:5" ht="12.5">
      <c r="A504" s="76"/>
      <c r="B504" s="5"/>
      <c r="C504" s="16"/>
      <c r="E504" s="5"/>
    </row>
    <row r="505" spans="1:5" ht="12.5">
      <c r="A505" s="76"/>
      <c r="B505" s="5"/>
      <c r="C505" s="16"/>
      <c r="E505" s="5"/>
    </row>
    <row r="506" spans="1:5" ht="12.5">
      <c r="A506" s="76"/>
      <c r="B506" s="5"/>
      <c r="C506" s="16"/>
      <c r="E506" s="5"/>
    </row>
    <row r="507" spans="1:5" ht="12.5">
      <c r="A507" s="76"/>
      <c r="B507" s="5"/>
      <c r="C507" s="16"/>
      <c r="E507" s="5"/>
    </row>
    <row r="508" spans="1:5" ht="12.5">
      <c r="A508" s="76"/>
      <c r="B508" s="5"/>
      <c r="C508" s="16"/>
      <c r="E508" s="5"/>
    </row>
    <row r="509" spans="1:5" ht="12.5">
      <c r="A509" s="76"/>
      <c r="B509" s="5"/>
      <c r="C509" s="16"/>
      <c r="E509" s="5"/>
    </row>
    <row r="510" spans="1:5" ht="12.5">
      <c r="A510" s="76"/>
      <c r="B510" s="5"/>
      <c r="C510" s="16"/>
      <c r="E510" s="5"/>
    </row>
    <row r="511" spans="1:5" ht="12.5">
      <c r="A511" s="76"/>
      <c r="B511" s="5"/>
      <c r="C511" s="16"/>
      <c r="E511" s="5"/>
    </row>
    <row r="512" spans="1:5" ht="12.5">
      <c r="A512" s="76"/>
      <c r="B512" s="5"/>
      <c r="C512" s="16"/>
      <c r="E512" s="5"/>
    </row>
    <row r="513" spans="1:5" ht="12.5">
      <c r="A513" s="76"/>
      <c r="B513" s="5"/>
      <c r="C513" s="16"/>
      <c r="E513" s="5"/>
    </row>
    <row r="514" spans="1:5" ht="12.5">
      <c r="A514" s="76"/>
      <c r="B514" s="5"/>
      <c r="C514" s="16"/>
      <c r="E514" s="5"/>
    </row>
    <row r="515" spans="1:5" ht="12.5">
      <c r="A515" s="76"/>
      <c r="B515" s="5"/>
      <c r="C515" s="16"/>
      <c r="E515" s="5"/>
    </row>
    <row r="516" spans="1:5" ht="12.5">
      <c r="A516" s="76"/>
      <c r="B516" s="5"/>
      <c r="C516" s="16"/>
      <c r="E516" s="5"/>
    </row>
    <row r="517" spans="1:5" ht="12.5">
      <c r="A517" s="76"/>
      <c r="B517" s="5"/>
      <c r="C517" s="16"/>
      <c r="E517" s="5"/>
    </row>
    <row r="518" spans="1:5" ht="12.5">
      <c r="A518" s="76"/>
      <c r="B518" s="5"/>
      <c r="C518" s="16"/>
      <c r="E518" s="5"/>
    </row>
    <row r="519" spans="1:5" ht="12.5">
      <c r="A519" s="76"/>
      <c r="B519" s="5"/>
      <c r="C519" s="16"/>
      <c r="E519" s="5"/>
    </row>
    <row r="520" spans="1:5" ht="12.5">
      <c r="A520" s="76"/>
      <c r="B520" s="5"/>
      <c r="C520" s="16"/>
      <c r="E520" s="5"/>
    </row>
    <row r="521" spans="1:5" ht="12.5">
      <c r="A521" s="76"/>
      <c r="B521" s="5"/>
      <c r="C521" s="16"/>
      <c r="E521" s="5"/>
    </row>
    <row r="522" spans="1:5" ht="12.5">
      <c r="A522" s="76"/>
      <c r="B522" s="5"/>
      <c r="C522" s="16"/>
      <c r="E522" s="5"/>
    </row>
    <row r="523" spans="1:5" ht="12.5">
      <c r="A523" s="76"/>
      <c r="B523" s="5"/>
      <c r="C523" s="16"/>
      <c r="E523" s="5"/>
    </row>
    <row r="524" spans="1:5" ht="12.5">
      <c r="A524" s="76"/>
      <c r="B524" s="5"/>
      <c r="C524" s="16"/>
      <c r="E524" s="5"/>
    </row>
    <row r="525" spans="1:5" ht="12.5">
      <c r="A525" s="76"/>
      <c r="B525" s="5"/>
      <c r="C525" s="16"/>
      <c r="E525" s="5"/>
    </row>
    <row r="526" spans="1:5" ht="12.5">
      <c r="A526" s="76"/>
      <c r="B526" s="5"/>
      <c r="C526" s="16"/>
      <c r="E526" s="5"/>
    </row>
    <row r="527" spans="1:5" ht="12.5">
      <c r="A527" s="76"/>
      <c r="B527" s="5"/>
      <c r="C527" s="16"/>
      <c r="E527" s="5"/>
    </row>
    <row r="528" spans="1:5" ht="12.5">
      <c r="A528" s="76"/>
      <c r="B528" s="5"/>
      <c r="C528" s="16"/>
      <c r="E528" s="5"/>
    </row>
    <row r="529" spans="1:5" ht="12.5">
      <c r="A529" s="76"/>
      <c r="B529" s="5"/>
      <c r="C529" s="16"/>
      <c r="E529" s="5"/>
    </row>
    <row r="530" spans="1:5" ht="12.5">
      <c r="A530" s="76"/>
      <c r="B530" s="5"/>
      <c r="C530" s="16"/>
      <c r="E530" s="5"/>
    </row>
    <row r="531" spans="1:5" ht="12.5">
      <c r="A531" s="76"/>
      <c r="B531" s="5"/>
      <c r="C531" s="16"/>
      <c r="E531" s="5"/>
    </row>
    <row r="532" spans="1:5" ht="12.5">
      <c r="A532" s="76"/>
      <c r="B532" s="5"/>
      <c r="C532" s="16"/>
      <c r="E532" s="5"/>
    </row>
    <row r="533" spans="1:5" ht="12.5">
      <c r="A533" s="76"/>
      <c r="B533" s="5"/>
      <c r="C533" s="16"/>
      <c r="E533" s="5"/>
    </row>
    <row r="534" spans="1:5" ht="12.5">
      <c r="A534" s="76"/>
      <c r="B534" s="5"/>
      <c r="C534" s="16"/>
      <c r="E534" s="5"/>
    </row>
    <row r="535" spans="1:5" ht="12.5">
      <c r="A535" s="76"/>
      <c r="B535" s="5"/>
      <c r="C535" s="16"/>
      <c r="E535" s="5"/>
    </row>
    <row r="536" spans="1:5" ht="12.5">
      <c r="A536" s="76"/>
      <c r="B536" s="5"/>
      <c r="C536" s="16"/>
      <c r="E536" s="5"/>
    </row>
    <row r="537" spans="1:5" ht="12.5">
      <c r="A537" s="76"/>
      <c r="B537" s="5"/>
      <c r="C537" s="16"/>
      <c r="E537" s="5"/>
    </row>
    <row r="538" spans="1:5" ht="12.5">
      <c r="A538" s="76"/>
      <c r="B538" s="5"/>
      <c r="C538" s="16"/>
      <c r="E538" s="5"/>
    </row>
    <row r="539" spans="1:5" ht="12.5">
      <c r="A539" s="76"/>
      <c r="B539" s="5"/>
      <c r="C539" s="16"/>
      <c r="E539" s="5"/>
    </row>
    <row r="540" spans="1:5" ht="12.5">
      <c r="A540" s="76"/>
      <c r="B540" s="5"/>
      <c r="C540" s="16"/>
      <c r="E540" s="5"/>
    </row>
    <row r="541" spans="1:5" ht="12.5">
      <c r="A541" s="76"/>
      <c r="B541" s="5"/>
      <c r="C541" s="16"/>
      <c r="E541" s="5"/>
    </row>
    <row r="542" spans="1:5" ht="12.5">
      <c r="A542" s="76"/>
      <c r="B542" s="5"/>
      <c r="C542" s="16"/>
      <c r="E542" s="5"/>
    </row>
    <row r="543" spans="1:5" ht="12.5">
      <c r="A543" s="76"/>
      <c r="B543" s="5"/>
      <c r="C543" s="16"/>
      <c r="E543" s="5"/>
    </row>
    <row r="544" spans="1:5" ht="12.5">
      <c r="A544" s="76"/>
      <c r="B544" s="5"/>
      <c r="C544" s="16"/>
      <c r="E544" s="5"/>
    </row>
    <row r="545" spans="1:5" ht="12.5">
      <c r="A545" s="76"/>
      <c r="B545" s="5"/>
      <c r="C545" s="16"/>
      <c r="E545" s="5"/>
    </row>
    <row r="546" spans="1:5" ht="12.5">
      <c r="A546" s="76"/>
      <c r="B546" s="5"/>
      <c r="C546" s="16"/>
      <c r="E546" s="5"/>
    </row>
    <row r="547" spans="1:5" ht="12.5">
      <c r="A547" s="76"/>
      <c r="B547" s="5"/>
      <c r="C547" s="16"/>
      <c r="E547" s="5"/>
    </row>
    <row r="548" spans="1:5" ht="12.5">
      <c r="A548" s="76"/>
      <c r="B548" s="5"/>
      <c r="C548" s="16"/>
      <c r="E548" s="5"/>
    </row>
    <row r="549" spans="1:5" ht="12.5">
      <c r="A549" s="76"/>
      <c r="B549" s="5"/>
      <c r="C549" s="16"/>
      <c r="E549" s="5"/>
    </row>
    <row r="550" spans="1:5" ht="12.5">
      <c r="A550" s="76"/>
      <c r="B550" s="5"/>
      <c r="C550" s="16"/>
      <c r="E550" s="5"/>
    </row>
    <row r="551" spans="1:5" ht="12.5">
      <c r="A551" s="76"/>
      <c r="B551" s="5"/>
      <c r="C551" s="16"/>
      <c r="E551" s="5"/>
    </row>
    <row r="552" spans="1:5" ht="12.5">
      <c r="A552" s="76"/>
      <c r="B552" s="5"/>
      <c r="C552" s="16"/>
      <c r="E552" s="5"/>
    </row>
    <row r="553" spans="1:5" ht="12.5">
      <c r="A553" s="76"/>
      <c r="B553" s="5"/>
      <c r="C553" s="16"/>
      <c r="E553" s="5"/>
    </row>
    <row r="554" spans="1:5" ht="12.5">
      <c r="A554" s="76"/>
      <c r="B554" s="5"/>
      <c r="C554" s="16"/>
      <c r="E554" s="5"/>
    </row>
    <row r="555" spans="1:5" ht="12.5">
      <c r="A555" s="76"/>
      <c r="B555" s="5"/>
      <c r="C555" s="16"/>
      <c r="E555" s="5"/>
    </row>
    <row r="556" spans="1:5" ht="12.5">
      <c r="A556" s="76"/>
      <c r="B556" s="5"/>
      <c r="C556" s="16"/>
      <c r="E556" s="5"/>
    </row>
    <row r="557" spans="1:5" ht="12.5">
      <c r="A557" s="76"/>
      <c r="B557" s="5"/>
      <c r="C557" s="16"/>
      <c r="E557" s="5"/>
    </row>
    <row r="558" spans="1:5" ht="12.5">
      <c r="A558" s="76"/>
      <c r="B558" s="5"/>
      <c r="C558" s="16"/>
      <c r="E558" s="5"/>
    </row>
    <row r="559" spans="1:5" ht="12.5">
      <c r="A559" s="76"/>
      <c r="B559" s="5"/>
      <c r="C559" s="16"/>
      <c r="E559" s="5"/>
    </row>
    <row r="560" spans="1:5" ht="12.5">
      <c r="A560" s="76"/>
      <c r="B560" s="5"/>
      <c r="C560" s="16"/>
      <c r="E560" s="5"/>
    </row>
    <row r="561" spans="1:5" ht="12.5">
      <c r="A561" s="76"/>
      <c r="B561" s="5"/>
      <c r="C561" s="16"/>
      <c r="E561" s="5"/>
    </row>
    <row r="562" spans="1:5" ht="12.5">
      <c r="A562" s="76"/>
      <c r="B562" s="5"/>
      <c r="C562" s="16"/>
      <c r="E562" s="5"/>
    </row>
    <row r="563" spans="1:5" ht="12.5">
      <c r="A563" s="76"/>
      <c r="B563" s="5"/>
      <c r="C563" s="16"/>
      <c r="E563" s="5"/>
    </row>
    <row r="564" spans="1:5" ht="12.5">
      <c r="A564" s="76"/>
      <c r="B564" s="5"/>
      <c r="C564" s="16"/>
      <c r="E564" s="5"/>
    </row>
    <row r="565" spans="1:5" ht="12.5">
      <c r="A565" s="76"/>
      <c r="B565" s="5"/>
      <c r="C565" s="16"/>
      <c r="E565" s="5"/>
    </row>
    <row r="566" spans="1:5" ht="12.5">
      <c r="A566" s="76"/>
      <c r="B566" s="5"/>
      <c r="C566" s="16"/>
      <c r="E566" s="5"/>
    </row>
    <row r="567" spans="1:5" ht="12.5">
      <c r="A567" s="76"/>
      <c r="B567" s="5"/>
      <c r="C567" s="16"/>
      <c r="E567" s="5"/>
    </row>
    <row r="568" spans="1:5" ht="12.5">
      <c r="A568" s="76"/>
      <c r="B568" s="5"/>
      <c r="C568" s="16"/>
      <c r="E568" s="5"/>
    </row>
    <row r="569" spans="1:5" ht="12.5">
      <c r="A569" s="76"/>
      <c r="B569" s="5"/>
      <c r="C569" s="16"/>
      <c r="E569" s="5"/>
    </row>
    <row r="570" spans="1:5" ht="12.5">
      <c r="A570" s="76"/>
      <c r="B570" s="5"/>
      <c r="C570" s="16"/>
      <c r="E570" s="5"/>
    </row>
    <row r="571" spans="1:5" ht="12.5">
      <c r="A571" s="76"/>
      <c r="B571" s="5"/>
      <c r="C571" s="16"/>
      <c r="E571" s="5"/>
    </row>
    <row r="572" spans="1:5" ht="12.5">
      <c r="A572" s="76"/>
      <c r="B572" s="5"/>
      <c r="C572" s="16"/>
      <c r="E572" s="5"/>
    </row>
    <row r="573" spans="1:5" ht="12.5">
      <c r="A573" s="76"/>
      <c r="B573" s="5"/>
      <c r="C573" s="16"/>
      <c r="E573" s="5"/>
    </row>
    <row r="574" spans="1:5" ht="12.5">
      <c r="A574" s="76"/>
      <c r="B574" s="5"/>
      <c r="C574" s="16"/>
      <c r="E574" s="5"/>
    </row>
    <row r="575" spans="1:5" ht="12.5">
      <c r="A575" s="76"/>
      <c r="B575" s="5"/>
      <c r="C575" s="16"/>
      <c r="E575" s="5"/>
    </row>
    <row r="576" spans="1:5" ht="12.5">
      <c r="A576" s="76"/>
      <c r="B576" s="5"/>
      <c r="C576" s="16"/>
      <c r="E576" s="5"/>
    </row>
    <row r="577" spans="1:5" ht="12.5">
      <c r="A577" s="76"/>
      <c r="B577" s="5"/>
      <c r="C577" s="16"/>
      <c r="E577" s="5"/>
    </row>
    <row r="578" spans="1:5" ht="12.5">
      <c r="A578" s="76"/>
      <c r="B578" s="5"/>
      <c r="C578" s="16"/>
      <c r="E578" s="5"/>
    </row>
    <row r="579" spans="1:5" ht="12.5">
      <c r="A579" s="76"/>
      <c r="B579" s="5"/>
      <c r="C579" s="16"/>
      <c r="E579" s="5"/>
    </row>
    <row r="580" spans="1:5" ht="12.5">
      <c r="A580" s="76"/>
      <c r="B580" s="5"/>
      <c r="C580" s="16"/>
      <c r="E580" s="5"/>
    </row>
    <row r="581" spans="1:5" ht="12.5">
      <c r="A581" s="76"/>
      <c r="B581" s="5"/>
      <c r="C581" s="16"/>
      <c r="E581" s="5"/>
    </row>
    <row r="582" spans="1:5" ht="12.5">
      <c r="A582" s="76"/>
      <c r="B582" s="5"/>
      <c r="C582" s="16"/>
      <c r="E582" s="5"/>
    </row>
    <row r="583" spans="1:5" ht="12.5">
      <c r="A583" s="76"/>
      <c r="B583" s="5"/>
      <c r="C583" s="16"/>
      <c r="E583" s="5"/>
    </row>
    <row r="584" spans="1:5" ht="12.5">
      <c r="A584" s="76"/>
      <c r="B584" s="5"/>
      <c r="C584" s="16"/>
      <c r="E584" s="5"/>
    </row>
    <row r="585" spans="1:5" ht="12.5">
      <c r="A585" s="76"/>
      <c r="B585" s="5"/>
      <c r="C585" s="16"/>
      <c r="E585" s="5"/>
    </row>
    <row r="586" spans="1:5" ht="12.5">
      <c r="A586" s="76"/>
      <c r="B586" s="5"/>
      <c r="C586" s="16"/>
      <c r="E586" s="5"/>
    </row>
    <row r="587" spans="1:5" ht="12.5">
      <c r="A587" s="76"/>
      <c r="B587" s="5"/>
      <c r="C587" s="16"/>
      <c r="E587" s="5"/>
    </row>
    <row r="588" spans="1:5" ht="12.5">
      <c r="A588" s="76"/>
      <c r="B588" s="5"/>
      <c r="C588" s="16"/>
      <c r="E588" s="5"/>
    </row>
    <row r="589" spans="1:5" ht="12.5">
      <c r="A589" s="76"/>
      <c r="B589" s="5"/>
      <c r="C589" s="16"/>
      <c r="E589" s="5"/>
    </row>
    <row r="590" spans="1:5" ht="12.5">
      <c r="A590" s="76"/>
      <c r="B590" s="5"/>
      <c r="C590" s="16"/>
      <c r="E590" s="5"/>
    </row>
    <row r="591" spans="1:5" ht="12.5">
      <c r="A591" s="76"/>
      <c r="B591" s="5"/>
      <c r="C591" s="16"/>
      <c r="E591" s="5"/>
    </row>
    <row r="592" spans="1:5" ht="12.5">
      <c r="A592" s="76"/>
      <c r="B592" s="5"/>
      <c r="C592" s="16"/>
      <c r="E592" s="5"/>
    </row>
    <row r="593" spans="1:5" ht="12.5">
      <c r="A593" s="76"/>
      <c r="B593" s="5"/>
      <c r="C593" s="16"/>
      <c r="E593" s="5"/>
    </row>
    <row r="594" spans="1:5" ht="12.5">
      <c r="A594" s="76"/>
      <c r="B594" s="5"/>
      <c r="C594" s="16"/>
      <c r="E594" s="5"/>
    </row>
    <row r="595" spans="1:5" ht="12.5">
      <c r="A595" s="76"/>
      <c r="B595" s="5"/>
      <c r="C595" s="16"/>
      <c r="E595" s="5"/>
    </row>
    <row r="596" spans="1:5" ht="12.5">
      <c r="A596" s="76"/>
      <c r="B596" s="5"/>
      <c r="C596" s="16"/>
      <c r="E596" s="5"/>
    </row>
    <row r="597" spans="1:5" ht="12.5">
      <c r="A597" s="76"/>
      <c r="B597" s="5"/>
      <c r="C597" s="16"/>
      <c r="E597" s="5"/>
    </row>
    <row r="598" spans="1:5" ht="12.5">
      <c r="A598" s="76"/>
      <c r="B598" s="5"/>
      <c r="C598" s="16"/>
      <c r="E598" s="5"/>
    </row>
    <row r="599" spans="1:5" ht="12.5">
      <c r="A599" s="76"/>
      <c r="B599" s="5"/>
      <c r="C599" s="16"/>
      <c r="E599" s="5"/>
    </row>
    <row r="600" spans="1:5" ht="12.5">
      <c r="A600" s="76"/>
      <c r="B600" s="5"/>
      <c r="C600" s="16"/>
      <c r="E600" s="5"/>
    </row>
    <row r="601" spans="1:5" ht="12.5">
      <c r="A601" s="76"/>
      <c r="B601" s="5"/>
      <c r="C601" s="16"/>
      <c r="E601" s="5"/>
    </row>
    <row r="602" spans="1:5" ht="12.5">
      <c r="A602" s="76"/>
      <c r="B602" s="5"/>
      <c r="C602" s="16"/>
      <c r="E602" s="5"/>
    </row>
    <row r="603" spans="1:5" ht="12.5">
      <c r="A603" s="76"/>
      <c r="B603" s="5"/>
      <c r="C603" s="16"/>
      <c r="E603" s="5"/>
    </row>
    <row r="604" spans="1:5" ht="12.5">
      <c r="A604" s="76"/>
      <c r="B604" s="5"/>
      <c r="C604" s="16"/>
      <c r="E604" s="5"/>
    </row>
    <row r="605" spans="1:5" ht="12.5">
      <c r="A605" s="76"/>
      <c r="B605" s="5"/>
      <c r="C605" s="16"/>
      <c r="E605" s="5"/>
    </row>
    <row r="606" spans="1:5" ht="12.5">
      <c r="A606" s="76"/>
      <c r="B606" s="5"/>
      <c r="C606" s="16"/>
      <c r="E606" s="5"/>
    </row>
    <row r="607" spans="1:5" ht="12.5">
      <c r="A607" s="76"/>
      <c r="B607" s="5"/>
      <c r="C607" s="16"/>
      <c r="E607" s="5"/>
    </row>
    <row r="608" spans="1:5" ht="12.5">
      <c r="A608" s="76"/>
      <c r="B608" s="5"/>
      <c r="C608" s="16"/>
      <c r="E608" s="5"/>
    </row>
    <row r="609" spans="1:5" ht="12.5">
      <c r="A609" s="76"/>
      <c r="B609" s="5"/>
      <c r="C609" s="16"/>
      <c r="E609" s="5"/>
    </row>
    <row r="610" spans="1:5" ht="12.5">
      <c r="A610" s="76"/>
      <c r="B610" s="5"/>
      <c r="C610" s="16"/>
      <c r="E610" s="5"/>
    </row>
    <row r="611" spans="1:5" ht="12.5">
      <c r="A611" s="76"/>
      <c r="B611" s="5"/>
      <c r="C611" s="16"/>
      <c r="E611" s="5"/>
    </row>
    <row r="612" spans="1:5" ht="12.5">
      <c r="A612" s="76"/>
      <c r="B612" s="5"/>
      <c r="C612" s="16"/>
      <c r="E612" s="5"/>
    </row>
    <row r="613" spans="1:5" ht="12.5">
      <c r="A613" s="76"/>
      <c r="B613" s="5"/>
      <c r="C613" s="16"/>
      <c r="E613" s="5"/>
    </row>
    <row r="614" spans="1:5" ht="12.5">
      <c r="A614" s="76"/>
      <c r="B614" s="5"/>
      <c r="C614" s="16"/>
      <c r="E614" s="5"/>
    </row>
    <row r="615" spans="1:5" ht="12.5">
      <c r="A615" s="76"/>
      <c r="B615" s="5"/>
      <c r="C615" s="16"/>
      <c r="E615" s="5"/>
    </row>
    <row r="616" spans="1:5" ht="12.5">
      <c r="A616" s="76"/>
      <c r="B616" s="5"/>
      <c r="C616" s="16"/>
      <c r="E616" s="5"/>
    </row>
    <row r="617" spans="1:5" ht="12.5">
      <c r="A617" s="76"/>
      <c r="B617" s="5"/>
      <c r="C617" s="16"/>
      <c r="E617" s="5"/>
    </row>
    <row r="618" spans="1:5" ht="12.5">
      <c r="A618" s="76"/>
      <c r="B618" s="5"/>
      <c r="C618" s="16"/>
      <c r="E618" s="5"/>
    </row>
    <row r="619" spans="1:5" ht="12.5">
      <c r="A619" s="76"/>
      <c r="B619" s="5"/>
      <c r="C619" s="16"/>
      <c r="E619" s="5"/>
    </row>
    <row r="620" spans="1:5" ht="12.5">
      <c r="A620" s="76"/>
      <c r="B620" s="5"/>
      <c r="C620" s="16"/>
      <c r="E620" s="5"/>
    </row>
    <row r="621" spans="1:5" ht="12.5">
      <c r="A621" s="76"/>
      <c r="B621" s="5"/>
      <c r="C621" s="16"/>
      <c r="E621" s="5"/>
    </row>
    <row r="622" spans="1:5" ht="12.5">
      <c r="A622" s="76"/>
      <c r="B622" s="5"/>
      <c r="C622" s="16"/>
      <c r="E622" s="5"/>
    </row>
    <row r="623" spans="1:5" ht="12.5">
      <c r="A623" s="76"/>
      <c r="B623" s="5"/>
      <c r="C623" s="16"/>
      <c r="E623" s="5"/>
    </row>
    <row r="624" spans="1:5" ht="12.5">
      <c r="A624" s="76"/>
      <c r="B624" s="5"/>
      <c r="C624" s="16"/>
      <c r="E624" s="5"/>
    </row>
    <row r="625" spans="1:5" ht="12.5">
      <c r="A625" s="76"/>
      <c r="B625" s="5"/>
      <c r="C625" s="16"/>
      <c r="E625" s="5"/>
    </row>
    <row r="626" spans="1:5" ht="12.5">
      <c r="A626" s="76"/>
      <c r="B626" s="5"/>
      <c r="C626" s="16"/>
      <c r="E626" s="5"/>
    </row>
    <row r="627" spans="1:5" ht="12.5">
      <c r="A627" s="76"/>
      <c r="B627" s="5"/>
      <c r="C627" s="16"/>
      <c r="E627" s="5"/>
    </row>
    <row r="628" spans="1:5" ht="12.5">
      <c r="A628" s="76"/>
      <c r="B628" s="5"/>
      <c r="C628" s="16"/>
      <c r="E628" s="5"/>
    </row>
    <row r="629" spans="1:5" ht="12.5">
      <c r="A629" s="76"/>
      <c r="B629" s="5"/>
      <c r="C629" s="16"/>
      <c r="E629" s="5"/>
    </row>
    <row r="630" spans="1:5" ht="12.5">
      <c r="A630" s="76"/>
      <c r="B630" s="5"/>
      <c r="C630" s="16"/>
      <c r="E630" s="5"/>
    </row>
    <row r="631" spans="1:5" ht="12.5">
      <c r="A631" s="76"/>
      <c r="B631" s="5"/>
      <c r="C631" s="16"/>
      <c r="E631" s="5"/>
    </row>
    <row r="632" spans="1:5" ht="12.5">
      <c r="A632" s="76"/>
      <c r="B632" s="5"/>
      <c r="C632" s="16"/>
      <c r="E632" s="5"/>
    </row>
    <row r="633" spans="1:5" ht="12.5">
      <c r="A633" s="76"/>
      <c r="B633" s="5"/>
      <c r="C633" s="16"/>
      <c r="E633" s="5"/>
    </row>
    <row r="634" spans="1:5" ht="12.5">
      <c r="A634" s="76"/>
      <c r="B634" s="5"/>
      <c r="C634" s="16"/>
      <c r="E634" s="5"/>
    </row>
    <row r="635" spans="1:5" ht="12.5">
      <c r="A635" s="76"/>
      <c r="B635" s="5"/>
      <c r="C635" s="16"/>
      <c r="E635" s="5"/>
    </row>
    <row r="636" spans="1:5" ht="12.5">
      <c r="A636" s="76"/>
      <c r="B636" s="5"/>
      <c r="C636" s="16"/>
      <c r="E636" s="5"/>
    </row>
    <row r="637" spans="1:5" ht="12.5">
      <c r="A637" s="76"/>
      <c r="B637" s="5"/>
      <c r="C637" s="16"/>
      <c r="E637" s="5"/>
    </row>
    <row r="638" spans="1:5" ht="12.5">
      <c r="A638" s="76"/>
      <c r="B638" s="5"/>
      <c r="C638" s="16"/>
      <c r="E638" s="5"/>
    </row>
    <row r="639" spans="1:5" ht="12.5">
      <c r="A639" s="76"/>
      <c r="B639" s="5"/>
      <c r="C639" s="16"/>
      <c r="E639" s="5"/>
    </row>
    <row r="640" spans="1:5" ht="12.5">
      <c r="A640" s="76"/>
      <c r="B640" s="5"/>
      <c r="C640" s="16"/>
      <c r="E640" s="5"/>
    </row>
    <row r="641" spans="1:5" ht="12.5">
      <c r="A641" s="76"/>
      <c r="B641" s="5"/>
      <c r="C641" s="16"/>
      <c r="E641" s="5"/>
    </row>
    <row r="642" spans="1:5" ht="12.5">
      <c r="A642" s="76"/>
      <c r="B642" s="5"/>
      <c r="C642" s="16"/>
      <c r="E642" s="5"/>
    </row>
    <row r="643" spans="1:5" ht="12.5">
      <c r="A643" s="76"/>
      <c r="B643" s="5"/>
      <c r="C643" s="16"/>
      <c r="E643" s="5"/>
    </row>
    <row r="644" spans="1:5" ht="12.5">
      <c r="A644" s="76"/>
      <c r="B644" s="5"/>
      <c r="C644" s="16"/>
      <c r="E644" s="5"/>
    </row>
    <row r="645" spans="1:5" ht="12.5">
      <c r="A645" s="76"/>
      <c r="B645" s="5"/>
      <c r="C645" s="16"/>
      <c r="E645" s="5"/>
    </row>
    <row r="646" spans="1:5" ht="12.5">
      <c r="A646" s="76"/>
      <c r="B646" s="5"/>
      <c r="C646" s="16"/>
      <c r="E646" s="5"/>
    </row>
    <row r="647" spans="1:5" ht="12.5">
      <c r="A647" s="76"/>
      <c r="B647" s="5"/>
      <c r="C647" s="16"/>
      <c r="E647" s="5"/>
    </row>
    <row r="648" spans="1:5" ht="12.5">
      <c r="A648" s="76"/>
      <c r="B648" s="5"/>
      <c r="C648" s="16"/>
      <c r="E648" s="5"/>
    </row>
    <row r="649" spans="1:5" ht="12.5">
      <c r="A649" s="76"/>
      <c r="B649" s="5"/>
      <c r="C649" s="16"/>
      <c r="E649" s="5"/>
    </row>
    <row r="650" spans="1:5" ht="12.5">
      <c r="A650" s="76"/>
      <c r="B650" s="5"/>
      <c r="C650" s="16"/>
      <c r="E650" s="5"/>
    </row>
    <row r="651" spans="1:5" ht="12.5">
      <c r="A651" s="76"/>
      <c r="B651" s="5"/>
      <c r="C651" s="16"/>
      <c r="E651" s="5"/>
    </row>
    <row r="652" spans="1:5" ht="12.5">
      <c r="A652" s="76"/>
      <c r="B652" s="5"/>
      <c r="C652" s="16"/>
      <c r="E652" s="5"/>
    </row>
    <row r="653" spans="1:5" ht="12.5">
      <c r="A653" s="76"/>
      <c r="B653" s="5"/>
      <c r="C653" s="16"/>
      <c r="E653" s="5"/>
    </row>
    <row r="654" spans="1:5" ht="12.5">
      <c r="A654" s="76"/>
      <c r="B654" s="5"/>
      <c r="C654" s="16"/>
      <c r="E654" s="5"/>
    </row>
    <row r="655" spans="1:5" ht="12.5">
      <c r="A655" s="76"/>
      <c r="B655" s="5"/>
      <c r="C655" s="16"/>
      <c r="E655" s="5"/>
    </row>
    <row r="656" spans="1:5" ht="12.5">
      <c r="A656" s="76"/>
      <c r="B656" s="5"/>
      <c r="C656" s="16"/>
      <c r="E656" s="5"/>
    </row>
    <row r="657" spans="1:5" ht="12.5">
      <c r="A657" s="76"/>
      <c r="B657" s="5"/>
      <c r="C657" s="16"/>
      <c r="E657" s="5"/>
    </row>
    <row r="658" spans="1:5" ht="12.5">
      <c r="A658" s="76"/>
      <c r="B658" s="5"/>
      <c r="C658" s="16"/>
      <c r="E658" s="5"/>
    </row>
    <row r="659" spans="1:5" ht="12.5">
      <c r="A659" s="76"/>
      <c r="B659" s="5"/>
      <c r="C659" s="16"/>
      <c r="E659" s="5"/>
    </row>
    <row r="660" spans="1:5" ht="12.5">
      <c r="A660" s="76"/>
      <c r="B660" s="5"/>
      <c r="C660" s="16"/>
      <c r="E660" s="5"/>
    </row>
    <row r="661" spans="1:5" ht="12.5">
      <c r="A661" s="76"/>
      <c r="B661" s="5"/>
      <c r="C661" s="16"/>
      <c r="E661" s="5"/>
    </row>
    <row r="662" spans="1:5" ht="12.5">
      <c r="A662" s="76"/>
      <c r="B662" s="5"/>
      <c r="C662" s="16"/>
      <c r="E662" s="5"/>
    </row>
    <row r="663" spans="1:5" ht="12.5">
      <c r="A663" s="76"/>
      <c r="B663" s="5"/>
      <c r="C663" s="16"/>
      <c r="E663" s="5"/>
    </row>
    <row r="664" spans="1:5" ht="12.5">
      <c r="A664" s="76"/>
      <c r="B664" s="5"/>
      <c r="C664" s="16"/>
      <c r="E664" s="5"/>
    </row>
    <row r="665" spans="1:5" ht="12.5">
      <c r="A665" s="76"/>
      <c r="B665" s="5"/>
      <c r="C665" s="16"/>
      <c r="E665" s="5"/>
    </row>
    <row r="666" spans="1:5" ht="12.5">
      <c r="A666" s="76"/>
      <c r="B666" s="5"/>
      <c r="C666" s="16"/>
      <c r="E666" s="5"/>
    </row>
    <row r="667" spans="1:5" ht="12.5">
      <c r="A667" s="76"/>
      <c r="B667" s="5"/>
      <c r="C667" s="16"/>
      <c r="E667" s="5"/>
    </row>
    <row r="668" spans="1:5" ht="12.5">
      <c r="A668" s="76"/>
      <c r="B668" s="5"/>
      <c r="C668" s="16"/>
      <c r="E668" s="5"/>
    </row>
    <row r="669" spans="1:5" ht="12.5">
      <c r="A669" s="76"/>
      <c r="B669" s="5"/>
      <c r="C669" s="16"/>
      <c r="E669" s="5"/>
    </row>
    <row r="670" spans="1:5" ht="12.5">
      <c r="A670" s="76"/>
      <c r="B670" s="5"/>
      <c r="C670" s="16"/>
      <c r="E670" s="5"/>
    </row>
    <row r="671" spans="1:5" ht="12.5">
      <c r="A671" s="76"/>
      <c r="B671" s="5"/>
      <c r="C671" s="16"/>
      <c r="E671" s="5"/>
    </row>
    <row r="672" spans="1:5" ht="12.5">
      <c r="A672" s="76"/>
      <c r="B672" s="5"/>
      <c r="C672" s="16"/>
      <c r="E672" s="5"/>
    </row>
    <row r="673" spans="1:5" ht="12.5">
      <c r="A673" s="76"/>
      <c r="B673" s="5"/>
      <c r="C673" s="16"/>
      <c r="E673" s="5"/>
    </row>
    <row r="674" spans="1:5" ht="12.5">
      <c r="A674" s="76"/>
      <c r="B674" s="5"/>
      <c r="C674" s="16"/>
      <c r="E674" s="5"/>
    </row>
    <row r="675" spans="1:5" ht="12.5">
      <c r="A675" s="76"/>
      <c r="B675" s="5"/>
      <c r="C675" s="16"/>
      <c r="E675" s="5"/>
    </row>
    <row r="676" spans="1:5" ht="12.5">
      <c r="A676" s="76"/>
      <c r="B676" s="5"/>
      <c r="C676" s="16"/>
      <c r="E676" s="5"/>
    </row>
    <row r="677" spans="1:5" ht="12.5">
      <c r="A677" s="76"/>
      <c r="B677" s="5"/>
      <c r="C677" s="16"/>
      <c r="E677" s="5"/>
    </row>
    <row r="678" spans="1:5" ht="12.5">
      <c r="A678" s="76"/>
      <c r="B678" s="5"/>
      <c r="C678" s="16"/>
      <c r="E678" s="5"/>
    </row>
    <row r="679" spans="1:5" ht="12.5">
      <c r="A679" s="76"/>
      <c r="B679" s="5"/>
      <c r="C679" s="16"/>
      <c r="E679" s="5"/>
    </row>
    <row r="680" spans="1:5" ht="12.5">
      <c r="A680" s="76"/>
      <c r="B680" s="5"/>
      <c r="C680" s="16"/>
      <c r="E680" s="5"/>
    </row>
    <row r="681" spans="1:5" ht="12.5">
      <c r="A681" s="76"/>
      <c r="B681" s="5"/>
      <c r="C681" s="16"/>
      <c r="E681" s="5"/>
    </row>
    <row r="682" spans="1:5" ht="12.5">
      <c r="A682" s="76"/>
      <c r="B682" s="5"/>
      <c r="C682" s="16"/>
      <c r="E682" s="5"/>
    </row>
    <row r="683" spans="1:5" ht="12.5">
      <c r="A683" s="76"/>
      <c r="B683" s="5"/>
      <c r="C683" s="16"/>
      <c r="E683" s="5"/>
    </row>
    <row r="684" spans="1:5" ht="12.5">
      <c r="A684" s="76"/>
      <c r="B684" s="5"/>
      <c r="C684" s="16"/>
      <c r="E684" s="5"/>
    </row>
    <row r="685" spans="1:5" ht="12.5">
      <c r="A685" s="76"/>
      <c r="B685" s="5"/>
      <c r="C685" s="16"/>
      <c r="E685" s="5"/>
    </row>
    <row r="686" spans="1:5" ht="12.5">
      <c r="A686" s="76"/>
      <c r="B686" s="5"/>
      <c r="C686" s="16"/>
      <c r="E686" s="5"/>
    </row>
    <row r="687" spans="1:5" ht="12.5">
      <c r="A687" s="76"/>
      <c r="B687" s="5"/>
      <c r="C687" s="16"/>
      <c r="E687" s="5"/>
    </row>
    <row r="688" spans="1:5" ht="12.5">
      <c r="A688" s="76"/>
      <c r="B688" s="5"/>
      <c r="C688" s="16"/>
      <c r="E688" s="5"/>
    </row>
    <row r="689" spans="1:5" ht="12.5">
      <c r="A689" s="76"/>
      <c r="B689" s="5"/>
      <c r="C689" s="16"/>
      <c r="E689" s="5"/>
    </row>
    <row r="690" spans="1:5" ht="12.5">
      <c r="A690" s="76"/>
      <c r="B690" s="5"/>
      <c r="C690" s="16"/>
      <c r="E690" s="5"/>
    </row>
    <row r="691" spans="1:5" ht="12.5">
      <c r="A691" s="76"/>
      <c r="B691" s="5"/>
      <c r="C691" s="16"/>
      <c r="E691" s="5"/>
    </row>
    <row r="692" spans="1:5" ht="12.5">
      <c r="A692" s="76"/>
      <c r="B692" s="5"/>
      <c r="C692" s="16"/>
      <c r="E692" s="5"/>
    </row>
    <row r="693" spans="1:5" ht="12.5">
      <c r="A693" s="76"/>
      <c r="B693" s="5"/>
      <c r="C693" s="16"/>
      <c r="E693" s="5"/>
    </row>
    <row r="694" spans="1:5" ht="12.5">
      <c r="A694" s="76"/>
      <c r="B694" s="5"/>
      <c r="C694" s="16"/>
      <c r="E694" s="5"/>
    </row>
    <row r="695" spans="1:5" ht="12.5">
      <c r="A695" s="76"/>
      <c r="B695" s="5"/>
      <c r="C695" s="16"/>
      <c r="E695" s="5"/>
    </row>
    <row r="696" spans="1:5" ht="12.5">
      <c r="A696" s="76"/>
      <c r="B696" s="5"/>
      <c r="C696" s="16"/>
      <c r="E696" s="5"/>
    </row>
    <row r="697" spans="1:5" ht="12.5">
      <c r="A697" s="76"/>
      <c r="B697" s="5"/>
      <c r="C697" s="16"/>
      <c r="E697" s="5"/>
    </row>
    <row r="698" spans="1:5" ht="12.5">
      <c r="A698" s="76"/>
      <c r="B698" s="5"/>
      <c r="C698" s="16"/>
      <c r="E698" s="5"/>
    </row>
    <row r="699" spans="1:5" ht="12.5">
      <c r="A699" s="76"/>
      <c r="B699" s="5"/>
      <c r="C699" s="16"/>
      <c r="E699" s="5"/>
    </row>
    <row r="700" spans="1:5" ht="12.5">
      <c r="A700" s="76"/>
      <c r="B700" s="5"/>
      <c r="C700" s="16"/>
      <c r="E700" s="5"/>
    </row>
    <row r="701" spans="1:5" ht="12.5">
      <c r="A701" s="76"/>
      <c r="B701" s="5"/>
      <c r="C701" s="16"/>
      <c r="E701" s="5"/>
    </row>
    <row r="702" spans="1:5" ht="12.5">
      <c r="A702" s="76"/>
      <c r="B702" s="5"/>
      <c r="C702" s="16"/>
      <c r="E702" s="5"/>
    </row>
    <row r="703" spans="1:5" ht="12.5">
      <c r="A703" s="76"/>
      <c r="B703" s="5"/>
      <c r="C703" s="16"/>
      <c r="E703" s="5"/>
    </row>
    <row r="704" spans="1:5" ht="12.5">
      <c r="A704" s="76"/>
      <c r="B704" s="5"/>
      <c r="C704" s="16"/>
      <c r="E704" s="5"/>
    </row>
    <row r="705" spans="1:5" ht="12.5">
      <c r="A705" s="76"/>
      <c r="B705" s="5"/>
      <c r="C705" s="16"/>
      <c r="E705" s="5"/>
    </row>
    <row r="706" spans="1:5" ht="12.5">
      <c r="A706" s="76"/>
      <c r="B706" s="5"/>
      <c r="C706" s="16"/>
      <c r="E706" s="5"/>
    </row>
    <row r="707" spans="1:5" ht="12.5">
      <c r="A707" s="76"/>
      <c r="B707" s="5"/>
      <c r="C707" s="16"/>
      <c r="E707" s="5"/>
    </row>
    <row r="708" spans="1:5" ht="12.5">
      <c r="A708" s="76"/>
      <c r="B708" s="5"/>
      <c r="C708" s="16"/>
      <c r="E708" s="5"/>
    </row>
    <row r="709" spans="1:5" ht="12.5">
      <c r="A709" s="76"/>
      <c r="B709" s="5"/>
      <c r="C709" s="16"/>
      <c r="E709" s="5"/>
    </row>
    <row r="710" spans="1:5" ht="12.5">
      <c r="A710" s="76"/>
      <c r="B710" s="5"/>
      <c r="C710" s="16"/>
      <c r="E710" s="5"/>
    </row>
    <row r="711" spans="1:5" ht="12.5">
      <c r="A711" s="76"/>
      <c r="B711" s="5"/>
      <c r="C711" s="16"/>
      <c r="E711" s="5"/>
    </row>
    <row r="712" spans="1:5" ht="12.5">
      <c r="A712" s="76"/>
      <c r="B712" s="5"/>
      <c r="C712" s="16"/>
      <c r="E712" s="5"/>
    </row>
    <row r="713" spans="1:5" ht="12.5">
      <c r="A713" s="76"/>
      <c r="B713" s="5"/>
      <c r="C713" s="16"/>
      <c r="E713" s="5"/>
    </row>
    <row r="714" spans="1:5" ht="12.5">
      <c r="A714" s="76"/>
      <c r="B714" s="5"/>
      <c r="C714" s="16"/>
      <c r="E714" s="5"/>
    </row>
    <row r="715" spans="1:5" ht="12.5">
      <c r="A715" s="76"/>
      <c r="B715" s="5"/>
      <c r="C715" s="16"/>
      <c r="E715" s="5"/>
    </row>
    <row r="716" spans="1:5" ht="12.5">
      <c r="A716" s="76"/>
      <c r="B716" s="5"/>
      <c r="C716" s="16"/>
      <c r="E716" s="5"/>
    </row>
    <row r="717" spans="1:5" ht="12.5">
      <c r="A717" s="76"/>
      <c r="B717" s="5"/>
      <c r="C717" s="16"/>
      <c r="E717" s="5"/>
    </row>
    <row r="718" spans="1:5" ht="12.5">
      <c r="A718" s="76"/>
      <c r="B718" s="5"/>
      <c r="C718" s="16"/>
      <c r="E718" s="5"/>
    </row>
    <row r="719" spans="1:5" ht="12.5">
      <c r="A719" s="76"/>
      <c r="B719" s="5"/>
      <c r="C719" s="16"/>
      <c r="E719" s="5"/>
    </row>
    <row r="720" spans="1:5" ht="12.5">
      <c r="A720" s="76"/>
      <c r="B720" s="5"/>
      <c r="C720" s="16"/>
      <c r="E720" s="5"/>
    </row>
    <row r="721" spans="1:5" ht="12.5">
      <c r="A721" s="76"/>
      <c r="B721" s="5"/>
      <c r="C721" s="16"/>
      <c r="E721" s="5"/>
    </row>
    <row r="722" spans="1:5" ht="12.5">
      <c r="A722" s="76"/>
      <c r="B722" s="5"/>
      <c r="C722" s="16"/>
      <c r="E722" s="5"/>
    </row>
    <row r="723" spans="1:5" ht="12.5">
      <c r="A723" s="76"/>
      <c r="B723" s="5"/>
      <c r="C723" s="16"/>
      <c r="E723" s="5"/>
    </row>
    <row r="724" spans="1:5" ht="12.5">
      <c r="A724" s="76"/>
      <c r="B724" s="5"/>
      <c r="C724" s="16"/>
      <c r="E724" s="5"/>
    </row>
    <row r="725" spans="1:5" ht="12.5">
      <c r="A725" s="76"/>
      <c r="B725" s="5"/>
      <c r="C725" s="16"/>
      <c r="E725" s="5"/>
    </row>
    <row r="726" spans="1:5" ht="12.5">
      <c r="A726" s="76"/>
      <c r="B726" s="5"/>
      <c r="C726" s="16"/>
      <c r="E726" s="5"/>
    </row>
    <row r="727" spans="1:5" ht="12.5">
      <c r="A727" s="76"/>
      <c r="B727" s="5"/>
      <c r="C727" s="16"/>
      <c r="E727" s="5"/>
    </row>
    <row r="728" spans="1:5" ht="12.5">
      <c r="A728" s="76"/>
      <c r="B728" s="5"/>
      <c r="C728" s="16"/>
      <c r="E728" s="5"/>
    </row>
    <row r="729" spans="1:5" ht="12.5">
      <c r="A729" s="76"/>
      <c r="B729" s="5"/>
      <c r="C729" s="16"/>
      <c r="E729" s="5"/>
    </row>
    <row r="730" spans="1:5" ht="12.5">
      <c r="A730" s="76"/>
      <c r="B730" s="5"/>
      <c r="C730" s="16"/>
      <c r="E730" s="5"/>
    </row>
    <row r="731" spans="1:5" ht="12.5">
      <c r="A731" s="76"/>
      <c r="B731" s="5"/>
      <c r="C731" s="16"/>
      <c r="E731" s="5"/>
    </row>
    <row r="732" spans="1:5" ht="12.5">
      <c r="A732" s="76"/>
      <c r="B732" s="5"/>
      <c r="C732" s="16"/>
      <c r="E732" s="5"/>
    </row>
    <row r="733" spans="1:5" ht="12.5">
      <c r="A733" s="76"/>
      <c r="B733" s="5"/>
      <c r="C733" s="16"/>
      <c r="E733" s="5"/>
    </row>
    <row r="734" spans="1:5" ht="12.5">
      <c r="A734" s="76"/>
      <c r="B734" s="5"/>
      <c r="C734" s="16"/>
      <c r="E734" s="5"/>
    </row>
    <row r="735" spans="1:5" ht="12.5">
      <c r="A735" s="76"/>
      <c r="B735" s="5"/>
      <c r="C735" s="16"/>
      <c r="E735" s="5"/>
    </row>
    <row r="736" spans="1:5" ht="12.5">
      <c r="A736" s="76"/>
      <c r="B736" s="5"/>
      <c r="C736" s="16"/>
      <c r="E736" s="5"/>
    </row>
    <row r="737" spans="1:5" ht="12.5">
      <c r="A737" s="76"/>
      <c r="B737" s="5"/>
      <c r="C737" s="16"/>
      <c r="E737" s="5"/>
    </row>
    <row r="738" spans="1:5" ht="12.5">
      <c r="A738" s="76"/>
      <c r="B738" s="5"/>
      <c r="C738" s="16"/>
      <c r="E738" s="5"/>
    </row>
    <row r="739" spans="1:5" ht="12.5">
      <c r="A739" s="76"/>
      <c r="B739" s="5"/>
      <c r="C739" s="16"/>
      <c r="E739" s="5"/>
    </row>
    <row r="740" spans="1:5" ht="12.5">
      <c r="A740" s="76"/>
      <c r="B740" s="5"/>
      <c r="C740" s="16"/>
      <c r="E740" s="5"/>
    </row>
    <row r="741" spans="1:5" ht="12.5">
      <c r="A741" s="76"/>
      <c r="B741" s="5"/>
      <c r="C741" s="16"/>
      <c r="E741" s="5"/>
    </row>
    <row r="742" spans="1:5" ht="12.5">
      <c r="A742" s="76"/>
      <c r="B742" s="5"/>
      <c r="C742" s="16"/>
      <c r="E742" s="5"/>
    </row>
    <row r="743" spans="1:5" ht="12.5">
      <c r="A743" s="76"/>
      <c r="B743" s="5"/>
      <c r="C743" s="16"/>
      <c r="E743" s="5"/>
    </row>
    <row r="744" spans="1:5" ht="12.5">
      <c r="A744" s="76"/>
      <c r="B744" s="5"/>
      <c r="C744" s="16"/>
      <c r="E744" s="5"/>
    </row>
    <row r="745" spans="1:5" ht="12.5">
      <c r="A745" s="76"/>
      <c r="B745" s="5"/>
      <c r="C745" s="16"/>
      <c r="E745" s="5"/>
    </row>
    <row r="746" spans="1:5" ht="12.5">
      <c r="A746" s="76"/>
      <c r="B746" s="5"/>
      <c r="C746" s="16"/>
      <c r="E746" s="5"/>
    </row>
    <row r="747" spans="1:5" ht="12.5">
      <c r="A747" s="76"/>
      <c r="B747" s="5"/>
      <c r="C747" s="16"/>
      <c r="E747" s="5"/>
    </row>
    <row r="748" spans="1:5" ht="12.5">
      <c r="A748" s="76"/>
      <c r="B748" s="5"/>
      <c r="C748" s="16"/>
      <c r="E748" s="5"/>
    </row>
    <row r="749" spans="1:5" ht="12.5">
      <c r="A749" s="76"/>
      <c r="B749" s="5"/>
      <c r="C749" s="16"/>
      <c r="E749" s="5"/>
    </row>
    <row r="750" spans="1:5" ht="12.5">
      <c r="A750" s="76"/>
      <c r="B750" s="5"/>
      <c r="C750" s="16"/>
      <c r="E750" s="5"/>
    </row>
    <row r="751" spans="1:5" ht="12.5">
      <c r="A751" s="76"/>
      <c r="B751" s="5"/>
      <c r="C751" s="16"/>
      <c r="E751" s="5"/>
    </row>
    <row r="752" spans="1:5" ht="12.5">
      <c r="A752" s="76"/>
      <c r="B752" s="5"/>
      <c r="C752" s="16"/>
      <c r="E752" s="5"/>
    </row>
    <row r="753" spans="1:5" ht="12.5">
      <c r="A753" s="76"/>
      <c r="B753" s="5"/>
      <c r="C753" s="16"/>
      <c r="E753" s="5"/>
    </row>
    <row r="754" spans="1:5" ht="12.5">
      <c r="A754" s="76"/>
      <c r="B754" s="5"/>
      <c r="C754" s="16"/>
      <c r="E754" s="5"/>
    </row>
    <row r="755" spans="1:5" ht="12.5">
      <c r="A755" s="76"/>
      <c r="B755" s="5"/>
      <c r="C755" s="16"/>
      <c r="E755" s="5"/>
    </row>
    <row r="756" spans="1:5" ht="12.5">
      <c r="A756" s="76"/>
      <c r="B756" s="5"/>
      <c r="C756" s="16"/>
      <c r="E756" s="5"/>
    </row>
    <row r="757" spans="1:5" ht="12.5">
      <c r="A757" s="76"/>
      <c r="B757" s="5"/>
      <c r="C757" s="16"/>
      <c r="E757" s="5"/>
    </row>
    <row r="758" spans="1:5" ht="12.5">
      <c r="A758" s="76"/>
      <c r="B758" s="5"/>
      <c r="C758" s="16"/>
      <c r="E758" s="5"/>
    </row>
    <row r="759" spans="1:5" ht="12.5">
      <c r="A759" s="76"/>
      <c r="B759" s="5"/>
      <c r="C759" s="16"/>
      <c r="E759" s="5"/>
    </row>
    <row r="760" spans="1:5" ht="12.5">
      <c r="A760" s="76"/>
      <c r="B760" s="5"/>
      <c r="C760" s="16"/>
      <c r="E760" s="5"/>
    </row>
    <row r="761" spans="1:5" ht="12.5">
      <c r="A761" s="76"/>
      <c r="B761" s="5"/>
      <c r="C761" s="16"/>
      <c r="E761" s="5"/>
    </row>
    <row r="762" spans="1:5" ht="12.5">
      <c r="A762" s="76"/>
      <c r="B762" s="5"/>
      <c r="C762" s="16"/>
      <c r="E762" s="5"/>
    </row>
    <row r="763" spans="1:5" ht="12.5">
      <c r="A763" s="76"/>
      <c r="B763" s="5"/>
      <c r="C763" s="16"/>
      <c r="E763" s="5"/>
    </row>
    <row r="764" spans="1:5" ht="12.5">
      <c r="A764" s="76"/>
      <c r="B764" s="5"/>
      <c r="C764" s="16"/>
      <c r="E764" s="5"/>
    </row>
    <row r="765" spans="1:5" ht="12.5">
      <c r="A765" s="76"/>
      <c r="B765" s="5"/>
      <c r="C765" s="16"/>
      <c r="E765" s="5"/>
    </row>
    <row r="766" spans="1:5" ht="12.5">
      <c r="A766" s="76"/>
      <c r="B766" s="5"/>
      <c r="C766" s="16"/>
      <c r="E766" s="5"/>
    </row>
    <row r="767" spans="1:5" ht="12.5">
      <c r="A767" s="76"/>
      <c r="B767" s="5"/>
      <c r="C767" s="16"/>
      <c r="E767" s="5"/>
    </row>
    <row r="768" spans="1:5" ht="12.5">
      <c r="A768" s="76"/>
      <c r="B768" s="5"/>
      <c r="C768" s="16"/>
      <c r="E768" s="5"/>
    </row>
    <row r="769" spans="1:5" ht="12.5">
      <c r="A769" s="76"/>
      <c r="B769" s="5"/>
      <c r="C769" s="16"/>
      <c r="E769" s="5"/>
    </row>
    <row r="770" spans="1:5" ht="12.5">
      <c r="A770" s="76"/>
      <c r="B770" s="5"/>
      <c r="C770" s="16"/>
      <c r="E770" s="5"/>
    </row>
    <row r="771" spans="1:5" ht="12.5">
      <c r="A771" s="76"/>
      <c r="B771" s="5"/>
      <c r="C771" s="16"/>
      <c r="E771" s="5"/>
    </row>
    <row r="772" spans="1:5" ht="12.5">
      <c r="A772" s="76"/>
      <c r="B772" s="5"/>
      <c r="C772" s="16"/>
      <c r="E772" s="5"/>
    </row>
    <row r="773" spans="1:5" ht="12.5">
      <c r="A773" s="76"/>
      <c r="B773" s="5"/>
      <c r="C773" s="16"/>
      <c r="E773" s="5"/>
    </row>
    <row r="774" spans="1:5" ht="12.5">
      <c r="A774" s="76"/>
      <c r="B774" s="5"/>
      <c r="C774" s="16"/>
      <c r="E774" s="5"/>
    </row>
    <row r="775" spans="1:5" ht="12.5">
      <c r="A775" s="76"/>
      <c r="B775" s="5"/>
      <c r="C775" s="16"/>
      <c r="E775" s="5"/>
    </row>
    <row r="776" spans="1:5" ht="12.5">
      <c r="A776" s="76"/>
      <c r="B776" s="5"/>
      <c r="C776" s="16"/>
      <c r="E776" s="5"/>
    </row>
    <row r="777" spans="1:5" ht="12.5">
      <c r="A777" s="76"/>
      <c r="B777" s="5"/>
      <c r="C777" s="16"/>
      <c r="E777" s="5"/>
    </row>
    <row r="778" spans="1:5" ht="12.5">
      <c r="A778" s="76"/>
      <c r="B778" s="5"/>
      <c r="C778" s="16"/>
      <c r="E778" s="5"/>
    </row>
    <row r="779" spans="1:5" ht="12.5">
      <c r="A779" s="76"/>
      <c r="B779" s="5"/>
      <c r="C779" s="16"/>
      <c r="E779" s="5"/>
    </row>
    <row r="780" spans="1:5" ht="12.5">
      <c r="A780" s="76"/>
      <c r="B780" s="5"/>
      <c r="C780" s="16"/>
      <c r="E780" s="5"/>
    </row>
    <row r="781" spans="1:5" ht="12.5">
      <c r="A781" s="76"/>
      <c r="B781" s="5"/>
      <c r="C781" s="16"/>
      <c r="E781" s="5"/>
    </row>
    <row r="782" spans="1:5" ht="12.5">
      <c r="A782" s="76"/>
      <c r="B782" s="5"/>
      <c r="C782" s="16"/>
      <c r="E782" s="5"/>
    </row>
    <row r="783" spans="1:5" ht="12.5">
      <c r="A783" s="76"/>
      <c r="B783" s="5"/>
      <c r="C783" s="16"/>
      <c r="E783" s="5"/>
    </row>
    <row r="784" spans="1:5" ht="12.5">
      <c r="A784" s="76"/>
      <c r="B784" s="5"/>
      <c r="C784" s="16"/>
      <c r="E784" s="5"/>
    </row>
    <row r="785" spans="1:5" ht="12.5">
      <c r="A785" s="76"/>
      <c r="B785" s="5"/>
      <c r="C785" s="16"/>
      <c r="E785" s="5"/>
    </row>
    <row r="786" spans="1:5" ht="12.5">
      <c r="A786" s="76"/>
      <c r="B786" s="5"/>
      <c r="C786" s="16"/>
      <c r="E786" s="5"/>
    </row>
    <row r="787" spans="1:5" ht="12.5">
      <c r="A787" s="76"/>
      <c r="B787" s="5"/>
      <c r="C787" s="16"/>
      <c r="E787" s="5"/>
    </row>
    <row r="788" spans="1:5" ht="12.5">
      <c r="A788" s="76"/>
      <c r="B788" s="5"/>
      <c r="C788" s="16"/>
      <c r="E788" s="5"/>
    </row>
    <row r="789" spans="1:5" ht="12.5">
      <c r="A789" s="76"/>
      <c r="B789" s="5"/>
      <c r="C789" s="16"/>
      <c r="E789" s="5"/>
    </row>
    <row r="790" spans="1:5" ht="12.5">
      <c r="A790" s="76"/>
      <c r="B790" s="5"/>
      <c r="C790" s="16"/>
      <c r="E790" s="5"/>
    </row>
    <row r="791" spans="1:5" ht="12.5">
      <c r="A791" s="76"/>
      <c r="B791" s="5"/>
      <c r="C791" s="16"/>
      <c r="E791" s="5"/>
    </row>
    <row r="792" spans="1:5" ht="12.5">
      <c r="A792" s="76"/>
      <c r="B792" s="5"/>
      <c r="C792" s="16"/>
      <c r="E792" s="5"/>
    </row>
    <row r="793" spans="1:5" ht="12.5">
      <c r="A793" s="76"/>
      <c r="B793" s="5"/>
      <c r="C793" s="16"/>
      <c r="E793" s="5"/>
    </row>
    <row r="794" spans="1:5" ht="12.5">
      <c r="A794" s="76"/>
      <c r="B794" s="5"/>
      <c r="C794" s="16"/>
      <c r="E794" s="5"/>
    </row>
    <row r="795" spans="1:5" ht="12.5">
      <c r="A795" s="76"/>
      <c r="B795" s="5"/>
      <c r="C795" s="16"/>
      <c r="E795" s="5"/>
    </row>
    <row r="796" spans="1:5" ht="12.5">
      <c r="A796" s="76"/>
      <c r="B796" s="5"/>
      <c r="C796" s="16"/>
      <c r="E796" s="5"/>
    </row>
    <row r="797" spans="1:5" ht="12.5">
      <c r="A797" s="76"/>
      <c r="B797" s="5"/>
      <c r="C797" s="16"/>
      <c r="E797" s="5"/>
    </row>
    <row r="798" spans="1:5" ht="12.5">
      <c r="A798" s="76"/>
      <c r="B798" s="5"/>
      <c r="C798" s="16"/>
      <c r="E798" s="5"/>
    </row>
    <row r="799" spans="1:5" ht="12.5">
      <c r="A799" s="76"/>
      <c r="B799" s="5"/>
      <c r="C799" s="16"/>
      <c r="E799" s="5"/>
    </row>
    <row r="800" spans="1:5" ht="12.5">
      <c r="A800" s="76"/>
      <c r="B800" s="5"/>
      <c r="C800" s="16"/>
      <c r="E800" s="5"/>
    </row>
    <row r="801" spans="1:5" ht="12.5">
      <c r="A801" s="76"/>
      <c r="B801" s="5"/>
      <c r="C801" s="16"/>
      <c r="E801" s="5"/>
    </row>
    <row r="802" spans="1:5" ht="12.5">
      <c r="A802" s="76"/>
      <c r="B802" s="5"/>
      <c r="C802" s="16"/>
      <c r="E802" s="5"/>
    </row>
    <row r="803" spans="1:5" ht="12.5">
      <c r="A803" s="76"/>
      <c r="B803" s="5"/>
      <c r="C803" s="16"/>
      <c r="E803" s="5"/>
    </row>
    <row r="804" spans="1:5" ht="12.5">
      <c r="A804" s="76"/>
      <c r="B804" s="5"/>
      <c r="C804" s="16"/>
      <c r="E804" s="5"/>
    </row>
    <row r="805" spans="1:5" ht="12.5">
      <c r="A805" s="76"/>
      <c r="B805" s="5"/>
      <c r="C805" s="16"/>
      <c r="E805" s="5"/>
    </row>
    <row r="806" spans="1:5" ht="12.5">
      <c r="A806" s="76"/>
      <c r="B806" s="5"/>
      <c r="C806" s="16"/>
      <c r="E806" s="5"/>
    </row>
    <row r="807" spans="1:5" ht="12.5">
      <c r="A807" s="76"/>
      <c r="B807" s="5"/>
      <c r="C807" s="16"/>
      <c r="E807" s="5"/>
    </row>
    <row r="808" spans="1:5" ht="12.5">
      <c r="A808" s="76"/>
      <c r="B808" s="5"/>
      <c r="C808" s="16"/>
      <c r="E808" s="5"/>
    </row>
    <row r="809" spans="1:5" ht="12.5">
      <c r="A809" s="76"/>
      <c r="B809" s="5"/>
      <c r="C809" s="16"/>
      <c r="E809" s="5"/>
    </row>
    <row r="810" spans="1:5" ht="12.5">
      <c r="A810" s="76"/>
      <c r="B810" s="5"/>
      <c r="C810" s="16"/>
      <c r="E810" s="5"/>
    </row>
    <row r="811" spans="1:5" ht="12.5">
      <c r="A811" s="76"/>
      <c r="B811" s="5"/>
      <c r="C811" s="16"/>
      <c r="E811" s="5"/>
    </row>
    <row r="812" spans="1:5" ht="12.5">
      <c r="A812" s="76"/>
      <c r="B812" s="5"/>
      <c r="C812" s="16"/>
      <c r="E812" s="5"/>
    </row>
    <row r="813" spans="1:5" ht="12.5">
      <c r="A813" s="76"/>
      <c r="B813" s="5"/>
      <c r="C813" s="16"/>
      <c r="E813" s="5"/>
    </row>
    <row r="814" spans="1:5" ht="12.5">
      <c r="A814" s="76"/>
      <c r="B814" s="5"/>
      <c r="C814" s="16"/>
      <c r="E814" s="5"/>
    </row>
    <row r="815" spans="1:5" ht="12.5">
      <c r="A815" s="76"/>
      <c r="B815" s="5"/>
      <c r="C815" s="16"/>
      <c r="E815" s="5"/>
    </row>
    <row r="816" spans="1:5" ht="12.5">
      <c r="A816" s="76"/>
      <c r="B816" s="5"/>
      <c r="C816" s="16"/>
      <c r="E816" s="5"/>
    </row>
    <row r="817" spans="1:5" ht="12.5">
      <c r="A817" s="76"/>
      <c r="B817" s="5"/>
      <c r="C817" s="16"/>
      <c r="E817" s="5"/>
    </row>
    <row r="818" spans="1:5" ht="12.5">
      <c r="A818" s="76"/>
      <c r="B818" s="5"/>
      <c r="C818" s="16"/>
      <c r="E818" s="5"/>
    </row>
    <row r="819" spans="1:5" ht="12.5">
      <c r="A819" s="76"/>
      <c r="B819" s="5"/>
      <c r="C819" s="16"/>
      <c r="E819" s="5"/>
    </row>
    <row r="820" spans="1:5" ht="12.5">
      <c r="A820" s="76"/>
      <c r="B820" s="5"/>
      <c r="C820" s="16"/>
      <c r="E820" s="5"/>
    </row>
    <row r="821" spans="1:5" ht="12.5">
      <c r="A821" s="76"/>
      <c r="B821" s="5"/>
      <c r="C821" s="16"/>
      <c r="E821" s="5"/>
    </row>
    <row r="822" spans="1:5" ht="12.5">
      <c r="A822" s="76"/>
      <c r="B822" s="5"/>
      <c r="C822" s="16"/>
      <c r="E822" s="5"/>
    </row>
    <row r="823" spans="1:5" ht="12.5">
      <c r="A823" s="76"/>
      <c r="B823" s="5"/>
      <c r="C823" s="16"/>
      <c r="E823" s="5"/>
    </row>
    <row r="824" spans="1:5" ht="12.5">
      <c r="A824" s="76"/>
      <c r="B824" s="5"/>
      <c r="C824" s="16"/>
      <c r="E824" s="5"/>
    </row>
    <row r="825" spans="1:5" ht="12.5">
      <c r="A825" s="76"/>
      <c r="B825" s="5"/>
      <c r="C825" s="16"/>
      <c r="E825" s="5"/>
    </row>
    <row r="826" spans="1:5" ht="12.5">
      <c r="A826" s="76"/>
      <c r="B826" s="5"/>
      <c r="C826" s="16"/>
      <c r="E826" s="5"/>
    </row>
    <row r="827" spans="1:5" ht="12.5">
      <c r="A827" s="76"/>
      <c r="B827" s="5"/>
      <c r="C827" s="16"/>
      <c r="E827" s="5"/>
    </row>
    <row r="828" spans="1:5" ht="12.5">
      <c r="A828" s="76"/>
      <c r="B828" s="5"/>
      <c r="C828" s="16"/>
      <c r="E828" s="5"/>
    </row>
    <row r="829" spans="1:5" ht="12.5">
      <c r="A829" s="76"/>
      <c r="B829" s="5"/>
      <c r="C829" s="16"/>
      <c r="E829" s="5"/>
    </row>
    <row r="830" spans="1:5" ht="12.5">
      <c r="A830" s="76"/>
      <c r="B830" s="5"/>
      <c r="C830" s="16"/>
      <c r="E830" s="5"/>
    </row>
    <row r="831" spans="1:5" ht="12.5">
      <c r="A831" s="76"/>
      <c r="B831" s="5"/>
      <c r="C831" s="16"/>
      <c r="E831" s="5"/>
    </row>
    <row r="832" spans="1:5" ht="12.5">
      <c r="A832" s="76"/>
      <c r="B832" s="5"/>
      <c r="C832" s="16"/>
      <c r="E832" s="5"/>
    </row>
    <row r="833" spans="1:5" ht="12.5">
      <c r="A833" s="76"/>
      <c r="B833" s="5"/>
      <c r="C833" s="16"/>
      <c r="E833" s="5"/>
    </row>
    <row r="834" spans="1:5" ht="12.5">
      <c r="A834" s="76"/>
      <c r="B834" s="5"/>
      <c r="C834" s="16"/>
      <c r="E834" s="5"/>
    </row>
    <row r="835" spans="1:5" ht="12.5">
      <c r="A835" s="76"/>
      <c r="B835" s="5"/>
      <c r="C835" s="16"/>
      <c r="E835" s="5"/>
    </row>
    <row r="836" spans="1:5" ht="12.5">
      <c r="A836" s="76"/>
      <c r="B836" s="5"/>
      <c r="C836" s="16"/>
      <c r="E836" s="5"/>
    </row>
    <row r="837" spans="1:5" ht="12.5">
      <c r="A837" s="76"/>
      <c r="B837" s="5"/>
      <c r="C837" s="16"/>
      <c r="E837" s="5"/>
    </row>
    <row r="838" spans="1:5" ht="12.5">
      <c r="A838" s="76"/>
      <c r="B838" s="5"/>
      <c r="C838" s="16"/>
      <c r="E838" s="5"/>
    </row>
    <row r="839" spans="1:5" ht="12.5">
      <c r="A839" s="76"/>
      <c r="B839" s="5"/>
      <c r="C839" s="16"/>
      <c r="E839" s="5"/>
    </row>
    <row r="840" spans="1:5" ht="12.5">
      <c r="A840" s="76"/>
      <c r="B840" s="5"/>
      <c r="C840" s="16"/>
      <c r="E840" s="5"/>
    </row>
    <row r="841" spans="1:5" ht="12.5">
      <c r="A841" s="76"/>
      <c r="B841" s="5"/>
      <c r="C841" s="16"/>
      <c r="E841" s="5"/>
    </row>
    <row r="842" spans="1:5" ht="12.5">
      <c r="A842" s="76"/>
      <c r="B842" s="5"/>
      <c r="C842" s="16"/>
      <c r="E842" s="5"/>
    </row>
    <row r="843" spans="1:5" ht="12.5">
      <c r="A843" s="76"/>
      <c r="B843" s="5"/>
      <c r="C843" s="16"/>
      <c r="E843" s="5"/>
    </row>
    <row r="844" spans="1:5" ht="12.5">
      <c r="A844" s="76"/>
      <c r="B844" s="5"/>
      <c r="C844" s="16"/>
      <c r="E844" s="5"/>
    </row>
    <row r="845" spans="1:5" ht="12.5">
      <c r="A845" s="76"/>
      <c r="B845" s="5"/>
      <c r="C845" s="16"/>
      <c r="E845" s="5"/>
    </row>
    <row r="846" spans="1:5" ht="12.5">
      <c r="A846" s="76"/>
      <c r="B846" s="5"/>
      <c r="C846" s="16"/>
      <c r="E846" s="5"/>
    </row>
    <row r="847" spans="1:5" ht="12.5">
      <c r="A847" s="76"/>
      <c r="B847" s="5"/>
      <c r="C847" s="16"/>
      <c r="E847" s="5"/>
    </row>
    <row r="848" spans="1:5" ht="12.5">
      <c r="A848" s="76"/>
      <c r="B848" s="5"/>
      <c r="C848" s="16"/>
      <c r="E848" s="5"/>
    </row>
    <row r="849" spans="1:5" ht="12.5">
      <c r="A849" s="76"/>
      <c r="B849" s="5"/>
      <c r="C849" s="16"/>
      <c r="E849" s="5"/>
    </row>
    <row r="850" spans="1:5" ht="12.5">
      <c r="A850" s="76"/>
      <c r="B850" s="5"/>
      <c r="C850" s="16"/>
      <c r="E850" s="5"/>
    </row>
    <row r="851" spans="1:5" ht="12.5">
      <c r="A851" s="76"/>
      <c r="B851" s="5"/>
      <c r="C851" s="16"/>
      <c r="E851" s="5"/>
    </row>
    <row r="852" spans="1:5" ht="12.5">
      <c r="A852" s="76"/>
      <c r="B852" s="5"/>
      <c r="C852" s="16"/>
      <c r="E852" s="5"/>
    </row>
    <row r="853" spans="1:5" ht="12.5">
      <c r="A853" s="76"/>
      <c r="B853" s="5"/>
      <c r="C853" s="16"/>
      <c r="E853" s="5"/>
    </row>
    <row r="854" spans="1:5" ht="12.5">
      <c r="A854" s="76"/>
      <c r="B854" s="5"/>
      <c r="C854" s="16"/>
      <c r="E854" s="5"/>
    </row>
    <row r="855" spans="1:5" ht="12.5">
      <c r="A855" s="76"/>
      <c r="B855" s="5"/>
      <c r="C855" s="16"/>
      <c r="E855" s="5"/>
    </row>
    <row r="856" spans="1:5" ht="12.5">
      <c r="A856" s="76"/>
      <c r="B856" s="5"/>
      <c r="C856" s="16"/>
      <c r="E856" s="5"/>
    </row>
    <row r="857" spans="1:5" ht="12.5">
      <c r="A857" s="76"/>
      <c r="B857" s="5"/>
      <c r="C857" s="16"/>
      <c r="E857" s="5"/>
    </row>
    <row r="858" spans="1:5" ht="12.5">
      <c r="A858" s="76"/>
      <c r="B858" s="5"/>
      <c r="C858" s="16"/>
      <c r="E858" s="5"/>
    </row>
    <row r="859" spans="1:5" ht="12.5">
      <c r="A859" s="76"/>
      <c r="B859" s="5"/>
      <c r="C859" s="16"/>
      <c r="E859" s="5"/>
    </row>
    <row r="860" spans="1:5" ht="12.5">
      <c r="A860" s="76"/>
      <c r="B860" s="5"/>
      <c r="C860" s="16"/>
      <c r="E860" s="5"/>
    </row>
    <row r="861" spans="1:5" ht="12.5">
      <c r="A861" s="76"/>
      <c r="B861" s="5"/>
      <c r="C861" s="16"/>
      <c r="E861" s="5"/>
    </row>
    <row r="862" spans="1:5" ht="12.5">
      <c r="A862" s="76"/>
      <c r="B862" s="5"/>
      <c r="C862" s="16"/>
      <c r="E862" s="5"/>
    </row>
    <row r="863" spans="1:5" ht="12.5">
      <c r="A863" s="76"/>
      <c r="B863" s="5"/>
      <c r="C863" s="16"/>
      <c r="E863" s="5"/>
    </row>
    <row r="864" spans="1:5" ht="12.5">
      <c r="A864" s="76"/>
      <c r="B864" s="5"/>
      <c r="C864" s="16"/>
      <c r="E864" s="5"/>
    </row>
    <row r="865" spans="1:5" ht="12.5">
      <c r="A865" s="76"/>
      <c r="B865" s="5"/>
      <c r="C865" s="16"/>
      <c r="E865" s="5"/>
    </row>
    <row r="866" spans="1:5" ht="12.5">
      <c r="A866" s="76"/>
      <c r="B866" s="5"/>
      <c r="C866" s="16"/>
      <c r="E866" s="5"/>
    </row>
    <row r="867" spans="1:5" ht="12.5">
      <c r="A867" s="76"/>
      <c r="B867" s="5"/>
      <c r="C867" s="16"/>
      <c r="E867" s="5"/>
    </row>
    <row r="868" spans="1:5" ht="12.5">
      <c r="A868" s="76"/>
      <c r="B868" s="5"/>
      <c r="C868" s="16"/>
      <c r="E868" s="5"/>
    </row>
    <row r="869" spans="1:5" ht="12.5">
      <c r="A869" s="76"/>
      <c r="B869" s="5"/>
      <c r="C869" s="16"/>
      <c r="E869" s="5"/>
    </row>
    <row r="870" spans="1:5" ht="12.5">
      <c r="A870" s="76"/>
      <c r="B870" s="5"/>
      <c r="C870" s="16"/>
      <c r="E870" s="5"/>
    </row>
    <row r="871" spans="1:5" ht="12.5">
      <c r="A871" s="76"/>
      <c r="B871" s="5"/>
      <c r="C871" s="16"/>
      <c r="E871" s="5"/>
    </row>
    <row r="872" spans="1:5" ht="12.5">
      <c r="A872" s="76"/>
      <c r="B872" s="5"/>
      <c r="C872" s="16"/>
      <c r="E872" s="5"/>
    </row>
    <row r="873" spans="1:5" ht="12.5">
      <c r="A873" s="76"/>
      <c r="B873" s="5"/>
      <c r="C873" s="16"/>
      <c r="E873" s="5"/>
    </row>
    <row r="874" spans="1:5" ht="12.5">
      <c r="A874" s="76"/>
      <c r="B874" s="5"/>
      <c r="C874" s="16"/>
      <c r="E874" s="5"/>
    </row>
    <row r="875" spans="1:5" ht="12.5">
      <c r="A875" s="76"/>
      <c r="B875" s="5"/>
      <c r="C875" s="16"/>
      <c r="E875" s="5"/>
    </row>
    <row r="876" spans="1:5" ht="12.5">
      <c r="A876" s="76"/>
      <c r="B876" s="5"/>
      <c r="C876" s="16"/>
      <c r="E876" s="5"/>
    </row>
    <row r="877" spans="1:5" ht="12.5">
      <c r="A877" s="76"/>
      <c r="B877" s="5"/>
      <c r="C877" s="16"/>
      <c r="E877" s="5"/>
    </row>
    <row r="878" spans="1:5" ht="12.5">
      <c r="A878" s="76"/>
      <c r="B878" s="5"/>
      <c r="C878" s="16"/>
      <c r="E878" s="5"/>
    </row>
    <row r="879" spans="1:5" ht="12.5">
      <c r="A879" s="76"/>
      <c r="B879" s="5"/>
      <c r="C879" s="16"/>
      <c r="E879" s="5"/>
    </row>
    <row r="880" spans="1:5" ht="12.5">
      <c r="A880" s="76"/>
      <c r="B880" s="5"/>
      <c r="C880" s="16"/>
      <c r="E880" s="5"/>
    </row>
    <row r="881" spans="1:5" ht="12.5">
      <c r="A881" s="76"/>
      <c r="B881" s="5"/>
      <c r="C881" s="16"/>
      <c r="E881" s="5"/>
    </row>
    <row r="882" spans="1:5" ht="12.5">
      <c r="A882" s="76"/>
      <c r="B882" s="5"/>
      <c r="C882" s="16"/>
      <c r="E882" s="5"/>
    </row>
    <row r="883" spans="1:5" ht="12.5">
      <c r="A883" s="76"/>
      <c r="B883" s="5"/>
      <c r="C883" s="16"/>
      <c r="E883" s="5"/>
    </row>
    <row r="884" spans="1:5" ht="12.5">
      <c r="A884" s="76"/>
      <c r="B884" s="5"/>
      <c r="C884" s="16"/>
      <c r="E884" s="5"/>
    </row>
    <row r="885" spans="1:5" ht="12.5">
      <c r="A885" s="76"/>
      <c r="B885" s="5"/>
      <c r="C885" s="16"/>
      <c r="E885" s="5"/>
    </row>
    <row r="886" spans="1:5" ht="12.5">
      <c r="A886" s="76"/>
      <c r="B886" s="5"/>
      <c r="C886" s="16"/>
      <c r="E886" s="5"/>
    </row>
    <row r="887" spans="1:5" ht="12.5">
      <c r="A887" s="76"/>
      <c r="B887" s="5"/>
      <c r="C887" s="16"/>
      <c r="E887" s="5"/>
    </row>
    <row r="888" spans="1:5" ht="12.5">
      <c r="A888" s="76"/>
      <c r="B888" s="5"/>
      <c r="C888" s="16"/>
      <c r="E888" s="5"/>
    </row>
    <row r="889" spans="1:5" ht="12.5">
      <c r="A889" s="76"/>
      <c r="B889" s="5"/>
      <c r="C889" s="16"/>
      <c r="E889" s="5"/>
    </row>
    <row r="890" spans="1:5" ht="12.5">
      <c r="A890" s="76"/>
      <c r="B890" s="5"/>
      <c r="C890" s="16"/>
      <c r="E890" s="5"/>
    </row>
    <row r="891" spans="1:5" ht="12.5">
      <c r="A891" s="76"/>
      <c r="B891" s="5"/>
      <c r="C891" s="16"/>
      <c r="E891" s="5"/>
    </row>
    <row r="892" spans="1:5" ht="12.5">
      <c r="A892" s="76"/>
      <c r="B892" s="5"/>
      <c r="C892" s="16"/>
      <c r="E892" s="5"/>
    </row>
    <row r="893" spans="1:5" ht="12.5">
      <c r="A893" s="76"/>
      <c r="B893" s="5"/>
      <c r="C893" s="16"/>
      <c r="E893" s="5"/>
    </row>
    <row r="894" spans="1:5" ht="12.5">
      <c r="A894" s="76"/>
      <c r="B894" s="5"/>
      <c r="C894" s="16"/>
      <c r="E894" s="5"/>
    </row>
    <row r="895" spans="1:5" ht="12.5">
      <c r="A895" s="76"/>
      <c r="B895" s="5"/>
      <c r="C895" s="16"/>
      <c r="E895" s="5"/>
    </row>
    <row r="896" spans="1:5" ht="12.5">
      <c r="A896" s="76"/>
      <c r="B896" s="5"/>
      <c r="C896" s="16"/>
      <c r="E896" s="5"/>
    </row>
    <row r="897" spans="1:5" ht="12.5">
      <c r="A897" s="76"/>
      <c r="B897" s="5"/>
      <c r="C897" s="16"/>
      <c r="E897" s="5"/>
    </row>
    <row r="898" spans="1:5" ht="12.5">
      <c r="A898" s="76"/>
      <c r="B898" s="5"/>
      <c r="C898" s="16"/>
      <c r="E898" s="5"/>
    </row>
    <row r="899" spans="1:5" ht="12.5">
      <c r="A899" s="76"/>
      <c r="B899" s="5"/>
      <c r="C899" s="16"/>
      <c r="E899" s="5"/>
    </row>
    <row r="900" spans="1:5" ht="12.5">
      <c r="A900" s="76"/>
      <c r="B900" s="5"/>
      <c r="C900" s="16"/>
      <c r="E900" s="5"/>
    </row>
    <row r="901" spans="1:5" ht="12.5">
      <c r="A901" s="76"/>
      <c r="B901" s="5"/>
      <c r="C901" s="16"/>
      <c r="E901" s="5"/>
    </row>
    <row r="902" spans="1:5" ht="12.5">
      <c r="A902" s="76"/>
      <c r="B902" s="5"/>
      <c r="C902" s="16"/>
      <c r="E902" s="5"/>
    </row>
    <row r="903" spans="1:5" ht="12.5">
      <c r="A903" s="76"/>
      <c r="B903" s="5"/>
      <c r="C903" s="16"/>
      <c r="E903" s="5"/>
    </row>
    <row r="904" spans="1:5" ht="12.5">
      <c r="A904" s="76"/>
      <c r="B904" s="5"/>
      <c r="C904" s="16"/>
      <c r="E904" s="5"/>
    </row>
    <row r="905" spans="1:5" ht="12.5">
      <c r="A905" s="76"/>
      <c r="B905" s="5"/>
      <c r="C905" s="16"/>
      <c r="E905" s="5"/>
    </row>
    <row r="906" spans="1:5" ht="12.5">
      <c r="A906" s="76"/>
      <c r="B906" s="5"/>
      <c r="C906" s="16"/>
      <c r="E906" s="5"/>
    </row>
    <row r="907" spans="1:5" ht="12.5">
      <c r="A907" s="76"/>
      <c r="B907" s="5"/>
      <c r="C907" s="16"/>
      <c r="E907" s="5"/>
    </row>
    <row r="908" spans="1:5" ht="12.5">
      <c r="A908" s="76"/>
      <c r="B908" s="5"/>
      <c r="C908" s="16"/>
      <c r="E908" s="5"/>
    </row>
    <row r="909" spans="1:5" ht="12.5">
      <c r="A909" s="76"/>
      <c r="B909" s="5"/>
      <c r="C909" s="16"/>
      <c r="E909" s="5"/>
    </row>
    <row r="910" spans="1:5" ht="12.5">
      <c r="A910" s="76"/>
      <c r="B910" s="5"/>
      <c r="C910" s="16"/>
      <c r="E910" s="5"/>
    </row>
    <row r="911" spans="1:5" ht="12.5">
      <c r="A911" s="76"/>
      <c r="B911" s="5"/>
      <c r="C911" s="16"/>
      <c r="E911" s="5"/>
    </row>
    <row r="912" spans="1:5" ht="12.5">
      <c r="A912" s="76"/>
      <c r="B912" s="5"/>
      <c r="C912" s="16"/>
      <c r="E912" s="5"/>
    </row>
    <row r="913" spans="1:5" ht="12.5">
      <c r="A913" s="76"/>
      <c r="B913" s="5"/>
      <c r="C913" s="16"/>
      <c r="E913" s="5"/>
    </row>
    <row r="914" spans="1:5" ht="12.5">
      <c r="A914" s="76"/>
      <c r="B914" s="5"/>
      <c r="C914" s="16"/>
      <c r="E914" s="5"/>
    </row>
    <row r="915" spans="1:5" ht="12.5">
      <c r="A915" s="76"/>
      <c r="B915" s="5"/>
      <c r="C915" s="16"/>
      <c r="E915" s="5"/>
    </row>
    <row r="916" spans="1:5" ht="12.5">
      <c r="A916" s="76"/>
      <c r="B916" s="5"/>
      <c r="C916" s="16"/>
      <c r="E916" s="5"/>
    </row>
    <row r="917" spans="1:5" ht="12.5">
      <c r="A917" s="76"/>
      <c r="B917" s="5"/>
      <c r="C917" s="16"/>
      <c r="E917" s="5"/>
    </row>
    <row r="918" spans="1:5" ht="12.5">
      <c r="A918" s="76"/>
      <c r="B918" s="5"/>
      <c r="C918" s="16"/>
      <c r="E918" s="5"/>
    </row>
    <row r="919" spans="1:5" ht="12.5">
      <c r="A919" s="76"/>
      <c r="B919" s="5"/>
      <c r="C919" s="16"/>
      <c r="E919" s="5"/>
    </row>
    <row r="920" spans="1:5" ht="12.5">
      <c r="A920" s="76"/>
      <c r="B920" s="5"/>
      <c r="C920" s="16"/>
      <c r="E920" s="5"/>
    </row>
    <row r="921" spans="1:5" ht="12.5">
      <c r="A921" s="76"/>
      <c r="B921" s="5"/>
      <c r="C921" s="16"/>
      <c r="E921" s="5"/>
    </row>
    <row r="922" spans="1:5" ht="12.5">
      <c r="A922" s="76"/>
      <c r="B922" s="5"/>
      <c r="C922" s="16"/>
      <c r="E922" s="5"/>
    </row>
    <row r="923" spans="1:5" ht="12.5">
      <c r="A923" s="76"/>
      <c r="B923" s="5"/>
      <c r="C923" s="16"/>
      <c r="E923" s="5"/>
    </row>
    <row r="924" spans="1:5" ht="12.5">
      <c r="A924" s="76"/>
      <c r="B924" s="5"/>
      <c r="C924" s="16"/>
      <c r="E924" s="5"/>
    </row>
    <row r="925" spans="1:5" ht="12.5">
      <c r="A925" s="76"/>
      <c r="B925" s="5"/>
      <c r="C925" s="16"/>
      <c r="E925" s="5"/>
    </row>
    <row r="926" spans="1:5" ht="12.5">
      <c r="A926" s="76"/>
      <c r="B926" s="5"/>
      <c r="C926" s="16"/>
      <c r="E926" s="5"/>
    </row>
    <row r="927" spans="1:5" ht="12.5">
      <c r="A927" s="76"/>
      <c r="B927" s="5"/>
      <c r="C927" s="16"/>
      <c r="E927" s="5"/>
    </row>
    <row r="928" spans="1:5" ht="12.5">
      <c r="A928" s="76"/>
      <c r="B928" s="5"/>
      <c r="C928" s="16"/>
      <c r="E928" s="5"/>
    </row>
    <row r="929" spans="1:5" ht="12.5">
      <c r="A929" s="76"/>
      <c r="B929" s="5"/>
      <c r="C929" s="16"/>
      <c r="E929" s="5"/>
    </row>
    <row r="930" spans="1:5" ht="12.5">
      <c r="A930" s="76"/>
      <c r="B930" s="5"/>
      <c r="C930" s="16"/>
      <c r="E930" s="5"/>
    </row>
    <row r="931" spans="1:5" ht="12.5">
      <c r="A931" s="76"/>
      <c r="B931" s="5"/>
      <c r="C931" s="16"/>
      <c r="E931" s="5"/>
    </row>
    <row r="932" spans="1:5" ht="12.5">
      <c r="A932" s="76"/>
      <c r="B932" s="5"/>
      <c r="C932" s="16"/>
      <c r="E932" s="5"/>
    </row>
    <row r="933" spans="1:5" ht="12.5">
      <c r="A933" s="76"/>
      <c r="B933" s="5"/>
      <c r="C933" s="16"/>
      <c r="E933" s="5"/>
    </row>
    <row r="934" spans="1:5" ht="12.5">
      <c r="A934" s="76"/>
      <c r="B934" s="5"/>
      <c r="C934" s="16"/>
      <c r="E934" s="5"/>
    </row>
    <row r="935" spans="1:5" ht="12.5">
      <c r="A935" s="76"/>
      <c r="B935" s="5"/>
      <c r="C935" s="16"/>
      <c r="E935" s="5"/>
    </row>
    <row r="936" spans="1:5" ht="12.5">
      <c r="A936" s="76"/>
      <c r="B936" s="5"/>
      <c r="C936" s="16"/>
      <c r="E936" s="5"/>
    </row>
    <row r="937" spans="1:5" ht="12.5">
      <c r="A937" s="76"/>
      <c r="B937" s="5"/>
      <c r="C937" s="16"/>
      <c r="E937" s="5"/>
    </row>
    <row r="938" spans="1:5" ht="12.5">
      <c r="A938" s="76"/>
      <c r="B938" s="5"/>
      <c r="C938" s="16"/>
      <c r="E938" s="5"/>
    </row>
    <row r="939" spans="1:5" ht="12.5">
      <c r="A939" s="76"/>
      <c r="B939" s="5"/>
      <c r="C939" s="16"/>
      <c r="E939" s="5"/>
    </row>
    <row r="940" spans="1:5" ht="12.5">
      <c r="A940" s="76"/>
      <c r="B940" s="5"/>
      <c r="C940" s="16"/>
      <c r="E940" s="5"/>
    </row>
    <row r="941" spans="1:5" ht="12.5">
      <c r="A941" s="76"/>
      <c r="B941" s="5"/>
      <c r="C941" s="16"/>
      <c r="E941" s="5"/>
    </row>
    <row r="942" spans="1:5" ht="12.5">
      <c r="A942" s="76"/>
      <c r="B942" s="5"/>
      <c r="C942" s="16"/>
      <c r="E942" s="5"/>
    </row>
    <row r="943" spans="1:5" ht="12.5">
      <c r="A943" s="76"/>
      <c r="B943" s="5"/>
      <c r="C943" s="16"/>
      <c r="E943" s="5"/>
    </row>
    <row r="944" spans="1:5" ht="12.5">
      <c r="A944" s="76"/>
      <c r="B944" s="5"/>
      <c r="C944" s="16"/>
      <c r="E944" s="5"/>
    </row>
    <row r="945" spans="1:5" ht="12.5">
      <c r="A945" s="76"/>
      <c r="B945" s="5"/>
      <c r="C945" s="16"/>
      <c r="E945" s="5"/>
    </row>
    <row r="946" spans="1:5" ht="12.5">
      <c r="A946" s="76"/>
      <c r="B946" s="5"/>
      <c r="C946" s="16"/>
      <c r="E946" s="5"/>
    </row>
    <row r="947" spans="1:5" ht="12.5">
      <c r="A947" s="76"/>
      <c r="B947" s="5"/>
      <c r="C947" s="16"/>
      <c r="E947" s="5"/>
    </row>
    <row r="948" spans="1:5" ht="12.5">
      <c r="A948" s="76"/>
      <c r="B948" s="5"/>
      <c r="C948" s="16"/>
      <c r="E948" s="5"/>
    </row>
    <row r="949" spans="1:5" ht="12.5">
      <c r="A949" s="76"/>
      <c r="B949" s="5"/>
      <c r="C949" s="16"/>
      <c r="E949" s="5"/>
    </row>
    <row r="950" spans="1:5" ht="12.5">
      <c r="A950" s="76"/>
      <c r="B950" s="5"/>
      <c r="C950" s="16"/>
      <c r="E950" s="5"/>
    </row>
    <row r="951" spans="1:5" ht="12.5">
      <c r="A951" s="76"/>
      <c r="B951" s="5"/>
      <c r="C951" s="16"/>
      <c r="E951" s="5"/>
    </row>
    <row r="952" spans="1:5" ht="12.5">
      <c r="A952" s="76"/>
      <c r="B952" s="5"/>
      <c r="C952" s="16"/>
      <c r="E952" s="5"/>
    </row>
    <row r="953" spans="1:5" ht="12.5">
      <c r="A953" s="76"/>
      <c r="B953" s="5"/>
      <c r="C953" s="16"/>
      <c r="E953" s="5"/>
    </row>
    <row r="954" spans="1:5" ht="12.5">
      <c r="A954" s="76"/>
      <c r="B954" s="5"/>
      <c r="C954" s="16"/>
      <c r="E954" s="5"/>
    </row>
    <row r="955" spans="1:5" ht="12.5">
      <c r="A955" s="76"/>
      <c r="B955" s="5"/>
      <c r="C955" s="16"/>
      <c r="E955" s="5"/>
    </row>
    <row r="956" spans="1:5" ht="12.5">
      <c r="A956" s="76"/>
      <c r="B956" s="5"/>
      <c r="C956" s="16"/>
      <c r="E956" s="5"/>
    </row>
    <row r="957" spans="1:5" ht="12.5">
      <c r="A957" s="76"/>
      <c r="B957" s="5"/>
      <c r="C957" s="16"/>
      <c r="E957" s="5"/>
    </row>
    <row r="958" spans="1:5" ht="12.5">
      <c r="A958" s="76"/>
      <c r="B958" s="5"/>
      <c r="C958" s="16"/>
      <c r="E958" s="5"/>
    </row>
    <row r="959" spans="1:5" ht="12.5">
      <c r="A959" s="76"/>
      <c r="B959" s="5"/>
      <c r="C959" s="16"/>
      <c r="E959" s="5"/>
    </row>
    <row r="960" spans="1:5" ht="12.5">
      <c r="A960" s="76"/>
      <c r="B960" s="5"/>
      <c r="C960" s="16"/>
      <c r="E960" s="5"/>
    </row>
    <row r="961" spans="1:5" ht="12.5">
      <c r="A961" s="76"/>
      <c r="B961" s="5"/>
      <c r="C961" s="16"/>
      <c r="E961" s="5"/>
    </row>
    <row r="962" spans="1:5" ht="12.5">
      <c r="A962" s="76"/>
      <c r="B962" s="5"/>
      <c r="C962" s="16"/>
      <c r="E962" s="5"/>
    </row>
    <row r="963" spans="1:5" ht="12.5">
      <c r="A963" s="76"/>
      <c r="B963" s="5"/>
      <c r="C963" s="16"/>
      <c r="E963" s="5"/>
    </row>
    <row r="964" spans="1:5" ht="12.5">
      <c r="A964" s="76"/>
      <c r="B964" s="5"/>
      <c r="C964" s="16"/>
      <c r="E964" s="5"/>
    </row>
    <row r="965" spans="1:5" ht="12.5">
      <c r="A965" s="76"/>
      <c r="B965" s="5"/>
      <c r="C965" s="16"/>
      <c r="E965" s="5"/>
    </row>
    <row r="966" spans="1:5" ht="12.5">
      <c r="A966" s="76"/>
      <c r="B966" s="5"/>
      <c r="C966" s="16"/>
      <c r="E966" s="5"/>
    </row>
    <row r="967" spans="1:5" ht="12.5">
      <c r="A967" s="76"/>
      <c r="B967" s="5"/>
      <c r="C967" s="16"/>
      <c r="E967" s="5"/>
    </row>
    <row r="968" spans="1:5" ht="12.5">
      <c r="A968" s="76"/>
      <c r="B968" s="5"/>
      <c r="C968" s="16"/>
      <c r="E968" s="5"/>
    </row>
    <row r="969" spans="1:5" ht="12.5">
      <c r="A969" s="76"/>
      <c r="B969" s="5"/>
      <c r="C969" s="16"/>
      <c r="E969" s="5"/>
    </row>
    <row r="970" spans="1:5" ht="12.5">
      <c r="A970" s="76"/>
      <c r="B970" s="5"/>
      <c r="C970" s="16"/>
      <c r="E970" s="5"/>
    </row>
    <row r="971" spans="1:5" ht="12.5">
      <c r="A971" s="76"/>
      <c r="B971" s="5"/>
      <c r="C971" s="16"/>
      <c r="E971" s="5"/>
    </row>
    <row r="972" spans="1:5" ht="12.5">
      <c r="A972" s="76"/>
      <c r="B972" s="5"/>
      <c r="C972" s="16"/>
      <c r="E972" s="5"/>
    </row>
    <row r="973" spans="1:5" ht="12.5">
      <c r="A973" s="76"/>
      <c r="B973" s="5"/>
      <c r="C973" s="16"/>
      <c r="E973" s="5"/>
    </row>
    <row r="974" spans="1:5" ht="12.5">
      <c r="A974" s="76"/>
      <c r="B974" s="5"/>
      <c r="C974" s="16"/>
      <c r="E974" s="5"/>
    </row>
    <row r="975" spans="1:5" ht="12.5">
      <c r="A975" s="76"/>
      <c r="B975" s="5"/>
      <c r="C975" s="16"/>
      <c r="E975" s="5"/>
    </row>
    <row r="976" spans="1:5" ht="12.5">
      <c r="A976" s="76"/>
      <c r="B976" s="5"/>
      <c r="C976" s="16"/>
      <c r="E976" s="5"/>
    </row>
    <row r="977" spans="1:5" ht="12.5">
      <c r="A977" s="76"/>
      <c r="B977" s="5"/>
      <c r="C977" s="16"/>
      <c r="E977" s="5"/>
    </row>
    <row r="978" spans="1:5" ht="12.5">
      <c r="A978" s="76"/>
      <c r="B978" s="5"/>
      <c r="C978" s="16"/>
      <c r="E978" s="5"/>
    </row>
    <row r="979" spans="1:5" ht="12.5">
      <c r="A979" s="76"/>
      <c r="B979" s="5"/>
      <c r="C979" s="16"/>
      <c r="E979" s="5"/>
    </row>
    <row r="980" spans="1:5" ht="12.5">
      <c r="A980" s="76"/>
      <c r="B980" s="5"/>
      <c r="C980" s="16"/>
      <c r="E980" s="5"/>
    </row>
    <row r="981" spans="1:5" ht="12.5">
      <c r="A981" s="76"/>
      <c r="B981" s="5"/>
      <c r="C981" s="16"/>
      <c r="E981" s="5"/>
    </row>
    <row r="982" spans="1:5" ht="12.5">
      <c r="A982" s="76"/>
      <c r="B982" s="5"/>
      <c r="C982" s="16"/>
      <c r="E982" s="5"/>
    </row>
    <row r="983" spans="1:5" ht="12.5">
      <c r="A983" s="76"/>
      <c r="B983" s="5"/>
      <c r="C983" s="16"/>
      <c r="E983" s="5"/>
    </row>
    <row r="984" spans="1:5" ht="12.5">
      <c r="A984" s="76"/>
      <c r="B984" s="5"/>
      <c r="C984" s="16"/>
      <c r="E984" s="5"/>
    </row>
    <row r="985" spans="1:5" ht="12.5">
      <c r="A985" s="76"/>
      <c r="B985" s="5"/>
      <c r="C985" s="16"/>
      <c r="E985" s="5"/>
    </row>
    <row r="986" spans="1:5" ht="12.5">
      <c r="A986" s="76"/>
      <c r="B986" s="5"/>
      <c r="C986" s="16"/>
      <c r="E986" s="5"/>
    </row>
    <row r="987" spans="1:5" ht="12.5">
      <c r="A987" s="76"/>
      <c r="B987" s="5"/>
      <c r="C987" s="16"/>
      <c r="E987" s="5"/>
    </row>
    <row r="988" spans="1:5" ht="12.5">
      <c r="A988" s="76"/>
      <c r="B988" s="5"/>
      <c r="C988" s="16"/>
      <c r="E988" s="5"/>
    </row>
    <row r="989" spans="1:5" ht="12.5">
      <c r="A989" s="76"/>
      <c r="B989" s="5"/>
      <c r="C989" s="16"/>
      <c r="E989" s="5"/>
    </row>
    <row r="990" spans="1:5" ht="12.5">
      <c r="A990" s="76"/>
      <c r="B990" s="5"/>
      <c r="C990" s="16"/>
      <c r="E990" s="5"/>
    </row>
    <row r="991" spans="1:5" ht="12.5">
      <c r="A991" s="76"/>
      <c r="B991" s="5"/>
      <c r="C991" s="16"/>
      <c r="E991" s="5"/>
    </row>
    <row r="992" spans="1:5" ht="12.5">
      <c r="A992" s="76"/>
      <c r="B992" s="5"/>
      <c r="C992" s="16"/>
      <c r="E992" s="5"/>
    </row>
    <row r="993" spans="1:5" ht="12.5">
      <c r="A993" s="76"/>
      <c r="B993" s="5"/>
      <c r="C993" s="16"/>
      <c r="E993" s="5"/>
    </row>
    <row r="994" spans="1:5" ht="12.5">
      <c r="A994" s="76"/>
      <c r="B994" s="5"/>
      <c r="C994" s="16"/>
      <c r="E994" s="5"/>
    </row>
    <row r="995" spans="1:5" ht="12.5">
      <c r="A995" s="76"/>
      <c r="B995" s="5"/>
      <c r="C995" s="16"/>
      <c r="E995" s="5"/>
    </row>
    <row r="996" spans="1:5" ht="12.5">
      <c r="A996" s="76"/>
      <c r="B996" s="5"/>
      <c r="C996" s="16"/>
      <c r="E996" s="5"/>
    </row>
    <row r="997" spans="1:5" ht="12.5">
      <c r="A997" s="76"/>
      <c r="B997" s="5"/>
      <c r="C997" s="16"/>
      <c r="E997" s="5"/>
    </row>
    <row r="998" spans="1:5" ht="12.5">
      <c r="A998" s="76"/>
      <c r="B998" s="5"/>
      <c r="C998" s="16"/>
      <c r="E998" s="5"/>
    </row>
    <row r="999" spans="1:5" ht="12.5">
      <c r="A999" s="76"/>
      <c r="B999" s="5"/>
      <c r="C999" s="16"/>
      <c r="E999" s="5"/>
    </row>
    <row r="1000" spans="1:5" ht="12.5">
      <c r="A1000" s="76"/>
      <c r="B1000" s="5"/>
      <c r="C1000" s="16"/>
      <c r="E1000" s="5"/>
    </row>
    <row r="1001" spans="1:5" ht="12.5">
      <c r="A1001" s="76"/>
      <c r="C1001" s="16"/>
      <c r="E1001" s="5"/>
    </row>
  </sheetData>
  <conditionalFormatting sqref="A2:J1000">
    <cfRule type="expression" dxfId="3" priority="1">
      <formula>$E2="Pessoa 2"</formula>
    </cfRule>
    <cfRule type="expression" dxfId="2" priority="2">
      <formula>$E2="Pessoa 1"</formula>
    </cfRule>
  </conditionalFormatting>
  <dataValidations count="3">
    <dataValidation type="list" allowBlank="1" showErrorMessage="1" sqref="E2:E1001" xr:uid="{00000000-0002-0000-0D00-000000000000}">
      <formula1>"Pessoa 1,Pessoa 2"</formula1>
    </dataValidation>
    <dataValidation type="list" allowBlank="1" showErrorMessage="1" sqref="B2:B1000" xr:uid="{00000000-0002-0000-0D00-000001000000}">
      <formula1>"Aluguel_Cond,Home Supplies,Energia_Gás_Água_Esgoto,Internet_Telefonia,Comida_Alimentação,Manutenção_Casa,Móveis_Aparelhos_Decoração,Transporte Geral &amp; Coletivo,Transporte Uber &amp; Apps,Saúde,Academia &amp; Fitness,Educação,Roupa_Acessorios,Entretenimento_&amp;_Rest"&amp;"aurantes,Viagem/Vacation,Work-related,Imposto (IPVA-IPTU-etc),Outros,Investimento (aporte),Gasto Pessoal"</formula1>
    </dataValidation>
    <dataValidation type="custom" allowBlank="1" showDropDown="1" showErrorMessage="1" sqref="A2:A1001" xr:uid="{00000000-0002-0000-0D00-000002000000}">
      <formula1>OR(NOT(ISERROR(DATEVALUE(A2))), AND(ISNUMBER(A2), LEFT(CELL("format", A2))="D"))</formula1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6D9EEB"/>
    <outlinePr summaryBelow="0" summaryRight="0"/>
  </sheetPr>
  <dimension ref="A1:J100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2.6328125" defaultRowHeight="15.75" customHeight="1"/>
  <cols>
    <col min="1" max="1" width="18.08984375" customWidth="1"/>
    <col min="2" max="2" width="30.36328125" customWidth="1"/>
    <col min="3" max="3" width="22.36328125" customWidth="1"/>
    <col min="4" max="4" width="60.90625" customWidth="1"/>
    <col min="5" max="5" width="12.7265625" customWidth="1"/>
    <col min="6" max="6" width="44.90625" customWidth="1"/>
    <col min="7" max="7" width="6.90625" customWidth="1"/>
    <col min="9" max="9" width="43.08984375" customWidth="1"/>
  </cols>
  <sheetData>
    <row r="1" spans="1:10">
      <c r="A1" s="71" t="s">
        <v>437</v>
      </c>
      <c r="B1" s="14" t="s">
        <v>103</v>
      </c>
      <c r="C1" s="72" t="s">
        <v>104</v>
      </c>
      <c r="D1" s="14" t="s">
        <v>105</v>
      </c>
      <c r="E1" s="14" t="s">
        <v>106</v>
      </c>
      <c r="F1" s="12"/>
      <c r="H1" s="12"/>
      <c r="I1" s="12"/>
    </row>
    <row r="2" spans="1:10" ht="15.75" customHeight="1">
      <c r="A2" s="78" t="s">
        <v>345</v>
      </c>
      <c r="B2" s="38" t="s">
        <v>33</v>
      </c>
      <c r="C2" s="75">
        <v>1760.4442334411301</v>
      </c>
      <c r="D2" s="32" t="s">
        <v>346</v>
      </c>
      <c r="E2" s="32" t="s">
        <v>64</v>
      </c>
      <c r="F2" s="5"/>
      <c r="G2" s="5"/>
      <c r="H2" s="15"/>
      <c r="I2" s="5"/>
      <c r="J2" s="5"/>
    </row>
    <row r="3" spans="1:10" ht="15.75" customHeight="1">
      <c r="A3" s="78" t="s">
        <v>347</v>
      </c>
      <c r="B3" s="38" t="s">
        <v>40</v>
      </c>
      <c r="C3" s="75">
        <v>533.46794952761525</v>
      </c>
      <c r="D3" s="32" t="s">
        <v>348</v>
      </c>
      <c r="E3" s="32" t="s">
        <v>65</v>
      </c>
      <c r="F3" s="5"/>
      <c r="G3" s="5"/>
      <c r="H3" s="15"/>
      <c r="I3" s="5"/>
      <c r="J3" s="5"/>
    </row>
    <row r="4" spans="1:10" ht="15.75" customHeight="1">
      <c r="A4" s="78" t="s">
        <v>349</v>
      </c>
      <c r="B4" s="38" t="s">
        <v>109</v>
      </c>
      <c r="C4" s="75">
        <v>582.75045843522128</v>
      </c>
      <c r="D4" s="32" t="s">
        <v>350</v>
      </c>
      <c r="E4" s="32" t="s">
        <v>64</v>
      </c>
      <c r="F4" s="5"/>
      <c r="G4" s="5"/>
      <c r="H4" s="15"/>
      <c r="I4" s="5"/>
      <c r="J4" s="5"/>
    </row>
    <row r="5" spans="1:10" ht="15.75" customHeight="1">
      <c r="A5" s="78" t="s">
        <v>351</v>
      </c>
      <c r="B5" s="38" t="s">
        <v>40</v>
      </c>
      <c r="C5" s="75">
        <v>161.2650648519903</v>
      </c>
      <c r="D5" s="32" t="s">
        <v>352</v>
      </c>
      <c r="E5" s="32" t="s">
        <v>64</v>
      </c>
      <c r="F5" s="5"/>
      <c r="G5" s="5"/>
      <c r="H5" s="15"/>
      <c r="I5" s="5"/>
      <c r="J5" s="5"/>
    </row>
    <row r="6" spans="1:10" ht="15.75" customHeight="1">
      <c r="A6" s="78" t="s">
        <v>353</v>
      </c>
      <c r="B6" s="38" t="s">
        <v>33</v>
      </c>
      <c r="C6" s="75">
        <v>434.3147153478061</v>
      </c>
      <c r="D6" s="32" t="s">
        <v>354</v>
      </c>
      <c r="E6" s="32" t="s">
        <v>65</v>
      </c>
      <c r="F6" s="5"/>
      <c r="G6" s="5"/>
      <c r="H6" s="15"/>
      <c r="I6" s="5"/>
      <c r="J6" s="5"/>
    </row>
    <row r="7" spans="1:10" ht="15.75" customHeight="1">
      <c r="A7" s="78" t="s">
        <v>353</v>
      </c>
      <c r="B7" s="38" t="s">
        <v>51</v>
      </c>
      <c r="C7" s="75">
        <v>231.83277213523394</v>
      </c>
      <c r="D7" s="32" t="s">
        <v>355</v>
      </c>
      <c r="E7" s="32" t="s">
        <v>64</v>
      </c>
      <c r="F7" s="5"/>
      <c r="G7" s="5"/>
      <c r="H7" s="15"/>
      <c r="I7" s="5"/>
      <c r="J7" s="5"/>
    </row>
    <row r="8" spans="1:10" ht="15.75" customHeight="1">
      <c r="A8" s="78" t="s">
        <v>345</v>
      </c>
      <c r="B8" s="38" t="s">
        <v>48</v>
      </c>
      <c r="C8" s="75">
        <v>143.05242681252275</v>
      </c>
      <c r="D8" s="32" t="s">
        <v>356</v>
      </c>
      <c r="E8" s="32" t="s">
        <v>65</v>
      </c>
      <c r="F8" s="5"/>
      <c r="G8" s="5"/>
      <c r="H8" s="15"/>
      <c r="I8" s="5"/>
      <c r="J8" s="5"/>
    </row>
    <row r="9" spans="1:10" ht="15.75" customHeight="1">
      <c r="A9" s="78" t="s">
        <v>357</v>
      </c>
      <c r="B9" s="38" t="s">
        <v>43</v>
      </c>
      <c r="C9" s="75">
        <v>485.72253990992732</v>
      </c>
      <c r="D9" s="32" t="s">
        <v>358</v>
      </c>
      <c r="E9" s="32" t="s">
        <v>65</v>
      </c>
      <c r="F9" s="5"/>
      <c r="G9" s="5"/>
      <c r="H9" s="15"/>
      <c r="I9" s="5"/>
      <c r="J9" s="5"/>
    </row>
    <row r="10" spans="1:10" ht="15.75" customHeight="1">
      <c r="A10" s="74">
        <v>45112</v>
      </c>
      <c r="B10" s="32" t="s">
        <v>41</v>
      </c>
      <c r="C10" s="75">
        <v>47.830634740334851</v>
      </c>
      <c r="D10" s="32" t="s">
        <v>294</v>
      </c>
      <c r="E10" s="32" t="s">
        <v>64</v>
      </c>
      <c r="F10" s="5"/>
      <c r="G10" s="5"/>
      <c r="H10" s="15"/>
      <c r="I10" s="5"/>
      <c r="J10" s="5"/>
    </row>
    <row r="11" spans="1:10" ht="15.75" customHeight="1">
      <c r="A11" s="74">
        <v>45128</v>
      </c>
      <c r="B11" s="32" t="s">
        <v>36</v>
      </c>
      <c r="C11" s="75">
        <v>537.71098316940004</v>
      </c>
      <c r="D11" s="32" t="s">
        <v>295</v>
      </c>
      <c r="E11" s="32" t="s">
        <v>65</v>
      </c>
      <c r="F11" s="5"/>
      <c r="G11" s="5"/>
      <c r="H11" s="15"/>
      <c r="I11" s="5"/>
      <c r="J11" s="5"/>
    </row>
    <row r="12" spans="1:10" ht="15.75" customHeight="1">
      <c r="A12" s="74">
        <v>45133</v>
      </c>
      <c r="B12" s="32" t="s">
        <v>47</v>
      </c>
      <c r="C12" s="75">
        <v>351.14103816777885</v>
      </c>
      <c r="D12" s="32" t="s">
        <v>288</v>
      </c>
      <c r="E12" s="32" t="s">
        <v>64</v>
      </c>
      <c r="F12" s="5"/>
      <c r="G12" s="5"/>
      <c r="H12" s="15"/>
      <c r="I12" s="5"/>
      <c r="J12" s="5"/>
    </row>
    <row r="13" spans="1:10" ht="15.75" customHeight="1">
      <c r="A13" s="74">
        <v>45108</v>
      </c>
      <c r="B13" s="32" t="s">
        <v>52</v>
      </c>
      <c r="C13" s="75">
        <v>291.69095072063004</v>
      </c>
      <c r="D13" s="32" t="s">
        <v>296</v>
      </c>
      <c r="E13" s="32" t="s">
        <v>65</v>
      </c>
      <c r="F13" s="5"/>
      <c r="G13" s="5"/>
      <c r="H13" s="15"/>
      <c r="I13" s="5"/>
      <c r="J13" s="5"/>
    </row>
    <row r="14" spans="1:10" ht="15.75" customHeight="1">
      <c r="A14" s="74">
        <v>45129</v>
      </c>
      <c r="B14" s="38" t="s">
        <v>48</v>
      </c>
      <c r="C14" s="75">
        <v>230.95026770672214</v>
      </c>
      <c r="D14" s="32" t="s">
        <v>279</v>
      </c>
      <c r="E14" s="32" t="s">
        <v>64</v>
      </c>
      <c r="F14" s="5"/>
      <c r="G14" s="5"/>
      <c r="H14" s="15"/>
      <c r="I14" s="5"/>
      <c r="J14" s="5"/>
    </row>
    <row r="15" spans="1:10" ht="15.75" customHeight="1">
      <c r="A15" s="74">
        <v>45113</v>
      </c>
      <c r="B15" s="32" t="s">
        <v>35</v>
      </c>
      <c r="C15" s="75">
        <v>137.09459961852031</v>
      </c>
      <c r="D15" s="32" t="s">
        <v>297</v>
      </c>
      <c r="E15" s="32" t="s">
        <v>65</v>
      </c>
      <c r="F15" s="5"/>
      <c r="G15" s="5"/>
      <c r="H15" s="15"/>
      <c r="I15" s="5"/>
      <c r="J15" s="5"/>
    </row>
    <row r="16" spans="1:10" ht="15.75" customHeight="1">
      <c r="A16" s="74">
        <v>45115</v>
      </c>
      <c r="B16" s="38" t="s">
        <v>37</v>
      </c>
      <c r="C16" s="75">
        <v>96.193166642832736</v>
      </c>
      <c r="D16" s="32" t="s">
        <v>298</v>
      </c>
      <c r="E16" s="32" t="s">
        <v>65</v>
      </c>
      <c r="F16" s="5"/>
      <c r="G16" s="5"/>
      <c r="H16" s="15"/>
      <c r="I16" s="5"/>
      <c r="J16" s="5"/>
    </row>
    <row r="17" spans="1:8" ht="15.75" customHeight="1">
      <c r="A17" s="73"/>
      <c r="B17" s="15"/>
      <c r="C17" s="16"/>
      <c r="E17" s="5"/>
      <c r="H17" s="15"/>
    </row>
    <row r="18" spans="1:8" ht="15.75" customHeight="1">
      <c r="A18" s="73"/>
      <c r="B18" s="15"/>
      <c r="C18" s="16"/>
      <c r="E18" s="5"/>
      <c r="H18" s="15"/>
    </row>
    <row r="19" spans="1:8" ht="15.75" customHeight="1">
      <c r="A19" s="73"/>
      <c r="B19" s="15"/>
      <c r="C19" s="16"/>
      <c r="E19" s="5"/>
      <c r="H19" s="15"/>
    </row>
    <row r="20" spans="1:8" ht="15.75" customHeight="1">
      <c r="A20" s="73"/>
      <c r="B20" s="15"/>
      <c r="C20" s="16"/>
      <c r="E20" s="5"/>
      <c r="H20" s="15"/>
    </row>
    <row r="21" spans="1:8" ht="15.75" customHeight="1">
      <c r="A21" s="73"/>
      <c r="B21" s="15"/>
      <c r="C21" s="16"/>
      <c r="E21" s="5"/>
      <c r="H21" s="15"/>
    </row>
    <row r="22" spans="1:8" ht="15.75" customHeight="1">
      <c r="A22" s="73"/>
      <c r="B22" s="15"/>
      <c r="C22" s="16"/>
      <c r="E22" s="5"/>
      <c r="H22" s="15"/>
    </row>
    <row r="23" spans="1:8" ht="15.75" customHeight="1">
      <c r="A23" s="73"/>
      <c r="B23" s="15"/>
      <c r="C23" s="16"/>
      <c r="E23" s="5"/>
      <c r="H23" s="15"/>
    </row>
    <row r="24" spans="1:8" ht="15.75" customHeight="1">
      <c r="A24" s="73"/>
      <c r="B24" s="15"/>
      <c r="C24" s="16"/>
      <c r="E24" s="5"/>
      <c r="H24" s="15"/>
    </row>
    <row r="25" spans="1:8" ht="15.75" customHeight="1">
      <c r="A25" s="73"/>
      <c r="B25" s="15"/>
      <c r="C25" s="16"/>
      <c r="E25" s="5"/>
      <c r="H25" s="15"/>
    </row>
    <row r="26" spans="1:8" ht="15.75" customHeight="1">
      <c r="A26" s="73"/>
      <c r="B26" s="15"/>
      <c r="C26" s="16"/>
      <c r="E26" s="5"/>
      <c r="H26" s="15"/>
    </row>
    <row r="27" spans="1:8" ht="15.75" customHeight="1">
      <c r="A27" s="73"/>
      <c r="B27" s="15"/>
      <c r="C27" s="16"/>
      <c r="E27" s="5"/>
      <c r="H27" s="15"/>
    </row>
    <row r="28" spans="1:8" ht="15.75" customHeight="1">
      <c r="A28" s="73"/>
      <c r="B28" s="15"/>
      <c r="C28" s="16"/>
      <c r="E28" s="5"/>
      <c r="H28" s="15"/>
    </row>
    <row r="29" spans="1:8" ht="15.75" customHeight="1">
      <c r="A29" s="73"/>
      <c r="B29" s="15"/>
      <c r="C29" s="16"/>
      <c r="E29" s="5"/>
      <c r="H29" s="15"/>
    </row>
    <row r="30" spans="1:8" ht="15.75" customHeight="1">
      <c r="A30" s="73"/>
      <c r="B30" s="15"/>
      <c r="C30" s="16"/>
      <c r="E30" s="5"/>
      <c r="H30" s="15"/>
    </row>
    <row r="31" spans="1:8" ht="15.75" customHeight="1">
      <c r="A31" s="73"/>
      <c r="B31" s="15"/>
      <c r="C31" s="16"/>
      <c r="E31" s="5"/>
      <c r="H31" s="15"/>
    </row>
    <row r="32" spans="1:8" ht="15.75" customHeight="1">
      <c r="A32" s="73"/>
      <c r="B32" s="15"/>
      <c r="C32" s="16"/>
      <c r="E32" s="5"/>
      <c r="H32" s="15"/>
    </row>
    <row r="33" spans="1:9" ht="15.75" customHeight="1">
      <c r="A33" s="73"/>
      <c r="B33" s="15"/>
      <c r="C33" s="16"/>
      <c r="E33" s="5"/>
      <c r="H33" s="15"/>
    </row>
    <row r="34" spans="1:9" ht="15.75" customHeight="1">
      <c r="A34" s="73"/>
      <c r="B34" s="15"/>
      <c r="C34" s="16"/>
      <c r="E34" s="5"/>
      <c r="H34" s="15"/>
    </row>
    <row r="35" spans="1:9" ht="15.75" customHeight="1">
      <c r="A35" s="73"/>
      <c r="B35" s="15"/>
      <c r="C35" s="16"/>
      <c r="E35" s="5"/>
      <c r="H35" s="15"/>
    </row>
    <row r="36" spans="1:9" ht="15.75" customHeight="1">
      <c r="A36" s="73"/>
      <c r="B36" s="15"/>
      <c r="C36" s="16"/>
      <c r="E36" s="5"/>
      <c r="H36" s="15"/>
    </row>
    <row r="37" spans="1:9" ht="15.75" customHeight="1">
      <c r="A37" s="73"/>
      <c r="B37" s="15"/>
      <c r="C37" s="16"/>
      <c r="E37" s="5"/>
      <c r="H37" s="15"/>
    </row>
    <row r="38" spans="1:9" ht="15.75" customHeight="1">
      <c r="A38" s="73"/>
      <c r="B38" s="15"/>
      <c r="C38" s="16"/>
      <c r="E38" s="5"/>
      <c r="H38" s="15"/>
    </row>
    <row r="39" spans="1:9" ht="15.75" customHeight="1">
      <c r="A39" s="73"/>
      <c r="B39" s="15"/>
      <c r="C39" s="16"/>
      <c r="E39" s="5"/>
      <c r="H39" s="15"/>
    </row>
    <row r="40" spans="1:9" ht="15.75" customHeight="1">
      <c r="A40" s="73"/>
      <c r="B40" s="15"/>
      <c r="C40" s="16"/>
      <c r="E40" s="5"/>
      <c r="H40" s="15"/>
    </row>
    <row r="41" spans="1:9" ht="15.75" customHeight="1">
      <c r="A41" s="73"/>
      <c r="B41" s="15"/>
      <c r="C41" s="16"/>
      <c r="E41" s="5"/>
      <c r="H41" s="15"/>
    </row>
    <row r="42" spans="1:9" ht="15.75" customHeight="1">
      <c r="A42" s="73"/>
      <c r="B42" s="15"/>
      <c r="C42" s="16"/>
      <c r="E42" s="5"/>
      <c r="H42" s="15"/>
    </row>
    <row r="43" spans="1:9" ht="15.75" customHeight="1">
      <c r="A43" s="73"/>
      <c r="B43" s="15"/>
      <c r="C43" s="16"/>
      <c r="E43" s="5"/>
      <c r="H43" s="15"/>
    </row>
    <row r="44" spans="1:9" ht="15.75" customHeight="1">
      <c r="A44" s="73"/>
      <c r="B44" s="15"/>
      <c r="C44" s="16"/>
      <c r="E44" s="5"/>
      <c r="F44" s="32"/>
      <c r="H44" s="15"/>
      <c r="I44" s="5"/>
    </row>
    <row r="45" spans="1:9" ht="15.75" customHeight="1">
      <c r="A45" s="73"/>
      <c r="B45" s="15"/>
      <c r="C45" s="16"/>
      <c r="E45" s="5"/>
      <c r="F45" s="32"/>
      <c r="H45" s="15"/>
      <c r="I45" s="5"/>
    </row>
    <row r="46" spans="1:9" ht="15.75" customHeight="1">
      <c r="A46" s="73"/>
      <c r="B46" s="15"/>
      <c r="C46" s="16"/>
      <c r="E46" s="5"/>
      <c r="F46" s="32"/>
      <c r="H46" s="15"/>
    </row>
    <row r="47" spans="1:9" ht="15.75" customHeight="1">
      <c r="A47" s="73"/>
      <c r="B47" s="15"/>
      <c r="C47" s="16"/>
      <c r="E47" s="5"/>
      <c r="H47" s="15"/>
    </row>
    <row r="48" spans="1:9" ht="15.75" customHeight="1">
      <c r="A48" s="73"/>
      <c r="B48" s="15"/>
      <c r="C48" s="16"/>
      <c r="E48" s="5"/>
      <c r="H48" s="15"/>
    </row>
    <row r="49" spans="1:8" ht="15.75" customHeight="1">
      <c r="A49" s="73"/>
      <c r="B49" s="15"/>
      <c r="C49" s="16"/>
      <c r="E49" s="5"/>
      <c r="H49" s="15"/>
    </row>
    <row r="50" spans="1:8" ht="15.75" customHeight="1">
      <c r="A50" s="73"/>
      <c r="B50" s="15"/>
      <c r="C50" s="16"/>
      <c r="E50" s="5"/>
      <c r="H50" s="15"/>
    </row>
    <row r="51" spans="1:8" ht="15.75" customHeight="1">
      <c r="A51" s="73"/>
      <c r="B51" s="15"/>
      <c r="C51" s="16"/>
      <c r="E51" s="5"/>
      <c r="H51" s="15"/>
    </row>
    <row r="52" spans="1:8" ht="15.75" customHeight="1">
      <c r="A52" s="73"/>
      <c r="B52" s="15"/>
      <c r="C52" s="16"/>
      <c r="E52" s="5"/>
      <c r="H52" s="15"/>
    </row>
    <row r="53" spans="1:8" ht="15.75" customHeight="1">
      <c r="A53" s="73"/>
      <c r="B53" s="15"/>
      <c r="C53" s="16"/>
      <c r="E53" s="5"/>
      <c r="H53" s="15"/>
    </row>
    <row r="54" spans="1:8" ht="15.75" customHeight="1">
      <c r="A54" s="73"/>
      <c r="B54" s="15"/>
      <c r="C54" s="16"/>
      <c r="E54" s="5"/>
      <c r="H54" s="15"/>
    </row>
    <row r="55" spans="1:8" ht="15.75" customHeight="1">
      <c r="A55" s="73"/>
      <c r="B55" s="15"/>
      <c r="C55" s="16"/>
      <c r="E55" s="5"/>
      <c r="H55" s="15"/>
    </row>
    <row r="56" spans="1:8" ht="15.75" customHeight="1">
      <c r="A56" s="73"/>
      <c r="B56" s="15"/>
      <c r="C56" s="16"/>
      <c r="E56" s="5"/>
      <c r="H56" s="15"/>
    </row>
    <row r="57" spans="1:8" ht="12.5">
      <c r="A57" s="73"/>
      <c r="B57" s="15"/>
      <c r="C57" s="16"/>
      <c r="E57" s="5"/>
      <c r="H57" s="15"/>
    </row>
    <row r="58" spans="1:8" ht="12.5">
      <c r="A58" s="73"/>
      <c r="B58" s="15"/>
      <c r="C58" s="16"/>
      <c r="E58" s="5"/>
      <c r="H58" s="15"/>
    </row>
    <row r="59" spans="1:8" ht="12.5">
      <c r="A59" s="73"/>
      <c r="B59" s="15"/>
      <c r="C59" s="16"/>
      <c r="E59" s="5"/>
      <c r="H59" s="15"/>
    </row>
    <row r="60" spans="1:8" ht="12.5">
      <c r="A60" s="73"/>
      <c r="B60" s="15"/>
      <c r="C60" s="16"/>
      <c r="E60" s="5"/>
      <c r="H60" s="15"/>
    </row>
    <row r="61" spans="1:8" ht="12.5">
      <c r="A61" s="73"/>
      <c r="B61" s="15"/>
      <c r="C61" s="16"/>
      <c r="E61" s="5"/>
      <c r="H61" s="15"/>
    </row>
    <row r="62" spans="1:8" ht="12.5">
      <c r="A62" s="73"/>
      <c r="B62" s="15"/>
      <c r="C62" s="16"/>
      <c r="E62" s="5"/>
      <c r="H62" s="15"/>
    </row>
    <row r="63" spans="1:8" ht="12.5">
      <c r="A63" s="73"/>
      <c r="B63" s="15"/>
      <c r="C63" s="16"/>
      <c r="E63" s="5"/>
      <c r="H63" s="15"/>
    </row>
    <row r="64" spans="1:8" ht="12.5">
      <c r="A64" s="73"/>
      <c r="B64" s="15"/>
      <c r="C64" s="16"/>
      <c r="E64" s="5"/>
      <c r="H64" s="15"/>
    </row>
    <row r="65" spans="1:8" ht="12.5">
      <c r="A65" s="73"/>
      <c r="B65" s="15"/>
      <c r="C65" s="16"/>
      <c r="E65" s="5"/>
      <c r="H65" s="15"/>
    </row>
    <row r="66" spans="1:8" ht="12.5">
      <c r="A66" s="73"/>
      <c r="B66" s="15"/>
      <c r="C66" s="16"/>
      <c r="E66" s="5"/>
      <c r="H66" s="15"/>
    </row>
    <row r="67" spans="1:8" ht="12.5">
      <c r="A67" s="73"/>
      <c r="B67" s="15"/>
      <c r="C67" s="16"/>
      <c r="E67" s="5"/>
      <c r="H67" s="15"/>
    </row>
    <row r="68" spans="1:8" ht="12.5">
      <c r="A68" s="73"/>
      <c r="B68" s="15"/>
      <c r="C68" s="16"/>
      <c r="E68" s="5"/>
      <c r="H68" s="15"/>
    </row>
    <row r="69" spans="1:8" ht="12.5">
      <c r="A69" s="73"/>
      <c r="B69" s="15"/>
      <c r="C69" s="16"/>
      <c r="E69" s="5"/>
      <c r="H69" s="15"/>
    </row>
    <row r="70" spans="1:8" ht="12.5">
      <c r="A70" s="73"/>
      <c r="B70" s="15"/>
      <c r="C70" s="16"/>
      <c r="E70" s="5"/>
      <c r="H70" s="15"/>
    </row>
    <row r="71" spans="1:8" ht="12.5">
      <c r="A71" s="73"/>
      <c r="B71" s="5"/>
      <c r="C71" s="16"/>
      <c r="E71" s="5"/>
    </row>
    <row r="72" spans="1:8" ht="12.5">
      <c r="A72" s="76"/>
      <c r="B72" s="5"/>
      <c r="C72" s="16"/>
      <c r="E72" s="5"/>
    </row>
    <row r="73" spans="1:8" ht="12.5">
      <c r="A73" s="76"/>
      <c r="B73" s="5"/>
      <c r="C73" s="16"/>
      <c r="E73" s="5"/>
    </row>
    <row r="74" spans="1:8" ht="12.5">
      <c r="A74" s="76"/>
      <c r="B74" s="5"/>
      <c r="C74" s="16"/>
      <c r="E74" s="5"/>
    </row>
    <row r="75" spans="1:8" ht="12.5">
      <c r="A75" s="76"/>
      <c r="B75" s="5"/>
      <c r="C75" s="16"/>
      <c r="E75" s="5"/>
    </row>
    <row r="76" spans="1:8" ht="12.5">
      <c r="A76" s="76"/>
      <c r="B76" s="5"/>
      <c r="C76" s="16"/>
      <c r="E76" s="5"/>
    </row>
    <row r="77" spans="1:8" ht="12.5">
      <c r="A77" s="76"/>
      <c r="B77" s="5"/>
      <c r="C77" s="16"/>
      <c r="E77" s="5"/>
    </row>
    <row r="78" spans="1:8" ht="12.5">
      <c r="A78" s="76"/>
      <c r="B78" s="5"/>
      <c r="C78" s="16"/>
      <c r="E78" s="5"/>
    </row>
    <row r="79" spans="1:8" ht="12.5">
      <c r="A79" s="76"/>
      <c r="B79" s="5"/>
      <c r="C79" s="16"/>
      <c r="E79" s="5"/>
    </row>
    <row r="80" spans="1:8" ht="12.5">
      <c r="A80" s="76"/>
      <c r="B80" s="5"/>
      <c r="C80" s="16"/>
      <c r="E80" s="5"/>
    </row>
    <row r="81" spans="1:5" ht="12.5">
      <c r="A81" s="76"/>
      <c r="B81" s="5"/>
      <c r="C81" s="16"/>
      <c r="E81" s="5"/>
    </row>
    <row r="82" spans="1:5" ht="12.5">
      <c r="A82" s="76"/>
      <c r="B82" s="5"/>
      <c r="C82" s="16"/>
      <c r="E82" s="5"/>
    </row>
    <row r="83" spans="1:5" ht="12.5">
      <c r="A83" s="76"/>
      <c r="B83" s="5"/>
      <c r="C83" s="16"/>
      <c r="E83" s="5"/>
    </row>
    <row r="84" spans="1:5" ht="12.5">
      <c r="A84" s="76"/>
      <c r="B84" s="5"/>
      <c r="C84" s="16"/>
      <c r="E84" s="5"/>
    </row>
    <row r="85" spans="1:5" ht="12.5">
      <c r="A85" s="76"/>
      <c r="B85" s="5"/>
      <c r="C85" s="16"/>
      <c r="E85" s="5"/>
    </row>
    <row r="86" spans="1:5" ht="12.5">
      <c r="A86" s="76"/>
      <c r="B86" s="5"/>
      <c r="C86" s="16"/>
      <c r="E86" s="5"/>
    </row>
    <row r="87" spans="1:5" ht="12.5">
      <c r="A87" s="76"/>
      <c r="B87" s="5"/>
      <c r="C87" s="16"/>
      <c r="E87" s="5"/>
    </row>
    <row r="88" spans="1:5" ht="12.5">
      <c r="A88" s="76"/>
      <c r="B88" s="5"/>
      <c r="C88" s="16"/>
      <c r="E88" s="5"/>
    </row>
    <row r="89" spans="1:5" ht="12.5">
      <c r="A89" s="76"/>
      <c r="B89" s="5"/>
      <c r="C89" s="16"/>
      <c r="E89" s="5"/>
    </row>
    <row r="90" spans="1:5" ht="12.5">
      <c r="A90" s="76"/>
      <c r="B90" s="5"/>
      <c r="C90" s="16"/>
      <c r="E90" s="5"/>
    </row>
    <row r="91" spans="1:5" ht="12.5">
      <c r="A91" s="76"/>
      <c r="B91" s="5"/>
      <c r="C91" s="16"/>
      <c r="E91" s="5"/>
    </row>
    <row r="92" spans="1:5" ht="12.5">
      <c r="A92" s="76"/>
      <c r="B92" s="5"/>
      <c r="C92" s="16"/>
      <c r="E92" s="5"/>
    </row>
    <row r="93" spans="1:5" ht="12.5">
      <c r="A93" s="76"/>
      <c r="B93" s="5"/>
      <c r="C93" s="16"/>
      <c r="E93" s="5"/>
    </row>
    <row r="94" spans="1:5" ht="12.5">
      <c r="A94" s="76"/>
      <c r="B94" s="5"/>
      <c r="C94" s="16"/>
      <c r="E94" s="5"/>
    </row>
    <row r="95" spans="1:5" ht="12.5">
      <c r="A95" s="76"/>
      <c r="B95" s="5"/>
      <c r="C95" s="16"/>
      <c r="E95" s="5"/>
    </row>
    <row r="96" spans="1:5" ht="12.5">
      <c r="A96" s="76"/>
      <c r="B96" s="5"/>
      <c r="C96" s="16"/>
      <c r="E96" s="5"/>
    </row>
    <row r="97" spans="1:5" ht="12.5">
      <c r="A97" s="76"/>
      <c r="B97" s="5"/>
      <c r="C97" s="16"/>
      <c r="E97" s="5"/>
    </row>
    <row r="98" spans="1:5" ht="12.5">
      <c r="A98" s="76"/>
      <c r="B98" s="5"/>
      <c r="C98" s="16"/>
      <c r="E98" s="5"/>
    </row>
    <row r="99" spans="1:5" ht="12.5">
      <c r="A99" s="76"/>
      <c r="B99" s="5"/>
      <c r="C99" s="16"/>
      <c r="E99" s="5"/>
    </row>
    <row r="100" spans="1:5" ht="12.5">
      <c r="A100" s="76"/>
      <c r="B100" s="5"/>
      <c r="C100" s="16"/>
      <c r="E100" s="5"/>
    </row>
    <row r="101" spans="1:5" ht="12.5">
      <c r="A101" s="76"/>
      <c r="B101" s="5"/>
      <c r="C101" s="16"/>
      <c r="E101" s="5"/>
    </row>
    <row r="102" spans="1:5" ht="12.5">
      <c r="A102" s="76"/>
      <c r="B102" s="5"/>
      <c r="C102" s="16"/>
      <c r="E102" s="5"/>
    </row>
    <row r="103" spans="1:5" ht="12.5">
      <c r="A103" s="76"/>
      <c r="B103" s="5"/>
      <c r="C103" s="16"/>
      <c r="E103" s="5"/>
    </row>
    <row r="104" spans="1:5" ht="12.5">
      <c r="A104" s="76"/>
      <c r="B104" s="5"/>
      <c r="C104" s="16"/>
      <c r="E104" s="5"/>
    </row>
    <row r="105" spans="1:5" ht="12.5">
      <c r="A105" s="76"/>
      <c r="B105" s="5"/>
      <c r="C105" s="16"/>
      <c r="E105" s="5"/>
    </row>
    <row r="106" spans="1:5" ht="12.5">
      <c r="A106" s="76"/>
      <c r="B106" s="5"/>
      <c r="C106" s="16"/>
      <c r="E106" s="5"/>
    </row>
    <row r="107" spans="1:5" ht="12.5">
      <c r="A107" s="76"/>
      <c r="B107" s="5"/>
      <c r="C107" s="16"/>
      <c r="E107" s="5"/>
    </row>
    <row r="108" spans="1:5" ht="12.5">
      <c r="A108" s="76"/>
      <c r="B108" s="5"/>
      <c r="C108" s="16"/>
      <c r="E108" s="5"/>
    </row>
    <row r="109" spans="1:5" ht="12.5">
      <c r="A109" s="76"/>
      <c r="B109" s="5"/>
      <c r="C109" s="16"/>
      <c r="E109" s="5"/>
    </row>
    <row r="110" spans="1:5" ht="12.5">
      <c r="A110" s="76"/>
      <c r="B110" s="5"/>
      <c r="C110" s="16"/>
      <c r="E110" s="5"/>
    </row>
    <row r="111" spans="1:5" ht="12.5">
      <c r="A111" s="76"/>
      <c r="B111" s="5"/>
      <c r="C111" s="16"/>
      <c r="E111" s="5"/>
    </row>
    <row r="112" spans="1:5" ht="12.5">
      <c r="A112" s="76"/>
      <c r="B112" s="5"/>
      <c r="C112" s="16"/>
      <c r="E112" s="5"/>
    </row>
    <row r="113" spans="1:5" ht="12.5">
      <c r="A113" s="76"/>
      <c r="B113" s="5"/>
      <c r="C113" s="16"/>
      <c r="E113" s="5"/>
    </row>
    <row r="114" spans="1:5" ht="12.5">
      <c r="A114" s="76"/>
      <c r="B114" s="5"/>
      <c r="C114" s="16"/>
      <c r="E114" s="5"/>
    </row>
    <row r="115" spans="1:5" ht="12.5">
      <c r="A115" s="76"/>
      <c r="B115" s="5"/>
      <c r="C115" s="16"/>
      <c r="E115" s="5"/>
    </row>
    <row r="116" spans="1:5" ht="12.5">
      <c r="A116" s="76"/>
      <c r="B116" s="5"/>
      <c r="C116" s="16"/>
      <c r="E116" s="5"/>
    </row>
    <row r="117" spans="1:5" ht="12.5">
      <c r="A117" s="76"/>
      <c r="B117" s="5"/>
      <c r="C117" s="16"/>
      <c r="E117" s="5"/>
    </row>
    <row r="118" spans="1:5" ht="12.5">
      <c r="A118" s="76"/>
      <c r="B118" s="5"/>
      <c r="C118" s="16"/>
      <c r="E118" s="5"/>
    </row>
    <row r="119" spans="1:5" ht="12.5">
      <c r="A119" s="76"/>
      <c r="B119" s="5"/>
      <c r="C119" s="16"/>
      <c r="E119" s="5"/>
    </row>
    <row r="120" spans="1:5" ht="12.5">
      <c r="A120" s="76"/>
      <c r="B120" s="5"/>
      <c r="C120" s="16"/>
      <c r="E120" s="5"/>
    </row>
    <row r="121" spans="1:5" ht="12.5">
      <c r="A121" s="76"/>
      <c r="B121" s="5"/>
      <c r="C121" s="16"/>
      <c r="E121" s="5"/>
    </row>
    <row r="122" spans="1:5" ht="12.5">
      <c r="A122" s="76"/>
      <c r="B122" s="5"/>
      <c r="C122" s="16"/>
      <c r="E122" s="5"/>
    </row>
    <row r="123" spans="1:5" ht="12.5">
      <c r="A123" s="76"/>
      <c r="B123" s="5"/>
      <c r="C123" s="16"/>
      <c r="E123" s="5"/>
    </row>
    <row r="124" spans="1:5" ht="12.5">
      <c r="A124" s="76"/>
      <c r="B124" s="5"/>
      <c r="C124" s="16"/>
      <c r="E124" s="5"/>
    </row>
    <row r="125" spans="1:5" ht="12.5">
      <c r="A125" s="76"/>
      <c r="B125" s="5"/>
      <c r="C125" s="16"/>
      <c r="E125" s="5"/>
    </row>
    <row r="126" spans="1:5" ht="12.5">
      <c r="A126" s="76"/>
      <c r="B126" s="5"/>
      <c r="C126" s="16"/>
      <c r="E126" s="5"/>
    </row>
    <row r="127" spans="1:5" ht="12.5">
      <c r="A127" s="76"/>
      <c r="B127" s="5"/>
      <c r="C127" s="16"/>
      <c r="E127" s="5"/>
    </row>
    <row r="128" spans="1:5" ht="12.5">
      <c r="A128" s="76"/>
      <c r="B128" s="5"/>
      <c r="C128" s="16"/>
      <c r="E128" s="5"/>
    </row>
    <row r="129" spans="1:5" ht="12.5">
      <c r="A129" s="76"/>
      <c r="B129" s="5"/>
      <c r="C129" s="16"/>
      <c r="E129" s="5"/>
    </row>
    <row r="130" spans="1:5" ht="12.5">
      <c r="A130" s="76"/>
      <c r="B130" s="5"/>
      <c r="C130" s="16"/>
      <c r="E130" s="5"/>
    </row>
    <row r="131" spans="1:5" ht="12.5">
      <c r="A131" s="76"/>
      <c r="B131" s="5"/>
      <c r="C131" s="16"/>
      <c r="E131" s="5"/>
    </row>
    <row r="132" spans="1:5" ht="12.5">
      <c r="A132" s="76"/>
      <c r="B132" s="5"/>
      <c r="C132" s="16"/>
      <c r="E132" s="5"/>
    </row>
    <row r="133" spans="1:5" ht="12.5">
      <c r="A133" s="76"/>
      <c r="B133" s="5"/>
      <c r="C133" s="16"/>
      <c r="E133" s="5"/>
    </row>
    <row r="134" spans="1:5" ht="12.5">
      <c r="A134" s="76"/>
      <c r="B134" s="5"/>
      <c r="C134" s="16"/>
      <c r="E134" s="5"/>
    </row>
    <row r="135" spans="1:5" ht="12.5">
      <c r="A135" s="76"/>
      <c r="B135" s="5"/>
      <c r="C135" s="16"/>
      <c r="E135" s="5"/>
    </row>
    <row r="136" spans="1:5" ht="12.5">
      <c r="A136" s="76"/>
      <c r="B136" s="5"/>
      <c r="C136" s="16"/>
      <c r="E136" s="5"/>
    </row>
    <row r="137" spans="1:5" ht="12.5">
      <c r="A137" s="76"/>
      <c r="B137" s="5"/>
      <c r="C137" s="16"/>
      <c r="E137" s="5"/>
    </row>
    <row r="138" spans="1:5" ht="12.5">
      <c r="A138" s="76"/>
      <c r="B138" s="5"/>
      <c r="C138" s="16"/>
      <c r="E138" s="5"/>
    </row>
    <row r="139" spans="1:5" ht="12.5">
      <c r="A139" s="76"/>
      <c r="B139" s="5"/>
      <c r="C139" s="16"/>
      <c r="E139" s="5"/>
    </row>
    <row r="140" spans="1:5" ht="12.5">
      <c r="A140" s="76"/>
      <c r="B140" s="5"/>
      <c r="C140" s="16"/>
      <c r="E140" s="5"/>
    </row>
    <row r="141" spans="1:5" ht="12.5">
      <c r="A141" s="76"/>
      <c r="B141" s="5"/>
      <c r="C141" s="16"/>
      <c r="E141" s="5"/>
    </row>
    <row r="142" spans="1:5" ht="12.5">
      <c r="A142" s="76"/>
      <c r="B142" s="5"/>
      <c r="C142" s="16"/>
      <c r="E142" s="5"/>
    </row>
    <row r="143" spans="1:5" ht="12.5">
      <c r="A143" s="76"/>
      <c r="B143" s="5"/>
      <c r="C143" s="16"/>
      <c r="E143" s="5"/>
    </row>
    <row r="144" spans="1:5" ht="12.5">
      <c r="A144" s="76"/>
      <c r="B144" s="5"/>
      <c r="C144" s="16"/>
      <c r="E144" s="5"/>
    </row>
    <row r="145" spans="1:5" ht="12.5">
      <c r="A145" s="76"/>
      <c r="B145" s="5"/>
      <c r="C145" s="16"/>
      <c r="E145" s="5"/>
    </row>
    <row r="146" spans="1:5" ht="12.5">
      <c r="A146" s="76"/>
      <c r="B146" s="5"/>
      <c r="C146" s="16"/>
      <c r="E146" s="5"/>
    </row>
    <row r="147" spans="1:5" ht="12.5">
      <c r="A147" s="76"/>
      <c r="B147" s="5"/>
      <c r="C147" s="16"/>
      <c r="E147" s="5"/>
    </row>
    <row r="148" spans="1:5" ht="12.5">
      <c r="A148" s="76"/>
      <c r="B148" s="5"/>
      <c r="C148" s="16"/>
      <c r="E148" s="5"/>
    </row>
    <row r="149" spans="1:5" ht="12.5">
      <c r="A149" s="76"/>
      <c r="B149" s="5"/>
      <c r="C149" s="16"/>
      <c r="E149" s="5"/>
    </row>
    <row r="150" spans="1:5" ht="12.5">
      <c r="A150" s="76"/>
      <c r="B150" s="5"/>
      <c r="C150" s="16"/>
      <c r="E150" s="5"/>
    </row>
    <row r="151" spans="1:5" ht="12.5">
      <c r="A151" s="76"/>
      <c r="B151" s="5"/>
      <c r="C151" s="16"/>
      <c r="E151" s="5"/>
    </row>
    <row r="152" spans="1:5" ht="12.5">
      <c r="A152" s="76"/>
      <c r="B152" s="5"/>
      <c r="C152" s="16"/>
      <c r="E152" s="5"/>
    </row>
    <row r="153" spans="1:5" ht="12.5">
      <c r="A153" s="76"/>
      <c r="B153" s="5"/>
      <c r="C153" s="16"/>
      <c r="E153" s="5"/>
    </row>
    <row r="154" spans="1:5" ht="12.5">
      <c r="A154" s="76"/>
      <c r="B154" s="5"/>
      <c r="C154" s="16"/>
      <c r="E154" s="5"/>
    </row>
    <row r="155" spans="1:5" ht="12.5">
      <c r="A155" s="76"/>
      <c r="B155" s="5"/>
      <c r="C155" s="16"/>
      <c r="E155" s="5"/>
    </row>
    <row r="156" spans="1:5" ht="12.5">
      <c r="A156" s="76"/>
      <c r="B156" s="5"/>
      <c r="C156" s="16"/>
      <c r="E156" s="5"/>
    </row>
    <row r="157" spans="1:5" ht="12.5">
      <c r="A157" s="76"/>
      <c r="B157" s="5"/>
      <c r="C157" s="16"/>
      <c r="E157" s="5"/>
    </row>
    <row r="158" spans="1:5" ht="12.5">
      <c r="A158" s="76"/>
      <c r="B158" s="5"/>
      <c r="C158" s="16"/>
      <c r="E158" s="5"/>
    </row>
    <row r="159" spans="1:5" ht="12.5">
      <c r="A159" s="76"/>
      <c r="B159" s="5"/>
      <c r="C159" s="16"/>
      <c r="E159" s="5"/>
    </row>
    <row r="160" spans="1:5" ht="12.5">
      <c r="A160" s="76"/>
      <c r="B160" s="5"/>
      <c r="C160" s="16"/>
      <c r="E160" s="5"/>
    </row>
    <row r="161" spans="1:5" ht="12.5">
      <c r="A161" s="76"/>
      <c r="B161" s="5"/>
      <c r="C161" s="16"/>
      <c r="E161" s="5"/>
    </row>
    <row r="162" spans="1:5" ht="12.5">
      <c r="A162" s="76"/>
      <c r="B162" s="5"/>
      <c r="C162" s="16"/>
      <c r="E162" s="5"/>
    </row>
    <row r="163" spans="1:5" ht="12.5">
      <c r="A163" s="76"/>
      <c r="B163" s="5"/>
      <c r="C163" s="16"/>
      <c r="E163" s="5"/>
    </row>
    <row r="164" spans="1:5" ht="12.5">
      <c r="A164" s="76"/>
      <c r="B164" s="5"/>
      <c r="C164" s="16"/>
      <c r="E164" s="5"/>
    </row>
    <row r="165" spans="1:5" ht="12.5">
      <c r="A165" s="76"/>
      <c r="B165" s="5"/>
      <c r="C165" s="16"/>
      <c r="E165" s="5"/>
    </row>
    <row r="166" spans="1:5" ht="12.5">
      <c r="A166" s="76"/>
      <c r="B166" s="5"/>
      <c r="C166" s="16"/>
      <c r="E166" s="5"/>
    </row>
    <row r="167" spans="1:5" ht="12.5">
      <c r="A167" s="76"/>
      <c r="B167" s="5"/>
      <c r="C167" s="16"/>
      <c r="E167" s="5"/>
    </row>
    <row r="168" spans="1:5" ht="12.5">
      <c r="A168" s="76"/>
      <c r="B168" s="5"/>
      <c r="C168" s="16"/>
      <c r="E168" s="5"/>
    </row>
    <row r="169" spans="1:5" ht="12.5">
      <c r="A169" s="76"/>
      <c r="B169" s="5"/>
      <c r="C169" s="16"/>
      <c r="E169" s="5"/>
    </row>
    <row r="170" spans="1:5" ht="12.5">
      <c r="A170" s="76"/>
      <c r="B170" s="5"/>
      <c r="C170" s="16"/>
      <c r="E170" s="5"/>
    </row>
    <row r="171" spans="1:5" ht="12.5">
      <c r="A171" s="76"/>
      <c r="B171" s="5"/>
      <c r="C171" s="16"/>
      <c r="E171" s="5"/>
    </row>
    <row r="172" spans="1:5" ht="12.5">
      <c r="A172" s="76"/>
      <c r="B172" s="5"/>
      <c r="C172" s="16"/>
      <c r="E172" s="5"/>
    </row>
    <row r="173" spans="1:5" ht="12.5">
      <c r="A173" s="76"/>
      <c r="B173" s="5"/>
      <c r="C173" s="16"/>
      <c r="E173" s="5"/>
    </row>
    <row r="174" spans="1:5" ht="12.5">
      <c r="A174" s="76"/>
      <c r="B174" s="5"/>
      <c r="C174" s="16"/>
      <c r="E174" s="5"/>
    </row>
    <row r="175" spans="1:5" ht="12.5">
      <c r="A175" s="76"/>
      <c r="B175" s="5"/>
      <c r="C175" s="16"/>
      <c r="E175" s="5"/>
    </row>
    <row r="176" spans="1:5" ht="12.5">
      <c r="A176" s="76"/>
      <c r="B176" s="5"/>
      <c r="C176" s="16"/>
      <c r="E176" s="5"/>
    </row>
    <row r="177" spans="1:5" ht="12.5">
      <c r="A177" s="76"/>
      <c r="B177" s="5"/>
      <c r="C177" s="16"/>
      <c r="E177" s="5"/>
    </row>
    <row r="178" spans="1:5" ht="12.5">
      <c r="A178" s="76"/>
      <c r="B178" s="5"/>
      <c r="C178" s="16"/>
      <c r="E178" s="5"/>
    </row>
    <row r="179" spans="1:5" ht="12.5">
      <c r="A179" s="76"/>
      <c r="B179" s="5"/>
      <c r="C179" s="16"/>
      <c r="E179" s="5"/>
    </row>
    <row r="180" spans="1:5" ht="12.5">
      <c r="A180" s="76"/>
      <c r="B180" s="5"/>
      <c r="C180" s="16"/>
      <c r="E180" s="5"/>
    </row>
    <row r="181" spans="1:5" ht="12.5">
      <c r="A181" s="76"/>
      <c r="B181" s="5"/>
      <c r="C181" s="16"/>
      <c r="E181" s="5"/>
    </row>
    <row r="182" spans="1:5" ht="12.5">
      <c r="A182" s="76"/>
      <c r="B182" s="5"/>
      <c r="C182" s="16"/>
      <c r="E182" s="5"/>
    </row>
    <row r="183" spans="1:5" ht="12.5">
      <c r="A183" s="76"/>
      <c r="B183" s="5"/>
      <c r="C183" s="16"/>
      <c r="E183" s="5"/>
    </row>
    <row r="184" spans="1:5" ht="12.5">
      <c r="A184" s="76"/>
      <c r="B184" s="5"/>
      <c r="C184" s="16"/>
      <c r="E184" s="5"/>
    </row>
    <row r="185" spans="1:5" ht="12.5">
      <c r="A185" s="76"/>
      <c r="B185" s="5"/>
      <c r="C185" s="16"/>
      <c r="E185" s="5"/>
    </row>
    <row r="186" spans="1:5" ht="12.5">
      <c r="A186" s="76"/>
      <c r="B186" s="5"/>
      <c r="C186" s="16"/>
      <c r="E186" s="5"/>
    </row>
    <row r="187" spans="1:5" ht="12.5">
      <c r="A187" s="76"/>
      <c r="B187" s="5"/>
      <c r="C187" s="16"/>
      <c r="E187" s="5"/>
    </row>
    <row r="188" spans="1:5" ht="12.5">
      <c r="A188" s="76"/>
      <c r="B188" s="5"/>
      <c r="C188" s="16"/>
      <c r="E188" s="5"/>
    </row>
    <row r="189" spans="1:5" ht="12.5">
      <c r="A189" s="76"/>
      <c r="B189" s="5"/>
      <c r="C189" s="16"/>
      <c r="E189" s="5"/>
    </row>
    <row r="190" spans="1:5" ht="12.5">
      <c r="A190" s="76"/>
      <c r="B190" s="5"/>
      <c r="C190" s="16"/>
      <c r="E190" s="5"/>
    </row>
    <row r="191" spans="1:5" ht="12.5">
      <c r="A191" s="76"/>
      <c r="B191" s="5"/>
      <c r="C191" s="16"/>
      <c r="E191" s="5"/>
    </row>
    <row r="192" spans="1:5" ht="12.5">
      <c r="A192" s="76"/>
      <c r="B192" s="5"/>
      <c r="C192" s="16"/>
      <c r="E192" s="5"/>
    </row>
    <row r="193" spans="1:5" ht="12.5">
      <c r="A193" s="76"/>
      <c r="B193" s="5"/>
      <c r="C193" s="16"/>
      <c r="E193" s="5"/>
    </row>
    <row r="194" spans="1:5" ht="12.5">
      <c r="A194" s="76"/>
      <c r="B194" s="5"/>
      <c r="C194" s="16"/>
      <c r="E194" s="5"/>
    </row>
    <row r="195" spans="1:5" ht="12.5">
      <c r="A195" s="76"/>
      <c r="B195" s="5"/>
      <c r="C195" s="16"/>
      <c r="E195" s="5"/>
    </row>
    <row r="196" spans="1:5" ht="12.5">
      <c r="A196" s="76"/>
      <c r="B196" s="5"/>
      <c r="C196" s="16"/>
      <c r="E196" s="5"/>
    </row>
    <row r="197" spans="1:5" ht="12.5">
      <c r="A197" s="76"/>
      <c r="B197" s="5"/>
      <c r="C197" s="16"/>
      <c r="E197" s="5"/>
    </row>
    <row r="198" spans="1:5" ht="12.5">
      <c r="A198" s="76"/>
      <c r="B198" s="5"/>
      <c r="C198" s="16"/>
      <c r="E198" s="5"/>
    </row>
    <row r="199" spans="1:5" ht="12.5">
      <c r="A199" s="76"/>
      <c r="B199" s="5"/>
      <c r="C199" s="16"/>
      <c r="E199" s="5"/>
    </row>
    <row r="200" spans="1:5" ht="12.5">
      <c r="A200" s="76"/>
      <c r="B200" s="5"/>
      <c r="C200" s="16"/>
      <c r="E200" s="5"/>
    </row>
    <row r="201" spans="1:5" ht="12.5">
      <c r="A201" s="76"/>
      <c r="B201" s="5"/>
      <c r="C201" s="16"/>
      <c r="E201" s="5"/>
    </row>
    <row r="202" spans="1:5" ht="12.5">
      <c r="A202" s="76"/>
      <c r="B202" s="5"/>
      <c r="C202" s="16"/>
      <c r="E202" s="5"/>
    </row>
    <row r="203" spans="1:5" ht="12.5">
      <c r="A203" s="76"/>
      <c r="B203" s="5"/>
      <c r="C203" s="16"/>
      <c r="E203" s="5"/>
    </row>
    <row r="204" spans="1:5" ht="12.5">
      <c r="A204" s="76"/>
      <c r="B204" s="5"/>
      <c r="C204" s="16"/>
      <c r="E204" s="5"/>
    </row>
    <row r="205" spans="1:5" ht="12.5">
      <c r="A205" s="76"/>
      <c r="B205" s="5"/>
      <c r="C205" s="16"/>
      <c r="E205" s="5"/>
    </row>
    <row r="206" spans="1:5" ht="12.5">
      <c r="A206" s="76"/>
      <c r="B206" s="5"/>
      <c r="C206" s="16"/>
      <c r="E206" s="5"/>
    </row>
    <row r="207" spans="1:5" ht="12.5">
      <c r="A207" s="76"/>
      <c r="B207" s="5"/>
      <c r="C207" s="16"/>
      <c r="E207" s="5"/>
    </row>
    <row r="208" spans="1:5" ht="12.5">
      <c r="A208" s="76"/>
      <c r="B208" s="5"/>
      <c r="C208" s="16"/>
      <c r="E208" s="5"/>
    </row>
    <row r="209" spans="1:5" ht="12.5">
      <c r="A209" s="76"/>
      <c r="B209" s="5"/>
      <c r="C209" s="16"/>
      <c r="E209" s="5"/>
    </row>
    <row r="210" spans="1:5" ht="12.5">
      <c r="A210" s="76"/>
      <c r="B210" s="5"/>
      <c r="C210" s="16"/>
      <c r="E210" s="5"/>
    </row>
    <row r="211" spans="1:5" ht="12.5">
      <c r="A211" s="76"/>
      <c r="B211" s="5"/>
      <c r="C211" s="16"/>
      <c r="E211" s="5"/>
    </row>
    <row r="212" spans="1:5" ht="12.5">
      <c r="A212" s="76"/>
      <c r="B212" s="5"/>
      <c r="C212" s="16"/>
      <c r="E212" s="5"/>
    </row>
    <row r="213" spans="1:5" ht="12.5">
      <c r="A213" s="76"/>
      <c r="B213" s="5"/>
      <c r="C213" s="16"/>
      <c r="E213" s="5"/>
    </row>
    <row r="214" spans="1:5" ht="12.5">
      <c r="A214" s="76"/>
      <c r="B214" s="5"/>
      <c r="C214" s="16"/>
      <c r="E214" s="5"/>
    </row>
    <row r="215" spans="1:5" ht="12.5">
      <c r="A215" s="76"/>
      <c r="B215" s="5"/>
      <c r="C215" s="16"/>
      <c r="E215" s="5"/>
    </row>
    <row r="216" spans="1:5" ht="12.5">
      <c r="A216" s="76"/>
      <c r="B216" s="5"/>
      <c r="C216" s="16"/>
      <c r="E216" s="5"/>
    </row>
    <row r="217" spans="1:5" ht="12.5">
      <c r="A217" s="76"/>
      <c r="B217" s="5"/>
      <c r="C217" s="16"/>
      <c r="E217" s="5"/>
    </row>
    <row r="218" spans="1:5" ht="12.5">
      <c r="A218" s="76"/>
      <c r="B218" s="5"/>
      <c r="C218" s="16"/>
      <c r="E218" s="5"/>
    </row>
    <row r="219" spans="1:5" ht="12.5">
      <c r="A219" s="76"/>
      <c r="B219" s="5"/>
      <c r="C219" s="16"/>
      <c r="E219" s="5"/>
    </row>
    <row r="220" spans="1:5" ht="12.5">
      <c r="A220" s="76"/>
      <c r="B220" s="5"/>
      <c r="C220" s="16"/>
      <c r="E220" s="5"/>
    </row>
    <row r="221" spans="1:5" ht="12.5">
      <c r="A221" s="76"/>
      <c r="B221" s="5"/>
      <c r="C221" s="16"/>
      <c r="E221" s="5"/>
    </row>
    <row r="222" spans="1:5" ht="12.5">
      <c r="A222" s="76"/>
      <c r="B222" s="5"/>
      <c r="C222" s="16"/>
      <c r="E222" s="5"/>
    </row>
    <row r="223" spans="1:5" ht="12.5">
      <c r="A223" s="76"/>
      <c r="B223" s="5"/>
      <c r="C223" s="16"/>
      <c r="E223" s="5"/>
    </row>
    <row r="224" spans="1:5" ht="12.5">
      <c r="A224" s="76"/>
      <c r="B224" s="5"/>
      <c r="C224" s="16"/>
      <c r="E224" s="5"/>
    </row>
    <row r="225" spans="1:5" ht="12.5">
      <c r="A225" s="76"/>
      <c r="B225" s="5"/>
      <c r="C225" s="16"/>
      <c r="E225" s="5"/>
    </row>
    <row r="226" spans="1:5" ht="12.5">
      <c r="A226" s="76"/>
      <c r="B226" s="5"/>
      <c r="C226" s="16"/>
      <c r="E226" s="5"/>
    </row>
    <row r="227" spans="1:5" ht="12.5">
      <c r="A227" s="76"/>
      <c r="B227" s="5"/>
      <c r="C227" s="16"/>
      <c r="E227" s="5"/>
    </row>
    <row r="228" spans="1:5" ht="12.5">
      <c r="A228" s="76"/>
      <c r="B228" s="5"/>
      <c r="C228" s="16"/>
      <c r="E228" s="5"/>
    </row>
    <row r="229" spans="1:5" ht="12.5">
      <c r="A229" s="76"/>
      <c r="B229" s="5"/>
      <c r="C229" s="16"/>
      <c r="E229" s="5"/>
    </row>
    <row r="230" spans="1:5" ht="12.5">
      <c r="A230" s="76"/>
      <c r="B230" s="5"/>
      <c r="C230" s="16"/>
      <c r="E230" s="5"/>
    </row>
    <row r="231" spans="1:5" ht="12.5">
      <c r="A231" s="76"/>
      <c r="B231" s="5"/>
      <c r="C231" s="16"/>
      <c r="E231" s="5"/>
    </row>
    <row r="232" spans="1:5" ht="12.5">
      <c r="A232" s="76"/>
      <c r="B232" s="5"/>
      <c r="C232" s="16"/>
      <c r="E232" s="5"/>
    </row>
    <row r="233" spans="1:5" ht="12.5">
      <c r="A233" s="76"/>
      <c r="B233" s="5"/>
      <c r="C233" s="16"/>
      <c r="E233" s="5"/>
    </row>
    <row r="234" spans="1:5" ht="12.5">
      <c r="A234" s="76"/>
      <c r="B234" s="5"/>
      <c r="C234" s="16"/>
      <c r="E234" s="5"/>
    </row>
    <row r="235" spans="1:5" ht="12.5">
      <c r="A235" s="76"/>
      <c r="B235" s="5"/>
      <c r="C235" s="16"/>
      <c r="E235" s="5"/>
    </row>
    <row r="236" spans="1:5" ht="12.5">
      <c r="A236" s="76"/>
      <c r="B236" s="5"/>
      <c r="C236" s="16"/>
      <c r="E236" s="5"/>
    </row>
    <row r="237" spans="1:5" ht="12.5">
      <c r="A237" s="76"/>
      <c r="B237" s="5"/>
      <c r="C237" s="16"/>
      <c r="E237" s="5"/>
    </row>
    <row r="238" spans="1:5" ht="12.5">
      <c r="A238" s="76"/>
      <c r="B238" s="5"/>
      <c r="C238" s="16"/>
      <c r="E238" s="5"/>
    </row>
    <row r="239" spans="1:5" ht="12.5">
      <c r="A239" s="76"/>
      <c r="B239" s="5"/>
      <c r="C239" s="16"/>
      <c r="E239" s="5"/>
    </row>
    <row r="240" spans="1:5" ht="12.5">
      <c r="A240" s="76"/>
      <c r="B240" s="5"/>
      <c r="C240" s="16"/>
      <c r="E240" s="5"/>
    </row>
    <row r="241" spans="1:5" ht="12.5">
      <c r="A241" s="76"/>
      <c r="B241" s="5"/>
      <c r="C241" s="16"/>
      <c r="E241" s="5"/>
    </row>
    <row r="242" spans="1:5" ht="12.5">
      <c r="A242" s="76"/>
      <c r="B242" s="5"/>
      <c r="C242" s="16"/>
      <c r="E242" s="5"/>
    </row>
    <row r="243" spans="1:5" ht="12.5">
      <c r="A243" s="76"/>
      <c r="B243" s="5"/>
      <c r="C243" s="16"/>
      <c r="E243" s="5"/>
    </row>
    <row r="244" spans="1:5" ht="12.5">
      <c r="A244" s="76"/>
      <c r="B244" s="5"/>
      <c r="C244" s="16"/>
      <c r="E244" s="5"/>
    </row>
    <row r="245" spans="1:5" ht="12.5">
      <c r="A245" s="76"/>
      <c r="B245" s="5"/>
      <c r="C245" s="16"/>
      <c r="E245" s="5"/>
    </row>
    <row r="246" spans="1:5" ht="12.5">
      <c r="A246" s="76"/>
      <c r="B246" s="5"/>
      <c r="C246" s="16"/>
      <c r="E246" s="5"/>
    </row>
    <row r="247" spans="1:5" ht="12.5">
      <c r="A247" s="76"/>
      <c r="B247" s="5"/>
      <c r="C247" s="16"/>
      <c r="E247" s="5"/>
    </row>
    <row r="248" spans="1:5" ht="12.5">
      <c r="A248" s="76"/>
      <c r="B248" s="5"/>
      <c r="C248" s="16"/>
      <c r="E248" s="5"/>
    </row>
    <row r="249" spans="1:5" ht="12.5">
      <c r="A249" s="76"/>
      <c r="B249" s="5"/>
      <c r="C249" s="16"/>
      <c r="E249" s="5"/>
    </row>
    <row r="250" spans="1:5" ht="12.5">
      <c r="A250" s="76"/>
      <c r="B250" s="5"/>
      <c r="C250" s="16"/>
      <c r="E250" s="5"/>
    </row>
    <row r="251" spans="1:5" ht="12.5">
      <c r="A251" s="76"/>
      <c r="B251" s="5"/>
      <c r="C251" s="16"/>
      <c r="E251" s="5"/>
    </row>
    <row r="252" spans="1:5" ht="12.5">
      <c r="A252" s="76"/>
      <c r="B252" s="5"/>
      <c r="C252" s="16"/>
      <c r="E252" s="5"/>
    </row>
    <row r="253" spans="1:5" ht="12.5">
      <c r="A253" s="76"/>
      <c r="B253" s="5"/>
      <c r="C253" s="16"/>
      <c r="E253" s="5"/>
    </row>
    <row r="254" spans="1:5" ht="12.5">
      <c r="A254" s="76"/>
      <c r="B254" s="5"/>
      <c r="C254" s="16"/>
      <c r="E254" s="5"/>
    </row>
    <row r="255" spans="1:5" ht="12.5">
      <c r="A255" s="76"/>
      <c r="B255" s="5"/>
      <c r="C255" s="16"/>
      <c r="E255" s="5"/>
    </row>
    <row r="256" spans="1:5" ht="12.5">
      <c r="A256" s="76"/>
      <c r="B256" s="5"/>
      <c r="C256" s="16"/>
      <c r="E256" s="5"/>
    </row>
    <row r="257" spans="1:5" ht="12.5">
      <c r="A257" s="76"/>
      <c r="B257" s="5"/>
      <c r="C257" s="16"/>
      <c r="E257" s="5"/>
    </row>
    <row r="258" spans="1:5" ht="12.5">
      <c r="A258" s="76"/>
      <c r="B258" s="5"/>
      <c r="C258" s="16"/>
      <c r="E258" s="5"/>
    </row>
    <row r="259" spans="1:5" ht="12.5">
      <c r="A259" s="76"/>
      <c r="B259" s="5"/>
      <c r="C259" s="16"/>
      <c r="E259" s="5"/>
    </row>
    <row r="260" spans="1:5" ht="12.5">
      <c r="A260" s="76"/>
      <c r="B260" s="5"/>
      <c r="C260" s="16"/>
      <c r="E260" s="5"/>
    </row>
    <row r="261" spans="1:5" ht="12.5">
      <c r="A261" s="76"/>
      <c r="B261" s="5"/>
      <c r="C261" s="16"/>
      <c r="E261" s="5"/>
    </row>
    <row r="262" spans="1:5" ht="12.5">
      <c r="A262" s="76"/>
      <c r="B262" s="5"/>
      <c r="C262" s="16"/>
      <c r="E262" s="5"/>
    </row>
    <row r="263" spans="1:5" ht="12.5">
      <c r="A263" s="76"/>
      <c r="B263" s="5"/>
      <c r="C263" s="16"/>
      <c r="E263" s="5"/>
    </row>
    <row r="264" spans="1:5" ht="12.5">
      <c r="A264" s="76"/>
      <c r="B264" s="5"/>
      <c r="C264" s="16"/>
      <c r="E264" s="5"/>
    </row>
    <row r="265" spans="1:5" ht="12.5">
      <c r="A265" s="76"/>
      <c r="B265" s="5"/>
      <c r="C265" s="16"/>
      <c r="E265" s="5"/>
    </row>
    <row r="266" spans="1:5" ht="12.5">
      <c r="A266" s="76"/>
      <c r="B266" s="5"/>
      <c r="C266" s="16"/>
      <c r="E266" s="5"/>
    </row>
    <row r="267" spans="1:5" ht="12.5">
      <c r="A267" s="76"/>
      <c r="B267" s="5"/>
      <c r="C267" s="16"/>
      <c r="E267" s="5"/>
    </row>
    <row r="268" spans="1:5" ht="12.5">
      <c r="A268" s="76"/>
      <c r="B268" s="5"/>
      <c r="C268" s="16"/>
      <c r="E268" s="5"/>
    </row>
    <row r="269" spans="1:5" ht="12.5">
      <c r="A269" s="76"/>
      <c r="B269" s="5"/>
      <c r="C269" s="16"/>
      <c r="E269" s="5"/>
    </row>
    <row r="270" spans="1:5" ht="12.5">
      <c r="A270" s="76"/>
      <c r="B270" s="5"/>
      <c r="C270" s="16"/>
      <c r="E270" s="5"/>
    </row>
    <row r="271" spans="1:5" ht="12.5">
      <c r="A271" s="76"/>
      <c r="B271" s="5"/>
      <c r="C271" s="16"/>
      <c r="E271" s="5"/>
    </row>
    <row r="272" spans="1:5" ht="12.5">
      <c r="A272" s="76"/>
      <c r="B272" s="5"/>
      <c r="C272" s="16"/>
      <c r="E272" s="5"/>
    </row>
    <row r="273" spans="1:5" ht="12.5">
      <c r="A273" s="76"/>
      <c r="B273" s="5"/>
      <c r="C273" s="16"/>
      <c r="E273" s="5"/>
    </row>
    <row r="274" spans="1:5" ht="12.5">
      <c r="A274" s="76"/>
      <c r="B274" s="5"/>
      <c r="C274" s="16"/>
      <c r="E274" s="5"/>
    </row>
    <row r="275" spans="1:5" ht="12.5">
      <c r="A275" s="76"/>
      <c r="B275" s="5"/>
      <c r="C275" s="16"/>
      <c r="E275" s="5"/>
    </row>
    <row r="276" spans="1:5" ht="12.5">
      <c r="A276" s="76"/>
      <c r="B276" s="5"/>
      <c r="C276" s="16"/>
      <c r="E276" s="5"/>
    </row>
    <row r="277" spans="1:5" ht="12.5">
      <c r="A277" s="76"/>
      <c r="B277" s="5"/>
      <c r="C277" s="16"/>
      <c r="E277" s="5"/>
    </row>
    <row r="278" spans="1:5" ht="12.5">
      <c r="A278" s="76"/>
      <c r="B278" s="5"/>
      <c r="C278" s="16"/>
      <c r="E278" s="5"/>
    </row>
    <row r="279" spans="1:5" ht="12.5">
      <c r="A279" s="76"/>
      <c r="B279" s="5"/>
      <c r="C279" s="16"/>
      <c r="E279" s="5"/>
    </row>
    <row r="280" spans="1:5" ht="12.5">
      <c r="A280" s="76"/>
      <c r="B280" s="5"/>
      <c r="C280" s="16"/>
      <c r="E280" s="5"/>
    </row>
    <row r="281" spans="1:5" ht="12.5">
      <c r="A281" s="76"/>
      <c r="B281" s="5"/>
      <c r="C281" s="16"/>
      <c r="E281" s="5"/>
    </row>
    <row r="282" spans="1:5" ht="12.5">
      <c r="A282" s="76"/>
      <c r="B282" s="5"/>
      <c r="C282" s="16"/>
      <c r="E282" s="5"/>
    </row>
    <row r="283" spans="1:5" ht="12.5">
      <c r="A283" s="76"/>
      <c r="B283" s="5"/>
      <c r="C283" s="16"/>
      <c r="E283" s="5"/>
    </row>
    <row r="284" spans="1:5" ht="12.5">
      <c r="A284" s="76"/>
      <c r="B284" s="5"/>
      <c r="C284" s="16"/>
      <c r="E284" s="5"/>
    </row>
    <row r="285" spans="1:5" ht="12.5">
      <c r="A285" s="76"/>
      <c r="B285" s="5"/>
      <c r="C285" s="16"/>
      <c r="E285" s="5"/>
    </row>
    <row r="286" spans="1:5" ht="12.5">
      <c r="A286" s="76"/>
      <c r="B286" s="5"/>
      <c r="C286" s="16"/>
      <c r="E286" s="5"/>
    </row>
    <row r="287" spans="1:5" ht="12.5">
      <c r="A287" s="76"/>
      <c r="B287" s="5"/>
      <c r="C287" s="16"/>
      <c r="E287" s="5"/>
    </row>
    <row r="288" spans="1:5" ht="12.5">
      <c r="A288" s="76"/>
      <c r="B288" s="5"/>
      <c r="C288" s="16"/>
      <c r="E288" s="5"/>
    </row>
    <row r="289" spans="1:5" ht="12.5">
      <c r="A289" s="76"/>
      <c r="B289" s="5"/>
      <c r="C289" s="16"/>
      <c r="E289" s="5"/>
    </row>
    <row r="290" spans="1:5" ht="12.5">
      <c r="A290" s="76"/>
      <c r="B290" s="5"/>
      <c r="C290" s="16"/>
      <c r="E290" s="5"/>
    </row>
    <row r="291" spans="1:5" ht="12.5">
      <c r="A291" s="76"/>
      <c r="B291" s="5"/>
      <c r="C291" s="16"/>
      <c r="E291" s="5"/>
    </row>
    <row r="292" spans="1:5" ht="12.5">
      <c r="A292" s="76"/>
      <c r="B292" s="5"/>
      <c r="C292" s="16"/>
      <c r="E292" s="5"/>
    </row>
    <row r="293" spans="1:5" ht="12.5">
      <c r="A293" s="76"/>
      <c r="B293" s="5"/>
      <c r="C293" s="16"/>
      <c r="E293" s="5"/>
    </row>
    <row r="294" spans="1:5" ht="12.5">
      <c r="A294" s="76"/>
      <c r="B294" s="5"/>
      <c r="C294" s="16"/>
      <c r="E294" s="5"/>
    </row>
    <row r="295" spans="1:5" ht="12.5">
      <c r="A295" s="76"/>
      <c r="B295" s="5"/>
      <c r="C295" s="16"/>
      <c r="E295" s="5"/>
    </row>
    <row r="296" spans="1:5" ht="12.5">
      <c r="A296" s="76"/>
      <c r="B296" s="5"/>
      <c r="C296" s="16"/>
      <c r="E296" s="5"/>
    </row>
    <row r="297" spans="1:5" ht="12.5">
      <c r="A297" s="76"/>
      <c r="B297" s="5"/>
      <c r="C297" s="16"/>
      <c r="E297" s="5"/>
    </row>
    <row r="298" spans="1:5" ht="12.5">
      <c r="A298" s="76"/>
      <c r="B298" s="5"/>
      <c r="C298" s="16"/>
      <c r="E298" s="5"/>
    </row>
    <row r="299" spans="1:5" ht="12.5">
      <c r="A299" s="76"/>
      <c r="B299" s="5"/>
      <c r="C299" s="16"/>
      <c r="E299" s="5"/>
    </row>
    <row r="300" spans="1:5" ht="12.5">
      <c r="A300" s="76"/>
      <c r="B300" s="5"/>
      <c r="C300" s="16"/>
      <c r="E300" s="5"/>
    </row>
    <row r="301" spans="1:5" ht="12.5">
      <c r="A301" s="76"/>
      <c r="B301" s="5"/>
      <c r="C301" s="16"/>
      <c r="E301" s="5"/>
    </row>
    <row r="302" spans="1:5" ht="12.5">
      <c r="A302" s="76"/>
      <c r="B302" s="5"/>
      <c r="C302" s="16"/>
      <c r="E302" s="5"/>
    </row>
    <row r="303" spans="1:5" ht="12.5">
      <c r="A303" s="76"/>
      <c r="B303" s="5"/>
      <c r="C303" s="16"/>
      <c r="E303" s="5"/>
    </row>
    <row r="304" spans="1:5" ht="12.5">
      <c r="A304" s="76"/>
      <c r="B304" s="5"/>
      <c r="C304" s="16"/>
      <c r="E304" s="5"/>
    </row>
    <row r="305" spans="1:5" ht="12.5">
      <c r="A305" s="76"/>
      <c r="B305" s="5"/>
      <c r="C305" s="16"/>
      <c r="E305" s="5"/>
    </row>
    <row r="306" spans="1:5" ht="12.5">
      <c r="A306" s="76"/>
      <c r="B306" s="5"/>
      <c r="C306" s="16"/>
      <c r="E306" s="5"/>
    </row>
    <row r="307" spans="1:5" ht="12.5">
      <c r="A307" s="76"/>
      <c r="B307" s="5"/>
      <c r="C307" s="16"/>
      <c r="E307" s="5"/>
    </row>
    <row r="308" spans="1:5" ht="12.5">
      <c r="A308" s="76"/>
      <c r="B308" s="5"/>
      <c r="C308" s="16"/>
      <c r="E308" s="5"/>
    </row>
    <row r="309" spans="1:5" ht="12.5">
      <c r="A309" s="76"/>
      <c r="B309" s="5"/>
      <c r="C309" s="16"/>
      <c r="E309" s="5"/>
    </row>
    <row r="310" spans="1:5" ht="12.5">
      <c r="A310" s="76"/>
      <c r="B310" s="5"/>
      <c r="C310" s="16"/>
      <c r="E310" s="5"/>
    </row>
    <row r="311" spans="1:5" ht="12.5">
      <c r="A311" s="76"/>
      <c r="B311" s="5"/>
      <c r="C311" s="16"/>
      <c r="E311" s="5"/>
    </row>
    <row r="312" spans="1:5" ht="12.5">
      <c r="A312" s="76"/>
      <c r="B312" s="5"/>
      <c r="C312" s="16"/>
      <c r="E312" s="5"/>
    </row>
    <row r="313" spans="1:5" ht="12.5">
      <c r="A313" s="76"/>
      <c r="B313" s="5"/>
      <c r="C313" s="16"/>
      <c r="E313" s="5"/>
    </row>
    <row r="314" spans="1:5" ht="12.5">
      <c r="A314" s="76"/>
      <c r="B314" s="5"/>
      <c r="C314" s="16"/>
      <c r="E314" s="5"/>
    </row>
    <row r="315" spans="1:5" ht="12.5">
      <c r="A315" s="76"/>
      <c r="B315" s="5"/>
      <c r="C315" s="16"/>
      <c r="E315" s="5"/>
    </row>
    <row r="316" spans="1:5" ht="12.5">
      <c r="A316" s="76"/>
      <c r="B316" s="5"/>
      <c r="C316" s="16"/>
      <c r="E316" s="5"/>
    </row>
    <row r="317" spans="1:5" ht="12.5">
      <c r="A317" s="76"/>
      <c r="B317" s="5"/>
      <c r="C317" s="16"/>
      <c r="E317" s="5"/>
    </row>
    <row r="318" spans="1:5" ht="12.5">
      <c r="A318" s="76"/>
      <c r="B318" s="5"/>
      <c r="C318" s="16"/>
      <c r="E318" s="5"/>
    </row>
    <row r="319" spans="1:5" ht="12.5">
      <c r="A319" s="76"/>
      <c r="B319" s="5"/>
      <c r="C319" s="16"/>
      <c r="E319" s="5"/>
    </row>
    <row r="320" spans="1:5" ht="12.5">
      <c r="A320" s="76"/>
      <c r="B320" s="5"/>
      <c r="C320" s="16"/>
      <c r="E320" s="5"/>
    </row>
    <row r="321" spans="1:5" ht="12.5">
      <c r="A321" s="76"/>
      <c r="B321" s="5"/>
      <c r="C321" s="16"/>
      <c r="E321" s="5"/>
    </row>
    <row r="322" spans="1:5" ht="12.5">
      <c r="A322" s="76"/>
      <c r="B322" s="5"/>
      <c r="C322" s="16"/>
      <c r="E322" s="5"/>
    </row>
    <row r="323" spans="1:5" ht="12.5">
      <c r="A323" s="76"/>
      <c r="B323" s="5"/>
      <c r="C323" s="16"/>
      <c r="E323" s="5"/>
    </row>
    <row r="324" spans="1:5" ht="12.5">
      <c r="A324" s="76"/>
      <c r="B324" s="5"/>
      <c r="C324" s="16"/>
      <c r="E324" s="5"/>
    </row>
    <row r="325" spans="1:5" ht="12.5">
      <c r="A325" s="76"/>
      <c r="B325" s="5"/>
      <c r="C325" s="16"/>
      <c r="E325" s="5"/>
    </row>
    <row r="326" spans="1:5" ht="12.5">
      <c r="A326" s="76"/>
      <c r="B326" s="5"/>
      <c r="C326" s="16"/>
      <c r="E326" s="5"/>
    </row>
    <row r="327" spans="1:5" ht="12.5">
      <c r="A327" s="76"/>
      <c r="B327" s="5"/>
      <c r="C327" s="16"/>
      <c r="E327" s="5"/>
    </row>
    <row r="328" spans="1:5" ht="12.5">
      <c r="A328" s="76"/>
      <c r="B328" s="5"/>
      <c r="C328" s="16"/>
      <c r="E328" s="5"/>
    </row>
    <row r="329" spans="1:5" ht="12.5">
      <c r="A329" s="76"/>
      <c r="B329" s="5"/>
      <c r="C329" s="16"/>
      <c r="E329" s="5"/>
    </row>
    <row r="330" spans="1:5" ht="12.5">
      <c r="A330" s="76"/>
      <c r="B330" s="5"/>
      <c r="C330" s="16"/>
      <c r="E330" s="5"/>
    </row>
    <row r="331" spans="1:5" ht="12.5">
      <c r="A331" s="76"/>
      <c r="B331" s="5"/>
      <c r="C331" s="16"/>
      <c r="E331" s="5"/>
    </row>
    <row r="332" spans="1:5" ht="12.5">
      <c r="A332" s="76"/>
      <c r="B332" s="5"/>
      <c r="C332" s="16"/>
      <c r="E332" s="5"/>
    </row>
    <row r="333" spans="1:5" ht="12.5">
      <c r="A333" s="76"/>
      <c r="B333" s="5"/>
      <c r="C333" s="16"/>
      <c r="E333" s="5"/>
    </row>
    <row r="334" spans="1:5" ht="12.5">
      <c r="A334" s="76"/>
      <c r="B334" s="5"/>
      <c r="C334" s="16"/>
      <c r="E334" s="5"/>
    </row>
    <row r="335" spans="1:5" ht="12.5">
      <c r="A335" s="76"/>
      <c r="B335" s="5"/>
      <c r="C335" s="16"/>
      <c r="E335" s="5"/>
    </row>
    <row r="336" spans="1:5" ht="12.5">
      <c r="A336" s="76"/>
      <c r="B336" s="5"/>
      <c r="C336" s="16"/>
      <c r="E336" s="5"/>
    </row>
    <row r="337" spans="1:5" ht="12.5">
      <c r="A337" s="76"/>
      <c r="B337" s="5"/>
      <c r="C337" s="16"/>
      <c r="E337" s="5"/>
    </row>
    <row r="338" spans="1:5" ht="12.5">
      <c r="A338" s="76"/>
      <c r="B338" s="5"/>
      <c r="C338" s="16"/>
      <c r="E338" s="5"/>
    </row>
    <row r="339" spans="1:5" ht="12.5">
      <c r="A339" s="76"/>
      <c r="B339" s="5"/>
      <c r="C339" s="16"/>
      <c r="E339" s="5"/>
    </row>
    <row r="340" spans="1:5" ht="12.5">
      <c r="A340" s="76"/>
      <c r="B340" s="5"/>
      <c r="C340" s="16"/>
      <c r="E340" s="5"/>
    </row>
    <row r="341" spans="1:5" ht="12.5">
      <c r="A341" s="76"/>
      <c r="B341" s="5"/>
      <c r="C341" s="16"/>
      <c r="E341" s="5"/>
    </row>
    <row r="342" spans="1:5" ht="12.5">
      <c r="A342" s="76"/>
      <c r="B342" s="5"/>
      <c r="C342" s="16"/>
      <c r="E342" s="5"/>
    </row>
    <row r="343" spans="1:5" ht="12.5">
      <c r="A343" s="76"/>
      <c r="B343" s="5"/>
      <c r="C343" s="16"/>
      <c r="E343" s="5"/>
    </row>
    <row r="344" spans="1:5" ht="12.5">
      <c r="A344" s="76"/>
      <c r="B344" s="5"/>
      <c r="C344" s="16"/>
      <c r="E344" s="5"/>
    </row>
    <row r="345" spans="1:5" ht="12.5">
      <c r="A345" s="76"/>
      <c r="B345" s="5"/>
      <c r="C345" s="16"/>
      <c r="E345" s="5"/>
    </row>
    <row r="346" spans="1:5" ht="12.5">
      <c r="A346" s="76"/>
      <c r="B346" s="5"/>
      <c r="C346" s="16"/>
      <c r="E346" s="5"/>
    </row>
    <row r="347" spans="1:5" ht="12.5">
      <c r="A347" s="76"/>
      <c r="B347" s="5"/>
      <c r="C347" s="16"/>
      <c r="E347" s="5"/>
    </row>
    <row r="348" spans="1:5" ht="12.5">
      <c r="A348" s="76"/>
      <c r="B348" s="5"/>
      <c r="C348" s="16"/>
      <c r="E348" s="5"/>
    </row>
    <row r="349" spans="1:5" ht="12.5">
      <c r="A349" s="76"/>
      <c r="B349" s="5"/>
      <c r="C349" s="16"/>
      <c r="E349" s="5"/>
    </row>
    <row r="350" spans="1:5" ht="12.5">
      <c r="A350" s="76"/>
      <c r="B350" s="5"/>
      <c r="C350" s="16"/>
      <c r="E350" s="5"/>
    </row>
    <row r="351" spans="1:5" ht="12.5">
      <c r="A351" s="76"/>
      <c r="B351" s="5"/>
      <c r="C351" s="16"/>
      <c r="E351" s="5"/>
    </row>
    <row r="352" spans="1:5" ht="12.5">
      <c r="A352" s="76"/>
      <c r="B352" s="5"/>
      <c r="C352" s="16"/>
      <c r="E352" s="5"/>
    </row>
    <row r="353" spans="1:5" ht="12.5">
      <c r="A353" s="76"/>
      <c r="B353" s="5"/>
      <c r="C353" s="16"/>
      <c r="E353" s="5"/>
    </row>
    <row r="354" spans="1:5" ht="12.5">
      <c r="A354" s="76"/>
      <c r="B354" s="5"/>
      <c r="C354" s="16"/>
      <c r="E354" s="5"/>
    </row>
    <row r="355" spans="1:5" ht="12.5">
      <c r="A355" s="76"/>
      <c r="B355" s="5"/>
      <c r="C355" s="16"/>
      <c r="E355" s="5"/>
    </row>
    <row r="356" spans="1:5" ht="12.5">
      <c r="A356" s="76"/>
      <c r="B356" s="5"/>
      <c r="C356" s="16"/>
      <c r="E356" s="5"/>
    </row>
    <row r="357" spans="1:5" ht="12.5">
      <c r="A357" s="76"/>
      <c r="B357" s="5"/>
      <c r="C357" s="16"/>
      <c r="E357" s="5"/>
    </row>
    <row r="358" spans="1:5" ht="12.5">
      <c r="A358" s="76"/>
      <c r="B358" s="5"/>
      <c r="C358" s="16"/>
      <c r="E358" s="5"/>
    </row>
    <row r="359" spans="1:5" ht="12.5">
      <c r="A359" s="76"/>
      <c r="B359" s="5"/>
      <c r="C359" s="16"/>
      <c r="E359" s="5"/>
    </row>
    <row r="360" spans="1:5" ht="12.5">
      <c r="A360" s="76"/>
      <c r="B360" s="5"/>
      <c r="C360" s="16"/>
      <c r="E360" s="5"/>
    </row>
    <row r="361" spans="1:5" ht="12.5">
      <c r="A361" s="76"/>
      <c r="B361" s="5"/>
      <c r="C361" s="16"/>
      <c r="E361" s="5"/>
    </row>
    <row r="362" spans="1:5" ht="12.5">
      <c r="A362" s="76"/>
      <c r="B362" s="5"/>
      <c r="C362" s="16"/>
      <c r="E362" s="5"/>
    </row>
    <row r="363" spans="1:5" ht="12.5">
      <c r="A363" s="76"/>
      <c r="B363" s="5"/>
      <c r="C363" s="16"/>
      <c r="E363" s="5"/>
    </row>
    <row r="364" spans="1:5" ht="12.5">
      <c r="A364" s="76"/>
      <c r="B364" s="5"/>
      <c r="C364" s="16"/>
      <c r="E364" s="5"/>
    </row>
    <row r="365" spans="1:5" ht="12.5">
      <c r="A365" s="76"/>
      <c r="B365" s="5"/>
      <c r="C365" s="16"/>
      <c r="E365" s="5"/>
    </row>
    <row r="366" spans="1:5" ht="12.5">
      <c r="A366" s="76"/>
      <c r="B366" s="5"/>
      <c r="C366" s="16"/>
      <c r="E366" s="5"/>
    </row>
    <row r="367" spans="1:5" ht="12.5">
      <c r="A367" s="76"/>
      <c r="B367" s="5"/>
      <c r="C367" s="16"/>
      <c r="E367" s="5"/>
    </row>
    <row r="368" spans="1:5" ht="12.5">
      <c r="A368" s="76"/>
      <c r="B368" s="5"/>
      <c r="C368" s="16"/>
      <c r="E368" s="5"/>
    </row>
    <row r="369" spans="1:5" ht="12.5">
      <c r="A369" s="76"/>
      <c r="B369" s="5"/>
      <c r="C369" s="16"/>
      <c r="E369" s="5"/>
    </row>
    <row r="370" spans="1:5" ht="12.5">
      <c r="A370" s="76"/>
      <c r="B370" s="5"/>
      <c r="C370" s="16"/>
      <c r="E370" s="5"/>
    </row>
    <row r="371" spans="1:5" ht="12.5">
      <c r="A371" s="76"/>
      <c r="B371" s="5"/>
      <c r="C371" s="16"/>
      <c r="E371" s="5"/>
    </row>
    <row r="372" spans="1:5" ht="12.5">
      <c r="A372" s="76"/>
      <c r="B372" s="5"/>
      <c r="C372" s="16"/>
      <c r="E372" s="5"/>
    </row>
    <row r="373" spans="1:5" ht="12.5">
      <c r="A373" s="76"/>
      <c r="B373" s="5"/>
      <c r="C373" s="16"/>
      <c r="E373" s="5"/>
    </row>
    <row r="374" spans="1:5" ht="12.5">
      <c r="A374" s="76"/>
      <c r="B374" s="5"/>
      <c r="C374" s="16"/>
      <c r="E374" s="5"/>
    </row>
    <row r="375" spans="1:5" ht="12.5">
      <c r="A375" s="76"/>
      <c r="B375" s="5"/>
      <c r="C375" s="16"/>
      <c r="E375" s="5"/>
    </row>
    <row r="376" spans="1:5" ht="12.5">
      <c r="A376" s="76"/>
      <c r="B376" s="5"/>
      <c r="C376" s="16"/>
      <c r="E376" s="5"/>
    </row>
    <row r="377" spans="1:5" ht="12.5">
      <c r="A377" s="76"/>
      <c r="B377" s="5"/>
      <c r="C377" s="16"/>
      <c r="E377" s="5"/>
    </row>
    <row r="378" spans="1:5" ht="12.5">
      <c r="A378" s="76"/>
      <c r="B378" s="5"/>
      <c r="C378" s="16"/>
      <c r="E378" s="5"/>
    </row>
    <row r="379" spans="1:5" ht="12.5">
      <c r="A379" s="76"/>
      <c r="B379" s="5"/>
      <c r="C379" s="16"/>
      <c r="E379" s="5"/>
    </row>
    <row r="380" spans="1:5" ht="12.5">
      <c r="A380" s="76"/>
      <c r="B380" s="5"/>
      <c r="C380" s="16"/>
      <c r="E380" s="5"/>
    </row>
    <row r="381" spans="1:5" ht="12.5">
      <c r="A381" s="76"/>
      <c r="B381" s="5"/>
      <c r="C381" s="16"/>
      <c r="E381" s="5"/>
    </row>
    <row r="382" spans="1:5" ht="12.5">
      <c r="A382" s="76"/>
      <c r="B382" s="5"/>
      <c r="C382" s="16"/>
      <c r="E382" s="5"/>
    </row>
    <row r="383" spans="1:5" ht="12.5">
      <c r="A383" s="76"/>
      <c r="B383" s="5"/>
      <c r="C383" s="16"/>
      <c r="E383" s="5"/>
    </row>
    <row r="384" spans="1:5" ht="12.5">
      <c r="A384" s="76"/>
      <c r="B384" s="5"/>
      <c r="C384" s="16"/>
      <c r="E384" s="5"/>
    </row>
    <row r="385" spans="1:5" ht="12.5">
      <c r="A385" s="76"/>
      <c r="B385" s="5"/>
      <c r="C385" s="16"/>
      <c r="E385" s="5"/>
    </row>
    <row r="386" spans="1:5" ht="12.5">
      <c r="A386" s="76"/>
      <c r="B386" s="5"/>
      <c r="C386" s="16"/>
      <c r="E386" s="5"/>
    </row>
    <row r="387" spans="1:5" ht="12.5">
      <c r="A387" s="76"/>
      <c r="B387" s="5"/>
      <c r="C387" s="16"/>
      <c r="E387" s="5"/>
    </row>
    <row r="388" spans="1:5" ht="12.5">
      <c r="A388" s="76"/>
      <c r="B388" s="5"/>
      <c r="C388" s="16"/>
      <c r="E388" s="5"/>
    </row>
    <row r="389" spans="1:5" ht="12.5">
      <c r="A389" s="76"/>
      <c r="B389" s="5"/>
      <c r="C389" s="16"/>
      <c r="E389" s="5"/>
    </row>
    <row r="390" spans="1:5" ht="12.5">
      <c r="A390" s="76"/>
      <c r="B390" s="5"/>
      <c r="C390" s="16"/>
      <c r="E390" s="5"/>
    </row>
    <row r="391" spans="1:5" ht="12.5">
      <c r="A391" s="76"/>
      <c r="B391" s="5"/>
      <c r="C391" s="16"/>
      <c r="E391" s="5"/>
    </row>
    <row r="392" spans="1:5" ht="12.5">
      <c r="A392" s="76"/>
      <c r="B392" s="5"/>
      <c r="C392" s="16"/>
      <c r="E392" s="5"/>
    </row>
    <row r="393" spans="1:5" ht="12.5">
      <c r="A393" s="76"/>
      <c r="B393" s="5"/>
      <c r="C393" s="16"/>
      <c r="E393" s="5"/>
    </row>
    <row r="394" spans="1:5" ht="12.5">
      <c r="A394" s="76"/>
      <c r="B394" s="5"/>
      <c r="C394" s="16"/>
      <c r="E394" s="5"/>
    </row>
    <row r="395" spans="1:5" ht="12.5">
      <c r="A395" s="76"/>
      <c r="B395" s="5"/>
      <c r="C395" s="16"/>
      <c r="E395" s="5"/>
    </row>
    <row r="396" spans="1:5" ht="12.5">
      <c r="A396" s="76"/>
      <c r="B396" s="5"/>
      <c r="C396" s="16"/>
      <c r="E396" s="5"/>
    </row>
    <row r="397" spans="1:5" ht="12.5">
      <c r="A397" s="76"/>
      <c r="B397" s="5"/>
      <c r="C397" s="16"/>
      <c r="E397" s="5"/>
    </row>
    <row r="398" spans="1:5" ht="12.5">
      <c r="A398" s="76"/>
      <c r="B398" s="5"/>
      <c r="C398" s="16"/>
      <c r="E398" s="5"/>
    </row>
    <row r="399" spans="1:5" ht="12.5">
      <c r="A399" s="76"/>
      <c r="B399" s="5"/>
      <c r="C399" s="16"/>
      <c r="E399" s="5"/>
    </row>
    <row r="400" spans="1:5" ht="12.5">
      <c r="A400" s="76"/>
      <c r="B400" s="5"/>
      <c r="C400" s="16"/>
      <c r="E400" s="5"/>
    </row>
    <row r="401" spans="1:5" ht="12.5">
      <c r="A401" s="76"/>
      <c r="B401" s="5"/>
      <c r="C401" s="16"/>
      <c r="E401" s="5"/>
    </row>
    <row r="402" spans="1:5" ht="12.5">
      <c r="A402" s="76"/>
      <c r="B402" s="5"/>
      <c r="C402" s="16"/>
      <c r="E402" s="5"/>
    </row>
    <row r="403" spans="1:5" ht="12.5">
      <c r="A403" s="76"/>
      <c r="B403" s="5"/>
      <c r="C403" s="16"/>
      <c r="E403" s="5"/>
    </row>
    <row r="404" spans="1:5" ht="12.5">
      <c r="A404" s="76"/>
      <c r="B404" s="5"/>
      <c r="C404" s="16"/>
      <c r="E404" s="5"/>
    </row>
    <row r="405" spans="1:5" ht="12.5">
      <c r="A405" s="76"/>
      <c r="B405" s="5"/>
      <c r="C405" s="16"/>
      <c r="E405" s="5"/>
    </row>
    <row r="406" spans="1:5" ht="12.5">
      <c r="A406" s="76"/>
      <c r="B406" s="5"/>
      <c r="C406" s="16"/>
      <c r="E406" s="5"/>
    </row>
    <row r="407" spans="1:5" ht="12.5">
      <c r="A407" s="76"/>
      <c r="B407" s="5"/>
      <c r="C407" s="16"/>
      <c r="E407" s="5"/>
    </row>
    <row r="408" spans="1:5" ht="12.5">
      <c r="A408" s="76"/>
      <c r="B408" s="5"/>
      <c r="C408" s="16"/>
      <c r="E408" s="5"/>
    </row>
    <row r="409" spans="1:5" ht="12.5">
      <c r="A409" s="76"/>
      <c r="B409" s="5"/>
      <c r="C409" s="16"/>
      <c r="E409" s="5"/>
    </row>
    <row r="410" spans="1:5" ht="12.5">
      <c r="A410" s="76"/>
      <c r="B410" s="5"/>
      <c r="C410" s="16"/>
      <c r="E410" s="5"/>
    </row>
    <row r="411" spans="1:5" ht="12.5">
      <c r="A411" s="76"/>
      <c r="B411" s="5"/>
      <c r="C411" s="16"/>
      <c r="E411" s="5"/>
    </row>
    <row r="412" spans="1:5" ht="12.5">
      <c r="A412" s="76"/>
      <c r="B412" s="5"/>
      <c r="C412" s="16"/>
      <c r="E412" s="5"/>
    </row>
    <row r="413" spans="1:5" ht="12.5">
      <c r="A413" s="76"/>
      <c r="B413" s="5"/>
      <c r="C413" s="16"/>
      <c r="E413" s="5"/>
    </row>
    <row r="414" spans="1:5" ht="12.5">
      <c r="A414" s="76"/>
      <c r="B414" s="5"/>
      <c r="C414" s="16"/>
      <c r="E414" s="5"/>
    </row>
    <row r="415" spans="1:5" ht="12.5">
      <c r="A415" s="76"/>
      <c r="B415" s="5"/>
      <c r="C415" s="16"/>
      <c r="E415" s="5"/>
    </row>
    <row r="416" spans="1:5" ht="12.5">
      <c r="A416" s="76"/>
      <c r="B416" s="5"/>
      <c r="C416" s="16"/>
      <c r="E416" s="5"/>
    </row>
    <row r="417" spans="1:5" ht="12.5">
      <c r="A417" s="76"/>
      <c r="B417" s="5"/>
      <c r="C417" s="16"/>
      <c r="E417" s="5"/>
    </row>
    <row r="418" spans="1:5" ht="12.5">
      <c r="A418" s="76"/>
      <c r="B418" s="5"/>
      <c r="C418" s="16"/>
      <c r="E418" s="5"/>
    </row>
    <row r="419" spans="1:5" ht="12.5">
      <c r="A419" s="76"/>
      <c r="B419" s="5"/>
      <c r="C419" s="16"/>
      <c r="E419" s="5"/>
    </row>
    <row r="420" spans="1:5" ht="12.5">
      <c r="A420" s="76"/>
      <c r="B420" s="5"/>
      <c r="C420" s="16"/>
      <c r="E420" s="5"/>
    </row>
    <row r="421" spans="1:5" ht="12.5">
      <c r="A421" s="76"/>
      <c r="B421" s="5"/>
      <c r="C421" s="16"/>
      <c r="E421" s="5"/>
    </row>
    <row r="422" spans="1:5" ht="12.5">
      <c r="A422" s="76"/>
      <c r="B422" s="5"/>
      <c r="C422" s="16"/>
      <c r="E422" s="5"/>
    </row>
    <row r="423" spans="1:5" ht="12.5">
      <c r="A423" s="76"/>
      <c r="B423" s="5"/>
      <c r="C423" s="16"/>
      <c r="E423" s="5"/>
    </row>
    <row r="424" spans="1:5" ht="12.5">
      <c r="A424" s="76"/>
      <c r="B424" s="5"/>
      <c r="C424" s="16"/>
      <c r="E424" s="5"/>
    </row>
    <row r="425" spans="1:5" ht="12.5">
      <c r="A425" s="76"/>
      <c r="B425" s="5"/>
      <c r="C425" s="16"/>
      <c r="E425" s="5"/>
    </row>
    <row r="426" spans="1:5" ht="12.5">
      <c r="A426" s="76"/>
      <c r="B426" s="5"/>
      <c r="C426" s="16"/>
      <c r="E426" s="5"/>
    </row>
    <row r="427" spans="1:5" ht="12.5">
      <c r="A427" s="76"/>
      <c r="B427" s="5"/>
      <c r="C427" s="16"/>
      <c r="E427" s="5"/>
    </row>
    <row r="428" spans="1:5" ht="12.5">
      <c r="A428" s="76"/>
      <c r="B428" s="5"/>
      <c r="C428" s="16"/>
      <c r="E428" s="5"/>
    </row>
    <row r="429" spans="1:5" ht="12.5">
      <c r="A429" s="76"/>
      <c r="B429" s="5"/>
      <c r="C429" s="16"/>
      <c r="E429" s="5"/>
    </row>
    <row r="430" spans="1:5" ht="12.5">
      <c r="A430" s="76"/>
      <c r="B430" s="5"/>
      <c r="C430" s="16"/>
      <c r="E430" s="5"/>
    </row>
    <row r="431" spans="1:5" ht="12.5">
      <c r="A431" s="76"/>
      <c r="B431" s="5"/>
      <c r="C431" s="16"/>
      <c r="E431" s="5"/>
    </row>
    <row r="432" spans="1:5" ht="12.5">
      <c r="A432" s="76"/>
      <c r="B432" s="5"/>
      <c r="C432" s="16"/>
      <c r="E432" s="5"/>
    </row>
    <row r="433" spans="1:5" ht="12.5">
      <c r="A433" s="76"/>
      <c r="B433" s="5"/>
      <c r="C433" s="16"/>
      <c r="E433" s="5"/>
    </row>
    <row r="434" spans="1:5" ht="12.5">
      <c r="A434" s="76"/>
      <c r="B434" s="5"/>
      <c r="C434" s="16"/>
      <c r="E434" s="5"/>
    </row>
    <row r="435" spans="1:5" ht="12.5">
      <c r="A435" s="76"/>
      <c r="B435" s="5"/>
      <c r="C435" s="16"/>
      <c r="E435" s="5"/>
    </row>
    <row r="436" spans="1:5" ht="12.5">
      <c r="A436" s="76"/>
      <c r="B436" s="5"/>
      <c r="C436" s="16"/>
      <c r="E436" s="5"/>
    </row>
    <row r="437" spans="1:5" ht="12.5">
      <c r="A437" s="76"/>
      <c r="B437" s="5"/>
      <c r="C437" s="16"/>
      <c r="E437" s="5"/>
    </row>
    <row r="438" spans="1:5" ht="12.5">
      <c r="A438" s="76"/>
      <c r="B438" s="5"/>
      <c r="C438" s="16"/>
      <c r="E438" s="5"/>
    </row>
    <row r="439" spans="1:5" ht="12.5">
      <c r="A439" s="76"/>
      <c r="B439" s="5"/>
      <c r="C439" s="16"/>
      <c r="E439" s="5"/>
    </row>
    <row r="440" spans="1:5" ht="12.5">
      <c r="A440" s="76"/>
      <c r="B440" s="5"/>
      <c r="C440" s="16"/>
      <c r="E440" s="5"/>
    </row>
    <row r="441" spans="1:5" ht="12.5">
      <c r="A441" s="76"/>
      <c r="B441" s="5"/>
      <c r="C441" s="16"/>
      <c r="E441" s="5"/>
    </row>
    <row r="442" spans="1:5" ht="12.5">
      <c r="A442" s="76"/>
      <c r="B442" s="5"/>
      <c r="C442" s="16"/>
      <c r="E442" s="5"/>
    </row>
    <row r="443" spans="1:5" ht="12.5">
      <c r="A443" s="76"/>
      <c r="B443" s="5"/>
      <c r="C443" s="16"/>
      <c r="E443" s="5"/>
    </row>
    <row r="444" spans="1:5" ht="12.5">
      <c r="A444" s="76"/>
      <c r="B444" s="5"/>
      <c r="C444" s="16"/>
      <c r="E444" s="5"/>
    </row>
    <row r="445" spans="1:5" ht="12.5">
      <c r="A445" s="76"/>
      <c r="B445" s="5"/>
      <c r="C445" s="16"/>
      <c r="E445" s="5"/>
    </row>
    <row r="446" spans="1:5" ht="12.5">
      <c r="A446" s="76"/>
      <c r="B446" s="5"/>
      <c r="C446" s="16"/>
      <c r="E446" s="5"/>
    </row>
    <row r="447" spans="1:5" ht="12.5">
      <c r="A447" s="76"/>
      <c r="B447" s="5"/>
      <c r="C447" s="16"/>
      <c r="E447" s="5"/>
    </row>
    <row r="448" spans="1:5" ht="12.5">
      <c r="A448" s="76"/>
      <c r="B448" s="5"/>
      <c r="C448" s="16"/>
      <c r="E448" s="5"/>
    </row>
    <row r="449" spans="1:5" ht="12.5">
      <c r="A449" s="76"/>
      <c r="B449" s="5"/>
      <c r="C449" s="16"/>
      <c r="E449" s="5"/>
    </row>
    <row r="450" spans="1:5" ht="12.5">
      <c r="A450" s="76"/>
      <c r="B450" s="5"/>
      <c r="C450" s="16"/>
      <c r="E450" s="5"/>
    </row>
    <row r="451" spans="1:5" ht="12.5">
      <c r="A451" s="76"/>
      <c r="B451" s="5"/>
      <c r="C451" s="16"/>
      <c r="E451" s="5"/>
    </row>
    <row r="452" spans="1:5" ht="12.5">
      <c r="A452" s="76"/>
      <c r="B452" s="5"/>
      <c r="C452" s="16"/>
      <c r="E452" s="5"/>
    </row>
    <row r="453" spans="1:5" ht="12.5">
      <c r="A453" s="76"/>
      <c r="B453" s="5"/>
      <c r="C453" s="16"/>
      <c r="E453" s="5"/>
    </row>
    <row r="454" spans="1:5" ht="12.5">
      <c r="A454" s="76"/>
      <c r="B454" s="5"/>
      <c r="C454" s="16"/>
      <c r="E454" s="5"/>
    </row>
    <row r="455" spans="1:5" ht="12.5">
      <c r="A455" s="76"/>
      <c r="B455" s="5"/>
      <c r="C455" s="16"/>
      <c r="E455" s="5"/>
    </row>
    <row r="456" spans="1:5" ht="12.5">
      <c r="A456" s="76"/>
      <c r="B456" s="5"/>
      <c r="C456" s="16"/>
      <c r="E456" s="5"/>
    </row>
    <row r="457" spans="1:5" ht="12.5">
      <c r="A457" s="76"/>
      <c r="B457" s="5"/>
      <c r="C457" s="16"/>
      <c r="E457" s="5"/>
    </row>
    <row r="458" spans="1:5" ht="12.5">
      <c r="A458" s="76"/>
      <c r="B458" s="5"/>
      <c r="C458" s="16"/>
      <c r="E458" s="5"/>
    </row>
    <row r="459" spans="1:5" ht="12.5">
      <c r="A459" s="76"/>
      <c r="B459" s="5"/>
      <c r="C459" s="16"/>
      <c r="E459" s="5"/>
    </row>
    <row r="460" spans="1:5" ht="12.5">
      <c r="A460" s="76"/>
      <c r="B460" s="5"/>
      <c r="C460" s="16"/>
      <c r="E460" s="5"/>
    </row>
    <row r="461" spans="1:5" ht="12.5">
      <c r="A461" s="76"/>
      <c r="B461" s="5"/>
      <c r="C461" s="16"/>
      <c r="E461" s="5"/>
    </row>
    <row r="462" spans="1:5" ht="12.5">
      <c r="A462" s="76"/>
      <c r="B462" s="5"/>
      <c r="C462" s="16"/>
      <c r="E462" s="5"/>
    </row>
    <row r="463" spans="1:5" ht="12.5">
      <c r="A463" s="76"/>
      <c r="B463" s="5"/>
      <c r="C463" s="16"/>
      <c r="E463" s="5"/>
    </row>
    <row r="464" spans="1:5" ht="12.5">
      <c r="A464" s="76"/>
      <c r="B464" s="5"/>
      <c r="C464" s="16"/>
      <c r="E464" s="5"/>
    </row>
    <row r="465" spans="1:5" ht="12.5">
      <c r="A465" s="76"/>
      <c r="B465" s="5"/>
      <c r="C465" s="16"/>
      <c r="E465" s="5"/>
    </row>
    <row r="466" spans="1:5" ht="12.5">
      <c r="A466" s="76"/>
      <c r="B466" s="5"/>
      <c r="C466" s="16"/>
      <c r="E466" s="5"/>
    </row>
    <row r="467" spans="1:5" ht="12.5">
      <c r="A467" s="76"/>
      <c r="B467" s="5"/>
      <c r="C467" s="16"/>
      <c r="E467" s="5"/>
    </row>
    <row r="468" spans="1:5" ht="12.5">
      <c r="A468" s="76"/>
      <c r="B468" s="5"/>
      <c r="C468" s="16"/>
      <c r="E468" s="5"/>
    </row>
    <row r="469" spans="1:5" ht="12.5">
      <c r="A469" s="76"/>
      <c r="B469" s="5"/>
      <c r="C469" s="16"/>
      <c r="E469" s="5"/>
    </row>
    <row r="470" spans="1:5" ht="12.5">
      <c r="A470" s="76"/>
      <c r="B470" s="5"/>
      <c r="C470" s="16"/>
      <c r="E470" s="5"/>
    </row>
    <row r="471" spans="1:5" ht="12.5">
      <c r="A471" s="76"/>
      <c r="B471" s="5"/>
      <c r="C471" s="16"/>
      <c r="E471" s="5"/>
    </row>
    <row r="472" spans="1:5" ht="12.5">
      <c r="A472" s="76"/>
      <c r="B472" s="5"/>
      <c r="C472" s="16"/>
      <c r="E472" s="5"/>
    </row>
    <row r="473" spans="1:5" ht="12.5">
      <c r="A473" s="76"/>
      <c r="B473" s="5"/>
      <c r="C473" s="16"/>
      <c r="E473" s="5"/>
    </row>
    <row r="474" spans="1:5" ht="12.5">
      <c r="A474" s="76"/>
      <c r="B474" s="5"/>
      <c r="C474" s="16"/>
      <c r="E474" s="5"/>
    </row>
    <row r="475" spans="1:5" ht="12.5">
      <c r="A475" s="76"/>
      <c r="B475" s="5"/>
      <c r="C475" s="16"/>
      <c r="E475" s="5"/>
    </row>
    <row r="476" spans="1:5" ht="12.5">
      <c r="A476" s="76"/>
      <c r="B476" s="5"/>
      <c r="C476" s="16"/>
      <c r="E476" s="5"/>
    </row>
    <row r="477" spans="1:5" ht="12.5">
      <c r="A477" s="76"/>
      <c r="B477" s="5"/>
      <c r="C477" s="16"/>
      <c r="E477" s="5"/>
    </row>
    <row r="478" spans="1:5" ht="12.5">
      <c r="A478" s="76"/>
      <c r="B478" s="5"/>
      <c r="C478" s="16"/>
      <c r="E478" s="5"/>
    </row>
    <row r="479" spans="1:5" ht="12.5">
      <c r="A479" s="76"/>
      <c r="B479" s="5"/>
      <c r="C479" s="16"/>
      <c r="E479" s="5"/>
    </row>
    <row r="480" spans="1:5" ht="12.5">
      <c r="A480" s="76"/>
      <c r="B480" s="5"/>
      <c r="C480" s="16"/>
      <c r="E480" s="5"/>
    </row>
    <row r="481" spans="1:5" ht="12.5">
      <c r="A481" s="76"/>
      <c r="B481" s="5"/>
      <c r="C481" s="16"/>
      <c r="E481" s="5"/>
    </row>
    <row r="482" spans="1:5" ht="12.5">
      <c r="A482" s="76"/>
      <c r="B482" s="5"/>
      <c r="C482" s="16"/>
      <c r="E482" s="5"/>
    </row>
    <row r="483" spans="1:5" ht="12.5">
      <c r="A483" s="76"/>
      <c r="B483" s="5"/>
      <c r="C483" s="16"/>
      <c r="E483" s="5"/>
    </row>
    <row r="484" spans="1:5" ht="12.5">
      <c r="A484" s="76"/>
      <c r="B484" s="5"/>
      <c r="C484" s="16"/>
      <c r="E484" s="5"/>
    </row>
    <row r="485" spans="1:5" ht="12.5">
      <c r="A485" s="76"/>
      <c r="B485" s="5"/>
      <c r="C485" s="16"/>
      <c r="E485" s="5"/>
    </row>
    <row r="486" spans="1:5" ht="12.5">
      <c r="A486" s="76"/>
      <c r="B486" s="5"/>
      <c r="C486" s="16"/>
      <c r="E486" s="5"/>
    </row>
    <row r="487" spans="1:5" ht="12.5">
      <c r="A487" s="76"/>
      <c r="B487" s="5"/>
      <c r="C487" s="16"/>
      <c r="E487" s="5"/>
    </row>
    <row r="488" spans="1:5" ht="12.5">
      <c r="A488" s="76"/>
      <c r="B488" s="5"/>
      <c r="C488" s="16"/>
      <c r="E488" s="5"/>
    </row>
    <row r="489" spans="1:5" ht="12.5">
      <c r="A489" s="76"/>
      <c r="B489" s="5"/>
      <c r="C489" s="16"/>
      <c r="E489" s="5"/>
    </row>
    <row r="490" spans="1:5" ht="12.5">
      <c r="A490" s="76"/>
      <c r="B490" s="5"/>
      <c r="C490" s="16"/>
      <c r="E490" s="5"/>
    </row>
    <row r="491" spans="1:5" ht="12.5">
      <c r="A491" s="76"/>
      <c r="B491" s="5"/>
      <c r="C491" s="16"/>
      <c r="E491" s="5"/>
    </row>
    <row r="492" spans="1:5" ht="12.5">
      <c r="A492" s="76"/>
      <c r="B492" s="5"/>
      <c r="C492" s="16"/>
      <c r="E492" s="5"/>
    </row>
    <row r="493" spans="1:5" ht="12.5">
      <c r="A493" s="76"/>
      <c r="B493" s="5"/>
      <c r="C493" s="16"/>
      <c r="E493" s="5"/>
    </row>
    <row r="494" spans="1:5" ht="12.5">
      <c r="A494" s="76"/>
      <c r="B494" s="5"/>
      <c r="C494" s="16"/>
      <c r="E494" s="5"/>
    </row>
    <row r="495" spans="1:5" ht="12.5">
      <c r="A495" s="76"/>
      <c r="B495" s="5"/>
      <c r="C495" s="16"/>
      <c r="E495" s="5"/>
    </row>
    <row r="496" spans="1:5" ht="12.5">
      <c r="A496" s="76"/>
      <c r="B496" s="5"/>
      <c r="C496" s="16"/>
      <c r="E496" s="5"/>
    </row>
    <row r="497" spans="1:5" ht="12.5">
      <c r="A497" s="76"/>
      <c r="B497" s="5"/>
      <c r="C497" s="16"/>
      <c r="E497" s="5"/>
    </row>
    <row r="498" spans="1:5" ht="12.5">
      <c r="A498" s="76"/>
      <c r="B498" s="5"/>
      <c r="C498" s="16"/>
      <c r="E498" s="5"/>
    </row>
    <row r="499" spans="1:5" ht="12.5">
      <c r="A499" s="76"/>
      <c r="B499" s="5"/>
      <c r="C499" s="16"/>
      <c r="E499" s="5"/>
    </row>
    <row r="500" spans="1:5" ht="12.5">
      <c r="A500" s="76"/>
      <c r="B500" s="5"/>
      <c r="C500" s="16"/>
      <c r="E500" s="5"/>
    </row>
    <row r="501" spans="1:5" ht="12.5">
      <c r="A501" s="76"/>
      <c r="B501" s="5"/>
      <c r="C501" s="16"/>
      <c r="E501" s="5"/>
    </row>
    <row r="502" spans="1:5" ht="12.5">
      <c r="A502" s="76"/>
      <c r="B502" s="5"/>
      <c r="C502" s="16"/>
      <c r="E502" s="5"/>
    </row>
    <row r="503" spans="1:5" ht="12.5">
      <c r="A503" s="76"/>
      <c r="B503" s="5"/>
      <c r="C503" s="16"/>
      <c r="E503" s="5"/>
    </row>
    <row r="504" spans="1:5" ht="12.5">
      <c r="A504" s="76"/>
      <c r="B504" s="5"/>
      <c r="C504" s="16"/>
      <c r="E504" s="5"/>
    </row>
    <row r="505" spans="1:5" ht="12.5">
      <c r="A505" s="76"/>
      <c r="B505" s="5"/>
      <c r="C505" s="16"/>
      <c r="E505" s="5"/>
    </row>
    <row r="506" spans="1:5" ht="12.5">
      <c r="A506" s="76"/>
      <c r="B506" s="5"/>
      <c r="C506" s="16"/>
      <c r="E506" s="5"/>
    </row>
    <row r="507" spans="1:5" ht="12.5">
      <c r="A507" s="76"/>
      <c r="B507" s="5"/>
      <c r="C507" s="16"/>
      <c r="E507" s="5"/>
    </row>
    <row r="508" spans="1:5" ht="12.5">
      <c r="A508" s="76"/>
      <c r="B508" s="5"/>
      <c r="C508" s="16"/>
      <c r="E508" s="5"/>
    </row>
    <row r="509" spans="1:5" ht="12.5">
      <c r="A509" s="76"/>
      <c r="B509" s="5"/>
      <c r="C509" s="16"/>
      <c r="E509" s="5"/>
    </row>
    <row r="510" spans="1:5" ht="12.5">
      <c r="A510" s="76"/>
      <c r="B510" s="5"/>
      <c r="C510" s="16"/>
      <c r="E510" s="5"/>
    </row>
    <row r="511" spans="1:5" ht="12.5">
      <c r="A511" s="76"/>
      <c r="B511" s="5"/>
      <c r="C511" s="16"/>
      <c r="E511" s="5"/>
    </row>
    <row r="512" spans="1:5" ht="12.5">
      <c r="A512" s="76"/>
      <c r="B512" s="5"/>
      <c r="C512" s="16"/>
      <c r="E512" s="5"/>
    </row>
    <row r="513" spans="1:5" ht="12.5">
      <c r="A513" s="76"/>
      <c r="B513" s="5"/>
      <c r="C513" s="16"/>
      <c r="E513" s="5"/>
    </row>
    <row r="514" spans="1:5" ht="12.5">
      <c r="A514" s="76"/>
      <c r="B514" s="5"/>
      <c r="C514" s="16"/>
      <c r="E514" s="5"/>
    </row>
    <row r="515" spans="1:5" ht="12.5">
      <c r="A515" s="76"/>
      <c r="B515" s="5"/>
      <c r="C515" s="16"/>
      <c r="E515" s="5"/>
    </row>
    <row r="516" spans="1:5" ht="12.5">
      <c r="A516" s="76"/>
      <c r="B516" s="5"/>
      <c r="C516" s="16"/>
      <c r="E516" s="5"/>
    </row>
    <row r="517" spans="1:5" ht="12.5">
      <c r="A517" s="76"/>
      <c r="B517" s="5"/>
      <c r="C517" s="16"/>
      <c r="E517" s="5"/>
    </row>
    <row r="518" spans="1:5" ht="12.5">
      <c r="A518" s="76"/>
      <c r="B518" s="5"/>
      <c r="C518" s="16"/>
      <c r="E518" s="5"/>
    </row>
    <row r="519" spans="1:5" ht="12.5">
      <c r="A519" s="76"/>
      <c r="B519" s="5"/>
      <c r="C519" s="16"/>
      <c r="E519" s="5"/>
    </row>
    <row r="520" spans="1:5" ht="12.5">
      <c r="A520" s="76"/>
      <c r="B520" s="5"/>
      <c r="C520" s="16"/>
      <c r="E520" s="5"/>
    </row>
    <row r="521" spans="1:5" ht="12.5">
      <c r="A521" s="76"/>
      <c r="B521" s="5"/>
      <c r="C521" s="16"/>
      <c r="E521" s="5"/>
    </row>
    <row r="522" spans="1:5" ht="12.5">
      <c r="A522" s="76"/>
      <c r="B522" s="5"/>
      <c r="C522" s="16"/>
      <c r="E522" s="5"/>
    </row>
    <row r="523" spans="1:5" ht="12.5">
      <c r="A523" s="76"/>
      <c r="B523" s="5"/>
      <c r="C523" s="16"/>
      <c r="E523" s="5"/>
    </row>
    <row r="524" spans="1:5" ht="12.5">
      <c r="A524" s="76"/>
      <c r="B524" s="5"/>
      <c r="C524" s="16"/>
      <c r="E524" s="5"/>
    </row>
    <row r="525" spans="1:5" ht="12.5">
      <c r="A525" s="76"/>
      <c r="B525" s="5"/>
      <c r="C525" s="16"/>
      <c r="E525" s="5"/>
    </row>
    <row r="526" spans="1:5" ht="12.5">
      <c r="A526" s="76"/>
      <c r="B526" s="5"/>
      <c r="C526" s="16"/>
      <c r="E526" s="5"/>
    </row>
    <row r="527" spans="1:5" ht="12.5">
      <c r="A527" s="76"/>
      <c r="B527" s="5"/>
      <c r="C527" s="16"/>
      <c r="E527" s="5"/>
    </row>
    <row r="528" spans="1:5" ht="12.5">
      <c r="A528" s="76"/>
      <c r="B528" s="5"/>
      <c r="C528" s="16"/>
      <c r="E528" s="5"/>
    </row>
    <row r="529" spans="1:5" ht="12.5">
      <c r="A529" s="76"/>
      <c r="B529" s="5"/>
      <c r="C529" s="16"/>
      <c r="E529" s="5"/>
    </row>
    <row r="530" spans="1:5" ht="12.5">
      <c r="A530" s="76"/>
      <c r="B530" s="5"/>
      <c r="C530" s="16"/>
      <c r="E530" s="5"/>
    </row>
    <row r="531" spans="1:5" ht="12.5">
      <c r="A531" s="76"/>
      <c r="B531" s="5"/>
      <c r="C531" s="16"/>
      <c r="E531" s="5"/>
    </row>
    <row r="532" spans="1:5" ht="12.5">
      <c r="A532" s="76"/>
      <c r="B532" s="5"/>
      <c r="C532" s="16"/>
      <c r="E532" s="5"/>
    </row>
    <row r="533" spans="1:5" ht="12.5">
      <c r="A533" s="76"/>
      <c r="B533" s="5"/>
      <c r="C533" s="16"/>
      <c r="E533" s="5"/>
    </row>
    <row r="534" spans="1:5" ht="12.5">
      <c r="A534" s="76"/>
      <c r="B534" s="5"/>
      <c r="C534" s="16"/>
      <c r="E534" s="5"/>
    </row>
    <row r="535" spans="1:5" ht="12.5">
      <c r="A535" s="76"/>
      <c r="B535" s="5"/>
      <c r="C535" s="16"/>
      <c r="E535" s="5"/>
    </row>
    <row r="536" spans="1:5" ht="12.5">
      <c r="A536" s="76"/>
      <c r="B536" s="5"/>
      <c r="C536" s="16"/>
      <c r="E536" s="5"/>
    </row>
    <row r="537" spans="1:5" ht="12.5">
      <c r="A537" s="76"/>
      <c r="B537" s="5"/>
      <c r="C537" s="16"/>
      <c r="E537" s="5"/>
    </row>
    <row r="538" spans="1:5" ht="12.5">
      <c r="A538" s="76"/>
      <c r="B538" s="5"/>
      <c r="C538" s="16"/>
      <c r="E538" s="5"/>
    </row>
    <row r="539" spans="1:5" ht="12.5">
      <c r="A539" s="76"/>
      <c r="B539" s="5"/>
      <c r="C539" s="16"/>
      <c r="E539" s="5"/>
    </row>
    <row r="540" spans="1:5" ht="12.5">
      <c r="A540" s="76"/>
      <c r="B540" s="5"/>
      <c r="C540" s="16"/>
      <c r="E540" s="5"/>
    </row>
    <row r="541" spans="1:5" ht="12.5">
      <c r="A541" s="76"/>
      <c r="B541" s="5"/>
      <c r="C541" s="16"/>
      <c r="E541" s="5"/>
    </row>
    <row r="542" spans="1:5" ht="12.5">
      <c r="A542" s="76"/>
      <c r="B542" s="5"/>
      <c r="C542" s="16"/>
      <c r="E542" s="5"/>
    </row>
    <row r="543" spans="1:5" ht="12.5">
      <c r="A543" s="76"/>
      <c r="B543" s="5"/>
      <c r="C543" s="16"/>
      <c r="E543" s="5"/>
    </row>
    <row r="544" spans="1:5" ht="12.5">
      <c r="A544" s="76"/>
      <c r="B544" s="5"/>
      <c r="C544" s="16"/>
      <c r="E544" s="5"/>
    </row>
    <row r="545" spans="1:5" ht="12.5">
      <c r="A545" s="76"/>
      <c r="B545" s="5"/>
      <c r="C545" s="16"/>
      <c r="E545" s="5"/>
    </row>
    <row r="546" spans="1:5" ht="12.5">
      <c r="A546" s="76"/>
      <c r="B546" s="5"/>
      <c r="C546" s="16"/>
      <c r="E546" s="5"/>
    </row>
    <row r="547" spans="1:5" ht="12.5">
      <c r="A547" s="76"/>
      <c r="B547" s="5"/>
      <c r="C547" s="16"/>
      <c r="E547" s="5"/>
    </row>
    <row r="548" spans="1:5" ht="12.5">
      <c r="A548" s="76"/>
      <c r="B548" s="5"/>
      <c r="C548" s="16"/>
      <c r="E548" s="5"/>
    </row>
    <row r="549" spans="1:5" ht="12.5">
      <c r="A549" s="76"/>
      <c r="B549" s="5"/>
      <c r="C549" s="16"/>
      <c r="E549" s="5"/>
    </row>
    <row r="550" spans="1:5" ht="12.5">
      <c r="A550" s="76"/>
      <c r="B550" s="5"/>
      <c r="C550" s="16"/>
      <c r="E550" s="5"/>
    </row>
    <row r="551" spans="1:5" ht="12.5">
      <c r="A551" s="76"/>
      <c r="B551" s="5"/>
      <c r="C551" s="16"/>
      <c r="E551" s="5"/>
    </row>
    <row r="552" spans="1:5" ht="12.5">
      <c r="A552" s="76"/>
      <c r="B552" s="5"/>
      <c r="C552" s="16"/>
      <c r="E552" s="5"/>
    </row>
    <row r="553" spans="1:5" ht="12.5">
      <c r="A553" s="76"/>
      <c r="B553" s="5"/>
      <c r="C553" s="16"/>
      <c r="E553" s="5"/>
    </row>
    <row r="554" spans="1:5" ht="12.5">
      <c r="A554" s="76"/>
      <c r="B554" s="5"/>
      <c r="C554" s="16"/>
      <c r="E554" s="5"/>
    </row>
    <row r="555" spans="1:5" ht="12.5">
      <c r="A555" s="76"/>
      <c r="B555" s="5"/>
      <c r="C555" s="16"/>
      <c r="E555" s="5"/>
    </row>
    <row r="556" spans="1:5" ht="12.5">
      <c r="A556" s="76"/>
      <c r="B556" s="5"/>
      <c r="C556" s="16"/>
      <c r="E556" s="5"/>
    </row>
    <row r="557" spans="1:5" ht="12.5">
      <c r="A557" s="76"/>
      <c r="B557" s="5"/>
      <c r="C557" s="16"/>
      <c r="E557" s="5"/>
    </row>
    <row r="558" spans="1:5" ht="12.5">
      <c r="A558" s="76"/>
      <c r="B558" s="5"/>
      <c r="C558" s="16"/>
      <c r="E558" s="5"/>
    </row>
    <row r="559" spans="1:5" ht="12.5">
      <c r="A559" s="76"/>
      <c r="B559" s="5"/>
      <c r="C559" s="16"/>
      <c r="E559" s="5"/>
    </row>
    <row r="560" spans="1:5" ht="12.5">
      <c r="A560" s="76"/>
      <c r="B560" s="5"/>
      <c r="C560" s="16"/>
      <c r="E560" s="5"/>
    </row>
    <row r="561" spans="1:5" ht="12.5">
      <c r="A561" s="76"/>
      <c r="B561" s="5"/>
      <c r="C561" s="16"/>
      <c r="E561" s="5"/>
    </row>
    <row r="562" spans="1:5" ht="12.5">
      <c r="A562" s="76"/>
      <c r="B562" s="5"/>
      <c r="C562" s="16"/>
      <c r="E562" s="5"/>
    </row>
    <row r="563" spans="1:5" ht="12.5">
      <c r="A563" s="76"/>
      <c r="B563" s="5"/>
      <c r="C563" s="16"/>
      <c r="E563" s="5"/>
    </row>
    <row r="564" spans="1:5" ht="12.5">
      <c r="A564" s="76"/>
      <c r="B564" s="5"/>
      <c r="C564" s="16"/>
      <c r="E564" s="5"/>
    </row>
    <row r="565" spans="1:5" ht="12.5">
      <c r="A565" s="76"/>
      <c r="B565" s="5"/>
      <c r="C565" s="16"/>
      <c r="E565" s="5"/>
    </row>
    <row r="566" spans="1:5" ht="12.5">
      <c r="A566" s="76"/>
      <c r="B566" s="5"/>
      <c r="C566" s="16"/>
      <c r="E566" s="5"/>
    </row>
    <row r="567" spans="1:5" ht="12.5">
      <c r="A567" s="76"/>
      <c r="B567" s="5"/>
      <c r="C567" s="16"/>
      <c r="E567" s="5"/>
    </row>
    <row r="568" spans="1:5" ht="12.5">
      <c r="A568" s="76"/>
      <c r="B568" s="5"/>
      <c r="C568" s="16"/>
      <c r="E568" s="5"/>
    </row>
    <row r="569" spans="1:5" ht="12.5">
      <c r="A569" s="76"/>
      <c r="B569" s="5"/>
      <c r="C569" s="16"/>
      <c r="E569" s="5"/>
    </row>
    <row r="570" spans="1:5" ht="12.5">
      <c r="A570" s="76"/>
      <c r="B570" s="5"/>
      <c r="C570" s="16"/>
      <c r="E570" s="5"/>
    </row>
    <row r="571" spans="1:5" ht="12.5">
      <c r="A571" s="76"/>
      <c r="B571" s="5"/>
      <c r="C571" s="16"/>
      <c r="E571" s="5"/>
    </row>
    <row r="572" spans="1:5" ht="12.5">
      <c r="A572" s="76"/>
      <c r="B572" s="5"/>
      <c r="C572" s="16"/>
      <c r="E572" s="5"/>
    </row>
    <row r="573" spans="1:5" ht="12.5">
      <c r="A573" s="76"/>
      <c r="B573" s="5"/>
      <c r="C573" s="16"/>
      <c r="E573" s="5"/>
    </row>
    <row r="574" spans="1:5" ht="12.5">
      <c r="A574" s="76"/>
      <c r="B574" s="5"/>
      <c r="C574" s="16"/>
      <c r="E574" s="5"/>
    </row>
    <row r="575" spans="1:5" ht="12.5">
      <c r="A575" s="76"/>
      <c r="B575" s="5"/>
      <c r="C575" s="16"/>
      <c r="E575" s="5"/>
    </row>
    <row r="576" spans="1:5" ht="12.5">
      <c r="A576" s="76"/>
      <c r="B576" s="5"/>
      <c r="C576" s="16"/>
      <c r="E576" s="5"/>
    </row>
    <row r="577" spans="1:5" ht="12.5">
      <c r="A577" s="76"/>
      <c r="B577" s="5"/>
      <c r="C577" s="16"/>
      <c r="E577" s="5"/>
    </row>
    <row r="578" spans="1:5" ht="12.5">
      <c r="A578" s="76"/>
      <c r="B578" s="5"/>
      <c r="C578" s="16"/>
      <c r="E578" s="5"/>
    </row>
    <row r="579" spans="1:5" ht="12.5">
      <c r="A579" s="76"/>
      <c r="B579" s="5"/>
      <c r="C579" s="16"/>
      <c r="E579" s="5"/>
    </row>
    <row r="580" spans="1:5" ht="12.5">
      <c r="A580" s="76"/>
      <c r="B580" s="5"/>
      <c r="C580" s="16"/>
      <c r="E580" s="5"/>
    </row>
    <row r="581" spans="1:5" ht="12.5">
      <c r="A581" s="76"/>
      <c r="B581" s="5"/>
      <c r="C581" s="16"/>
      <c r="E581" s="5"/>
    </row>
    <row r="582" spans="1:5" ht="12.5">
      <c r="A582" s="76"/>
      <c r="B582" s="5"/>
      <c r="C582" s="16"/>
      <c r="E582" s="5"/>
    </row>
    <row r="583" spans="1:5" ht="12.5">
      <c r="A583" s="76"/>
      <c r="B583" s="5"/>
      <c r="C583" s="16"/>
      <c r="E583" s="5"/>
    </row>
    <row r="584" spans="1:5" ht="12.5">
      <c r="A584" s="76"/>
      <c r="B584" s="5"/>
      <c r="C584" s="16"/>
      <c r="E584" s="5"/>
    </row>
    <row r="585" spans="1:5" ht="12.5">
      <c r="A585" s="76"/>
      <c r="B585" s="5"/>
      <c r="C585" s="16"/>
      <c r="E585" s="5"/>
    </row>
    <row r="586" spans="1:5" ht="12.5">
      <c r="A586" s="76"/>
      <c r="B586" s="5"/>
      <c r="C586" s="16"/>
      <c r="E586" s="5"/>
    </row>
    <row r="587" spans="1:5" ht="12.5">
      <c r="A587" s="76"/>
      <c r="B587" s="5"/>
      <c r="C587" s="16"/>
      <c r="E587" s="5"/>
    </row>
    <row r="588" spans="1:5" ht="12.5">
      <c r="A588" s="76"/>
      <c r="B588" s="5"/>
      <c r="C588" s="16"/>
      <c r="E588" s="5"/>
    </row>
    <row r="589" spans="1:5" ht="12.5">
      <c r="A589" s="76"/>
      <c r="B589" s="5"/>
      <c r="C589" s="16"/>
      <c r="E589" s="5"/>
    </row>
    <row r="590" spans="1:5" ht="12.5">
      <c r="A590" s="76"/>
      <c r="B590" s="5"/>
      <c r="C590" s="16"/>
      <c r="E590" s="5"/>
    </row>
    <row r="591" spans="1:5" ht="12.5">
      <c r="A591" s="76"/>
      <c r="B591" s="5"/>
      <c r="C591" s="16"/>
      <c r="E591" s="5"/>
    </row>
    <row r="592" spans="1:5" ht="12.5">
      <c r="A592" s="76"/>
      <c r="B592" s="5"/>
      <c r="C592" s="16"/>
      <c r="E592" s="5"/>
    </row>
    <row r="593" spans="1:5" ht="12.5">
      <c r="A593" s="76"/>
      <c r="B593" s="5"/>
      <c r="C593" s="16"/>
      <c r="E593" s="5"/>
    </row>
    <row r="594" spans="1:5" ht="12.5">
      <c r="A594" s="76"/>
      <c r="B594" s="5"/>
      <c r="C594" s="16"/>
      <c r="E594" s="5"/>
    </row>
    <row r="595" spans="1:5" ht="12.5">
      <c r="A595" s="76"/>
      <c r="B595" s="5"/>
      <c r="C595" s="16"/>
      <c r="E595" s="5"/>
    </row>
    <row r="596" spans="1:5" ht="12.5">
      <c r="A596" s="76"/>
      <c r="B596" s="5"/>
      <c r="C596" s="16"/>
      <c r="E596" s="5"/>
    </row>
    <row r="597" spans="1:5" ht="12.5">
      <c r="A597" s="76"/>
      <c r="B597" s="5"/>
      <c r="C597" s="16"/>
      <c r="E597" s="5"/>
    </row>
    <row r="598" spans="1:5" ht="12.5">
      <c r="A598" s="76"/>
      <c r="B598" s="5"/>
      <c r="C598" s="16"/>
      <c r="E598" s="5"/>
    </row>
    <row r="599" spans="1:5" ht="12.5">
      <c r="A599" s="76"/>
      <c r="B599" s="5"/>
      <c r="C599" s="16"/>
      <c r="E599" s="5"/>
    </row>
    <row r="600" spans="1:5" ht="12.5">
      <c r="A600" s="76"/>
      <c r="B600" s="5"/>
      <c r="C600" s="16"/>
      <c r="E600" s="5"/>
    </row>
    <row r="601" spans="1:5" ht="12.5">
      <c r="A601" s="76"/>
      <c r="B601" s="5"/>
      <c r="C601" s="16"/>
      <c r="E601" s="5"/>
    </row>
    <row r="602" spans="1:5" ht="12.5">
      <c r="A602" s="76"/>
      <c r="B602" s="5"/>
      <c r="C602" s="16"/>
      <c r="E602" s="5"/>
    </row>
    <row r="603" spans="1:5" ht="12.5">
      <c r="A603" s="76"/>
      <c r="B603" s="5"/>
      <c r="C603" s="16"/>
      <c r="E603" s="5"/>
    </row>
    <row r="604" spans="1:5" ht="12.5">
      <c r="A604" s="76"/>
      <c r="B604" s="5"/>
      <c r="C604" s="16"/>
      <c r="E604" s="5"/>
    </row>
    <row r="605" spans="1:5" ht="12.5">
      <c r="A605" s="76"/>
      <c r="B605" s="5"/>
      <c r="C605" s="16"/>
      <c r="E605" s="5"/>
    </row>
    <row r="606" spans="1:5" ht="12.5">
      <c r="A606" s="76"/>
      <c r="B606" s="5"/>
      <c r="C606" s="16"/>
      <c r="E606" s="5"/>
    </row>
    <row r="607" spans="1:5" ht="12.5">
      <c r="A607" s="76"/>
      <c r="B607" s="5"/>
      <c r="C607" s="16"/>
      <c r="E607" s="5"/>
    </row>
    <row r="608" spans="1:5" ht="12.5">
      <c r="A608" s="76"/>
      <c r="B608" s="5"/>
      <c r="C608" s="16"/>
      <c r="E608" s="5"/>
    </row>
    <row r="609" spans="1:5" ht="12.5">
      <c r="A609" s="76"/>
      <c r="B609" s="5"/>
      <c r="C609" s="16"/>
      <c r="E609" s="5"/>
    </row>
    <row r="610" spans="1:5" ht="12.5">
      <c r="A610" s="76"/>
      <c r="B610" s="5"/>
      <c r="C610" s="16"/>
      <c r="E610" s="5"/>
    </row>
    <row r="611" spans="1:5" ht="12.5">
      <c r="A611" s="76"/>
      <c r="B611" s="5"/>
      <c r="C611" s="16"/>
      <c r="E611" s="5"/>
    </row>
    <row r="612" spans="1:5" ht="12.5">
      <c r="A612" s="76"/>
      <c r="B612" s="5"/>
      <c r="C612" s="16"/>
      <c r="E612" s="5"/>
    </row>
    <row r="613" spans="1:5" ht="12.5">
      <c r="A613" s="76"/>
      <c r="B613" s="5"/>
      <c r="C613" s="16"/>
      <c r="E613" s="5"/>
    </row>
    <row r="614" spans="1:5" ht="12.5">
      <c r="A614" s="76"/>
      <c r="B614" s="5"/>
      <c r="C614" s="16"/>
      <c r="E614" s="5"/>
    </row>
    <row r="615" spans="1:5" ht="12.5">
      <c r="A615" s="76"/>
      <c r="B615" s="5"/>
      <c r="C615" s="16"/>
      <c r="E615" s="5"/>
    </row>
    <row r="616" spans="1:5" ht="12.5">
      <c r="A616" s="76"/>
      <c r="B616" s="5"/>
      <c r="C616" s="16"/>
      <c r="E616" s="5"/>
    </row>
    <row r="617" spans="1:5" ht="12.5">
      <c r="A617" s="76"/>
      <c r="B617" s="5"/>
      <c r="C617" s="16"/>
      <c r="E617" s="5"/>
    </row>
    <row r="618" spans="1:5" ht="12.5">
      <c r="A618" s="76"/>
      <c r="B618" s="5"/>
      <c r="C618" s="16"/>
      <c r="E618" s="5"/>
    </row>
    <row r="619" spans="1:5" ht="12.5">
      <c r="A619" s="76"/>
      <c r="B619" s="5"/>
      <c r="C619" s="16"/>
      <c r="E619" s="5"/>
    </row>
    <row r="620" spans="1:5" ht="12.5">
      <c r="A620" s="76"/>
      <c r="B620" s="5"/>
      <c r="C620" s="16"/>
      <c r="E620" s="5"/>
    </row>
    <row r="621" spans="1:5" ht="12.5">
      <c r="A621" s="76"/>
      <c r="B621" s="5"/>
      <c r="C621" s="16"/>
      <c r="E621" s="5"/>
    </row>
    <row r="622" spans="1:5" ht="12.5">
      <c r="A622" s="76"/>
      <c r="B622" s="5"/>
      <c r="C622" s="16"/>
      <c r="E622" s="5"/>
    </row>
    <row r="623" spans="1:5" ht="12.5">
      <c r="A623" s="76"/>
      <c r="B623" s="5"/>
      <c r="C623" s="16"/>
      <c r="E623" s="5"/>
    </row>
    <row r="624" spans="1:5" ht="12.5">
      <c r="A624" s="76"/>
      <c r="B624" s="5"/>
      <c r="C624" s="16"/>
      <c r="E624" s="5"/>
    </row>
    <row r="625" spans="1:5" ht="12.5">
      <c r="A625" s="76"/>
      <c r="B625" s="5"/>
      <c r="C625" s="16"/>
      <c r="E625" s="5"/>
    </row>
    <row r="626" spans="1:5" ht="12.5">
      <c r="A626" s="76"/>
      <c r="B626" s="5"/>
      <c r="C626" s="16"/>
      <c r="E626" s="5"/>
    </row>
    <row r="627" spans="1:5" ht="12.5">
      <c r="A627" s="76"/>
      <c r="B627" s="5"/>
      <c r="C627" s="16"/>
      <c r="E627" s="5"/>
    </row>
    <row r="628" spans="1:5" ht="12.5">
      <c r="A628" s="76"/>
      <c r="B628" s="5"/>
      <c r="C628" s="16"/>
      <c r="E628" s="5"/>
    </row>
    <row r="629" spans="1:5" ht="12.5">
      <c r="A629" s="76"/>
      <c r="B629" s="5"/>
      <c r="C629" s="16"/>
      <c r="E629" s="5"/>
    </row>
    <row r="630" spans="1:5" ht="12.5">
      <c r="A630" s="76"/>
      <c r="B630" s="5"/>
      <c r="C630" s="16"/>
      <c r="E630" s="5"/>
    </row>
    <row r="631" spans="1:5" ht="12.5">
      <c r="A631" s="76"/>
      <c r="B631" s="5"/>
      <c r="C631" s="16"/>
      <c r="E631" s="5"/>
    </row>
    <row r="632" spans="1:5" ht="12.5">
      <c r="A632" s="76"/>
      <c r="B632" s="5"/>
      <c r="C632" s="16"/>
      <c r="E632" s="5"/>
    </row>
    <row r="633" spans="1:5" ht="12.5">
      <c r="A633" s="76"/>
      <c r="B633" s="5"/>
      <c r="C633" s="16"/>
      <c r="E633" s="5"/>
    </row>
    <row r="634" spans="1:5" ht="12.5">
      <c r="A634" s="76"/>
      <c r="B634" s="5"/>
      <c r="C634" s="16"/>
      <c r="E634" s="5"/>
    </row>
    <row r="635" spans="1:5" ht="12.5">
      <c r="A635" s="76"/>
      <c r="B635" s="5"/>
      <c r="C635" s="16"/>
      <c r="E635" s="5"/>
    </row>
    <row r="636" spans="1:5" ht="12.5">
      <c r="A636" s="76"/>
      <c r="B636" s="5"/>
      <c r="C636" s="16"/>
      <c r="E636" s="5"/>
    </row>
    <row r="637" spans="1:5" ht="12.5">
      <c r="A637" s="76"/>
      <c r="B637" s="5"/>
      <c r="C637" s="16"/>
      <c r="E637" s="5"/>
    </row>
    <row r="638" spans="1:5" ht="12.5">
      <c r="A638" s="76"/>
      <c r="B638" s="5"/>
      <c r="C638" s="16"/>
      <c r="E638" s="5"/>
    </row>
    <row r="639" spans="1:5" ht="12.5">
      <c r="A639" s="76"/>
      <c r="B639" s="5"/>
      <c r="C639" s="16"/>
      <c r="E639" s="5"/>
    </row>
    <row r="640" spans="1:5" ht="12.5">
      <c r="A640" s="76"/>
      <c r="B640" s="5"/>
      <c r="C640" s="16"/>
      <c r="E640" s="5"/>
    </row>
    <row r="641" spans="1:5" ht="12.5">
      <c r="A641" s="76"/>
      <c r="B641" s="5"/>
      <c r="C641" s="16"/>
      <c r="E641" s="5"/>
    </row>
    <row r="642" spans="1:5" ht="12.5">
      <c r="A642" s="76"/>
      <c r="B642" s="5"/>
      <c r="C642" s="16"/>
      <c r="E642" s="5"/>
    </row>
    <row r="643" spans="1:5" ht="12.5">
      <c r="A643" s="76"/>
      <c r="B643" s="5"/>
      <c r="C643" s="16"/>
      <c r="E643" s="5"/>
    </row>
    <row r="644" spans="1:5" ht="12.5">
      <c r="A644" s="76"/>
      <c r="B644" s="5"/>
      <c r="C644" s="16"/>
      <c r="E644" s="5"/>
    </row>
    <row r="645" spans="1:5" ht="12.5">
      <c r="A645" s="76"/>
      <c r="B645" s="5"/>
      <c r="C645" s="16"/>
      <c r="E645" s="5"/>
    </row>
    <row r="646" spans="1:5" ht="12.5">
      <c r="A646" s="76"/>
      <c r="B646" s="5"/>
      <c r="C646" s="16"/>
      <c r="E646" s="5"/>
    </row>
    <row r="647" spans="1:5" ht="12.5">
      <c r="A647" s="76"/>
      <c r="B647" s="5"/>
      <c r="C647" s="16"/>
      <c r="E647" s="5"/>
    </row>
    <row r="648" spans="1:5" ht="12.5">
      <c r="A648" s="76"/>
      <c r="B648" s="5"/>
      <c r="C648" s="16"/>
      <c r="E648" s="5"/>
    </row>
    <row r="649" spans="1:5" ht="12.5">
      <c r="A649" s="76"/>
      <c r="B649" s="5"/>
      <c r="C649" s="16"/>
      <c r="E649" s="5"/>
    </row>
    <row r="650" spans="1:5" ht="12.5">
      <c r="A650" s="76"/>
      <c r="B650" s="5"/>
      <c r="C650" s="16"/>
      <c r="E650" s="5"/>
    </row>
    <row r="651" spans="1:5" ht="12.5">
      <c r="A651" s="76"/>
      <c r="B651" s="5"/>
      <c r="C651" s="16"/>
      <c r="E651" s="5"/>
    </row>
    <row r="652" spans="1:5" ht="12.5">
      <c r="A652" s="76"/>
      <c r="B652" s="5"/>
      <c r="C652" s="16"/>
      <c r="E652" s="5"/>
    </row>
    <row r="653" spans="1:5" ht="12.5">
      <c r="A653" s="76"/>
      <c r="B653" s="5"/>
      <c r="C653" s="16"/>
      <c r="E653" s="5"/>
    </row>
    <row r="654" spans="1:5" ht="12.5">
      <c r="A654" s="76"/>
      <c r="B654" s="5"/>
      <c r="C654" s="16"/>
      <c r="E654" s="5"/>
    </row>
    <row r="655" spans="1:5" ht="12.5">
      <c r="A655" s="76"/>
      <c r="B655" s="5"/>
      <c r="C655" s="16"/>
      <c r="E655" s="5"/>
    </row>
    <row r="656" spans="1:5" ht="12.5">
      <c r="A656" s="76"/>
      <c r="B656" s="5"/>
      <c r="C656" s="16"/>
      <c r="E656" s="5"/>
    </row>
    <row r="657" spans="1:5" ht="12.5">
      <c r="A657" s="76"/>
      <c r="B657" s="5"/>
      <c r="C657" s="16"/>
      <c r="E657" s="5"/>
    </row>
    <row r="658" spans="1:5" ht="12.5">
      <c r="A658" s="76"/>
      <c r="B658" s="5"/>
      <c r="C658" s="16"/>
      <c r="E658" s="5"/>
    </row>
    <row r="659" spans="1:5" ht="12.5">
      <c r="A659" s="76"/>
      <c r="B659" s="5"/>
      <c r="C659" s="16"/>
      <c r="E659" s="5"/>
    </row>
    <row r="660" spans="1:5" ht="12.5">
      <c r="A660" s="76"/>
      <c r="B660" s="5"/>
      <c r="C660" s="16"/>
      <c r="E660" s="5"/>
    </row>
    <row r="661" spans="1:5" ht="12.5">
      <c r="A661" s="76"/>
      <c r="B661" s="5"/>
      <c r="C661" s="16"/>
      <c r="E661" s="5"/>
    </row>
    <row r="662" spans="1:5" ht="12.5">
      <c r="A662" s="76"/>
      <c r="B662" s="5"/>
      <c r="C662" s="16"/>
      <c r="E662" s="5"/>
    </row>
    <row r="663" spans="1:5" ht="12.5">
      <c r="A663" s="76"/>
      <c r="B663" s="5"/>
      <c r="C663" s="16"/>
      <c r="E663" s="5"/>
    </row>
    <row r="664" spans="1:5" ht="12.5">
      <c r="A664" s="76"/>
      <c r="B664" s="5"/>
      <c r="C664" s="16"/>
      <c r="E664" s="5"/>
    </row>
    <row r="665" spans="1:5" ht="12.5">
      <c r="A665" s="76"/>
      <c r="B665" s="5"/>
      <c r="C665" s="16"/>
      <c r="E665" s="5"/>
    </row>
    <row r="666" spans="1:5" ht="12.5">
      <c r="A666" s="76"/>
      <c r="B666" s="5"/>
      <c r="C666" s="16"/>
      <c r="E666" s="5"/>
    </row>
    <row r="667" spans="1:5" ht="12.5">
      <c r="A667" s="76"/>
      <c r="B667" s="5"/>
      <c r="C667" s="16"/>
      <c r="E667" s="5"/>
    </row>
    <row r="668" spans="1:5" ht="12.5">
      <c r="A668" s="76"/>
      <c r="B668" s="5"/>
      <c r="C668" s="16"/>
      <c r="E668" s="5"/>
    </row>
    <row r="669" spans="1:5" ht="12.5">
      <c r="A669" s="76"/>
      <c r="B669" s="5"/>
      <c r="C669" s="16"/>
      <c r="E669" s="5"/>
    </row>
    <row r="670" spans="1:5" ht="12.5">
      <c r="A670" s="76"/>
      <c r="B670" s="5"/>
      <c r="C670" s="16"/>
      <c r="E670" s="5"/>
    </row>
    <row r="671" spans="1:5" ht="12.5">
      <c r="A671" s="76"/>
      <c r="B671" s="5"/>
      <c r="C671" s="16"/>
      <c r="E671" s="5"/>
    </row>
    <row r="672" spans="1:5" ht="12.5">
      <c r="A672" s="76"/>
      <c r="B672" s="5"/>
      <c r="C672" s="16"/>
      <c r="E672" s="5"/>
    </row>
    <row r="673" spans="1:5" ht="12.5">
      <c r="A673" s="76"/>
      <c r="B673" s="5"/>
      <c r="C673" s="16"/>
      <c r="E673" s="5"/>
    </row>
    <row r="674" spans="1:5" ht="12.5">
      <c r="A674" s="76"/>
      <c r="B674" s="5"/>
      <c r="C674" s="16"/>
      <c r="E674" s="5"/>
    </row>
    <row r="675" spans="1:5" ht="12.5">
      <c r="A675" s="76"/>
      <c r="B675" s="5"/>
      <c r="C675" s="16"/>
      <c r="E675" s="5"/>
    </row>
    <row r="676" spans="1:5" ht="12.5">
      <c r="A676" s="76"/>
      <c r="B676" s="5"/>
      <c r="C676" s="16"/>
      <c r="E676" s="5"/>
    </row>
    <row r="677" spans="1:5" ht="12.5">
      <c r="A677" s="76"/>
      <c r="B677" s="5"/>
      <c r="C677" s="16"/>
      <c r="E677" s="5"/>
    </row>
    <row r="678" spans="1:5" ht="12.5">
      <c r="A678" s="76"/>
      <c r="B678" s="5"/>
      <c r="C678" s="16"/>
      <c r="E678" s="5"/>
    </row>
    <row r="679" spans="1:5" ht="12.5">
      <c r="A679" s="76"/>
      <c r="B679" s="5"/>
      <c r="C679" s="16"/>
      <c r="E679" s="5"/>
    </row>
    <row r="680" spans="1:5" ht="12.5">
      <c r="A680" s="76"/>
      <c r="B680" s="5"/>
      <c r="C680" s="16"/>
      <c r="E680" s="5"/>
    </row>
    <row r="681" spans="1:5" ht="12.5">
      <c r="A681" s="76"/>
      <c r="B681" s="5"/>
      <c r="C681" s="16"/>
      <c r="E681" s="5"/>
    </row>
    <row r="682" spans="1:5" ht="12.5">
      <c r="A682" s="76"/>
      <c r="B682" s="5"/>
      <c r="C682" s="16"/>
      <c r="E682" s="5"/>
    </row>
    <row r="683" spans="1:5" ht="12.5">
      <c r="A683" s="76"/>
      <c r="B683" s="5"/>
      <c r="C683" s="16"/>
      <c r="E683" s="5"/>
    </row>
    <row r="684" spans="1:5" ht="12.5">
      <c r="A684" s="76"/>
      <c r="B684" s="5"/>
      <c r="C684" s="16"/>
      <c r="E684" s="5"/>
    </row>
    <row r="685" spans="1:5" ht="12.5">
      <c r="A685" s="76"/>
      <c r="B685" s="5"/>
      <c r="C685" s="16"/>
      <c r="E685" s="5"/>
    </row>
    <row r="686" spans="1:5" ht="12.5">
      <c r="A686" s="76"/>
      <c r="B686" s="5"/>
      <c r="C686" s="16"/>
      <c r="E686" s="5"/>
    </row>
    <row r="687" spans="1:5" ht="12.5">
      <c r="A687" s="76"/>
      <c r="B687" s="5"/>
      <c r="C687" s="16"/>
      <c r="E687" s="5"/>
    </row>
    <row r="688" spans="1:5" ht="12.5">
      <c r="A688" s="76"/>
      <c r="B688" s="5"/>
      <c r="C688" s="16"/>
      <c r="E688" s="5"/>
    </row>
    <row r="689" spans="1:5" ht="12.5">
      <c r="A689" s="76"/>
      <c r="B689" s="5"/>
      <c r="C689" s="16"/>
      <c r="E689" s="5"/>
    </row>
    <row r="690" spans="1:5" ht="12.5">
      <c r="A690" s="76"/>
      <c r="B690" s="5"/>
      <c r="C690" s="16"/>
      <c r="E690" s="5"/>
    </row>
    <row r="691" spans="1:5" ht="12.5">
      <c r="A691" s="76"/>
      <c r="B691" s="5"/>
      <c r="C691" s="16"/>
      <c r="E691" s="5"/>
    </row>
    <row r="692" spans="1:5" ht="12.5">
      <c r="A692" s="76"/>
      <c r="B692" s="5"/>
      <c r="C692" s="16"/>
      <c r="E692" s="5"/>
    </row>
    <row r="693" spans="1:5" ht="12.5">
      <c r="A693" s="76"/>
      <c r="B693" s="5"/>
      <c r="C693" s="16"/>
      <c r="E693" s="5"/>
    </row>
    <row r="694" spans="1:5" ht="12.5">
      <c r="A694" s="76"/>
      <c r="B694" s="5"/>
      <c r="C694" s="16"/>
      <c r="E694" s="5"/>
    </row>
    <row r="695" spans="1:5" ht="12.5">
      <c r="A695" s="76"/>
      <c r="B695" s="5"/>
      <c r="C695" s="16"/>
      <c r="E695" s="5"/>
    </row>
    <row r="696" spans="1:5" ht="12.5">
      <c r="A696" s="76"/>
      <c r="B696" s="5"/>
      <c r="C696" s="16"/>
      <c r="E696" s="5"/>
    </row>
    <row r="697" spans="1:5" ht="12.5">
      <c r="A697" s="76"/>
      <c r="B697" s="5"/>
      <c r="C697" s="16"/>
      <c r="E697" s="5"/>
    </row>
    <row r="698" spans="1:5" ht="12.5">
      <c r="A698" s="76"/>
      <c r="B698" s="5"/>
      <c r="C698" s="16"/>
      <c r="E698" s="5"/>
    </row>
    <row r="699" spans="1:5" ht="12.5">
      <c r="A699" s="76"/>
      <c r="B699" s="5"/>
      <c r="C699" s="16"/>
      <c r="E699" s="5"/>
    </row>
    <row r="700" spans="1:5" ht="12.5">
      <c r="A700" s="76"/>
      <c r="B700" s="5"/>
      <c r="C700" s="16"/>
      <c r="E700" s="5"/>
    </row>
    <row r="701" spans="1:5" ht="12.5">
      <c r="A701" s="76"/>
      <c r="B701" s="5"/>
      <c r="C701" s="16"/>
      <c r="E701" s="5"/>
    </row>
    <row r="702" spans="1:5" ht="12.5">
      <c r="A702" s="76"/>
      <c r="B702" s="5"/>
      <c r="C702" s="16"/>
      <c r="E702" s="5"/>
    </row>
    <row r="703" spans="1:5" ht="12.5">
      <c r="A703" s="76"/>
      <c r="B703" s="5"/>
      <c r="C703" s="16"/>
      <c r="E703" s="5"/>
    </row>
    <row r="704" spans="1:5" ht="12.5">
      <c r="A704" s="76"/>
      <c r="B704" s="5"/>
      <c r="C704" s="16"/>
      <c r="E704" s="5"/>
    </row>
    <row r="705" spans="1:5" ht="12.5">
      <c r="A705" s="76"/>
      <c r="B705" s="5"/>
      <c r="C705" s="16"/>
      <c r="E705" s="5"/>
    </row>
    <row r="706" spans="1:5" ht="12.5">
      <c r="A706" s="76"/>
      <c r="B706" s="5"/>
      <c r="C706" s="16"/>
      <c r="E706" s="5"/>
    </row>
    <row r="707" spans="1:5" ht="12.5">
      <c r="A707" s="76"/>
      <c r="B707" s="5"/>
      <c r="C707" s="16"/>
      <c r="E707" s="5"/>
    </row>
    <row r="708" spans="1:5" ht="12.5">
      <c r="A708" s="76"/>
      <c r="B708" s="5"/>
      <c r="C708" s="16"/>
      <c r="E708" s="5"/>
    </row>
    <row r="709" spans="1:5" ht="12.5">
      <c r="A709" s="76"/>
      <c r="B709" s="5"/>
      <c r="C709" s="16"/>
      <c r="E709" s="5"/>
    </row>
    <row r="710" spans="1:5" ht="12.5">
      <c r="A710" s="76"/>
      <c r="B710" s="5"/>
      <c r="C710" s="16"/>
      <c r="E710" s="5"/>
    </row>
    <row r="711" spans="1:5" ht="12.5">
      <c r="A711" s="76"/>
      <c r="B711" s="5"/>
      <c r="C711" s="16"/>
      <c r="E711" s="5"/>
    </row>
    <row r="712" spans="1:5" ht="12.5">
      <c r="A712" s="76"/>
      <c r="B712" s="5"/>
      <c r="C712" s="16"/>
      <c r="E712" s="5"/>
    </row>
    <row r="713" spans="1:5" ht="12.5">
      <c r="A713" s="76"/>
      <c r="B713" s="5"/>
      <c r="C713" s="16"/>
      <c r="E713" s="5"/>
    </row>
    <row r="714" spans="1:5" ht="12.5">
      <c r="A714" s="76"/>
      <c r="B714" s="5"/>
      <c r="C714" s="16"/>
      <c r="E714" s="5"/>
    </row>
    <row r="715" spans="1:5" ht="12.5">
      <c r="A715" s="76"/>
      <c r="B715" s="5"/>
      <c r="C715" s="16"/>
      <c r="E715" s="5"/>
    </row>
    <row r="716" spans="1:5" ht="12.5">
      <c r="A716" s="76"/>
      <c r="B716" s="5"/>
      <c r="C716" s="16"/>
      <c r="E716" s="5"/>
    </row>
    <row r="717" spans="1:5" ht="12.5">
      <c r="A717" s="76"/>
      <c r="B717" s="5"/>
      <c r="C717" s="16"/>
      <c r="E717" s="5"/>
    </row>
    <row r="718" spans="1:5" ht="12.5">
      <c r="A718" s="76"/>
      <c r="B718" s="5"/>
      <c r="C718" s="16"/>
      <c r="E718" s="5"/>
    </row>
    <row r="719" spans="1:5" ht="12.5">
      <c r="A719" s="76"/>
      <c r="B719" s="5"/>
      <c r="C719" s="16"/>
      <c r="E719" s="5"/>
    </row>
    <row r="720" spans="1:5" ht="12.5">
      <c r="A720" s="76"/>
      <c r="B720" s="5"/>
      <c r="C720" s="16"/>
      <c r="E720" s="5"/>
    </row>
    <row r="721" spans="1:5" ht="12.5">
      <c r="A721" s="76"/>
      <c r="B721" s="5"/>
      <c r="C721" s="16"/>
      <c r="E721" s="5"/>
    </row>
    <row r="722" spans="1:5" ht="12.5">
      <c r="A722" s="76"/>
      <c r="B722" s="5"/>
      <c r="C722" s="16"/>
      <c r="E722" s="5"/>
    </row>
    <row r="723" spans="1:5" ht="12.5">
      <c r="A723" s="76"/>
      <c r="B723" s="5"/>
      <c r="C723" s="16"/>
      <c r="E723" s="5"/>
    </row>
    <row r="724" spans="1:5" ht="12.5">
      <c r="A724" s="76"/>
      <c r="B724" s="5"/>
      <c r="C724" s="16"/>
      <c r="E724" s="5"/>
    </row>
    <row r="725" spans="1:5" ht="12.5">
      <c r="A725" s="76"/>
      <c r="B725" s="5"/>
      <c r="C725" s="16"/>
      <c r="E725" s="5"/>
    </row>
    <row r="726" spans="1:5" ht="12.5">
      <c r="A726" s="76"/>
      <c r="B726" s="5"/>
      <c r="C726" s="16"/>
      <c r="E726" s="5"/>
    </row>
    <row r="727" spans="1:5" ht="12.5">
      <c r="A727" s="76"/>
      <c r="B727" s="5"/>
      <c r="C727" s="16"/>
      <c r="E727" s="5"/>
    </row>
    <row r="728" spans="1:5" ht="12.5">
      <c r="A728" s="76"/>
      <c r="B728" s="5"/>
      <c r="C728" s="16"/>
      <c r="E728" s="5"/>
    </row>
    <row r="729" spans="1:5" ht="12.5">
      <c r="A729" s="76"/>
      <c r="B729" s="5"/>
      <c r="C729" s="16"/>
      <c r="E729" s="5"/>
    </row>
    <row r="730" spans="1:5" ht="12.5">
      <c r="A730" s="76"/>
      <c r="B730" s="5"/>
      <c r="C730" s="16"/>
      <c r="E730" s="5"/>
    </row>
    <row r="731" spans="1:5" ht="12.5">
      <c r="A731" s="76"/>
      <c r="B731" s="5"/>
      <c r="C731" s="16"/>
      <c r="E731" s="5"/>
    </row>
    <row r="732" spans="1:5" ht="12.5">
      <c r="A732" s="76"/>
      <c r="B732" s="5"/>
      <c r="C732" s="16"/>
      <c r="E732" s="5"/>
    </row>
    <row r="733" spans="1:5" ht="12.5">
      <c r="A733" s="76"/>
      <c r="B733" s="5"/>
      <c r="C733" s="16"/>
      <c r="E733" s="5"/>
    </row>
    <row r="734" spans="1:5" ht="12.5">
      <c r="A734" s="76"/>
      <c r="B734" s="5"/>
      <c r="C734" s="16"/>
      <c r="E734" s="5"/>
    </row>
    <row r="735" spans="1:5" ht="12.5">
      <c r="A735" s="76"/>
      <c r="B735" s="5"/>
      <c r="C735" s="16"/>
      <c r="E735" s="5"/>
    </row>
    <row r="736" spans="1:5" ht="12.5">
      <c r="A736" s="76"/>
      <c r="B736" s="5"/>
      <c r="C736" s="16"/>
      <c r="E736" s="5"/>
    </row>
    <row r="737" spans="1:5" ht="12.5">
      <c r="A737" s="76"/>
      <c r="B737" s="5"/>
      <c r="C737" s="16"/>
      <c r="E737" s="5"/>
    </row>
    <row r="738" spans="1:5" ht="12.5">
      <c r="A738" s="76"/>
      <c r="B738" s="5"/>
      <c r="C738" s="16"/>
      <c r="E738" s="5"/>
    </row>
    <row r="739" spans="1:5" ht="12.5">
      <c r="A739" s="76"/>
      <c r="B739" s="5"/>
      <c r="C739" s="16"/>
      <c r="E739" s="5"/>
    </row>
    <row r="740" spans="1:5" ht="12.5">
      <c r="A740" s="76"/>
      <c r="B740" s="5"/>
      <c r="C740" s="16"/>
      <c r="E740" s="5"/>
    </row>
    <row r="741" spans="1:5" ht="12.5">
      <c r="A741" s="76"/>
      <c r="B741" s="5"/>
      <c r="C741" s="16"/>
      <c r="E741" s="5"/>
    </row>
    <row r="742" spans="1:5" ht="12.5">
      <c r="A742" s="76"/>
      <c r="B742" s="5"/>
      <c r="C742" s="16"/>
      <c r="E742" s="5"/>
    </row>
    <row r="743" spans="1:5" ht="12.5">
      <c r="A743" s="76"/>
      <c r="B743" s="5"/>
      <c r="C743" s="16"/>
      <c r="E743" s="5"/>
    </row>
    <row r="744" spans="1:5" ht="12.5">
      <c r="A744" s="76"/>
      <c r="B744" s="5"/>
      <c r="C744" s="16"/>
      <c r="E744" s="5"/>
    </row>
    <row r="745" spans="1:5" ht="12.5">
      <c r="A745" s="76"/>
      <c r="B745" s="5"/>
      <c r="C745" s="16"/>
      <c r="E745" s="5"/>
    </row>
    <row r="746" spans="1:5" ht="12.5">
      <c r="A746" s="76"/>
      <c r="B746" s="5"/>
      <c r="C746" s="16"/>
      <c r="E746" s="5"/>
    </row>
    <row r="747" spans="1:5" ht="12.5">
      <c r="A747" s="76"/>
      <c r="B747" s="5"/>
      <c r="C747" s="16"/>
      <c r="E747" s="5"/>
    </row>
    <row r="748" spans="1:5" ht="12.5">
      <c r="A748" s="76"/>
      <c r="B748" s="5"/>
      <c r="C748" s="16"/>
      <c r="E748" s="5"/>
    </row>
    <row r="749" spans="1:5" ht="12.5">
      <c r="A749" s="76"/>
      <c r="B749" s="5"/>
      <c r="C749" s="16"/>
      <c r="E749" s="5"/>
    </row>
    <row r="750" spans="1:5" ht="12.5">
      <c r="A750" s="76"/>
      <c r="B750" s="5"/>
      <c r="C750" s="16"/>
      <c r="E750" s="5"/>
    </row>
    <row r="751" spans="1:5" ht="12.5">
      <c r="A751" s="76"/>
      <c r="B751" s="5"/>
      <c r="C751" s="16"/>
      <c r="E751" s="5"/>
    </row>
    <row r="752" spans="1:5" ht="12.5">
      <c r="A752" s="76"/>
      <c r="B752" s="5"/>
      <c r="C752" s="16"/>
      <c r="E752" s="5"/>
    </row>
    <row r="753" spans="1:5" ht="12.5">
      <c r="A753" s="76"/>
      <c r="B753" s="5"/>
      <c r="C753" s="16"/>
      <c r="E753" s="5"/>
    </row>
    <row r="754" spans="1:5" ht="12.5">
      <c r="A754" s="76"/>
      <c r="B754" s="5"/>
      <c r="C754" s="16"/>
      <c r="E754" s="5"/>
    </row>
    <row r="755" spans="1:5" ht="12.5">
      <c r="A755" s="76"/>
      <c r="B755" s="5"/>
      <c r="C755" s="16"/>
      <c r="E755" s="5"/>
    </row>
    <row r="756" spans="1:5" ht="12.5">
      <c r="A756" s="76"/>
      <c r="B756" s="5"/>
      <c r="C756" s="16"/>
      <c r="E756" s="5"/>
    </row>
    <row r="757" spans="1:5" ht="12.5">
      <c r="A757" s="76"/>
      <c r="B757" s="5"/>
      <c r="C757" s="16"/>
      <c r="E757" s="5"/>
    </row>
    <row r="758" spans="1:5" ht="12.5">
      <c r="A758" s="76"/>
      <c r="B758" s="5"/>
      <c r="C758" s="16"/>
      <c r="E758" s="5"/>
    </row>
    <row r="759" spans="1:5" ht="12.5">
      <c r="A759" s="76"/>
      <c r="B759" s="5"/>
      <c r="C759" s="16"/>
      <c r="E759" s="5"/>
    </row>
    <row r="760" spans="1:5" ht="12.5">
      <c r="A760" s="76"/>
      <c r="B760" s="5"/>
      <c r="C760" s="16"/>
      <c r="E760" s="5"/>
    </row>
    <row r="761" spans="1:5" ht="12.5">
      <c r="A761" s="76"/>
      <c r="B761" s="5"/>
      <c r="C761" s="16"/>
      <c r="E761" s="5"/>
    </row>
    <row r="762" spans="1:5" ht="12.5">
      <c r="A762" s="76"/>
      <c r="B762" s="5"/>
      <c r="C762" s="16"/>
      <c r="E762" s="5"/>
    </row>
    <row r="763" spans="1:5" ht="12.5">
      <c r="A763" s="76"/>
      <c r="B763" s="5"/>
      <c r="C763" s="16"/>
      <c r="E763" s="5"/>
    </row>
    <row r="764" spans="1:5" ht="12.5">
      <c r="A764" s="76"/>
      <c r="B764" s="5"/>
      <c r="C764" s="16"/>
      <c r="E764" s="5"/>
    </row>
    <row r="765" spans="1:5" ht="12.5">
      <c r="A765" s="76"/>
      <c r="B765" s="5"/>
      <c r="C765" s="16"/>
      <c r="E765" s="5"/>
    </row>
    <row r="766" spans="1:5" ht="12.5">
      <c r="A766" s="76"/>
      <c r="B766" s="5"/>
      <c r="C766" s="16"/>
      <c r="E766" s="5"/>
    </row>
    <row r="767" spans="1:5" ht="12.5">
      <c r="A767" s="76"/>
      <c r="B767" s="5"/>
      <c r="C767" s="16"/>
      <c r="E767" s="5"/>
    </row>
    <row r="768" spans="1:5" ht="12.5">
      <c r="A768" s="76"/>
      <c r="B768" s="5"/>
      <c r="C768" s="16"/>
      <c r="E768" s="5"/>
    </row>
    <row r="769" spans="1:5" ht="12.5">
      <c r="A769" s="76"/>
      <c r="B769" s="5"/>
      <c r="C769" s="16"/>
      <c r="E769" s="5"/>
    </row>
    <row r="770" spans="1:5" ht="12.5">
      <c r="A770" s="76"/>
      <c r="B770" s="5"/>
      <c r="C770" s="16"/>
      <c r="E770" s="5"/>
    </row>
    <row r="771" spans="1:5" ht="12.5">
      <c r="A771" s="76"/>
      <c r="B771" s="5"/>
      <c r="C771" s="16"/>
      <c r="E771" s="5"/>
    </row>
    <row r="772" spans="1:5" ht="12.5">
      <c r="A772" s="76"/>
      <c r="B772" s="5"/>
      <c r="C772" s="16"/>
      <c r="E772" s="5"/>
    </row>
    <row r="773" spans="1:5" ht="12.5">
      <c r="A773" s="76"/>
      <c r="B773" s="5"/>
      <c r="C773" s="16"/>
      <c r="E773" s="5"/>
    </row>
    <row r="774" spans="1:5" ht="12.5">
      <c r="A774" s="76"/>
      <c r="B774" s="5"/>
      <c r="C774" s="16"/>
      <c r="E774" s="5"/>
    </row>
    <row r="775" spans="1:5" ht="12.5">
      <c r="A775" s="76"/>
      <c r="B775" s="5"/>
      <c r="C775" s="16"/>
      <c r="E775" s="5"/>
    </row>
    <row r="776" spans="1:5" ht="12.5">
      <c r="A776" s="76"/>
      <c r="B776" s="5"/>
      <c r="C776" s="16"/>
      <c r="E776" s="5"/>
    </row>
    <row r="777" spans="1:5" ht="12.5">
      <c r="A777" s="76"/>
      <c r="B777" s="5"/>
      <c r="C777" s="16"/>
      <c r="E777" s="5"/>
    </row>
    <row r="778" spans="1:5" ht="12.5">
      <c r="A778" s="76"/>
      <c r="B778" s="5"/>
      <c r="C778" s="16"/>
      <c r="E778" s="5"/>
    </row>
    <row r="779" spans="1:5" ht="12.5">
      <c r="A779" s="76"/>
      <c r="B779" s="5"/>
      <c r="C779" s="16"/>
      <c r="E779" s="5"/>
    </row>
    <row r="780" spans="1:5" ht="12.5">
      <c r="A780" s="76"/>
      <c r="B780" s="5"/>
      <c r="C780" s="16"/>
      <c r="E780" s="5"/>
    </row>
    <row r="781" spans="1:5" ht="12.5">
      <c r="A781" s="76"/>
      <c r="B781" s="5"/>
      <c r="C781" s="16"/>
      <c r="E781" s="5"/>
    </row>
    <row r="782" spans="1:5" ht="12.5">
      <c r="A782" s="76"/>
      <c r="B782" s="5"/>
      <c r="C782" s="16"/>
      <c r="E782" s="5"/>
    </row>
    <row r="783" spans="1:5" ht="12.5">
      <c r="A783" s="76"/>
      <c r="B783" s="5"/>
      <c r="C783" s="16"/>
      <c r="E783" s="5"/>
    </row>
    <row r="784" spans="1:5" ht="12.5">
      <c r="A784" s="76"/>
      <c r="B784" s="5"/>
      <c r="C784" s="16"/>
      <c r="E784" s="5"/>
    </row>
    <row r="785" spans="1:5" ht="12.5">
      <c r="A785" s="76"/>
      <c r="B785" s="5"/>
      <c r="C785" s="16"/>
      <c r="E785" s="5"/>
    </row>
    <row r="786" spans="1:5" ht="12.5">
      <c r="A786" s="76"/>
      <c r="B786" s="5"/>
      <c r="C786" s="16"/>
      <c r="E786" s="5"/>
    </row>
    <row r="787" spans="1:5" ht="12.5">
      <c r="A787" s="76"/>
      <c r="B787" s="5"/>
      <c r="C787" s="16"/>
      <c r="E787" s="5"/>
    </row>
    <row r="788" spans="1:5" ht="12.5">
      <c r="A788" s="76"/>
      <c r="B788" s="5"/>
      <c r="C788" s="16"/>
      <c r="E788" s="5"/>
    </row>
    <row r="789" spans="1:5" ht="12.5">
      <c r="A789" s="76"/>
      <c r="B789" s="5"/>
      <c r="C789" s="16"/>
      <c r="E789" s="5"/>
    </row>
    <row r="790" spans="1:5" ht="12.5">
      <c r="A790" s="76"/>
      <c r="B790" s="5"/>
      <c r="C790" s="16"/>
      <c r="E790" s="5"/>
    </row>
    <row r="791" spans="1:5" ht="12.5">
      <c r="A791" s="76"/>
      <c r="B791" s="5"/>
      <c r="C791" s="16"/>
      <c r="E791" s="5"/>
    </row>
    <row r="792" spans="1:5" ht="12.5">
      <c r="A792" s="76"/>
      <c r="B792" s="5"/>
      <c r="C792" s="16"/>
      <c r="E792" s="5"/>
    </row>
    <row r="793" spans="1:5" ht="12.5">
      <c r="A793" s="76"/>
      <c r="B793" s="5"/>
      <c r="C793" s="16"/>
      <c r="E793" s="5"/>
    </row>
    <row r="794" spans="1:5" ht="12.5">
      <c r="A794" s="76"/>
      <c r="B794" s="5"/>
      <c r="C794" s="16"/>
      <c r="E794" s="5"/>
    </row>
    <row r="795" spans="1:5" ht="12.5">
      <c r="A795" s="76"/>
      <c r="B795" s="5"/>
      <c r="C795" s="16"/>
      <c r="E795" s="5"/>
    </row>
    <row r="796" spans="1:5" ht="12.5">
      <c r="A796" s="76"/>
      <c r="B796" s="5"/>
      <c r="C796" s="16"/>
      <c r="E796" s="5"/>
    </row>
    <row r="797" spans="1:5" ht="12.5">
      <c r="A797" s="76"/>
      <c r="B797" s="5"/>
      <c r="C797" s="16"/>
      <c r="E797" s="5"/>
    </row>
    <row r="798" spans="1:5" ht="12.5">
      <c r="A798" s="76"/>
      <c r="B798" s="5"/>
      <c r="C798" s="16"/>
      <c r="E798" s="5"/>
    </row>
    <row r="799" spans="1:5" ht="12.5">
      <c r="A799" s="76"/>
      <c r="B799" s="5"/>
      <c r="C799" s="16"/>
      <c r="E799" s="5"/>
    </row>
    <row r="800" spans="1:5" ht="12.5">
      <c r="A800" s="76"/>
      <c r="B800" s="5"/>
      <c r="C800" s="16"/>
      <c r="E800" s="5"/>
    </row>
    <row r="801" spans="1:5" ht="12.5">
      <c r="A801" s="76"/>
      <c r="B801" s="5"/>
      <c r="C801" s="16"/>
      <c r="E801" s="5"/>
    </row>
    <row r="802" spans="1:5" ht="12.5">
      <c r="A802" s="76"/>
      <c r="B802" s="5"/>
      <c r="C802" s="16"/>
      <c r="E802" s="5"/>
    </row>
    <row r="803" spans="1:5" ht="12.5">
      <c r="A803" s="76"/>
      <c r="B803" s="5"/>
      <c r="C803" s="16"/>
      <c r="E803" s="5"/>
    </row>
    <row r="804" spans="1:5" ht="12.5">
      <c r="A804" s="76"/>
      <c r="B804" s="5"/>
      <c r="C804" s="16"/>
      <c r="E804" s="5"/>
    </row>
    <row r="805" spans="1:5" ht="12.5">
      <c r="A805" s="76"/>
      <c r="B805" s="5"/>
      <c r="C805" s="16"/>
      <c r="E805" s="5"/>
    </row>
    <row r="806" spans="1:5" ht="12.5">
      <c r="A806" s="76"/>
      <c r="B806" s="5"/>
      <c r="C806" s="16"/>
      <c r="E806" s="5"/>
    </row>
    <row r="807" spans="1:5" ht="12.5">
      <c r="A807" s="76"/>
      <c r="B807" s="5"/>
      <c r="C807" s="16"/>
      <c r="E807" s="5"/>
    </row>
    <row r="808" spans="1:5" ht="12.5">
      <c r="A808" s="76"/>
      <c r="B808" s="5"/>
      <c r="C808" s="16"/>
      <c r="E808" s="5"/>
    </row>
    <row r="809" spans="1:5" ht="12.5">
      <c r="A809" s="76"/>
      <c r="B809" s="5"/>
      <c r="C809" s="16"/>
      <c r="E809" s="5"/>
    </row>
    <row r="810" spans="1:5" ht="12.5">
      <c r="A810" s="76"/>
      <c r="B810" s="5"/>
      <c r="C810" s="16"/>
      <c r="E810" s="5"/>
    </row>
    <row r="811" spans="1:5" ht="12.5">
      <c r="A811" s="76"/>
      <c r="B811" s="5"/>
      <c r="C811" s="16"/>
      <c r="E811" s="5"/>
    </row>
    <row r="812" spans="1:5" ht="12.5">
      <c r="A812" s="76"/>
      <c r="B812" s="5"/>
      <c r="C812" s="16"/>
      <c r="E812" s="5"/>
    </row>
    <row r="813" spans="1:5" ht="12.5">
      <c r="A813" s="76"/>
      <c r="B813" s="5"/>
      <c r="C813" s="16"/>
      <c r="E813" s="5"/>
    </row>
    <row r="814" spans="1:5" ht="12.5">
      <c r="A814" s="76"/>
      <c r="B814" s="5"/>
      <c r="C814" s="16"/>
      <c r="E814" s="5"/>
    </row>
    <row r="815" spans="1:5" ht="12.5">
      <c r="A815" s="76"/>
      <c r="B815" s="5"/>
      <c r="C815" s="16"/>
      <c r="E815" s="5"/>
    </row>
    <row r="816" spans="1:5" ht="12.5">
      <c r="A816" s="76"/>
      <c r="B816" s="5"/>
      <c r="C816" s="16"/>
      <c r="E816" s="5"/>
    </row>
    <row r="817" spans="1:5" ht="12.5">
      <c r="A817" s="76"/>
      <c r="B817" s="5"/>
      <c r="C817" s="16"/>
      <c r="E817" s="5"/>
    </row>
    <row r="818" spans="1:5" ht="12.5">
      <c r="A818" s="76"/>
      <c r="B818" s="5"/>
      <c r="C818" s="16"/>
      <c r="E818" s="5"/>
    </row>
    <row r="819" spans="1:5" ht="12.5">
      <c r="A819" s="76"/>
      <c r="B819" s="5"/>
      <c r="C819" s="16"/>
      <c r="E819" s="5"/>
    </row>
    <row r="820" spans="1:5" ht="12.5">
      <c r="A820" s="76"/>
      <c r="B820" s="5"/>
      <c r="C820" s="16"/>
      <c r="E820" s="5"/>
    </row>
    <row r="821" spans="1:5" ht="12.5">
      <c r="A821" s="76"/>
      <c r="B821" s="5"/>
      <c r="C821" s="16"/>
      <c r="E821" s="5"/>
    </row>
    <row r="822" spans="1:5" ht="12.5">
      <c r="A822" s="76"/>
      <c r="B822" s="5"/>
      <c r="C822" s="16"/>
      <c r="E822" s="5"/>
    </row>
    <row r="823" spans="1:5" ht="12.5">
      <c r="A823" s="76"/>
      <c r="B823" s="5"/>
      <c r="C823" s="16"/>
      <c r="E823" s="5"/>
    </row>
    <row r="824" spans="1:5" ht="12.5">
      <c r="A824" s="76"/>
      <c r="B824" s="5"/>
      <c r="C824" s="16"/>
      <c r="E824" s="5"/>
    </row>
    <row r="825" spans="1:5" ht="12.5">
      <c r="A825" s="76"/>
      <c r="B825" s="5"/>
      <c r="C825" s="16"/>
      <c r="E825" s="5"/>
    </row>
    <row r="826" spans="1:5" ht="12.5">
      <c r="A826" s="76"/>
      <c r="B826" s="5"/>
      <c r="C826" s="16"/>
      <c r="E826" s="5"/>
    </row>
    <row r="827" spans="1:5" ht="12.5">
      <c r="A827" s="76"/>
      <c r="B827" s="5"/>
      <c r="C827" s="16"/>
      <c r="E827" s="5"/>
    </row>
    <row r="828" spans="1:5" ht="12.5">
      <c r="A828" s="76"/>
      <c r="B828" s="5"/>
      <c r="C828" s="16"/>
      <c r="E828" s="5"/>
    </row>
    <row r="829" spans="1:5" ht="12.5">
      <c r="A829" s="76"/>
      <c r="B829" s="5"/>
      <c r="C829" s="16"/>
      <c r="E829" s="5"/>
    </row>
    <row r="830" spans="1:5" ht="12.5">
      <c r="A830" s="76"/>
      <c r="B830" s="5"/>
      <c r="C830" s="16"/>
      <c r="E830" s="5"/>
    </row>
    <row r="831" spans="1:5" ht="12.5">
      <c r="A831" s="76"/>
      <c r="B831" s="5"/>
      <c r="C831" s="16"/>
      <c r="E831" s="5"/>
    </row>
    <row r="832" spans="1:5" ht="12.5">
      <c r="A832" s="76"/>
      <c r="B832" s="5"/>
      <c r="C832" s="16"/>
      <c r="E832" s="5"/>
    </row>
    <row r="833" spans="1:5" ht="12.5">
      <c r="A833" s="76"/>
      <c r="B833" s="5"/>
      <c r="C833" s="16"/>
      <c r="E833" s="5"/>
    </row>
    <row r="834" spans="1:5" ht="12.5">
      <c r="A834" s="76"/>
      <c r="B834" s="5"/>
      <c r="C834" s="16"/>
      <c r="E834" s="5"/>
    </row>
    <row r="835" spans="1:5" ht="12.5">
      <c r="A835" s="76"/>
      <c r="B835" s="5"/>
      <c r="C835" s="16"/>
      <c r="E835" s="5"/>
    </row>
    <row r="836" spans="1:5" ht="12.5">
      <c r="A836" s="76"/>
      <c r="B836" s="5"/>
      <c r="C836" s="16"/>
      <c r="E836" s="5"/>
    </row>
    <row r="837" spans="1:5" ht="12.5">
      <c r="A837" s="76"/>
      <c r="B837" s="5"/>
      <c r="C837" s="16"/>
      <c r="E837" s="5"/>
    </row>
    <row r="838" spans="1:5" ht="12.5">
      <c r="A838" s="76"/>
      <c r="B838" s="5"/>
      <c r="C838" s="16"/>
      <c r="E838" s="5"/>
    </row>
    <row r="839" spans="1:5" ht="12.5">
      <c r="A839" s="76"/>
      <c r="B839" s="5"/>
      <c r="C839" s="16"/>
      <c r="E839" s="5"/>
    </row>
    <row r="840" spans="1:5" ht="12.5">
      <c r="A840" s="76"/>
      <c r="B840" s="5"/>
      <c r="C840" s="16"/>
      <c r="E840" s="5"/>
    </row>
    <row r="841" spans="1:5" ht="12.5">
      <c r="A841" s="76"/>
      <c r="B841" s="5"/>
      <c r="C841" s="16"/>
      <c r="E841" s="5"/>
    </row>
    <row r="842" spans="1:5" ht="12.5">
      <c r="A842" s="76"/>
      <c r="B842" s="5"/>
      <c r="C842" s="16"/>
      <c r="E842" s="5"/>
    </row>
    <row r="843" spans="1:5" ht="12.5">
      <c r="A843" s="76"/>
      <c r="B843" s="5"/>
      <c r="C843" s="16"/>
      <c r="E843" s="5"/>
    </row>
    <row r="844" spans="1:5" ht="12.5">
      <c r="A844" s="76"/>
      <c r="B844" s="5"/>
      <c r="C844" s="16"/>
      <c r="E844" s="5"/>
    </row>
    <row r="845" spans="1:5" ht="12.5">
      <c r="A845" s="76"/>
      <c r="B845" s="5"/>
      <c r="C845" s="16"/>
      <c r="E845" s="5"/>
    </row>
    <row r="846" spans="1:5" ht="12.5">
      <c r="A846" s="76"/>
      <c r="B846" s="5"/>
      <c r="C846" s="16"/>
      <c r="E846" s="5"/>
    </row>
    <row r="847" spans="1:5" ht="12.5">
      <c r="A847" s="76"/>
      <c r="B847" s="5"/>
      <c r="C847" s="16"/>
      <c r="E847" s="5"/>
    </row>
    <row r="848" spans="1:5" ht="12.5">
      <c r="A848" s="76"/>
      <c r="B848" s="5"/>
      <c r="C848" s="16"/>
      <c r="E848" s="5"/>
    </row>
    <row r="849" spans="1:5" ht="12.5">
      <c r="A849" s="76"/>
      <c r="B849" s="5"/>
      <c r="C849" s="16"/>
      <c r="E849" s="5"/>
    </row>
    <row r="850" spans="1:5" ht="12.5">
      <c r="A850" s="76"/>
      <c r="B850" s="5"/>
      <c r="C850" s="16"/>
      <c r="E850" s="5"/>
    </row>
    <row r="851" spans="1:5" ht="12.5">
      <c r="A851" s="76"/>
      <c r="B851" s="5"/>
      <c r="C851" s="16"/>
      <c r="E851" s="5"/>
    </row>
    <row r="852" spans="1:5" ht="12.5">
      <c r="A852" s="76"/>
      <c r="B852" s="5"/>
      <c r="C852" s="16"/>
      <c r="E852" s="5"/>
    </row>
    <row r="853" spans="1:5" ht="12.5">
      <c r="A853" s="76"/>
      <c r="B853" s="5"/>
      <c r="C853" s="16"/>
      <c r="E853" s="5"/>
    </row>
    <row r="854" spans="1:5" ht="12.5">
      <c r="A854" s="76"/>
      <c r="B854" s="5"/>
      <c r="C854" s="16"/>
      <c r="E854" s="5"/>
    </row>
    <row r="855" spans="1:5" ht="12.5">
      <c r="A855" s="76"/>
      <c r="B855" s="5"/>
      <c r="C855" s="16"/>
      <c r="E855" s="5"/>
    </row>
    <row r="856" spans="1:5" ht="12.5">
      <c r="A856" s="76"/>
      <c r="B856" s="5"/>
      <c r="C856" s="16"/>
      <c r="E856" s="5"/>
    </row>
    <row r="857" spans="1:5" ht="12.5">
      <c r="A857" s="76"/>
      <c r="B857" s="5"/>
      <c r="C857" s="16"/>
      <c r="E857" s="5"/>
    </row>
    <row r="858" spans="1:5" ht="12.5">
      <c r="A858" s="76"/>
      <c r="B858" s="5"/>
      <c r="C858" s="16"/>
      <c r="E858" s="5"/>
    </row>
    <row r="859" spans="1:5" ht="12.5">
      <c r="A859" s="76"/>
      <c r="B859" s="5"/>
      <c r="C859" s="16"/>
      <c r="E859" s="5"/>
    </row>
    <row r="860" spans="1:5" ht="12.5">
      <c r="A860" s="76"/>
      <c r="B860" s="5"/>
      <c r="C860" s="16"/>
      <c r="E860" s="5"/>
    </row>
    <row r="861" spans="1:5" ht="12.5">
      <c r="A861" s="76"/>
      <c r="B861" s="5"/>
      <c r="C861" s="16"/>
      <c r="E861" s="5"/>
    </row>
    <row r="862" spans="1:5" ht="12.5">
      <c r="A862" s="76"/>
      <c r="B862" s="5"/>
      <c r="C862" s="16"/>
      <c r="E862" s="5"/>
    </row>
    <row r="863" spans="1:5" ht="12.5">
      <c r="A863" s="76"/>
      <c r="B863" s="5"/>
      <c r="C863" s="16"/>
      <c r="E863" s="5"/>
    </row>
    <row r="864" spans="1:5" ht="12.5">
      <c r="A864" s="76"/>
      <c r="B864" s="5"/>
      <c r="C864" s="16"/>
      <c r="E864" s="5"/>
    </row>
    <row r="865" spans="1:5" ht="12.5">
      <c r="A865" s="76"/>
      <c r="B865" s="5"/>
      <c r="C865" s="16"/>
      <c r="E865" s="5"/>
    </row>
    <row r="866" spans="1:5" ht="12.5">
      <c r="A866" s="76"/>
      <c r="B866" s="5"/>
      <c r="C866" s="16"/>
      <c r="E866" s="5"/>
    </row>
    <row r="867" spans="1:5" ht="12.5">
      <c r="A867" s="76"/>
      <c r="B867" s="5"/>
      <c r="C867" s="16"/>
      <c r="E867" s="5"/>
    </row>
    <row r="868" spans="1:5" ht="12.5">
      <c r="A868" s="76"/>
      <c r="B868" s="5"/>
      <c r="C868" s="16"/>
      <c r="E868" s="5"/>
    </row>
    <row r="869" spans="1:5" ht="12.5">
      <c r="A869" s="76"/>
      <c r="B869" s="5"/>
      <c r="C869" s="16"/>
      <c r="E869" s="5"/>
    </row>
    <row r="870" spans="1:5" ht="12.5">
      <c r="A870" s="76"/>
      <c r="B870" s="5"/>
      <c r="C870" s="16"/>
      <c r="E870" s="5"/>
    </row>
    <row r="871" spans="1:5" ht="12.5">
      <c r="A871" s="76"/>
      <c r="B871" s="5"/>
      <c r="C871" s="16"/>
      <c r="E871" s="5"/>
    </row>
    <row r="872" spans="1:5" ht="12.5">
      <c r="A872" s="76"/>
      <c r="B872" s="5"/>
      <c r="C872" s="16"/>
      <c r="E872" s="5"/>
    </row>
    <row r="873" spans="1:5" ht="12.5">
      <c r="A873" s="76"/>
      <c r="B873" s="5"/>
      <c r="C873" s="16"/>
      <c r="E873" s="5"/>
    </row>
    <row r="874" spans="1:5" ht="12.5">
      <c r="A874" s="76"/>
      <c r="B874" s="5"/>
      <c r="C874" s="16"/>
      <c r="E874" s="5"/>
    </row>
    <row r="875" spans="1:5" ht="12.5">
      <c r="A875" s="76"/>
      <c r="B875" s="5"/>
      <c r="C875" s="16"/>
      <c r="E875" s="5"/>
    </row>
    <row r="876" spans="1:5" ht="12.5">
      <c r="A876" s="76"/>
      <c r="B876" s="5"/>
      <c r="C876" s="16"/>
      <c r="E876" s="5"/>
    </row>
    <row r="877" spans="1:5" ht="12.5">
      <c r="A877" s="76"/>
      <c r="B877" s="5"/>
      <c r="C877" s="16"/>
      <c r="E877" s="5"/>
    </row>
    <row r="878" spans="1:5" ht="12.5">
      <c r="A878" s="76"/>
      <c r="B878" s="5"/>
      <c r="C878" s="16"/>
      <c r="E878" s="5"/>
    </row>
    <row r="879" spans="1:5" ht="12.5">
      <c r="A879" s="76"/>
      <c r="B879" s="5"/>
      <c r="C879" s="16"/>
      <c r="E879" s="5"/>
    </row>
    <row r="880" spans="1:5" ht="12.5">
      <c r="A880" s="76"/>
      <c r="B880" s="5"/>
      <c r="C880" s="16"/>
      <c r="E880" s="5"/>
    </row>
    <row r="881" spans="1:5" ht="12.5">
      <c r="A881" s="76"/>
      <c r="B881" s="5"/>
      <c r="C881" s="16"/>
      <c r="E881" s="5"/>
    </row>
    <row r="882" spans="1:5" ht="12.5">
      <c r="A882" s="76"/>
      <c r="B882" s="5"/>
      <c r="C882" s="16"/>
      <c r="E882" s="5"/>
    </row>
    <row r="883" spans="1:5" ht="12.5">
      <c r="A883" s="76"/>
      <c r="B883" s="5"/>
      <c r="C883" s="16"/>
      <c r="E883" s="5"/>
    </row>
    <row r="884" spans="1:5" ht="12.5">
      <c r="A884" s="76"/>
      <c r="B884" s="5"/>
      <c r="C884" s="16"/>
      <c r="E884" s="5"/>
    </row>
    <row r="885" spans="1:5" ht="12.5">
      <c r="A885" s="76"/>
      <c r="B885" s="5"/>
      <c r="C885" s="16"/>
      <c r="E885" s="5"/>
    </row>
    <row r="886" spans="1:5" ht="12.5">
      <c r="A886" s="76"/>
      <c r="B886" s="5"/>
      <c r="C886" s="16"/>
      <c r="E886" s="5"/>
    </row>
    <row r="887" spans="1:5" ht="12.5">
      <c r="A887" s="76"/>
      <c r="B887" s="5"/>
      <c r="C887" s="16"/>
      <c r="E887" s="5"/>
    </row>
    <row r="888" spans="1:5" ht="12.5">
      <c r="A888" s="76"/>
      <c r="B888" s="5"/>
      <c r="C888" s="16"/>
      <c r="E888" s="5"/>
    </row>
    <row r="889" spans="1:5" ht="12.5">
      <c r="A889" s="76"/>
      <c r="B889" s="5"/>
      <c r="C889" s="16"/>
      <c r="E889" s="5"/>
    </row>
    <row r="890" spans="1:5" ht="12.5">
      <c r="A890" s="76"/>
      <c r="B890" s="5"/>
      <c r="C890" s="16"/>
      <c r="E890" s="5"/>
    </row>
    <row r="891" spans="1:5" ht="12.5">
      <c r="A891" s="76"/>
      <c r="B891" s="5"/>
      <c r="C891" s="16"/>
      <c r="E891" s="5"/>
    </row>
    <row r="892" spans="1:5" ht="12.5">
      <c r="A892" s="76"/>
      <c r="B892" s="5"/>
      <c r="C892" s="16"/>
      <c r="E892" s="5"/>
    </row>
    <row r="893" spans="1:5" ht="12.5">
      <c r="A893" s="76"/>
      <c r="B893" s="5"/>
      <c r="C893" s="16"/>
      <c r="E893" s="5"/>
    </row>
    <row r="894" spans="1:5" ht="12.5">
      <c r="A894" s="76"/>
      <c r="B894" s="5"/>
      <c r="C894" s="16"/>
      <c r="E894" s="5"/>
    </row>
    <row r="895" spans="1:5" ht="12.5">
      <c r="A895" s="76"/>
      <c r="B895" s="5"/>
      <c r="C895" s="16"/>
      <c r="E895" s="5"/>
    </row>
    <row r="896" spans="1:5" ht="12.5">
      <c r="A896" s="76"/>
      <c r="B896" s="5"/>
      <c r="C896" s="16"/>
      <c r="E896" s="5"/>
    </row>
    <row r="897" spans="1:5" ht="12.5">
      <c r="A897" s="76"/>
      <c r="B897" s="5"/>
      <c r="C897" s="16"/>
      <c r="E897" s="5"/>
    </row>
    <row r="898" spans="1:5" ht="12.5">
      <c r="A898" s="76"/>
      <c r="B898" s="5"/>
      <c r="C898" s="16"/>
      <c r="E898" s="5"/>
    </row>
    <row r="899" spans="1:5" ht="12.5">
      <c r="A899" s="76"/>
      <c r="B899" s="5"/>
      <c r="C899" s="16"/>
      <c r="E899" s="5"/>
    </row>
    <row r="900" spans="1:5" ht="12.5">
      <c r="A900" s="76"/>
      <c r="B900" s="5"/>
      <c r="C900" s="16"/>
      <c r="E900" s="5"/>
    </row>
    <row r="901" spans="1:5" ht="12.5">
      <c r="A901" s="76"/>
      <c r="B901" s="5"/>
      <c r="C901" s="16"/>
      <c r="E901" s="5"/>
    </row>
    <row r="902" spans="1:5" ht="12.5">
      <c r="A902" s="76"/>
      <c r="B902" s="5"/>
      <c r="C902" s="16"/>
      <c r="E902" s="5"/>
    </row>
    <row r="903" spans="1:5" ht="12.5">
      <c r="A903" s="76"/>
      <c r="B903" s="5"/>
      <c r="C903" s="16"/>
      <c r="E903" s="5"/>
    </row>
    <row r="904" spans="1:5" ht="12.5">
      <c r="A904" s="76"/>
      <c r="B904" s="5"/>
      <c r="C904" s="16"/>
      <c r="E904" s="5"/>
    </row>
    <row r="905" spans="1:5" ht="12.5">
      <c r="A905" s="76"/>
      <c r="B905" s="5"/>
      <c r="C905" s="16"/>
      <c r="E905" s="5"/>
    </row>
    <row r="906" spans="1:5" ht="12.5">
      <c r="A906" s="76"/>
      <c r="B906" s="5"/>
      <c r="C906" s="16"/>
      <c r="E906" s="5"/>
    </row>
    <row r="907" spans="1:5" ht="12.5">
      <c r="A907" s="76"/>
      <c r="B907" s="5"/>
      <c r="C907" s="16"/>
      <c r="E907" s="5"/>
    </row>
    <row r="908" spans="1:5" ht="12.5">
      <c r="A908" s="76"/>
      <c r="B908" s="5"/>
      <c r="C908" s="16"/>
      <c r="E908" s="5"/>
    </row>
    <row r="909" spans="1:5" ht="12.5">
      <c r="A909" s="76"/>
      <c r="B909" s="5"/>
      <c r="C909" s="16"/>
      <c r="E909" s="5"/>
    </row>
    <row r="910" spans="1:5" ht="12.5">
      <c r="A910" s="76"/>
      <c r="B910" s="5"/>
      <c r="C910" s="16"/>
      <c r="E910" s="5"/>
    </row>
    <row r="911" spans="1:5" ht="12.5">
      <c r="A911" s="76"/>
      <c r="B911" s="5"/>
      <c r="C911" s="16"/>
      <c r="E911" s="5"/>
    </row>
    <row r="912" spans="1:5" ht="12.5">
      <c r="A912" s="76"/>
      <c r="B912" s="5"/>
      <c r="C912" s="16"/>
      <c r="E912" s="5"/>
    </row>
    <row r="913" spans="1:5" ht="12.5">
      <c r="A913" s="76"/>
      <c r="B913" s="5"/>
      <c r="C913" s="16"/>
      <c r="E913" s="5"/>
    </row>
    <row r="914" spans="1:5" ht="12.5">
      <c r="A914" s="76"/>
      <c r="B914" s="5"/>
      <c r="C914" s="16"/>
      <c r="E914" s="5"/>
    </row>
    <row r="915" spans="1:5" ht="12.5">
      <c r="A915" s="76"/>
      <c r="B915" s="5"/>
      <c r="C915" s="16"/>
      <c r="E915" s="5"/>
    </row>
    <row r="916" spans="1:5" ht="12.5">
      <c r="A916" s="76"/>
      <c r="B916" s="5"/>
      <c r="C916" s="16"/>
      <c r="E916" s="5"/>
    </row>
    <row r="917" spans="1:5" ht="12.5">
      <c r="A917" s="76"/>
      <c r="B917" s="5"/>
      <c r="C917" s="16"/>
      <c r="E917" s="5"/>
    </row>
    <row r="918" spans="1:5" ht="12.5">
      <c r="A918" s="76"/>
      <c r="B918" s="5"/>
      <c r="C918" s="16"/>
      <c r="E918" s="5"/>
    </row>
    <row r="919" spans="1:5" ht="12.5">
      <c r="A919" s="76"/>
      <c r="B919" s="5"/>
      <c r="C919" s="16"/>
      <c r="E919" s="5"/>
    </row>
    <row r="920" spans="1:5" ht="12.5">
      <c r="A920" s="76"/>
      <c r="B920" s="5"/>
      <c r="C920" s="16"/>
      <c r="E920" s="5"/>
    </row>
    <row r="921" spans="1:5" ht="12.5">
      <c r="A921" s="76"/>
      <c r="B921" s="5"/>
      <c r="C921" s="16"/>
      <c r="E921" s="5"/>
    </row>
    <row r="922" spans="1:5" ht="12.5">
      <c r="A922" s="76"/>
      <c r="B922" s="5"/>
      <c r="C922" s="16"/>
      <c r="E922" s="5"/>
    </row>
    <row r="923" spans="1:5" ht="12.5">
      <c r="A923" s="76"/>
      <c r="B923" s="5"/>
      <c r="C923" s="16"/>
      <c r="E923" s="5"/>
    </row>
    <row r="924" spans="1:5" ht="12.5">
      <c r="A924" s="76"/>
      <c r="B924" s="5"/>
      <c r="C924" s="16"/>
      <c r="E924" s="5"/>
    </row>
    <row r="925" spans="1:5" ht="12.5">
      <c r="A925" s="76"/>
      <c r="B925" s="5"/>
      <c r="C925" s="16"/>
      <c r="E925" s="5"/>
    </row>
    <row r="926" spans="1:5" ht="12.5">
      <c r="A926" s="76"/>
      <c r="B926" s="5"/>
      <c r="C926" s="16"/>
      <c r="E926" s="5"/>
    </row>
    <row r="927" spans="1:5" ht="12.5">
      <c r="A927" s="76"/>
      <c r="B927" s="5"/>
      <c r="C927" s="16"/>
      <c r="E927" s="5"/>
    </row>
    <row r="928" spans="1:5" ht="12.5">
      <c r="A928" s="76"/>
      <c r="B928" s="5"/>
      <c r="C928" s="16"/>
      <c r="E928" s="5"/>
    </row>
    <row r="929" spans="1:5" ht="12.5">
      <c r="A929" s="76"/>
      <c r="B929" s="5"/>
      <c r="C929" s="16"/>
      <c r="E929" s="5"/>
    </row>
    <row r="930" spans="1:5" ht="12.5">
      <c r="A930" s="76"/>
      <c r="B930" s="5"/>
      <c r="C930" s="16"/>
      <c r="E930" s="5"/>
    </row>
    <row r="931" spans="1:5" ht="12.5">
      <c r="A931" s="76"/>
      <c r="B931" s="5"/>
      <c r="C931" s="16"/>
      <c r="E931" s="5"/>
    </row>
    <row r="932" spans="1:5" ht="12.5">
      <c r="A932" s="76"/>
      <c r="B932" s="5"/>
      <c r="C932" s="16"/>
      <c r="E932" s="5"/>
    </row>
    <row r="933" spans="1:5" ht="12.5">
      <c r="A933" s="76"/>
      <c r="B933" s="5"/>
      <c r="C933" s="16"/>
      <c r="E933" s="5"/>
    </row>
    <row r="934" spans="1:5" ht="12.5">
      <c r="A934" s="76"/>
      <c r="B934" s="5"/>
      <c r="C934" s="16"/>
      <c r="E934" s="5"/>
    </row>
    <row r="935" spans="1:5" ht="12.5">
      <c r="A935" s="76"/>
      <c r="B935" s="5"/>
      <c r="C935" s="16"/>
      <c r="E935" s="5"/>
    </row>
    <row r="936" spans="1:5" ht="12.5">
      <c r="A936" s="76"/>
      <c r="B936" s="5"/>
      <c r="C936" s="16"/>
      <c r="E936" s="5"/>
    </row>
    <row r="937" spans="1:5" ht="12.5">
      <c r="A937" s="76"/>
      <c r="B937" s="5"/>
      <c r="C937" s="16"/>
      <c r="E937" s="5"/>
    </row>
    <row r="938" spans="1:5" ht="12.5">
      <c r="A938" s="76"/>
      <c r="B938" s="5"/>
      <c r="C938" s="16"/>
      <c r="E938" s="5"/>
    </row>
    <row r="939" spans="1:5" ht="12.5">
      <c r="A939" s="76"/>
      <c r="B939" s="5"/>
      <c r="C939" s="16"/>
      <c r="E939" s="5"/>
    </row>
    <row r="940" spans="1:5" ht="12.5">
      <c r="A940" s="76"/>
      <c r="B940" s="5"/>
      <c r="C940" s="16"/>
      <c r="E940" s="5"/>
    </row>
    <row r="941" spans="1:5" ht="12.5">
      <c r="A941" s="76"/>
      <c r="B941" s="5"/>
      <c r="C941" s="16"/>
      <c r="E941" s="5"/>
    </row>
    <row r="942" spans="1:5" ht="12.5">
      <c r="A942" s="76"/>
      <c r="B942" s="5"/>
      <c r="C942" s="16"/>
      <c r="E942" s="5"/>
    </row>
    <row r="943" spans="1:5" ht="12.5">
      <c r="A943" s="76"/>
      <c r="B943" s="5"/>
      <c r="C943" s="16"/>
      <c r="E943" s="5"/>
    </row>
    <row r="944" spans="1:5" ht="12.5">
      <c r="A944" s="76"/>
      <c r="B944" s="5"/>
      <c r="C944" s="16"/>
      <c r="E944" s="5"/>
    </row>
    <row r="945" spans="1:5" ht="12.5">
      <c r="A945" s="76"/>
      <c r="B945" s="5"/>
      <c r="C945" s="16"/>
      <c r="E945" s="5"/>
    </row>
    <row r="946" spans="1:5" ht="12.5">
      <c r="A946" s="76"/>
      <c r="B946" s="5"/>
      <c r="C946" s="16"/>
      <c r="E946" s="5"/>
    </row>
    <row r="947" spans="1:5" ht="12.5">
      <c r="A947" s="76"/>
      <c r="B947" s="5"/>
      <c r="C947" s="16"/>
      <c r="E947" s="5"/>
    </row>
    <row r="948" spans="1:5" ht="12.5">
      <c r="A948" s="76"/>
      <c r="B948" s="5"/>
      <c r="C948" s="16"/>
      <c r="E948" s="5"/>
    </row>
    <row r="949" spans="1:5" ht="12.5">
      <c r="A949" s="76"/>
      <c r="B949" s="5"/>
      <c r="C949" s="16"/>
      <c r="E949" s="5"/>
    </row>
    <row r="950" spans="1:5" ht="12.5">
      <c r="A950" s="76"/>
      <c r="B950" s="5"/>
      <c r="C950" s="16"/>
      <c r="E950" s="5"/>
    </row>
    <row r="951" spans="1:5" ht="12.5">
      <c r="A951" s="76"/>
      <c r="B951" s="5"/>
      <c r="C951" s="16"/>
      <c r="E951" s="5"/>
    </row>
    <row r="952" spans="1:5" ht="12.5">
      <c r="A952" s="76"/>
      <c r="B952" s="5"/>
      <c r="C952" s="16"/>
      <c r="E952" s="5"/>
    </row>
    <row r="953" spans="1:5" ht="12.5">
      <c r="A953" s="76"/>
      <c r="B953" s="5"/>
      <c r="C953" s="16"/>
      <c r="E953" s="5"/>
    </row>
    <row r="954" spans="1:5" ht="12.5">
      <c r="A954" s="76"/>
      <c r="B954" s="5"/>
      <c r="C954" s="16"/>
      <c r="E954" s="5"/>
    </row>
    <row r="955" spans="1:5" ht="12.5">
      <c r="A955" s="76"/>
      <c r="B955" s="5"/>
      <c r="C955" s="16"/>
      <c r="E955" s="5"/>
    </row>
    <row r="956" spans="1:5" ht="12.5">
      <c r="A956" s="76"/>
      <c r="B956" s="5"/>
      <c r="C956" s="16"/>
      <c r="E956" s="5"/>
    </row>
    <row r="957" spans="1:5" ht="12.5">
      <c r="A957" s="76"/>
      <c r="B957" s="5"/>
      <c r="C957" s="16"/>
      <c r="E957" s="5"/>
    </row>
    <row r="958" spans="1:5" ht="12.5">
      <c r="A958" s="76"/>
      <c r="B958" s="5"/>
      <c r="C958" s="16"/>
      <c r="E958" s="5"/>
    </row>
    <row r="959" spans="1:5" ht="12.5">
      <c r="A959" s="76"/>
      <c r="B959" s="5"/>
      <c r="C959" s="16"/>
      <c r="E959" s="5"/>
    </row>
    <row r="960" spans="1:5" ht="12.5">
      <c r="A960" s="76"/>
      <c r="B960" s="5"/>
      <c r="C960" s="16"/>
      <c r="E960" s="5"/>
    </row>
    <row r="961" spans="1:5" ht="12.5">
      <c r="A961" s="76"/>
      <c r="B961" s="5"/>
      <c r="C961" s="16"/>
      <c r="E961" s="5"/>
    </row>
    <row r="962" spans="1:5" ht="12.5">
      <c r="A962" s="76"/>
      <c r="B962" s="5"/>
      <c r="C962" s="16"/>
      <c r="E962" s="5"/>
    </row>
    <row r="963" spans="1:5" ht="12.5">
      <c r="A963" s="76"/>
      <c r="B963" s="5"/>
      <c r="C963" s="16"/>
      <c r="E963" s="5"/>
    </row>
    <row r="964" spans="1:5" ht="12.5">
      <c r="A964" s="76"/>
      <c r="B964" s="5"/>
      <c r="C964" s="16"/>
      <c r="E964" s="5"/>
    </row>
    <row r="965" spans="1:5" ht="12.5">
      <c r="A965" s="76"/>
      <c r="B965" s="5"/>
      <c r="C965" s="16"/>
      <c r="E965" s="5"/>
    </row>
    <row r="966" spans="1:5" ht="12.5">
      <c r="A966" s="76"/>
      <c r="B966" s="5"/>
      <c r="C966" s="16"/>
      <c r="E966" s="5"/>
    </row>
    <row r="967" spans="1:5" ht="12.5">
      <c r="A967" s="76"/>
      <c r="B967" s="5"/>
      <c r="C967" s="16"/>
      <c r="E967" s="5"/>
    </row>
    <row r="968" spans="1:5" ht="12.5">
      <c r="A968" s="76"/>
      <c r="B968" s="5"/>
      <c r="C968" s="16"/>
      <c r="E968" s="5"/>
    </row>
    <row r="969" spans="1:5" ht="12.5">
      <c r="A969" s="76"/>
      <c r="B969" s="5"/>
      <c r="C969" s="16"/>
      <c r="E969" s="5"/>
    </row>
    <row r="970" spans="1:5" ht="12.5">
      <c r="A970" s="76"/>
      <c r="B970" s="5"/>
      <c r="C970" s="16"/>
      <c r="E970" s="5"/>
    </row>
    <row r="971" spans="1:5" ht="12.5">
      <c r="A971" s="76"/>
      <c r="B971" s="5"/>
      <c r="C971" s="16"/>
      <c r="E971" s="5"/>
    </row>
    <row r="972" spans="1:5" ht="12.5">
      <c r="A972" s="76"/>
      <c r="B972" s="5"/>
      <c r="C972" s="16"/>
      <c r="E972" s="5"/>
    </row>
    <row r="973" spans="1:5" ht="12.5">
      <c r="A973" s="76"/>
      <c r="B973" s="5"/>
      <c r="C973" s="16"/>
      <c r="E973" s="5"/>
    </row>
    <row r="974" spans="1:5" ht="12.5">
      <c r="A974" s="76"/>
      <c r="B974" s="5"/>
      <c r="C974" s="16"/>
      <c r="E974" s="5"/>
    </row>
    <row r="975" spans="1:5" ht="12.5">
      <c r="A975" s="76"/>
      <c r="B975" s="5"/>
      <c r="C975" s="16"/>
      <c r="E975" s="5"/>
    </row>
    <row r="976" spans="1:5" ht="12.5">
      <c r="A976" s="76"/>
      <c r="B976" s="5"/>
      <c r="C976" s="16"/>
      <c r="E976" s="5"/>
    </row>
    <row r="977" spans="1:5" ht="12.5">
      <c r="A977" s="76"/>
      <c r="B977" s="5"/>
      <c r="C977" s="16"/>
      <c r="E977" s="5"/>
    </row>
    <row r="978" spans="1:5" ht="12.5">
      <c r="A978" s="76"/>
      <c r="B978" s="5"/>
      <c r="C978" s="16"/>
      <c r="E978" s="5"/>
    </row>
    <row r="979" spans="1:5" ht="12.5">
      <c r="A979" s="76"/>
      <c r="B979" s="5"/>
      <c r="C979" s="16"/>
      <c r="E979" s="5"/>
    </row>
    <row r="980" spans="1:5" ht="12.5">
      <c r="A980" s="76"/>
      <c r="B980" s="5"/>
      <c r="C980" s="16"/>
      <c r="E980" s="5"/>
    </row>
    <row r="981" spans="1:5" ht="12.5">
      <c r="A981" s="76"/>
      <c r="B981" s="5"/>
      <c r="C981" s="16"/>
      <c r="E981" s="5"/>
    </row>
    <row r="982" spans="1:5" ht="12.5">
      <c r="A982" s="76"/>
      <c r="B982" s="5"/>
      <c r="C982" s="16"/>
      <c r="E982" s="5"/>
    </row>
    <row r="983" spans="1:5" ht="12.5">
      <c r="A983" s="76"/>
      <c r="B983" s="5"/>
      <c r="C983" s="16"/>
      <c r="E983" s="5"/>
    </row>
    <row r="984" spans="1:5" ht="12.5">
      <c r="A984" s="76"/>
      <c r="B984" s="5"/>
      <c r="C984" s="16"/>
      <c r="E984" s="5"/>
    </row>
    <row r="985" spans="1:5" ht="12.5">
      <c r="A985" s="76"/>
      <c r="B985" s="5"/>
      <c r="C985" s="16"/>
      <c r="E985" s="5"/>
    </row>
    <row r="986" spans="1:5" ht="12.5">
      <c r="A986" s="76"/>
      <c r="B986" s="5"/>
      <c r="C986" s="16"/>
      <c r="E986" s="5"/>
    </row>
    <row r="987" spans="1:5" ht="12.5">
      <c r="A987" s="76"/>
      <c r="B987" s="5"/>
      <c r="C987" s="16"/>
      <c r="E987" s="5"/>
    </row>
    <row r="988" spans="1:5" ht="12.5">
      <c r="A988" s="76"/>
      <c r="B988" s="5"/>
      <c r="C988" s="16"/>
      <c r="E988" s="5"/>
    </row>
    <row r="989" spans="1:5" ht="12.5">
      <c r="A989" s="76"/>
      <c r="B989" s="5"/>
      <c r="C989" s="16"/>
      <c r="E989" s="5"/>
    </row>
    <row r="990" spans="1:5" ht="12.5">
      <c r="A990" s="76"/>
      <c r="B990" s="5"/>
      <c r="C990" s="16"/>
      <c r="E990" s="5"/>
    </row>
    <row r="991" spans="1:5" ht="12.5">
      <c r="A991" s="76"/>
      <c r="B991" s="5"/>
      <c r="C991" s="16"/>
      <c r="E991" s="5"/>
    </row>
    <row r="992" spans="1:5" ht="12.5">
      <c r="A992" s="76"/>
      <c r="B992" s="5"/>
      <c r="C992" s="16"/>
      <c r="E992" s="5"/>
    </row>
    <row r="993" spans="1:5" ht="12.5">
      <c r="A993" s="76"/>
      <c r="B993" s="5"/>
      <c r="C993" s="16"/>
      <c r="E993" s="5"/>
    </row>
    <row r="994" spans="1:5" ht="12.5">
      <c r="A994" s="76"/>
      <c r="B994" s="5"/>
      <c r="C994" s="16"/>
      <c r="E994" s="5"/>
    </row>
    <row r="995" spans="1:5" ht="12.5">
      <c r="A995" s="76"/>
      <c r="B995" s="5"/>
      <c r="C995" s="16"/>
      <c r="E995" s="5"/>
    </row>
    <row r="996" spans="1:5" ht="12.5">
      <c r="A996" s="76"/>
      <c r="B996" s="5"/>
      <c r="C996" s="16"/>
      <c r="E996" s="5"/>
    </row>
    <row r="997" spans="1:5" ht="12.5">
      <c r="A997" s="76"/>
      <c r="B997" s="5"/>
      <c r="C997" s="16"/>
      <c r="E997" s="5"/>
    </row>
    <row r="998" spans="1:5" ht="12.5">
      <c r="A998" s="76"/>
      <c r="B998" s="5"/>
      <c r="C998" s="16"/>
      <c r="E998" s="5"/>
    </row>
    <row r="999" spans="1:5" ht="12.5">
      <c r="A999" s="76"/>
      <c r="B999" s="5"/>
      <c r="C999" s="16"/>
      <c r="E999" s="5"/>
    </row>
    <row r="1000" spans="1:5" ht="12.5">
      <c r="A1000" s="76"/>
      <c r="B1000" s="5"/>
      <c r="C1000" s="16"/>
      <c r="E1000" s="5"/>
    </row>
  </sheetData>
  <conditionalFormatting sqref="A2:J1000">
    <cfRule type="expression" dxfId="1" priority="1">
      <formula>$E2="Pessoa 2"</formula>
    </cfRule>
    <cfRule type="expression" dxfId="0" priority="2">
      <formula>$E2="Pessoa 1"</formula>
    </cfRule>
  </conditionalFormatting>
  <dataValidations count="3">
    <dataValidation type="list" allowBlank="1" showErrorMessage="1" sqref="E2:E1000" xr:uid="{00000000-0002-0000-0E00-000000000000}">
      <formula1>"Pessoa 1,Pessoa 2"</formula1>
    </dataValidation>
    <dataValidation type="list" allowBlank="1" showErrorMessage="1" sqref="B2:B1000" xr:uid="{00000000-0002-0000-0E00-000001000000}">
      <formula1>"Aluguel_Cond,Home Supplies,Energia_Gás_Água_Esgoto,Internet_Telefonia,Comida_Alimentação,Manutenção_Casa,Móveis_Aparelhos_Decoração,Transporte Geral &amp; Coletivo,Transporte Uber &amp; Apps,Saúde,Academia &amp; Fitness,Educação,Roupa_Acessorios,Entretenimento_&amp;_Rest"&amp;"aurantes,Viagem/Vacation,Work-related,Imposto (IPVA-IPTU-etc),Outros,Investimento (aporte),Gasto Pessoal"</formula1>
    </dataValidation>
    <dataValidation type="custom" allowBlank="1" showDropDown="1" showErrorMessage="1" sqref="A2:A1000" xr:uid="{00000000-0002-0000-0E00-000002000000}">
      <formula1>OR(NOT(ISERROR(DATEVALUE(A2))), AND(ISNUMBER(A2), LEFT(CELL("format", A2))="D"))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D966"/>
    <outlinePr summaryBelow="0" summaryRight="0"/>
  </sheetPr>
  <dimension ref="A1:M3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2.6328125" defaultRowHeight="15.75" customHeight="1"/>
  <cols>
    <col min="1" max="1" width="17.36328125" customWidth="1"/>
  </cols>
  <sheetData>
    <row r="1" spans="1:13">
      <c r="B1" s="12" t="s">
        <v>3</v>
      </c>
      <c r="C1" s="12" t="s">
        <v>5</v>
      </c>
      <c r="D1" s="12" t="s">
        <v>7</v>
      </c>
      <c r="E1" s="12" t="s">
        <v>9</v>
      </c>
      <c r="F1" s="12" t="s">
        <v>11</v>
      </c>
      <c r="G1" s="12" t="s">
        <v>13</v>
      </c>
      <c r="H1" s="12" t="s">
        <v>14</v>
      </c>
      <c r="I1" s="12" t="s">
        <v>16</v>
      </c>
      <c r="J1" s="12" t="s">
        <v>18</v>
      </c>
      <c r="K1" s="12" t="s">
        <v>19</v>
      </c>
      <c r="L1" s="12" t="s">
        <v>20</v>
      </c>
      <c r="M1" s="12" t="s">
        <v>21</v>
      </c>
    </row>
    <row r="2" spans="1:13">
      <c r="A2" s="22" t="s">
        <v>53</v>
      </c>
      <c r="B2" s="23">
        <f t="shared" ref="B2:M2" si="0">SUM(B3:B16)</f>
        <v>2858.3321951219514</v>
      </c>
      <c r="C2" s="23">
        <f t="shared" si="0"/>
        <v>2906.482195121951</v>
      </c>
      <c r="D2" s="23">
        <f t="shared" si="0"/>
        <v>3131.982195121951</v>
      </c>
      <c r="E2" s="23">
        <f t="shared" si="0"/>
        <v>4149.2065040650405</v>
      </c>
      <c r="F2" s="23">
        <f t="shared" si="0"/>
        <v>4001.0125203252032</v>
      </c>
      <c r="G2" s="23">
        <f t="shared" si="0"/>
        <v>5575</v>
      </c>
      <c r="H2" s="23">
        <f t="shared" si="0"/>
        <v>3725.0325203252032</v>
      </c>
      <c r="I2" s="23">
        <f t="shared" si="0"/>
        <v>2117.52</v>
      </c>
      <c r="J2" s="23">
        <f t="shared" si="0"/>
        <v>3618.4330894308941</v>
      </c>
      <c r="K2" s="23">
        <f t="shared" si="0"/>
        <v>3265.9430894308944</v>
      </c>
      <c r="L2" s="23">
        <f t="shared" si="0"/>
        <v>3265.9430894308944</v>
      </c>
      <c r="M2" s="23">
        <f t="shared" si="0"/>
        <v>3265.9430894308944</v>
      </c>
    </row>
    <row r="3" spans="1:13">
      <c r="A3" s="24" t="s">
        <v>54</v>
      </c>
      <c r="B3" s="25">
        <v>2545.5121951219512</v>
      </c>
      <c r="C3" s="25">
        <v>2545.5121951219512</v>
      </c>
      <c r="D3" s="25">
        <v>2545.5121951219512</v>
      </c>
      <c r="E3" s="25">
        <v>3857.4065040650403</v>
      </c>
      <c r="F3" s="25">
        <v>3475.0325203252032</v>
      </c>
      <c r="G3" s="25">
        <v>5325</v>
      </c>
      <c r="H3" s="25">
        <v>3475.0325203252032</v>
      </c>
      <c r="I3" s="25">
        <v>1750</v>
      </c>
      <c r="J3" s="25">
        <v>3265.9430894308944</v>
      </c>
      <c r="K3" s="25">
        <v>3265.9430894308944</v>
      </c>
      <c r="L3" s="25">
        <v>3265.9430894308944</v>
      </c>
      <c r="M3" s="25">
        <v>3265.9430894308944</v>
      </c>
    </row>
    <row r="4" spans="1:13">
      <c r="A4" s="24"/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</row>
    <row r="5" spans="1:13">
      <c r="A5" s="24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</row>
    <row r="6" spans="1:13">
      <c r="A6" s="27"/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</row>
    <row r="7" spans="1:13">
      <c r="A7" s="24"/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</row>
    <row r="8" spans="1:13">
      <c r="A8" s="24"/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</row>
    <row r="9" spans="1:13">
      <c r="A9" s="24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</row>
    <row r="10" spans="1:13">
      <c r="A10" s="24"/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</row>
    <row r="11" spans="1:13">
      <c r="A11" s="24" t="s">
        <v>55</v>
      </c>
      <c r="B11" s="26"/>
      <c r="C11" s="26"/>
      <c r="D11" s="26"/>
      <c r="E11" s="26"/>
      <c r="F11" s="26"/>
      <c r="G11" s="26"/>
      <c r="H11" s="26"/>
      <c r="I11" s="26">
        <v>117.52</v>
      </c>
      <c r="J11" s="26"/>
      <c r="K11" s="26"/>
      <c r="L11" s="26"/>
      <c r="M11" s="26"/>
    </row>
    <row r="12" spans="1:13">
      <c r="A12" s="24" t="s">
        <v>55</v>
      </c>
      <c r="B12" s="26"/>
      <c r="C12" s="26"/>
      <c r="D12" s="26"/>
      <c r="E12" s="26"/>
      <c r="F12" s="26"/>
      <c r="G12" s="26">
        <v>250</v>
      </c>
      <c r="H12" s="26">
        <v>250</v>
      </c>
      <c r="I12" s="26">
        <v>250</v>
      </c>
      <c r="J12" s="26"/>
      <c r="K12" s="26"/>
      <c r="L12" s="26"/>
      <c r="M12" s="26"/>
    </row>
    <row r="13" spans="1:13">
      <c r="A13" s="24" t="s">
        <v>55</v>
      </c>
      <c r="B13" s="26"/>
      <c r="C13" s="26"/>
      <c r="D13" s="26">
        <v>145</v>
      </c>
      <c r="E13" s="26"/>
      <c r="F13" s="26"/>
      <c r="G13" s="26"/>
      <c r="H13" s="26"/>
      <c r="I13" s="26"/>
      <c r="J13" s="26"/>
      <c r="K13" s="26"/>
      <c r="L13" s="26"/>
      <c r="M13" s="26"/>
    </row>
    <row r="14" spans="1:13">
      <c r="A14" s="24" t="s">
        <v>55</v>
      </c>
      <c r="B14" s="26">
        <v>287.82</v>
      </c>
      <c r="C14" s="26">
        <v>260.97000000000003</v>
      </c>
      <c r="D14" s="26">
        <v>261.47000000000003</v>
      </c>
      <c r="E14" s="26">
        <v>242.8</v>
      </c>
      <c r="F14" s="26">
        <v>273.48</v>
      </c>
      <c r="G14" s="26">
        <v>0</v>
      </c>
      <c r="H14" s="26">
        <v>0</v>
      </c>
      <c r="I14" s="26">
        <v>0</v>
      </c>
      <c r="J14" s="26">
        <v>352.49</v>
      </c>
      <c r="K14" s="26"/>
      <c r="L14" s="26"/>
      <c r="M14" s="26"/>
    </row>
    <row r="15" spans="1:13">
      <c r="A15" s="24" t="s">
        <v>55</v>
      </c>
      <c r="B15" s="26">
        <f>25</f>
        <v>25</v>
      </c>
      <c r="C15" s="26"/>
      <c r="D15" s="26">
        <v>145</v>
      </c>
      <c r="E15" s="26">
        <f>35+14</f>
        <v>49</v>
      </c>
      <c r="F15" s="26">
        <f>25+32.5+41+154</f>
        <v>252.5</v>
      </c>
      <c r="G15" s="26"/>
      <c r="H15" s="26"/>
      <c r="I15" s="26"/>
      <c r="J15" s="26"/>
      <c r="K15" s="26"/>
      <c r="L15" s="26"/>
      <c r="M15" s="26"/>
    </row>
    <row r="16" spans="1:13">
      <c r="A16" s="24" t="s">
        <v>55</v>
      </c>
      <c r="B16" s="26"/>
      <c r="C16" s="26">
        <f>36+(16*4)</f>
        <v>100</v>
      </c>
      <c r="D16" s="26">
        <v>35</v>
      </c>
      <c r="E16" s="26"/>
      <c r="F16" s="26"/>
      <c r="G16" s="26"/>
      <c r="H16" s="26"/>
      <c r="I16" s="26"/>
      <c r="J16" s="26"/>
      <c r="K16" s="26"/>
      <c r="L16" s="26"/>
      <c r="M16" s="26"/>
    </row>
    <row r="17" spans="1:13">
      <c r="A17" s="29" t="s">
        <v>56</v>
      </c>
      <c r="B17" s="23">
        <f t="shared" ref="B17:M17" si="1">SUM(B18:B33)</f>
        <v>3625.98</v>
      </c>
      <c r="C17" s="23">
        <f t="shared" si="1"/>
        <v>3685.98</v>
      </c>
      <c r="D17" s="23">
        <f t="shared" si="1"/>
        <v>3685.98</v>
      </c>
      <c r="E17" s="23">
        <f t="shared" si="1"/>
        <v>5299.61</v>
      </c>
      <c r="F17" s="23">
        <f t="shared" si="1"/>
        <v>761</v>
      </c>
      <c r="G17" s="23">
        <f t="shared" si="1"/>
        <v>1972.69</v>
      </c>
      <c r="H17" s="23">
        <f t="shared" si="1"/>
        <v>7236.6400000000012</v>
      </c>
      <c r="I17" s="23">
        <f t="shared" si="1"/>
        <v>5672.29</v>
      </c>
      <c r="J17" s="23">
        <f t="shared" si="1"/>
        <v>5372.31</v>
      </c>
      <c r="K17" s="23">
        <f t="shared" si="1"/>
        <v>5201.1100000000006</v>
      </c>
      <c r="L17" s="23">
        <f t="shared" si="1"/>
        <v>5201.1100000000006</v>
      </c>
      <c r="M17" s="23">
        <f t="shared" si="1"/>
        <v>5201.1100000000006</v>
      </c>
    </row>
    <row r="18" spans="1:13">
      <c r="A18" s="30" t="s">
        <v>57</v>
      </c>
      <c r="B18" s="25">
        <v>3130.98</v>
      </c>
      <c r="C18" s="25">
        <v>3130.98</v>
      </c>
      <c r="D18" s="25">
        <v>3130.98</v>
      </c>
      <c r="E18" s="25">
        <f>4744.61</f>
        <v>4744.6099999999997</v>
      </c>
      <c r="F18" s="25">
        <v>0</v>
      </c>
      <c r="G18" s="25">
        <v>1005.69</v>
      </c>
      <c r="H18" s="25">
        <v>4017.11</v>
      </c>
      <c r="I18" s="25">
        <v>4274.29</v>
      </c>
      <c r="J18" s="25">
        <v>4017.11</v>
      </c>
      <c r="K18" s="25">
        <v>4017.11</v>
      </c>
      <c r="L18" s="25">
        <v>4017.11</v>
      </c>
      <c r="M18" s="25">
        <v>4017.11</v>
      </c>
    </row>
    <row r="19" spans="1:13">
      <c r="A19" s="30" t="s">
        <v>58</v>
      </c>
      <c r="B19" s="25">
        <v>120</v>
      </c>
      <c r="C19" s="25">
        <v>180</v>
      </c>
      <c r="D19" s="25">
        <v>180</v>
      </c>
      <c r="E19" s="25">
        <v>180</v>
      </c>
      <c r="F19" s="25">
        <v>180</v>
      </c>
      <c r="G19" s="25">
        <v>180</v>
      </c>
      <c r="H19" s="25">
        <v>180</v>
      </c>
      <c r="I19" s="25"/>
      <c r="J19" s="25"/>
      <c r="K19" s="25"/>
      <c r="L19" s="25"/>
      <c r="M19" s="25"/>
    </row>
    <row r="20" spans="1:13">
      <c r="A20" s="30" t="s">
        <v>59</v>
      </c>
      <c r="B20" s="25"/>
      <c r="C20" s="25"/>
      <c r="D20" s="25"/>
      <c r="E20" s="25"/>
      <c r="F20" s="25"/>
      <c r="G20" s="25"/>
      <c r="H20" s="25">
        <v>693</v>
      </c>
      <c r="I20" s="25">
        <v>759</v>
      </c>
      <c r="J20" s="25">
        <v>759</v>
      </c>
      <c r="K20" s="25">
        <v>759</v>
      </c>
      <c r="L20" s="25">
        <v>759</v>
      </c>
      <c r="M20" s="25">
        <v>759</v>
      </c>
    </row>
    <row r="21" spans="1:13">
      <c r="A21" s="30" t="s">
        <v>60</v>
      </c>
      <c r="B21" s="25"/>
      <c r="C21" s="25"/>
      <c r="D21" s="25"/>
      <c r="E21" s="25"/>
      <c r="F21" s="25"/>
      <c r="G21" s="25"/>
      <c r="H21" s="25">
        <v>149.80000000000001</v>
      </c>
      <c r="I21" s="25">
        <v>214</v>
      </c>
      <c r="J21" s="25">
        <v>171.2</v>
      </c>
      <c r="K21" s="25"/>
      <c r="L21" s="25"/>
      <c r="M21" s="25"/>
    </row>
    <row r="22" spans="1:13">
      <c r="A22" s="30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</row>
    <row r="23" spans="1:13">
      <c r="A23" s="30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</row>
    <row r="24" spans="1:13">
      <c r="A24" s="30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</row>
    <row r="25" spans="1:13">
      <c r="A25" s="30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</row>
    <row r="26" spans="1:13">
      <c r="A26" s="30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</row>
    <row r="27" spans="1:13">
      <c r="A27" s="30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</row>
    <row r="28" spans="1:13">
      <c r="A28" s="30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</row>
    <row r="29" spans="1:13">
      <c r="A29" s="30" t="s">
        <v>55</v>
      </c>
      <c r="B29" s="25"/>
      <c r="C29" s="25"/>
      <c r="D29" s="25"/>
      <c r="E29" s="25"/>
      <c r="F29" s="25"/>
      <c r="G29" s="25"/>
      <c r="H29" s="25">
        <v>329.73</v>
      </c>
      <c r="I29" s="25"/>
      <c r="J29" s="25"/>
      <c r="K29" s="25"/>
      <c r="L29" s="25"/>
      <c r="M29" s="25"/>
    </row>
    <row r="30" spans="1:13">
      <c r="A30" s="30" t="s">
        <v>55</v>
      </c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</row>
    <row r="31" spans="1:13">
      <c r="A31" s="30" t="s">
        <v>55</v>
      </c>
      <c r="B31" s="25"/>
      <c r="C31" s="25"/>
      <c r="D31" s="25"/>
      <c r="E31" s="25"/>
      <c r="F31" s="25"/>
      <c r="G31" s="25"/>
      <c r="H31" s="25">
        <v>50</v>
      </c>
      <c r="I31" s="25">
        <v>50</v>
      </c>
      <c r="J31" s="25">
        <v>50</v>
      </c>
      <c r="K31" s="25">
        <v>50</v>
      </c>
      <c r="L31" s="25">
        <v>50</v>
      </c>
      <c r="M31" s="25">
        <v>50</v>
      </c>
    </row>
    <row r="32" spans="1:13">
      <c r="A32" s="30" t="s">
        <v>55</v>
      </c>
      <c r="B32" s="25">
        <v>375</v>
      </c>
      <c r="C32" s="25">
        <v>375</v>
      </c>
      <c r="D32" s="25">
        <v>375</v>
      </c>
      <c r="E32" s="25">
        <v>375</v>
      </c>
      <c r="F32" s="25">
        <v>375</v>
      </c>
      <c r="G32" s="25">
        <v>375</v>
      </c>
      <c r="H32" s="25">
        <v>375</v>
      </c>
      <c r="I32" s="25">
        <v>375</v>
      </c>
      <c r="J32" s="25">
        <v>375</v>
      </c>
      <c r="K32" s="25">
        <v>375</v>
      </c>
      <c r="L32" s="25">
        <v>375</v>
      </c>
      <c r="M32" s="25">
        <v>375</v>
      </c>
    </row>
    <row r="33" spans="1:13">
      <c r="A33" s="30" t="s">
        <v>55</v>
      </c>
      <c r="B33" s="25"/>
      <c r="C33" s="25"/>
      <c r="D33" s="25"/>
      <c r="E33" s="25"/>
      <c r="F33" s="25">
        <v>206</v>
      </c>
      <c r="G33" s="25">
        <v>412</v>
      </c>
      <c r="H33" s="25">
        <v>1442</v>
      </c>
      <c r="I33" s="25"/>
      <c r="J33" s="25"/>
      <c r="K33" s="25"/>
      <c r="L33" s="25"/>
      <c r="M33" s="25"/>
    </row>
    <row r="34" spans="1:13">
      <c r="A34" s="12"/>
    </row>
    <row r="35" spans="1:13">
      <c r="A35" s="12"/>
    </row>
    <row r="36" spans="1:13">
      <c r="A36" s="1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6B26B"/>
    <outlinePr summaryBelow="0" summaryRight="0"/>
  </sheetPr>
  <dimension ref="A1:U98"/>
  <sheetViews>
    <sheetView workbookViewId="0">
      <pane ySplit="7" topLeftCell="A8" activePane="bottomLeft" state="frozen"/>
      <selection pane="bottomLeft" activeCell="D54" sqref="D54"/>
    </sheetView>
  </sheetViews>
  <sheetFormatPr defaultColWidth="12.6328125" defaultRowHeight="15.75" customHeight="1"/>
  <cols>
    <col min="1" max="1" width="31.90625" customWidth="1"/>
    <col min="15" max="15" width="25.6328125" customWidth="1"/>
    <col min="16" max="17" width="10.26953125" customWidth="1"/>
    <col min="18" max="18" width="11.08984375" customWidth="1"/>
  </cols>
  <sheetData>
    <row r="1" spans="1:21">
      <c r="A1" s="31" t="s">
        <v>61</v>
      </c>
      <c r="B1" s="31" t="s">
        <v>3</v>
      </c>
      <c r="C1" s="31" t="s">
        <v>5</v>
      </c>
      <c r="D1" s="31" t="s">
        <v>7</v>
      </c>
      <c r="E1" s="31" t="s">
        <v>9</v>
      </c>
      <c r="F1" s="31" t="s">
        <v>11</v>
      </c>
      <c r="G1" s="31" t="s">
        <v>13</v>
      </c>
      <c r="H1" s="31" t="s">
        <v>14</v>
      </c>
      <c r="I1" s="31" t="s">
        <v>16</v>
      </c>
      <c r="J1" s="31" t="s">
        <v>18</v>
      </c>
      <c r="K1" s="31" t="s">
        <v>19</v>
      </c>
      <c r="L1" s="31" t="s">
        <v>20</v>
      </c>
      <c r="M1" s="31" t="s">
        <v>21</v>
      </c>
      <c r="N1" s="32" t="s">
        <v>62</v>
      </c>
      <c r="O1" s="33" t="s">
        <v>63</v>
      </c>
      <c r="P1" s="34" t="s">
        <v>64</v>
      </c>
      <c r="Q1" s="35" t="s">
        <v>65</v>
      </c>
      <c r="R1" s="36" t="s">
        <v>66</v>
      </c>
    </row>
    <row r="2" spans="1:21">
      <c r="A2" s="37" t="s">
        <v>67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3" t="s">
        <v>68</v>
      </c>
      <c r="P2" s="39">
        <f ca="1">SUM(B3:M3)</f>
        <v>38448.846516735714</v>
      </c>
      <c r="Q2" s="39">
        <f ca="1">SUM(B4:M4)</f>
        <v>38448.846516735714</v>
      </c>
      <c r="R2" s="40">
        <f ca="1">SUM(B5:M5)</f>
        <v>76897.693033471427</v>
      </c>
      <c r="S2" s="41"/>
      <c r="T2" s="41"/>
    </row>
    <row r="3" spans="1:21">
      <c r="A3" s="37" t="s">
        <v>69</v>
      </c>
      <c r="B3" s="39">
        <f t="shared" ref="B3:M3" ca="1" si="0">SUM(B8:B37)</f>
        <v>3204.0705430613098</v>
      </c>
      <c r="C3" s="39">
        <f t="shared" ca="1" si="0"/>
        <v>3204.0705430613098</v>
      </c>
      <c r="D3" s="39">
        <f t="shared" ca="1" si="0"/>
        <v>3204.0705430613098</v>
      </c>
      <c r="E3" s="39">
        <f t="shared" ca="1" si="0"/>
        <v>3204.0705430613098</v>
      </c>
      <c r="F3" s="39">
        <f t="shared" ca="1" si="0"/>
        <v>3204.0705430613098</v>
      </c>
      <c r="G3" s="39">
        <f t="shared" ca="1" si="0"/>
        <v>3204.0705430613098</v>
      </c>
      <c r="H3" s="39">
        <f t="shared" ca="1" si="0"/>
        <v>3204.0705430613098</v>
      </c>
      <c r="I3" s="39">
        <f t="shared" ca="1" si="0"/>
        <v>3204.0705430613098</v>
      </c>
      <c r="J3" s="39">
        <f t="shared" ca="1" si="0"/>
        <v>3204.0705430613098</v>
      </c>
      <c r="K3" s="39">
        <f t="shared" ca="1" si="0"/>
        <v>3204.0705430613098</v>
      </c>
      <c r="L3" s="39">
        <f t="shared" ca="1" si="0"/>
        <v>3204.0705430613098</v>
      </c>
      <c r="M3" s="39">
        <f t="shared" ca="1" si="0"/>
        <v>3204.0705430613098</v>
      </c>
      <c r="O3" s="33" t="s">
        <v>70</v>
      </c>
      <c r="P3" s="39">
        <f ca="1">P2-O71+O39</f>
        <v>38554.046516735711</v>
      </c>
      <c r="Q3" s="39">
        <f ca="1">Q2+O71-O39</f>
        <v>38343.646516735716</v>
      </c>
      <c r="R3" s="42">
        <f t="shared" ref="R3:R6" ca="1" si="1">SUM(P3:Q3)</f>
        <v>76897.693033471427</v>
      </c>
      <c r="S3" s="32"/>
      <c r="U3" s="32"/>
    </row>
    <row r="4" spans="1:21">
      <c r="A4" s="37" t="s">
        <v>71</v>
      </c>
      <c r="B4" s="39">
        <f t="shared" ref="B4:M4" ca="1" si="2">SUM(B40:B69)</f>
        <v>3204.0705430613098</v>
      </c>
      <c r="C4" s="39">
        <f t="shared" ca="1" si="2"/>
        <v>3204.0705430613098</v>
      </c>
      <c r="D4" s="39">
        <f t="shared" ca="1" si="2"/>
        <v>3204.0705430613098</v>
      </c>
      <c r="E4" s="39">
        <f t="shared" ca="1" si="2"/>
        <v>3204.0705430613098</v>
      </c>
      <c r="F4" s="39">
        <f t="shared" ca="1" si="2"/>
        <v>3204.0705430613098</v>
      </c>
      <c r="G4" s="39">
        <f t="shared" ca="1" si="2"/>
        <v>3204.0705430613098</v>
      </c>
      <c r="H4" s="39">
        <f t="shared" ca="1" si="2"/>
        <v>3204.0705430613098</v>
      </c>
      <c r="I4" s="39">
        <f t="shared" ca="1" si="2"/>
        <v>3204.0705430613098</v>
      </c>
      <c r="J4" s="39">
        <f t="shared" ca="1" si="2"/>
        <v>3204.0705430613098</v>
      </c>
      <c r="K4" s="39">
        <f t="shared" ca="1" si="2"/>
        <v>3204.0705430613098</v>
      </c>
      <c r="L4" s="39">
        <f t="shared" ca="1" si="2"/>
        <v>3204.0705430613098</v>
      </c>
      <c r="M4" s="39">
        <f t="shared" ca="1" si="2"/>
        <v>3204.0705430613098</v>
      </c>
      <c r="N4" s="38"/>
      <c r="O4" s="33" t="s">
        <v>72</v>
      </c>
      <c r="P4" s="43">
        <f>AVERAGE(B89:M89)</f>
        <v>3215.231707317073</v>
      </c>
      <c r="Q4" s="43">
        <f>AVERAGE(B90:M90)</f>
        <v>3391.9233333333336</v>
      </c>
      <c r="R4" s="16">
        <f t="shared" si="1"/>
        <v>6607.1550406504066</v>
      </c>
      <c r="S4" s="32"/>
      <c r="U4" s="32"/>
    </row>
    <row r="5" spans="1:21">
      <c r="A5" s="37" t="s">
        <v>73</v>
      </c>
      <c r="B5" s="44">
        <f t="shared" ref="B5:M5" ca="1" si="3">B3+B4</f>
        <v>6408.1410861226195</v>
      </c>
      <c r="C5" s="44">
        <f t="shared" ca="1" si="3"/>
        <v>6408.1410861226195</v>
      </c>
      <c r="D5" s="44">
        <f t="shared" ca="1" si="3"/>
        <v>6408.1410861226195</v>
      </c>
      <c r="E5" s="44">
        <f t="shared" ca="1" si="3"/>
        <v>6408.1410861226195</v>
      </c>
      <c r="F5" s="44">
        <f t="shared" ca="1" si="3"/>
        <v>6408.1410861226195</v>
      </c>
      <c r="G5" s="44">
        <f t="shared" ca="1" si="3"/>
        <v>6408.1410861226195</v>
      </c>
      <c r="H5" s="44">
        <f t="shared" ca="1" si="3"/>
        <v>6408.1410861226195</v>
      </c>
      <c r="I5" s="44">
        <f t="shared" ca="1" si="3"/>
        <v>6408.1410861226195</v>
      </c>
      <c r="J5" s="44">
        <f t="shared" ca="1" si="3"/>
        <v>6408.1410861226195</v>
      </c>
      <c r="K5" s="44">
        <f t="shared" ca="1" si="3"/>
        <v>6408.1410861226195</v>
      </c>
      <c r="L5" s="44">
        <f t="shared" ca="1" si="3"/>
        <v>6408.1410861226195</v>
      </c>
      <c r="M5" s="44">
        <f t="shared" ca="1" si="3"/>
        <v>6408.1410861226195</v>
      </c>
      <c r="N5" s="38"/>
      <c r="O5" s="45" t="s">
        <v>74</v>
      </c>
      <c r="P5" s="46">
        <f>AVERAGE(B97:M97)</f>
        <v>0.50136785346279267</v>
      </c>
      <c r="Q5" s="47">
        <f>AVERAGE(B98:M98)</f>
        <v>0.49863214653720739</v>
      </c>
      <c r="R5" s="17">
        <f t="shared" si="1"/>
        <v>1</v>
      </c>
    </row>
    <row r="6" spans="1:21">
      <c r="A6" s="37" t="s">
        <v>75</v>
      </c>
      <c r="B6" s="39">
        <f t="shared" ref="B6:M6" ca="1" si="4">B86</f>
        <v>-7.0283264085446717E-4</v>
      </c>
      <c r="C6" s="39">
        <f t="shared" ca="1" si="4"/>
        <v>-2.5980072762763484E-3</v>
      </c>
      <c r="D6" s="39">
        <f t="shared" ca="1" si="4"/>
        <v>-4.4931819118119165E-3</v>
      </c>
      <c r="E6" s="39">
        <f t="shared" ca="1" si="4"/>
        <v>-2.728361041079097E-3</v>
      </c>
      <c r="F6" s="39">
        <f t="shared" ca="1" si="4"/>
        <v>-2.4495054933879601E-3</v>
      </c>
      <c r="G6" s="39">
        <f t="shared" ca="1" si="4"/>
        <v>2.5672174881776755E-3</v>
      </c>
      <c r="H6" s="39">
        <f t="shared" ca="1" si="4"/>
        <v>-4.4808147349613137E-3</v>
      </c>
      <c r="I6" s="39">
        <f t="shared" ca="1" si="4"/>
        <v>2.1715904532015884E-3</v>
      </c>
      <c r="J6" s="39">
        <f t="shared" ca="1" si="4"/>
        <v>2.2759078972853786E-3</v>
      </c>
      <c r="K6" s="39">
        <f t="shared" ca="1" si="4"/>
        <v>-1.2797701650129056E-3</v>
      </c>
      <c r="L6" s="39">
        <f t="shared" ca="1" si="4"/>
        <v>-3.3494829038005491E-3</v>
      </c>
      <c r="M6" s="39">
        <f t="shared" ca="1" si="4"/>
        <v>-1.5706307789287166E-4</v>
      </c>
      <c r="N6" s="38"/>
      <c r="O6" s="48" t="s">
        <v>76</v>
      </c>
      <c r="P6" s="47">
        <f ca="1">P3/(P3+Q3)</f>
        <v>0.50136805144406882</v>
      </c>
      <c r="Q6" s="47">
        <f ca="1">Q3/(Q3+P3)</f>
        <v>0.49863194855593124</v>
      </c>
      <c r="R6" s="17">
        <f t="shared" ca="1" si="1"/>
        <v>1</v>
      </c>
    </row>
    <row r="7" spans="1:21">
      <c r="A7" s="49" t="s">
        <v>77</v>
      </c>
      <c r="B7" s="50" t="str">
        <f ca="1">_xlfn.IFS(B6&lt;=-0.1, "Pay up P1", B6&gt;=0.1, "Pay up P2", AND(B6&lt;0.1, B6&gt;-0.1), "OK")</f>
        <v>OK</v>
      </c>
      <c r="C7" s="50" t="str">
        <f t="shared" ref="C7:M7" ca="1" si="5">_xlfn.IFS(C6&lt;=-0.1, "Pay up P1", C6&gt;=0.1, "Pay up P2", AND(C6&lt;0.1, C6&gt;-0.1), "OK")</f>
        <v>OK</v>
      </c>
      <c r="D7" s="50" t="str">
        <f t="shared" ca="1" si="5"/>
        <v>OK</v>
      </c>
      <c r="E7" s="50" t="str">
        <f t="shared" ca="1" si="5"/>
        <v>OK</v>
      </c>
      <c r="F7" s="50" t="str">
        <f t="shared" ca="1" si="5"/>
        <v>OK</v>
      </c>
      <c r="G7" s="50" t="str">
        <f t="shared" ca="1" si="5"/>
        <v>OK</v>
      </c>
      <c r="H7" s="50" t="str">
        <f t="shared" ca="1" si="5"/>
        <v>OK</v>
      </c>
      <c r="I7" s="50" t="str">
        <f t="shared" ca="1" si="5"/>
        <v>OK</v>
      </c>
      <c r="J7" s="50" t="str">
        <f t="shared" ca="1" si="5"/>
        <v>OK</v>
      </c>
      <c r="K7" s="50" t="str">
        <f t="shared" ca="1" si="5"/>
        <v>OK</v>
      </c>
      <c r="L7" s="50" t="str">
        <f t="shared" ca="1" si="5"/>
        <v>OK</v>
      </c>
      <c r="M7" s="50" t="str">
        <f t="shared" ca="1" si="5"/>
        <v>OK</v>
      </c>
      <c r="N7" s="38"/>
    </row>
    <row r="8" spans="1:21" ht="15.75" customHeight="1">
      <c r="A8" s="51" t="str">
        <f ca="1">IF(AND(Resumo!A19 &lt;&gt; "Investimento (aporte)", Resumo!A19 &lt;&gt; "Gasto Pessoal"),Resumo!A19,"__Gasto não-divisível__")</f>
        <v xml:space="preserve"> Aluguel_Cond </v>
      </c>
      <c r="B8" s="39">
        <f ca="1">IFERROR(__xludf.DUMMYFUNCTION("IFERROR(sum(QUERY('Mes01'!$B$2:$E1000, ""SELECT C WHERE E = 'Pessoa 2' AND B = '""&amp;$A8&amp;""'"")),0)"),0)</f>
        <v>0</v>
      </c>
      <c r="C8" s="39">
        <f ca="1">IFERROR(__xludf.DUMMYFUNCTION("IFERROR(sum(QUERY('Mes01'!$B$2:$E1000, ""SELECT C WHERE E = 'Pessoa 2' AND B = '""&amp;$A8&amp;""'"")),0)"),0)</f>
        <v>0</v>
      </c>
      <c r="D8" s="39">
        <f ca="1">IFERROR(__xludf.DUMMYFUNCTION("IFERROR(sum(QUERY('Mes01'!$B$2:$E1000, ""SELECT C WHERE E = 'Pessoa 2' AND B = '""&amp;$A8&amp;""'"")),0)"),0)</f>
        <v>0</v>
      </c>
      <c r="E8" s="39">
        <f ca="1">IFERROR(__xludf.DUMMYFUNCTION("IFERROR(sum(QUERY('Mes01'!$B$2:$E1000, ""SELECT C WHERE E = 'Pessoa 2' AND B = '""&amp;$A8&amp;""'"")),0)"),0)</f>
        <v>0</v>
      </c>
      <c r="F8" s="39">
        <f ca="1">IFERROR(__xludf.DUMMYFUNCTION("IFERROR(sum(QUERY('Mes01'!$B$2:$E1000, ""SELECT C WHERE E = 'Pessoa 2' AND B = '""&amp;$A8&amp;""'"")),0)"),0)</f>
        <v>0</v>
      </c>
      <c r="G8" s="39">
        <f ca="1">IFERROR(__xludf.DUMMYFUNCTION("IFERROR(sum(QUERY('Mes01'!$B$2:$E1000, ""SELECT C WHERE E = 'Pessoa 2' AND B = '""&amp;$A8&amp;""'"")),0)"),0)</f>
        <v>0</v>
      </c>
      <c r="H8" s="39">
        <f ca="1">IFERROR(__xludf.DUMMYFUNCTION("IFERROR(sum(QUERY('Mes01'!$B$2:$E1000, ""SELECT C WHERE E = 'Pessoa 2' AND B = '""&amp;$A8&amp;""'"")),0)"),0)</f>
        <v>0</v>
      </c>
      <c r="I8" s="39">
        <f ca="1">IFERROR(__xludf.DUMMYFUNCTION("IFERROR(sum(QUERY('Mes01'!$B$2:$E1000, ""SELECT C WHERE E = 'Pessoa 2' AND B = '""&amp;$A8&amp;""'"")),0)"),0)</f>
        <v>0</v>
      </c>
      <c r="J8" s="39">
        <f ca="1">IFERROR(__xludf.DUMMYFUNCTION("IFERROR(sum(QUERY('Mes01'!$B$2:$E1000, ""SELECT C WHERE E = 'Pessoa 2' AND B = '""&amp;$A8&amp;""'"")),0)"),0)</f>
        <v>0</v>
      </c>
      <c r="K8" s="39">
        <f ca="1">IFERROR(__xludf.DUMMYFUNCTION("IFERROR(sum(QUERY('Mes01'!$B$2:$E1000, ""SELECT C WHERE E = 'Pessoa 2' AND B = '""&amp;$A8&amp;""'"")),0)"),0)</f>
        <v>0</v>
      </c>
      <c r="L8" s="39">
        <f ca="1">IFERROR(__xludf.DUMMYFUNCTION("IFERROR(sum(QUERY('Mes01'!$B$2:$E1000, ""SELECT C WHERE E = 'Pessoa 2' AND B = '""&amp;$A8&amp;""'"")),0)"),0)</f>
        <v>0</v>
      </c>
      <c r="M8" s="39">
        <f ca="1">IFERROR(__xludf.DUMMYFUNCTION("IFERROR(sum(QUERY('Mes01'!$B$2:$E1000, ""SELECT C WHERE E = 'Pessoa 2' AND B = '""&amp;$A8&amp;""'"")),0)"),0)</f>
        <v>0</v>
      </c>
      <c r="N8" s="38"/>
    </row>
    <row r="9" spans="1:21" ht="15.75" customHeight="1">
      <c r="A9" s="52" t="str">
        <f ca="1">IF(AND(Resumo!A20 &lt;&gt; "Investimento (aporte)", Resumo!A20 &lt;&gt; "Gasto Pessoal"),Resumo!A20,"__Gasto não-divisível__")</f>
        <v xml:space="preserve"> Gasto Pessoal </v>
      </c>
      <c r="B9" s="39">
        <f ca="1">IFERROR(__xludf.DUMMYFUNCTION("IFERROR(sum(QUERY('Mes01'!$B$2:$E1000, ""SELECT C WHERE E = 'Pessoa 2' AND B = '""&amp;$A9&amp;""'"")),0)"),0)</f>
        <v>0</v>
      </c>
      <c r="C9" s="39">
        <f ca="1">IFERROR(__xludf.DUMMYFUNCTION("IFERROR(sum(QUERY('Mes01'!$B$2:$E1000, ""SELECT C WHERE E = 'Pessoa 2' AND B = '""&amp;$A9&amp;""'"")),0)"),0)</f>
        <v>0</v>
      </c>
      <c r="D9" s="39">
        <f ca="1">IFERROR(__xludf.DUMMYFUNCTION("IFERROR(sum(QUERY('Mes01'!$B$2:$E1000, ""SELECT C WHERE E = 'Pessoa 2' AND B = '""&amp;$A9&amp;""'"")),0)"),0)</f>
        <v>0</v>
      </c>
      <c r="E9" s="39">
        <f ca="1">IFERROR(__xludf.DUMMYFUNCTION("IFERROR(sum(QUERY('Mes01'!$B$2:$E1000, ""SELECT C WHERE E = 'Pessoa 2' AND B = '""&amp;$A9&amp;""'"")),0)"),0)</f>
        <v>0</v>
      </c>
      <c r="F9" s="39">
        <f ca="1">IFERROR(__xludf.DUMMYFUNCTION("IFERROR(sum(QUERY('Mes01'!$B$2:$E1000, ""SELECT C WHERE E = 'Pessoa 2' AND B = '""&amp;$A9&amp;""'"")),0)"),0)</f>
        <v>0</v>
      </c>
      <c r="G9" s="39">
        <f ca="1">IFERROR(__xludf.DUMMYFUNCTION("IFERROR(sum(QUERY('Mes01'!$B$2:$E1000, ""SELECT C WHERE E = 'Pessoa 2' AND B = '""&amp;$A9&amp;""'"")),0)"),0)</f>
        <v>0</v>
      </c>
      <c r="H9" s="39">
        <f ca="1">IFERROR(__xludf.DUMMYFUNCTION("IFERROR(sum(QUERY('Mes01'!$B$2:$E1000, ""SELECT C WHERE E = 'Pessoa 2' AND B = '""&amp;$A9&amp;""'"")),0)"),0)</f>
        <v>0</v>
      </c>
      <c r="I9" s="39">
        <f ca="1">IFERROR(__xludf.DUMMYFUNCTION("IFERROR(sum(QUERY('Mes01'!$B$2:$E1000, ""SELECT C WHERE E = 'Pessoa 2' AND B = '""&amp;$A9&amp;""'"")),0)"),0)</f>
        <v>0</v>
      </c>
      <c r="J9" s="39">
        <f ca="1">IFERROR(__xludf.DUMMYFUNCTION("IFERROR(sum(QUERY('Mes01'!$B$2:$E1000, ""SELECT C WHERE E = 'Pessoa 2' AND B = '""&amp;$A9&amp;""'"")),0)"),0)</f>
        <v>0</v>
      </c>
      <c r="K9" s="39">
        <f ca="1">IFERROR(__xludf.DUMMYFUNCTION("IFERROR(sum(QUERY('Mes01'!$B$2:$E1000, ""SELECT C WHERE E = 'Pessoa 2' AND B = '""&amp;$A9&amp;""'"")),0)"),0)</f>
        <v>0</v>
      </c>
      <c r="L9" s="39">
        <f ca="1">IFERROR(__xludf.DUMMYFUNCTION("IFERROR(sum(QUERY('Mes01'!$B$2:$E1000, ""SELECT C WHERE E = 'Pessoa 2' AND B = '""&amp;$A9&amp;""'"")),0)"),0)</f>
        <v>0</v>
      </c>
      <c r="M9" s="39">
        <f ca="1">IFERROR(__xludf.DUMMYFUNCTION("IFERROR(sum(QUERY('Mes01'!$B$2:$E1000, ""SELECT C WHERE E = 'Pessoa 2' AND B = '""&amp;$A9&amp;""'"")),0)"),0)</f>
        <v>0</v>
      </c>
      <c r="N9" s="38"/>
    </row>
    <row r="10" spans="1:21" ht="15.75" customHeight="1">
      <c r="A10" s="51" t="str">
        <f ca="1">IF(AND(Resumo!A21 &lt;&gt; "Investimento (aporte)", Resumo!A21 &lt;&gt; "Gasto Pessoal"),Resumo!A21,"__Gasto não-divisível__")</f>
        <v xml:space="preserve"> Academia &amp; Fitness </v>
      </c>
      <c r="B10" s="39">
        <f ca="1">IFERROR(__xludf.DUMMYFUNCTION("IFERROR(sum(QUERY('Mes01'!$B$2:$E1000, ""SELECT C WHERE E = 'Pessoa 2' AND B = '""&amp;$A10&amp;""'"")),0)"),0)</f>
        <v>0</v>
      </c>
      <c r="C10" s="39">
        <f ca="1">IFERROR(__xludf.DUMMYFUNCTION("IFERROR(sum(QUERY('Mes01'!$B$2:$E1000, ""SELECT C WHERE E = 'Pessoa 2' AND B = '""&amp;$A10&amp;""'"")),0)"),0)</f>
        <v>0</v>
      </c>
      <c r="D10" s="39">
        <f ca="1">IFERROR(__xludf.DUMMYFUNCTION("IFERROR(sum(QUERY('Mes01'!$B$2:$E1000, ""SELECT C WHERE E = 'Pessoa 2' AND B = '""&amp;$A10&amp;""'"")),0)"),0)</f>
        <v>0</v>
      </c>
      <c r="E10" s="39">
        <f ca="1">IFERROR(__xludf.DUMMYFUNCTION("IFERROR(sum(QUERY('Mes01'!$B$2:$E1000, ""SELECT C WHERE E = 'Pessoa 2' AND B = '""&amp;$A10&amp;""'"")),0)"),0)</f>
        <v>0</v>
      </c>
      <c r="F10" s="39">
        <f ca="1">IFERROR(__xludf.DUMMYFUNCTION("IFERROR(sum(QUERY('Mes01'!$B$2:$E1000, ""SELECT C WHERE E = 'Pessoa 2' AND B = '""&amp;$A10&amp;""'"")),0)"),0)</f>
        <v>0</v>
      </c>
      <c r="G10" s="39">
        <f ca="1">IFERROR(__xludf.DUMMYFUNCTION("IFERROR(sum(QUERY('Mes01'!$B$2:$E1000, ""SELECT C WHERE E = 'Pessoa 2' AND B = '""&amp;$A10&amp;""'"")),0)"),0)</f>
        <v>0</v>
      </c>
      <c r="H10" s="39">
        <f ca="1">IFERROR(__xludf.DUMMYFUNCTION("IFERROR(sum(QUERY('Mes01'!$B$2:$E1000, ""SELECT C WHERE E = 'Pessoa 2' AND B = '""&amp;$A10&amp;""'"")),0)"),0)</f>
        <v>0</v>
      </c>
      <c r="I10" s="39">
        <f ca="1">IFERROR(__xludf.DUMMYFUNCTION("IFERROR(sum(QUERY('Mes01'!$B$2:$E1000, ""SELECT C WHERE E = 'Pessoa 2' AND B = '""&amp;$A10&amp;""'"")),0)"),0)</f>
        <v>0</v>
      </c>
      <c r="J10" s="39">
        <f ca="1">IFERROR(__xludf.DUMMYFUNCTION("IFERROR(sum(QUERY('Mes01'!$B$2:$E1000, ""SELECT C WHERE E = 'Pessoa 2' AND B = '""&amp;$A10&amp;""'"")),0)"),0)</f>
        <v>0</v>
      </c>
      <c r="K10" s="39">
        <f ca="1">IFERROR(__xludf.DUMMYFUNCTION("IFERROR(sum(QUERY('Mes01'!$B$2:$E1000, ""SELECT C WHERE E = 'Pessoa 2' AND B = '""&amp;$A10&amp;""'"")),0)"),0)</f>
        <v>0</v>
      </c>
      <c r="L10" s="39">
        <f ca="1">IFERROR(__xludf.DUMMYFUNCTION("IFERROR(sum(QUERY('Mes01'!$B$2:$E1000, ""SELECT C WHERE E = 'Pessoa 2' AND B = '""&amp;$A10&amp;""'"")),0)"),0)</f>
        <v>0</v>
      </c>
      <c r="M10" s="39">
        <f ca="1">IFERROR(__xludf.DUMMYFUNCTION("IFERROR(sum(QUERY('Mes01'!$B$2:$E1000, ""SELECT C WHERE E = 'Pessoa 2' AND B = '""&amp;$A10&amp;""'"")),0)"),0)</f>
        <v>0</v>
      </c>
      <c r="N10" s="38"/>
      <c r="O10" s="32"/>
      <c r="P10" s="32"/>
    </row>
    <row r="11" spans="1:21" ht="15.75" customHeight="1">
      <c r="A11" s="51" t="str">
        <f ca="1">IF(AND(Resumo!A22 &lt;&gt; "Investimento (aporte)", Resumo!A22 &lt;&gt; "Gasto Pessoal"),Resumo!A22,"__Gasto não-divisível__")</f>
        <v xml:space="preserve"> Work-related </v>
      </c>
      <c r="B11" s="39">
        <f ca="1">IFERROR(__xludf.DUMMYFUNCTION("IFERROR(sum(QUERY('Mes01'!$B$2:$E1000, ""SELECT C WHERE E = 'Pessoa 2' AND B = '""&amp;$A11&amp;""'"")),0)"),776.304545446037)</f>
        <v>776.30454544603697</v>
      </c>
      <c r="C11" s="39">
        <f ca="1">IFERROR(__xludf.DUMMYFUNCTION("IFERROR(sum(QUERY('Mes01'!$B$2:$E1000, ""SELECT C WHERE E = 'Pessoa 2' AND B = '""&amp;$A11&amp;""'"")),0)"),776.304545446037)</f>
        <v>776.30454544603697</v>
      </c>
      <c r="D11" s="39">
        <f ca="1">IFERROR(__xludf.DUMMYFUNCTION("IFERROR(sum(QUERY('Mes01'!$B$2:$E1000, ""SELECT C WHERE E = 'Pessoa 2' AND B = '""&amp;$A11&amp;""'"")),0)"),776.304545446037)</f>
        <v>776.30454544603697</v>
      </c>
      <c r="E11" s="39">
        <f ca="1">IFERROR(__xludf.DUMMYFUNCTION("IFERROR(sum(QUERY('Mes01'!$B$2:$E1000, ""SELECT C WHERE E = 'Pessoa 2' AND B = '""&amp;$A11&amp;""'"")),0)"),776.304545446037)</f>
        <v>776.30454544603697</v>
      </c>
      <c r="F11" s="39">
        <f ca="1">IFERROR(__xludf.DUMMYFUNCTION("IFERROR(sum(QUERY('Mes01'!$B$2:$E1000, ""SELECT C WHERE E = 'Pessoa 2' AND B = '""&amp;$A11&amp;""'"")),0)"),776.304545446037)</f>
        <v>776.30454544603697</v>
      </c>
      <c r="G11" s="39">
        <f ca="1">IFERROR(__xludf.DUMMYFUNCTION("IFERROR(sum(QUERY('Mes01'!$B$2:$E1000, ""SELECT C WHERE E = 'Pessoa 2' AND B = '""&amp;$A11&amp;""'"")),0)"),776.304545446037)</f>
        <v>776.30454544603697</v>
      </c>
      <c r="H11" s="39">
        <f ca="1">IFERROR(__xludf.DUMMYFUNCTION("IFERROR(sum(QUERY('Mes01'!$B$2:$E1000, ""SELECT C WHERE E = 'Pessoa 2' AND B = '""&amp;$A11&amp;""'"")),0)"),776.304545446037)</f>
        <v>776.30454544603697</v>
      </c>
      <c r="I11" s="39">
        <f ca="1">IFERROR(__xludf.DUMMYFUNCTION("IFERROR(sum(QUERY('Mes01'!$B$2:$E1000, ""SELECT C WHERE E = 'Pessoa 2' AND B = '""&amp;$A11&amp;""'"")),0)"),776.304545446037)</f>
        <v>776.30454544603697</v>
      </c>
      <c r="J11" s="39">
        <f ca="1">IFERROR(__xludf.DUMMYFUNCTION("IFERROR(sum(QUERY('Mes01'!$B$2:$E1000, ""SELECT C WHERE E = 'Pessoa 2' AND B = '""&amp;$A11&amp;""'"")),0)"),776.304545446037)</f>
        <v>776.30454544603697</v>
      </c>
      <c r="K11" s="39">
        <f ca="1">IFERROR(__xludf.DUMMYFUNCTION("IFERROR(sum(QUERY('Mes01'!$B$2:$E1000, ""SELECT C WHERE E = 'Pessoa 2' AND B = '""&amp;$A11&amp;""'"")),0)"),776.304545446037)</f>
        <v>776.30454544603697</v>
      </c>
      <c r="L11" s="39">
        <f ca="1">IFERROR(__xludf.DUMMYFUNCTION("IFERROR(sum(QUERY('Mes01'!$B$2:$E1000, ""SELECT C WHERE E = 'Pessoa 2' AND B = '""&amp;$A11&amp;""'"")),0)"),776.304545446037)</f>
        <v>776.30454544603697</v>
      </c>
      <c r="M11" s="39">
        <f ca="1">IFERROR(__xludf.DUMMYFUNCTION("IFERROR(sum(QUERY('Mes01'!$B$2:$E1000, ""SELECT C WHERE E = 'Pessoa 2' AND B = '""&amp;$A11&amp;""'"")),0)"),776.304545446037)</f>
        <v>776.30454544603697</v>
      </c>
      <c r="N11" s="38"/>
      <c r="O11" s="32"/>
      <c r="P11" s="32"/>
    </row>
    <row r="12" spans="1:21" ht="15.75" customHeight="1">
      <c r="A12" s="51" t="str">
        <f ca="1">IF(AND(Resumo!A23 &lt;&gt; "Investimento (aporte)", Resumo!A23 &lt;&gt; "Gasto Pessoal"),Resumo!A23,"__Gasto não-divisível__")</f>
        <v xml:space="preserve"> Manutenção_Casa </v>
      </c>
      <c r="B12" s="39">
        <f ca="1">IFERROR(__xludf.DUMMYFUNCTION("IFERROR(sum(QUERY('Mes01'!$B$2:$E1000, ""SELECT C WHERE E = 'Pessoa 2' AND B = '""&amp;$A12&amp;""'"")),0)"),363.715846936236)</f>
        <v>363.71584693623601</v>
      </c>
      <c r="C12" s="39">
        <f ca="1">IFERROR(__xludf.DUMMYFUNCTION("IFERROR(sum(QUERY('Mes01'!$B$2:$E1000, ""SELECT C WHERE E = 'Pessoa 2' AND B = '""&amp;$A12&amp;""'"")),0)"),363.715846936236)</f>
        <v>363.71584693623601</v>
      </c>
      <c r="D12" s="39">
        <f ca="1">IFERROR(__xludf.DUMMYFUNCTION("IFERROR(sum(QUERY('Mes01'!$B$2:$E1000, ""SELECT C WHERE E = 'Pessoa 2' AND B = '""&amp;$A12&amp;""'"")),0)"),363.715846936236)</f>
        <v>363.71584693623601</v>
      </c>
      <c r="E12" s="39">
        <f ca="1">IFERROR(__xludf.DUMMYFUNCTION("IFERROR(sum(QUERY('Mes01'!$B$2:$E1000, ""SELECT C WHERE E = 'Pessoa 2' AND B = '""&amp;$A12&amp;""'"")),0)"),363.715846936236)</f>
        <v>363.71584693623601</v>
      </c>
      <c r="F12" s="39">
        <f ca="1">IFERROR(__xludf.DUMMYFUNCTION("IFERROR(sum(QUERY('Mes01'!$B$2:$E1000, ""SELECT C WHERE E = 'Pessoa 2' AND B = '""&amp;$A12&amp;""'"")),0)"),363.715846936236)</f>
        <v>363.71584693623601</v>
      </c>
      <c r="G12" s="39">
        <f ca="1">IFERROR(__xludf.DUMMYFUNCTION("IFERROR(sum(QUERY('Mes01'!$B$2:$E1000, ""SELECT C WHERE E = 'Pessoa 2' AND B = '""&amp;$A12&amp;""'"")),0)"),363.715846936236)</f>
        <v>363.71584693623601</v>
      </c>
      <c r="H12" s="39">
        <f ca="1">IFERROR(__xludf.DUMMYFUNCTION("IFERROR(sum(QUERY('Mes01'!$B$2:$E1000, ""SELECT C WHERE E = 'Pessoa 2' AND B = '""&amp;$A12&amp;""'"")),0)"),363.715846936236)</f>
        <v>363.71584693623601</v>
      </c>
      <c r="I12" s="39">
        <f ca="1">IFERROR(__xludf.DUMMYFUNCTION("IFERROR(sum(QUERY('Mes01'!$B$2:$E1000, ""SELECT C WHERE E = 'Pessoa 2' AND B = '""&amp;$A12&amp;""'"")),0)"),363.715846936236)</f>
        <v>363.71584693623601</v>
      </c>
      <c r="J12" s="39">
        <f ca="1">IFERROR(__xludf.DUMMYFUNCTION("IFERROR(sum(QUERY('Mes01'!$B$2:$E1000, ""SELECT C WHERE E = 'Pessoa 2' AND B = '""&amp;$A12&amp;""'"")),0)"),363.715846936236)</f>
        <v>363.71584693623601</v>
      </c>
      <c r="K12" s="39">
        <f ca="1">IFERROR(__xludf.DUMMYFUNCTION("IFERROR(sum(QUERY('Mes01'!$B$2:$E1000, ""SELECT C WHERE E = 'Pessoa 2' AND B = '""&amp;$A12&amp;""'"")),0)"),363.715846936236)</f>
        <v>363.71584693623601</v>
      </c>
      <c r="L12" s="39">
        <f ca="1">IFERROR(__xludf.DUMMYFUNCTION("IFERROR(sum(QUERY('Mes01'!$B$2:$E1000, ""SELECT C WHERE E = 'Pessoa 2' AND B = '""&amp;$A12&amp;""'"")),0)"),363.715846936236)</f>
        <v>363.71584693623601</v>
      </c>
      <c r="M12" s="39">
        <f ca="1">IFERROR(__xludf.DUMMYFUNCTION("IFERROR(sum(QUERY('Mes01'!$B$2:$E1000, ""SELECT C WHERE E = 'Pessoa 2' AND B = '""&amp;$A12&amp;""'"")),0)"),363.715846936236)</f>
        <v>363.71584693623601</v>
      </c>
      <c r="N12" s="38"/>
      <c r="O12" s="32"/>
      <c r="P12" s="32"/>
      <c r="Q12" s="32"/>
    </row>
    <row r="13" spans="1:21" ht="15.75" customHeight="1">
      <c r="A13" s="51" t="str">
        <f ca="1">IF(AND(Resumo!A24 &lt;&gt; "Investimento (aporte)", Resumo!A24 &lt;&gt; "Gasto Pessoal"),Resumo!A24,"__Gasto não-divisível__")</f>
        <v xml:space="preserve"> Outros </v>
      </c>
      <c r="B13" s="39">
        <f ca="1">IFERROR(__xludf.DUMMYFUNCTION("IFERROR(sum(QUERY('Mes01'!$B$2:$E1000, ""SELECT C WHERE E = 'Pessoa 2' AND B = '""&amp;$A13&amp;""'"")),0)"),133.712311914919)</f>
        <v>133.71231191491901</v>
      </c>
      <c r="C13" s="39">
        <f ca="1">IFERROR(__xludf.DUMMYFUNCTION("IFERROR(sum(QUERY('Mes01'!$B$2:$E1000, ""SELECT C WHERE E = 'Pessoa 2' AND B = '""&amp;$A13&amp;""'"")),0)"),133.712311914919)</f>
        <v>133.71231191491901</v>
      </c>
      <c r="D13" s="39">
        <f ca="1">IFERROR(__xludf.DUMMYFUNCTION("IFERROR(sum(QUERY('Mes01'!$B$2:$E1000, ""SELECT C WHERE E = 'Pessoa 2' AND B = '""&amp;$A13&amp;""'"")),0)"),133.712311914919)</f>
        <v>133.71231191491901</v>
      </c>
      <c r="E13" s="39">
        <f ca="1">IFERROR(__xludf.DUMMYFUNCTION("IFERROR(sum(QUERY('Mes01'!$B$2:$E1000, ""SELECT C WHERE E = 'Pessoa 2' AND B = '""&amp;$A13&amp;""'"")),0)"),133.712311914919)</f>
        <v>133.71231191491901</v>
      </c>
      <c r="F13" s="39">
        <f ca="1">IFERROR(__xludf.DUMMYFUNCTION("IFERROR(sum(QUERY('Mes01'!$B$2:$E1000, ""SELECT C WHERE E = 'Pessoa 2' AND B = '""&amp;$A13&amp;""'"")),0)"),133.712311914919)</f>
        <v>133.71231191491901</v>
      </c>
      <c r="G13" s="39">
        <f ca="1">IFERROR(__xludf.DUMMYFUNCTION("IFERROR(sum(QUERY('Mes01'!$B$2:$E1000, ""SELECT C WHERE E = 'Pessoa 2' AND B = '""&amp;$A13&amp;""'"")),0)"),133.712311914919)</f>
        <v>133.71231191491901</v>
      </c>
      <c r="H13" s="39">
        <f ca="1">IFERROR(__xludf.DUMMYFUNCTION("IFERROR(sum(QUERY('Mes01'!$B$2:$E1000, ""SELECT C WHERE E = 'Pessoa 2' AND B = '""&amp;$A13&amp;""'"")),0)"),133.712311914919)</f>
        <v>133.71231191491901</v>
      </c>
      <c r="I13" s="39">
        <f ca="1">IFERROR(__xludf.DUMMYFUNCTION("IFERROR(sum(QUERY('Mes01'!$B$2:$E1000, ""SELECT C WHERE E = 'Pessoa 2' AND B = '""&amp;$A13&amp;""'"")),0)"),133.712311914919)</f>
        <v>133.71231191491901</v>
      </c>
      <c r="J13" s="39">
        <f ca="1">IFERROR(__xludf.DUMMYFUNCTION("IFERROR(sum(QUERY('Mes01'!$B$2:$E1000, ""SELECT C WHERE E = 'Pessoa 2' AND B = '""&amp;$A13&amp;""'"")),0)"),133.712311914919)</f>
        <v>133.71231191491901</v>
      </c>
      <c r="K13" s="39">
        <f ca="1">IFERROR(__xludf.DUMMYFUNCTION("IFERROR(sum(QUERY('Mes01'!$B$2:$E1000, ""SELECT C WHERE E = 'Pessoa 2' AND B = '""&amp;$A13&amp;""'"")),0)"),133.712311914919)</f>
        <v>133.71231191491901</v>
      </c>
      <c r="L13" s="39">
        <f ca="1">IFERROR(__xludf.DUMMYFUNCTION("IFERROR(sum(QUERY('Mes01'!$B$2:$E1000, ""SELECT C WHERE E = 'Pessoa 2' AND B = '""&amp;$A13&amp;""'"")),0)"),133.712311914919)</f>
        <v>133.71231191491901</v>
      </c>
      <c r="M13" s="39">
        <f ca="1">IFERROR(__xludf.DUMMYFUNCTION("IFERROR(sum(QUERY('Mes01'!$B$2:$E1000, ""SELECT C WHERE E = 'Pessoa 2' AND B = '""&amp;$A13&amp;""'"")),0)"),133.712311914919)</f>
        <v>133.71231191491901</v>
      </c>
      <c r="N13" s="38"/>
      <c r="O13" s="32"/>
      <c r="P13" s="32"/>
      <c r="Q13" s="32"/>
    </row>
    <row r="14" spans="1:21" ht="15.75" customHeight="1">
      <c r="A14" s="51" t="str">
        <f ca="1">IF(AND(Resumo!A25 &lt;&gt; "Investimento (aporte)", Resumo!A25 &lt;&gt; "Gasto Pessoal"),Resumo!A25,"__Gasto não-divisível__")</f>
        <v xml:space="preserve"> Saúde </v>
      </c>
      <c r="B14" s="39">
        <f ca="1">IFERROR(__xludf.DUMMYFUNCTION("IFERROR(sum(QUERY('Mes01'!$B$2:$E1000, ""SELECT C WHERE E = 'Pessoa 2' AND B = '""&amp;$A14&amp;""'"")),0)"),890.115947576933)</f>
        <v>890.11594757693297</v>
      </c>
      <c r="C14" s="39">
        <f ca="1">IFERROR(__xludf.DUMMYFUNCTION("IFERROR(sum(QUERY('Mes01'!$B$2:$E1000, ""SELECT C WHERE E = 'Pessoa 2' AND B = '""&amp;$A14&amp;""'"")),0)"),890.115947576933)</f>
        <v>890.11594757693297</v>
      </c>
      <c r="D14" s="39">
        <f ca="1">IFERROR(__xludf.DUMMYFUNCTION("IFERROR(sum(QUERY('Mes01'!$B$2:$E1000, ""SELECT C WHERE E = 'Pessoa 2' AND B = '""&amp;$A14&amp;""'"")),0)"),890.115947576933)</f>
        <v>890.11594757693297</v>
      </c>
      <c r="E14" s="39">
        <f ca="1">IFERROR(__xludf.DUMMYFUNCTION("IFERROR(sum(QUERY('Mes01'!$B$2:$E1000, ""SELECT C WHERE E = 'Pessoa 2' AND B = '""&amp;$A14&amp;""'"")),0)"),890.115947576933)</f>
        <v>890.11594757693297</v>
      </c>
      <c r="F14" s="39">
        <f ca="1">IFERROR(__xludf.DUMMYFUNCTION("IFERROR(sum(QUERY('Mes01'!$B$2:$E1000, ""SELECT C WHERE E = 'Pessoa 2' AND B = '""&amp;$A14&amp;""'"")),0)"),890.115947576933)</f>
        <v>890.11594757693297</v>
      </c>
      <c r="G14" s="39">
        <f ca="1">IFERROR(__xludf.DUMMYFUNCTION("IFERROR(sum(QUERY('Mes01'!$B$2:$E1000, ""SELECT C WHERE E = 'Pessoa 2' AND B = '""&amp;$A14&amp;""'"")),0)"),890.115947576933)</f>
        <v>890.11594757693297</v>
      </c>
      <c r="H14" s="39">
        <f ca="1">IFERROR(__xludf.DUMMYFUNCTION("IFERROR(sum(QUERY('Mes01'!$B$2:$E1000, ""SELECT C WHERE E = 'Pessoa 2' AND B = '""&amp;$A14&amp;""'"")),0)"),890.115947576933)</f>
        <v>890.11594757693297</v>
      </c>
      <c r="I14" s="39">
        <f ca="1">IFERROR(__xludf.DUMMYFUNCTION("IFERROR(sum(QUERY('Mes01'!$B$2:$E1000, ""SELECT C WHERE E = 'Pessoa 2' AND B = '""&amp;$A14&amp;""'"")),0)"),890.115947576933)</f>
        <v>890.11594757693297</v>
      </c>
      <c r="J14" s="39">
        <f ca="1">IFERROR(__xludf.DUMMYFUNCTION("IFERROR(sum(QUERY('Mes01'!$B$2:$E1000, ""SELECT C WHERE E = 'Pessoa 2' AND B = '""&amp;$A14&amp;""'"")),0)"),890.115947576933)</f>
        <v>890.11594757693297</v>
      </c>
      <c r="K14" s="39">
        <f ca="1">IFERROR(__xludf.DUMMYFUNCTION("IFERROR(sum(QUERY('Mes01'!$B$2:$E1000, ""SELECT C WHERE E = 'Pessoa 2' AND B = '""&amp;$A14&amp;""'"")),0)"),890.115947576933)</f>
        <v>890.11594757693297</v>
      </c>
      <c r="L14" s="39">
        <f ca="1">IFERROR(__xludf.DUMMYFUNCTION("IFERROR(sum(QUERY('Mes01'!$B$2:$E1000, ""SELECT C WHERE E = 'Pessoa 2' AND B = '""&amp;$A14&amp;""'"")),0)"),890.115947576933)</f>
        <v>890.11594757693297</v>
      </c>
      <c r="M14" s="39">
        <f ca="1">IFERROR(__xludf.DUMMYFUNCTION("IFERROR(sum(QUERY('Mes01'!$B$2:$E1000, ""SELECT C WHERE E = 'Pessoa 2' AND B = '""&amp;$A14&amp;""'"")),0)"),890.115947576933)</f>
        <v>890.11594757693297</v>
      </c>
      <c r="N14" s="38"/>
      <c r="O14" s="32"/>
      <c r="P14" s="32"/>
      <c r="Q14" s="32"/>
    </row>
    <row r="15" spans="1:21" ht="15.75" customHeight="1">
      <c r="A15" s="51" t="str">
        <f ca="1">IF(AND(Resumo!A26 &lt;&gt; "Investimento (aporte)", Resumo!A26 &lt;&gt; "Gasto Pessoal"),Resumo!A26,"__Gasto não-divisível__")</f>
        <v xml:space="preserve"> Home Supplies </v>
      </c>
      <c r="B15" s="39">
        <f ca="1">IFERROR(__xludf.DUMMYFUNCTION("IFERROR(sum(QUERY('Mes01'!$B$2:$E1000, ""SELECT C WHERE E = 'Pessoa 2' AND B = '""&amp;$A15&amp;""'"")),0)"),324.087178266535)</f>
        <v>324.08717826653498</v>
      </c>
      <c r="C15" s="39">
        <f ca="1">IFERROR(__xludf.DUMMYFUNCTION("IFERROR(sum(QUERY('Mes01'!$B$2:$E1000, ""SELECT C WHERE E = 'Pessoa 2' AND B = '""&amp;$A15&amp;""'"")),0)"),324.087178266535)</f>
        <v>324.08717826653498</v>
      </c>
      <c r="D15" s="39">
        <f ca="1">IFERROR(__xludf.DUMMYFUNCTION("IFERROR(sum(QUERY('Mes01'!$B$2:$E1000, ""SELECT C WHERE E = 'Pessoa 2' AND B = '""&amp;$A15&amp;""'"")),0)"),324.087178266535)</f>
        <v>324.08717826653498</v>
      </c>
      <c r="E15" s="39">
        <f ca="1">IFERROR(__xludf.DUMMYFUNCTION("IFERROR(sum(QUERY('Mes01'!$B$2:$E1000, ""SELECT C WHERE E = 'Pessoa 2' AND B = '""&amp;$A15&amp;""'"")),0)"),324.087178266535)</f>
        <v>324.08717826653498</v>
      </c>
      <c r="F15" s="39">
        <f ca="1">IFERROR(__xludf.DUMMYFUNCTION("IFERROR(sum(QUERY('Mes01'!$B$2:$E1000, ""SELECT C WHERE E = 'Pessoa 2' AND B = '""&amp;$A15&amp;""'"")),0)"),324.087178266535)</f>
        <v>324.08717826653498</v>
      </c>
      <c r="G15" s="39">
        <f ca="1">IFERROR(__xludf.DUMMYFUNCTION("IFERROR(sum(QUERY('Mes01'!$B$2:$E1000, ""SELECT C WHERE E = 'Pessoa 2' AND B = '""&amp;$A15&amp;""'"")),0)"),324.087178266535)</f>
        <v>324.08717826653498</v>
      </c>
      <c r="H15" s="39">
        <f ca="1">IFERROR(__xludf.DUMMYFUNCTION("IFERROR(sum(QUERY('Mes01'!$B$2:$E1000, ""SELECT C WHERE E = 'Pessoa 2' AND B = '""&amp;$A15&amp;""'"")),0)"),324.087178266535)</f>
        <v>324.08717826653498</v>
      </c>
      <c r="I15" s="39">
        <f ca="1">IFERROR(__xludf.DUMMYFUNCTION("IFERROR(sum(QUERY('Mes01'!$B$2:$E1000, ""SELECT C WHERE E = 'Pessoa 2' AND B = '""&amp;$A15&amp;""'"")),0)"),324.087178266535)</f>
        <v>324.08717826653498</v>
      </c>
      <c r="J15" s="39">
        <f ca="1">IFERROR(__xludf.DUMMYFUNCTION("IFERROR(sum(QUERY('Mes01'!$B$2:$E1000, ""SELECT C WHERE E = 'Pessoa 2' AND B = '""&amp;$A15&amp;""'"")),0)"),324.087178266535)</f>
        <v>324.08717826653498</v>
      </c>
      <c r="K15" s="39">
        <f ca="1">IFERROR(__xludf.DUMMYFUNCTION("IFERROR(sum(QUERY('Mes01'!$B$2:$E1000, ""SELECT C WHERE E = 'Pessoa 2' AND B = '""&amp;$A15&amp;""'"")),0)"),324.087178266535)</f>
        <v>324.08717826653498</v>
      </c>
      <c r="L15" s="39">
        <f ca="1">IFERROR(__xludf.DUMMYFUNCTION("IFERROR(sum(QUERY('Mes01'!$B$2:$E1000, ""SELECT C WHERE E = 'Pessoa 2' AND B = '""&amp;$A15&amp;""'"")),0)"),324.087178266535)</f>
        <v>324.08717826653498</v>
      </c>
      <c r="M15" s="39">
        <f ca="1">IFERROR(__xludf.DUMMYFUNCTION("IFERROR(sum(QUERY('Mes01'!$B$2:$E1000, ""SELECT C WHERE E = 'Pessoa 2' AND B = '""&amp;$A15&amp;""'"")),0)"),324.087178266535)</f>
        <v>324.08717826653498</v>
      </c>
      <c r="N15" s="38"/>
      <c r="O15" s="32"/>
      <c r="P15" s="32"/>
      <c r="Q15" s="32"/>
    </row>
    <row r="16" spans="1:21" ht="15.75" customHeight="1">
      <c r="A16" s="51" t="str">
        <f ca="1">IF(AND(Resumo!A27 &lt;&gt; "Investimento (aporte)", Resumo!A27 &lt;&gt; "Gasto Pessoal"),Resumo!A27,"__Gasto não-divisível__")</f>
        <v xml:space="preserve"> Energia_Gás_Água_Esgoto </v>
      </c>
      <c r="B16" s="39">
        <f ca="1">IFERROR(__xludf.DUMMYFUNCTION("IFERROR(sum(QUERY('Mes01'!$B$2:$E1000, ""SELECT C WHERE E = 'Pessoa 2' AND B = '""&amp;$A16&amp;""'"")),0)"),0)</f>
        <v>0</v>
      </c>
      <c r="C16" s="39">
        <f ca="1">IFERROR(__xludf.DUMMYFUNCTION("IFERROR(sum(QUERY('Mes01'!$B$2:$E1000, ""SELECT C WHERE E = 'Pessoa 2' AND B = '""&amp;$A16&amp;""'"")),0)"),0)</f>
        <v>0</v>
      </c>
      <c r="D16" s="39">
        <f ca="1">IFERROR(__xludf.DUMMYFUNCTION("IFERROR(sum(QUERY('Mes01'!$B$2:$E1000, ""SELECT C WHERE E = 'Pessoa 2' AND B = '""&amp;$A16&amp;""'"")),0)"),0)</f>
        <v>0</v>
      </c>
      <c r="E16" s="39">
        <f ca="1">IFERROR(__xludf.DUMMYFUNCTION("IFERROR(sum(QUERY('Mes01'!$B$2:$E1000, ""SELECT C WHERE E = 'Pessoa 2' AND B = '""&amp;$A16&amp;""'"")),0)"),0)</f>
        <v>0</v>
      </c>
      <c r="F16" s="39">
        <f ca="1">IFERROR(__xludf.DUMMYFUNCTION("IFERROR(sum(QUERY('Mes01'!$B$2:$E1000, ""SELECT C WHERE E = 'Pessoa 2' AND B = '""&amp;$A16&amp;""'"")),0)"),0)</f>
        <v>0</v>
      </c>
      <c r="G16" s="39">
        <f ca="1">IFERROR(__xludf.DUMMYFUNCTION("IFERROR(sum(QUERY('Mes01'!$B$2:$E1000, ""SELECT C WHERE E = 'Pessoa 2' AND B = '""&amp;$A16&amp;""'"")),0)"),0)</f>
        <v>0</v>
      </c>
      <c r="H16" s="39">
        <f ca="1">IFERROR(__xludf.DUMMYFUNCTION("IFERROR(sum(QUERY('Mes01'!$B$2:$E1000, ""SELECT C WHERE E = 'Pessoa 2' AND B = '""&amp;$A16&amp;""'"")),0)"),0)</f>
        <v>0</v>
      </c>
      <c r="I16" s="39">
        <f ca="1">IFERROR(__xludf.DUMMYFUNCTION("IFERROR(sum(QUERY('Mes01'!$B$2:$E1000, ""SELECT C WHERE E = 'Pessoa 2' AND B = '""&amp;$A16&amp;""'"")),0)"),0)</f>
        <v>0</v>
      </c>
      <c r="J16" s="39">
        <f ca="1">IFERROR(__xludf.DUMMYFUNCTION("IFERROR(sum(QUERY('Mes01'!$B$2:$E1000, ""SELECT C WHERE E = 'Pessoa 2' AND B = '""&amp;$A16&amp;""'"")),0)"),0)</f>
        <v>0</v>
      </c>
      <c r="K16" s="39">
        <f ca="1">IFERROR(__xludf.DUMMYFUNCTION("IFERROR(sum(QUERY('Mes01'!$B$2:$E1000, ""SELECT C WHERE E = 'Pessoa 2' AND B = '""&amp;$A16&amp;""'"")),0)"),0)</f>
        <v>0</v>
      </c>
      <c r="L16" s="39">
        <f ca="1">IFERROR(__xludf.DUMMYFUNCTION("IFERROR(sum(QUERY('Mes01'!$B$2:$E1000, ""SELECT C WHERE E = 'Pessoa 2' AND B = '""&amp;$A16&amp;""'"")),0)"),0)</f>
        <v>0</v>
      </c>
      <c r="M16" s="39">
        <f ca="1">IFERROR(__xludf.DUMMYFUNCTION("IFERROR(sum(QUERY('Mes01'!$B$2:$E1000, ""SELECT C WHERE E = 'Pessoa 2' AND B = '""&amp;$A16&amp;""'"")),0)"),0)</f>
        <v>0</v>
      </c>
      <c r="N16" s="38"/>
      <c r="O16" s="32"/>
      <c r="P16" s="32"/>
      <c r="Q16" s="32"/>
    </row>
    <row r="17" spans="1:17" ht="15.75" customHeight="1">
      <c r="A17" s="51" t="str">
        <f ca="1">IF(AND(Resumo!A28 &lt;&gt; "Investimento (aporte)", Resumo!A28 &lt;&gt; "Gasto Pessoal"),Resumo!A28,"__Gasto não-divisível__")</f>
        <v xml:space="preserve"> Móveis_Aparelhos_Decoração </v>
      </c>
      <c r="B17" s="39">
        <f ca="1">IFERROR(__xludf.DUMMYFUNCTION("IFERROR(sum(QUERY('Mes01'!$B$2:$E1000, ""SELECT C WHERE E = 'Pessoa 2' AND B = '""&amp;$A17&amp;""'"")),0)"),96.119005313004)</f>
        <v>96.119005313003996</v>
      </c>
      <c r="C17" s="39">
        <f ca="1">IFERROR(__xludf.DUMMYFUNCTION("IFERROR(sum(QUERY('Mes01'!$B$2:$E1000, ""SELECT C WHERE E = 'Pessoa 2' AND B = '""&amp;$A17&amp;""'"")),0)"),96.119005313004)</f>
        <v>96.119005313003996</v>
      </c>
      <c r="D17" s="39">
        <f ca="1">IFERROR(__xludf.DUMMYFUNCTION("IFERROR(sum(QUERY('Mes01'!$B$2:$E1000, ""SELECT C WHERE E = 'Pessoa 2' AND B = '""&amp;$A17&amp;""'"")),0)"),96.119005313004)</f>
        <v>96.119005313003996</v>
      </c>
      <c r="E17" s="39">
        <f ca="1">IFERROR(__xludf.DUMMYFUNCTION("IFERROR(sum(QUERY('Mes01'!$B$2:$E1000, ""SELECT C WHERE E = 'Pessoa 2' AND B = '""&amp;$A17&amp;""'"")),0)"),96.119005313004)</f>
        <v>96.119005313003996</v>
      </c>
      <c r="F17" s="39">
        <f ca="1">IFERROR(__xludf.DUMMYFUNCTION("IFERROR(sum(QUERY('Mes01'!$B$2:$E1000, ""SELECT C WHERE E = 'Pessoa 2' AND B = '""&amp;$A17&amp;""'"")),0)"),96.119005313004)</f>
        <v>96.119005313003996</v>
      </c>
      <c r="G17" s="39">
        <f ca="1">IFERROR(__xludf.DUMMYFUNCTION("IFERROR(sum(QUERY('Mes01'!$B$2:$E1000, ""SELECT C WHERE E = 'Pessoa 2' AND B = '""&amp;$A17&amp;""'"")),0)"),96.119005313004)</f>
        <v>96.119005313003996</v>
      </c>
      <c r="H17" s="39">
        <f ca="1">IFERROR(__xludf.DUMMYFUNCTION("IFERROR(sum(QUERY('Mes01'!$B$2:$E1000, ""SELECT C WHERE E = 'Pessoa 2' AND B = '""&amp;$A17&amp;""'"")),0)"),96.119005313004)</f>
        <v>96.119005313003996</v>
      </c>
      <c r="I17" s="39">
        <f ca="1">IFERROR(__xludf.DUMMYFUNCTION("IFERROR(sum(QUERY('Mes01'!$B$2:$E1000, ""SELECT C WHERE E = 'Pessoa 2' AND B = '""&amp;$A17&amp;""'"")),0)"),96.119005313004)</f>
        <v>96.119005313003996</v>
      </c>
      <c r="J17" s="39">
        <f ca="1">IFERROR(__xludf.DUMMYFUNCTION("IFERROR(sum(QUERY('Mes01'!$B$2:$E1000, ""SELECT C WHERE E = 'Pessoa 2' AND B = '""&amp;$A17&amp;""'"")),0)"),96.119005313004)</f>
        <v>96.119005313003996</v>
      </c>
      <c r="K17" s="39">
        <f ca="1">IFERROR(__xludf.DUMMYFUNCTION("IFERROR(sum(QUERY('Mes01'!$B$2:$E1000, ""SELECT C WHERE E = 'Pessoa 2' AND B = '""&amp;$A17&amp;""'"")),0)"),96.119005313004)</f>
        <v>96.119005313003996</v>
      </c>
      <c r="L17" s="39">
        <f ca="1">IFERROR(__xludf.DUMMYFUNCTION("IFERROR(sum(QUERY('Mes01'!$B$2:$E1000, ""SELECT C WHERE E = 'Pessoa 2' AND B = '""&amp;$A17&amp;""'"")),0)"),96.119005313004)</f>
        <v>96.119005313003996</v>
      </c>
      <c r="M17" s="39">
        <f ca="1">IFERROR(__xludf.DUMMYFUNCTION("IFERROR(sum(QUERY('Mes01'!$B$2:$E1000, ""SELECT C WHERE E = 'Pessoa 2' AND B = '""&amp;$A17&amp;""'"")),0)"),96.119005313004)</f>
        <v>96.119005313003996</v>
      </c>
      <c r="N17" s="38"/>
      <c r="O17" s="32"/>
      <c r="P17" s="32"/>
      <c r="Q17" s="32"/>
    </row>
    <row r="18" spans="1:17" ht="15.75" customHeight="1">
      <c r="A18" s="51" t="str">
        <f ca="1">IF(AND(Resumo!A29 &lt;&gt; "Investimento (aporte)", Resumo!A29 &lt;&gt; "Gasto Pessoal"),Resumo!A29,"__Gasto não-divisível__")</f>
        <v xml:space="preserve"> Imposto (IPVA-IPTU-etc) </v>
      </c>
      <c r="B18" s="39">
        <f ca="1">IFERROR(__xludf.DUMMYFUNCTION("IFERROR(sum(QUERY('Mes01'!$B$2:$E1000, ""SELECT C WHERE E = 'Pessoa 2' AND B = '""&amp;$A18&amp;""'"")),0)"),620.015707607646)</f>
        <v>620.01570760764605</v>
      </c>
      <c r="C18" s="39">
        <f ca="1">IFERROR(__xludf.DUMMYFUNCTION("IFERROR(sum(QUERY('Mes01'!$B$2:$E1000, ""SELECT C WHERE E = 'Pessoa 2' AND B = '""&amp;$A18&amp;""'"")),0)"),620.015707607646)</f>
        <v>620.01570760764605</v>
      </c>
      <c r="D18" s="39">
        <f ca="1">IFERROR(__xludf.DUMMYFUNCTION("IFERROR(sum(QUERY('Mes01'!$B$2:$E1000, ""SELECT C WHERE E = 'Pessoa 2' AND B = '""&amp;$A18&amp;""'"")),0)"),620.015707607646)</f>
        <v>620.01570760764605</v>
      </c>
      <c r="E18" s="39">
        <f ca="1">IFERROR(__xludf.DUMMYFUNCTION("IFERROR(sum(QUERY('Mes01'!$B$2:$E1000, ""SELECT C WHERE E = 'Pessoa 2' AND B = '""&amp;$A18&amp;""'"")),0)"),620.015707607646)</f>
        <v>620.01570760764605</v>
      </c>
      <c r="F18" s="39">
        <f ca="1">IFERROR(__xludf.DUMMYFUNCTION("IFERROR(sum(QUERY('Mes01'!$B$2:$E1000, ""SELECT C WHERE E = 'Pessoa 2' AND B = '""&amp;$A18&amp;""'"")),0)"),620.015707607646)</f>
        <v>620.01570760764605</v>
      </c>
      <c r="G18" s="39">
        <f ca="1">IFERROR(__xludf.DUMMYFUNCTION("IFERROR(sum(QUERY('Mes01'!$B$2:$E1000, ""SELECT C WHERE E = 'Pessoa 2' AND B = '""&amp;$A18&amp;""'"")),0)"),620.015707607646)</f>
        <v>620.01570760764605</v>
      </c>
      <c r="H18" s="39">
        <f ca="1">IFERROR(__xludf.DUMMYFUNCTION("IFERROR(sum(QUERY('Mes01'!$B$2:$E1000, ""SELECT C WHERE E = 'Pessoa 2' AND B = '""&amp;$A18&amp;""'"")),0)"),620.015707607646)</f>
        <v>620.01570760764605</v>
      </c>
      <c r="I18" s="39">
        <f ca="1">IFERROR(__xludf.DUMMYFUNCTION("IFERROR(sum(QUERY('Mes01'!$B$2:$E1000, ""SELECT C WHERE E = 'Pessoa 2' AND B = '""&amp;$A18&amp;""'"")),0)"),620.015707607646)</f>
        <v>620.01570760764605</v>
      </c>
      <c r="J18" s="39">
        <f ca="1">IFERROR(__xludf.DUMMYFUNCTION("IFERROR(sum(QUERY('Mes01'!$B$2:$E1000, ""SELECT C WHERE E = 'Pessoa 2' AND B = '""&amp;$A18&amp;""'"")),0)"),620.015707607646)</f>
        <v>620.01570760764605</v>
      </c>
      <c r="K18" s="39">
        <f ca="1">IFERROR(__xludf.DUMMYFUNCTION("IFERROR(sum(QUERY('Mes01'!$B$2:$E1000, ""SELECT C WHERE E = 'Pessoa 2' AND B = '""&amp;$A18&amp;""'"")),0)"),620.015707607646)</f>
        <v>620.01570760764605</v>
      </c>
      <c r="L18" s="39">
        <f ca="1">IFERROR(__xludf.DUMMYFUNCTION("IFERROR(sum(QUERY('Mes01'!$B$2:$E1000, ""SELECT C WHERE E = 'Pessoa 2' AND B = '""&amp;$A18&amp;""'"")),0)"),620.015707607646)</f>
        <v>620.01570760764605</v>
      </c>
      <c r="M18" s="39">
        <f ca="1">IFERROR(__xludf.DUMMYFUNCTION("IFERROR(sum(QUERY('Mes01'!$B$2:$E1000, ""SELECT C WHERE E = 'Pessoa 2' AND B = '""&amp;$A18&amp;""'"")),0)"),620.015707607646)</f>
        <v>620.01570760764605</v>
      </c>
      <c r="N18" s="38"/>
      <c r="O18" s="32"/>
      <c r="P18" s="32"/>
      <c r="Q18" s="32"/>
    </row>
    <row r="19" spans="1:17" ht="15.75" customHeight="1">
      <c r="A19" s="51" t="str">
        <f ca="1">IF(AND(Resumo!A30 &lt;&gt; "Investimento (aporte)", Resumo!A30 &lt;&gt; "Gasto Pessoal"),Resumo!A30,"__Gasto não-divisível__")</f>
        <v xml:space="preserve"> Entretenimento_&amp;_Restaurantes </v>
      </c>
      <c r="B19" s="39">
        <f ca="1">IFERROR(__xludf.DUMMYFUNCTION("IFERROR(sum(QUERY('Mes01'!$B$2:$E1000, ""SELECT C WHERE E = 'Pessoa 2' AND B = '""&amp;$A19&amp;""'"")),0)"),0)</f>
        <v>0</v>
      </c>
      <c r="C19" s="39">
        <f ca="1">IFERROR(__xludf.DUMMYFUNCTION("IFERROR(sum(QUERY('Mes01'!$B$2:$E1000, ""SELECT C WHERE E = 'Pessoa 2' AND B = '""&amp;$A19&amp;""'"")),0)"),0)</f>
        <v>0</v>
      </c>
      <c r="D19" s="39">
        <f ca="1">IFERROR(__xludf.DUMMYFUNCTION("IFERROR(sum(QUERY('Mes01'!$B$2:$E1000, ""SELECT C WHERE E = 'Pessoa 2' AND B = '""&amp;$A19&amp;""'"")),0)"),0)</f>
        <v>0</v>
      </c>
      <c r="E19" s="39">
        <f ca="1">IFERROR(__xludf.DUMMYFUNCTION("IFERROR(sum(QUERY('Mes01'!$B$2:$E1000, ""SELECT C WHERE E = 'Pessoa 2' AND B = '""&amp;$A19&amp;""'"")),0)"),0)</f>
        <v>0</v>
      </c>
      <c r="F19" s="39">
        <f ca="1">IFERROR(__xludf.DUMMYFUNCTION("IFERROR(sum(QUERY('Mes01'!$B$2:$E1000, ""SELECT C WHERE E = 'Pessoa 2' AND B = '""&amp;$A19&amp;""'"")),0)"),0)</f>
        <v>0</v>
      </c>
      <c r="G19" s="39">
        <f ca="1">IFERROR(__xludf.DUMMYFUNCTION("IFERROR(sum(QUERY('Mes01'!$B$2:$E1000, ""SELECT C WHERE E = 'Pessoa 2' AND B = '""&amp;$A19&amp;""'"")),0)"),0)</f>
        <v>0</v>
      </c>
      <c r="H19" s="39">
        <f ca="1">IFERROR(__xludf.DUMMYFUNCTION("IFERROR(sum(QUERY('Mes01'!$B$2:$E1000, ""SELECT C WHERE E = 'Pessoa 2' AND B = '""&amp;$A19&amp;""'"")),0)"),0)</f>
        <v>0</v>
      </c>
      <c r="I19" s="39">
        <f ca="1">IFERROR(__xludf.DUMMYFUNCTION("IFERROR(sum(QUERY('Mes01'!$B$2:$E1000, ""SELECT C WHERE E = 'Pessoa 2' AND B = '""&amp;$A19&amp;""'"")),0)"),0)</f>
        <v>0</v>
      </c>
      <c r="J19" s="39">
        <f ca="1">IFERROR(__xludf.DUMMYFUNCTION("IFERROR(sum(QUERY('Mes01'!$B$2:$E1000, ""SELECT C WHERE E = 'Pessoa 2' AND B = '""&amp;$A19&amp;""'"")),0)"),0)</f>
        <v>0</v>
      </c>
      <c r="K19" s="39">
        <f ca="1">IFERROR(__xludf.DUMMYFUNCTION("IFERROR(sum(QUERY('Mes01'!$B$2:$E1000, ""SELECT C WHERE E = 'Pessoa 2' AND B = '""&amp;$A19&amp;""'"")),0)"),0)</f>
        <v>0</v>
      </c>
      <c r="L19" s="39">
        <f ca="1">IFERROR(__xludf.DUMMYFUNCTION("IFERROR(sum(QUERY('Mes01'!$B$2:$E1000, ""SELECT C WHERE E = 'Pessoa 2' AND B = '""&amp;$A19&amp;""'"")),0)"),0)</f>
        <v>0</v>
      </c>
      <c r="M19" s="39">
        <f ca="1">IFERROR(__xludf.DUMMYFUNCTION("IFERROR(sum(QUERY('Mes01'!$B$2:$E1000, ""SELECT C WHERE E = 'Pessoa 2' AND B = '""&amp;$A19&amp;""'"")),0)"),0)</f>
        <v>0</v>
      </c>
      <c r="N19" s="38"/>
      <c r="O19" s="32"/>
      <c r="P19" s="32"/>
      <c r="Q19" s="32"/>
    </row>
    <row r="20" spans="1:17" ht="15.75" customHeight="1">
      <c r="A20" s="51" t="str">
        <f ca="1">IF(AND(Resumo!A31 &lt;&gt; "Investimento (aporte)", Resumo!A31 &lt;&gt; "Gasto Pessoal"),Resumo!A31,"__Gasto não-divisível__")</f>
        <v xml:space="preserve"> Comida_Alimentação </v>
      </c>
      <c r="B20" s="39">
        <f ca="1">IFERROR(__xludf.DUMMYFUNCTION("IFERROR(sum(QUERY('Mes01'!$B$2:$E1000, ""SELECT C WHERE E = 'Pessoa 2' AND B = '""&amp;$A20&amp;""'"")),0)"),0)</f>
        <v>0</v>
      </c>
      <c r="C20" s="39">
        <f ca="1">IFERROR(__xludf.DUMMYFUNCTION("IFERROR(sum(QUERY('Mes01'!$B$2:$E1000, ""SELECT C WHERE E = 'Pessoa 2' AND B = '""&amp;$A20&amp;""'"")),0)"),0)</f>
        <v>0</v>
      </c>
      <c r="D20" s="39">
        <f ca="1">IFERROR(__xludf.DUMMYFUNCTION("IFERROR(sum(QUERY('Mes01'!$B$2:$E1000, ""SELECT C WHERE E = 'Pessoa 2' AND B = '""&amp;$A20&amp;""'"")),0)"),0)</f>
        <v>0</v>
      </c>
      <c r="E20" s="39">
        <f ca="1">IFERROR(__xludf.DUMMYFUNCTION("IFERROR(sum(QUERY('Mes01'!$B$2:$E1000, ""SELECT C WHERE E = 'Pessoa 2' AND B = '""&amp;$A20&amp;""'"")),0)"),0)</f>
        <v>0</v>
      </c>
      <c r="F20" s="39">
        <f ca="1">IFERROR(__xludf.DUMMYFUNCTION("IFERROR(sum(QUERY('Mes01'!$B$2:$E1000, ""SELECT C WHERE E = 'Pessoa 2' AND B = '""&amp;$A20&amp;""'"")),0)"),0)</f>
        <v>0</v>
      </c>
      <c r="G20" s="39">
        <f ca="1">IFERROR(__xludf.DUMMYFUNCTION("IFERROR(sum(QUERY('Mes01'!$B$2:$E1000, ""SELECT C WHERE E = 'Pessoa 2' AND B = '""&amp;$A20&amp;""'"")),0)"),0)</f>
        <v>0</v>
      </c>
      <c r="H20" s="39">
        <f ca="1">IFERROR(__xludf.DUMMYFUNCTION("IFERROR(sum(QUERY('Mes01'!$B$2:$E1000, ""SELECT C WHERE E = 'Pessoa 2' AND B = '""&amp;$A20&amp;""'"")),0)"),0)</f>
        <v>0</v>
      </c>
      <c r="I20" s="39">
        <f ca="1">IFERROR(__xludf.DUMMYFUNCTION("IFERROR(sum(QUERY('Mes01'!$B$2:$E1000, ""SELECT C WHERE E = 'Pessoa 2' AND B = '""&amp;$A20&amp;""'"")),0)"),0)</f>
        <v>0</v>
      </c>
      <c r="J20" s="39">
        <f ca="1">IFERROR(__xludf.DUMMYFUNCTION("IFERROR(sum(QUERY('Mes01'!$B$2:$E1000, ""SELECT C WHERE E = 'Pessoa 2' AND B = '""&amp;$A20&amp;""'"")),0)"),0)</f>
        <v>0</v>
      </c>
      <c r="K20" s="39">
        <f ca="1">IFERROR(__xludf.DUMMYFUNCTION("IFERROR(sum(QUERY('Mes01'!$B$2:$E1000, ""SELECT C WHERE E = 'Pessoa 2' AND B = '""&amp;$A20&amp;""'"")),0)"),0)</f>
        <v>0</v>
      </c>
      <c r="L20" s="39">
        <f ca="1">IFERROR(__xludf.DUMMYFUNCTION("IFERROR(sum(QUERY('Mes01'!$B$2:$E1000, ""SELECT C WHERE E = 'Pessoa 2' AND B = '""&amp;$A20&amp;""'"")),0)"),0)</f>
        <v>0</v>
      </c>
      <c r="M20" s="39">
        <f ca="1">IFERROR(__xludf.DUMMYFUNCTION("IFERROR(sum(QUERY('Mes01'!$B$2:$E1000, ""SELECT C WHERE E = 'Pessoa 2' AND B = '""&amp;$A20&amp;""'"")),0)"),0)</f>
        <v>0</v>
      </c>
      <c r="N20" s="38"/>
      <c r="O20" s="32"/>
      <c r="P20" s="32"/>
      <c r="Q20" s="32"/>
    </row>
    <row r="21" spans="1:17" ht="15.75" customHeight="1">
      <c r="A21" s="52" t="str">
        <f ca="1">IF(AND(Resumo!A32 &lt;&gt; "Investimento (aporte)", Resumo!A32 &lt;&gt; "Gasto Pessoal"),Resumo!A32,"__Gasto não-divisível__")</f>
        <v xml:space="preserve"> Investimento (aporte) </v>
      </c>
      <c r="B21" s="39">
        <f ca="1">IFERROR(__xludf.DUMMYFUNCTION("IFERROR(sum(QUERY('Mes01'!$B$2:$E1000, ""SELECT C WHERE E = 'Pessoa 2' AND B = '""&amp;$A21&amp;""'"")),0)"),0)</f>
        <v>0</v>
      </c>
      <c r="C21" s="39">
        <f ca="1">IFERROR(__xludf.DUMMYFUNCTION("IFERROR(sum(QUERY('Mes01'!$B$2:$E1000, ""SELECT C WHERE E = 'Pessoa 2' AND B = '""&amp;$A21&amp;""'"")),0)"),0)</f>
        <v>0</v>
      </c>
      <c r="D21" s="39">
        <f ca="1">IFERROR(__xludf.DUMMYFUNCTION("IFERROR(sum(QUERY('Mes01'!$B$2:$E1000, ""SELECT C WHERE E = 'Pessoa 2' AND B = '""&amp;$A21&amp;""'"")),0)"),0)</f>
        <v>0</v>
      </c>
      <c r="E21" s="39">
        <f ca="1">IFERROR(__xludf.DUMMYFUNCTION("IFERROR(sum(QUERY('Mes01'!$B$2:$E1000, ""SELECT C WHERE E = 'Pessoa 2' AND B = '""&amp;$A21&amp;""'"")),0)"),0)</f>
        <v>0</v>
      </c>
      <c r="F21" s="39">
        <f ca="1">IFERROR(__xludf.DUMMYFUNCTION("IFERROR(sum(QUERY('Mes01'!$B$2:$E1000, ""SELECT C WHERE E = 'Pessoa 2' AND B = '""&amp;$A21&amp;""'"")),0)"),0)</f>
        <v>0</v>
      </c>
      <c r="G21" s="39">
        <f ca="1">IFERROR(__xludf.DUMMYFUNCTION("IFERROR(sum(QUERY('Mes01'!$B$2:$E1000, ""SELECT C WHERE E = 'Pessoa 2' AND B = '""&amp;$A21&amp;""'"")),0)"),0)</f>
        <v>0</v>
      </c>
      <c r="H21" s="39">
        <f ca="1">IFERROR(__xludf.DUMMYFUNCTION("IFERROR(sum(QUERY('Mes01'!$B$2:$E1000, ""SELECT C WHERE E = 'Pessoa 2' AND B = '""&amp;$A21&amp;""'"")),0)"),0)</f>
        <v>0</v>
      </c>
      <c r="I21" s="39">
        <f ca="1">IFERROR(__xludf.DUMMYFUNCTION("IFERROR(sum(QUERY('Mes01'!$B$2:$E1000, ""SELECT C WHERE E = 'Pessoa 2' AND B = '""&amp;$A21&amp;""'"")),0)"),0)</f>
        <v>0</v>
      </c>
      <c r="J21" s="39">
        <f ca="1">IFERROR(__xludf.DUMMYFUNCTION("IFERROR(sum(QUERY('Mes01'!$B$2:$E1000, ""SELECT C WHERE E = 'Pessoa 2' AND B = '""&amp;$A21&amp;""'"")),0)"),0)</f>
        <v>0</v>
      </c>
      <c r="K21" s="39">
        <f ca="1">IFERROR(__xludf.DUMMYFUNCTION("IFERROR(sum(QUERY('Mes01'!$B$2:$E1000, ""SELECT C WHERE E = 'Pessoa 2' AND B = '""&amp;$A21&amp;""'"")),0)"),0)</f>
        <v>0</v>
      </c>
      <c r="L21" s="39">
        <f ca="1">IFERROR(__xludf.DUMMYFUNCTION("IFERROR(sum(QUERY('Mes01'!$B$2:$E1000, ""SELECT C WHERE E = 'Pessoa 2' AND B = '""&amp;$A21&amp;""'"")),0)"),0)</f>
        <v>0</v>
      </c>
      <c r="M21" s="39">
        <f ca="1">IFERROR(__xludf.DUMMYFUNCTION("IFERROR(sum(QUERY('Mes01'!$B$2:$E1000, ""SELECT C WHERE E = 'Pessoa 2' AND B = '""&amp;$A21&amp;""'"")),0)"),0)</f>
        <v>0</v>
      </c>
      <c r="N21" s="38"/>
      <c r="O21" s="32"/>
      <c r="P21" s="32"/>
      <c r="Q21" s="32"/>
    </row>
    <row r="22" spans="1:17" ht="15.75" customHeight="1">
      <c r="A22" s="51" t="str">
        <f ca="1">IF(AND(Resumo!A33 &lt;&gt; "Investimento (aporte)", Resumo!A33 &lt;&gt; "Gasto Pessoal"),Resumo!A33,"__Gasto não-divisível__")</f>
        <v xml:space="preserve"> Internet_Telefonia </v>
      </c>
      <c r="B22" s="39">
        <f ca="1">IFERROR(__xludf.DUMMYFUNCTION("IFERROR(sum(QUERY('Mes01'!$B$2:$E1000, ""SELECT C WHERE E = 'Pessoa 2' AND B = '""&amp;$A22&amp;""'"")),0)"),0)</f>
        <v>0</v>
      </c>
      <c r="C22" s="39">
        <f ca="1">IFERROR(__xludf.DUMMYFUNCTION("IFERROR(sum(QUERY('Mes01'!$B$2:$E1000, ""SELECT C WHERE E = 'Pessoa 2' AND B = '""&amp;$A22&amp;""'"")),0)"),0)</f>
        <v>0</v>
      </c>
      <c r="D22" s="39">
        <f ca="1">IFERROR(__xludf.DUMMYFUNCTION("IFERROR(sum(QUERY('Mes01'!$B$2:$E1000, ""SELECT C WHERE E = 'Pessoa 2' AND B = '""&amp;$A22&amp;""'"")),0)"),0)</f>
        <v>0</v>
      </c>
      <c r="E22" s="39">
        <f ca="1">IFERROR(__xludf.DUMMYFUNCTION("IFERROR(sum(QUERY('Mes01'!$B$2:$E1000, ""SELECT C WHERE E = 'Pessoa 2' AND B = '""&amp;$A22&amp;""'"")),0)"),0)</f>
        <v>0</v>
      </c>
      <c r="F22" s="39">
        <f ca="1">IFERROR(__xludf.DUMMYFUNCTION("IFERROR(sum(QUERY('Mes01'!$B$2:$E1000, ""SELECT C WHERE E = 'Pessoa 2' AND B = '""&amp;$A22&amp;""'"")),0)"),0)</f>
        <v>0</v>
      </c>
      <c r="G22" s="39">
        <f ca="1">IFERROR(__xludf.DUMMYFUNCTION("IFERROR(sum(QUERY('Mes01'!$B$2:$E1000, ""SELECT C WHERE E = 'Pessoa 2' AND B = '""&amp;$A22&amp;""'"")),0)"),0)</f>
        <v>0</v>
      </c>
      <c r="H22" s="39">
        <f ca="1">IFERROR(__xludf.DUMMYFUNCTION("IFERROR(sum(QUERY('Mes01'!$B$2:$E1000, ""SELECT C WHERE E = 'Pessoa 2' AND B = '""&amp;$A22&amp;""'"")),0)"),0)</f>
        <v>0</v>
      </c>
      <c r="I22" s="39">
        <f ca="1">IFERROR(__xludf.DUMMYFUNCTION("IFERROR(sum(QUERY('Mes01'!$B$2:$E1000, ""SELECT C WHERE E = 'Pessoa 2' AND B = '""&amp;$A22&amp;""'"")),0)"),0)</f>
        <v>0</v>
      </c>
      <c r="J22" s="39">
        <f ca="1">IFERROR(__xludf.DUMMYFUNCTION("IFERROR(sum(QUERY('Mes01'!$B$2:$E1000, ""SELECT C WHERE E = 'Pessoa 2' AND B = '""&amp;$A22&amp;""'"")),0)"),0)</f>
        <v>0</v>
      </c>
      <c r="K22" s="39">
        <f ca="1">IFERROR(__xludf.DUMMYFUNCTION("IFERROR(sum(QUERY('Mes01'!$B$2:$E1000, ""SELECT C WHERE E = 'Pessoa 2' AND B = '""&amp;$A22&amp;""'"")),0)"),0)</f>
        <v>0</v>
      </c>
      <c r="L22" s="39">
        <f ca="1">IFERROR(__xludf.DUMMYFUNCTION("IFERROR(sum(QUERY('Mes01'!$B$2:$E1000, ""SELECT C WHERE E = 'Pessoa 2' AND B = '""&amp;$A22&amp;""'"")),0)"),0)</f>
        <v>0</v>
      </c>
      <c r="M22" s="39">
        <f ca="1">IFERROR(__xludf.DUMMYFUNCTION("IFERROR(sum(QUERY('Mes01'!$B$2:$E1000, ""SELECT C WHERE E = 'Pessoa 2' AND B = '""&amp;$A22&amp;""'"")),0)"),0)</f>
        <v>0</v>
      </c>
      <c r="P22" s="32"/>
      <c r="Q22" s="32"/>
    </row>
    <row r="23" spans="1:17" ht="15.75" customHeight="1">
      <c r="A23" s="51" t="str">
        <f ca="1">IF(AND(Resumo!A34 &lt;&gt; "Investimento (aporte)", Resumo!A34 &lt;&gt; "Gasto Pessoal"),Resumo!A34,"__Gasto não-divisível__")</f>
        <v xml:space="preserve"> Transporte Geral &amp; Coletivo </v>
      </c>
      <c r="B23" s="39">
        <f ca="1">IFERROR(__xludf.DUMMYFUNCTION("IFERROR(sum(QUERY('Mes01'!$B$2:$E1000, ""SELECT C WHERE E = 'Pessoa 2' AND B = '""&amp;$A23&amp;""'"")),0)"),0)</f>
        <v>0</v>
      </c>
      <c r="C23" s="39">
        <f ca="1">IFERROR(__xludf.DUMMYFUNCTION("IFERROR(sum(QUERY('Mes01'!$B$2:$E1000, ""SELECT C WHERE E = 'Pessoa 2' AND B = '""&amp;$A23&amp;""'"")),0)"),0)</f>
        <v>0</v>
      </c>
      <c r="D23" s="39">
        <f ca="1">IFERROR(__xludf.DUMMYFUNCTION("IFERROR(sum(QUERY('Mes01'!$B$2:$E1000, ""SELECT C WHERE E = 'Pessoa 2' AND B = '""&amp;$A23&amp;""'"")),0)"),0)</f>
        <v>0</v>
      </c>
      <c r="E23" s="39">
        <f ca="1">IFERROR(__xludf.DUMMYFUNCTION("IFERROR(sum(QUERY('Mes01'!$B$2:$E1000, ""SELECT C WHERE E = 'Pessoa 2' AND B = '""&amp;$A23&amp;""'"")),0)"),0)</f>
        <v>0</v>
      </c>
      <c r="F23" s="39">
        <f ca="1">IFERROR(__xludf.DUMMYFUNCTION("IFERROR(sum(QUERY('Mes01'!$B$2:$E1000, ""SELECT C WHERE E = 'Pessoa 2' AND B = '""&amp;$A23&amp;""'"")),0)"),0)</f>
        <v>0</v>
      </c>
      <c r="G23" s="39">
        <f ca="1">IFERROR(__xludf.DUMMYFUNCTION("IFERROR(sum(QUERY('Mes01'!$B$2:$E1000, ""SELECT C WHERE E = 'Pessoa 2' AND B = '""&amp;$A23&amp;""'"")),0)"),0)</f>
        <v>0</v>
      </c>
      <c r="H23" s="39">
        <f ca="1">IFERROR(__xludf.DUMMYFUNCTION("IFERROR(sum(QUERY('Mes01'!$B$2:$E1000, ""SELECT C WHERE E = 'Pessoa 2' AND B = '""&amp;$A23&amp;""'"")),0)"),0)</f>
        <v>0</v>
      </c>
      <c r="I23" s="39">
        <f ca="1">IFERROR(__xludf.DUMMYFUNCTION("IFERROR(sum(QUERY('Mes01'!$B$2:$E1000, ""SELECT C WHERE E = 'Pessoa 2' AND B = '""&amp;$A23&amp;""'"")),0)"),0)</f>
        <v>0</v>
      </c>
      <c r="J23" s="39">
        <f ca="1">IFERROR(__xludf.DUMMYFUNCTION("IFERROR(sum(QUERY('Mes01'!$B$2:$E1000, ""SELECT C WHERE E = 'Pessoa 2' AND B = '""&amp;$A23&amp;""'"")),0)"),0)</f>
        <v>0</v>
      </c>
      <c r="K23" s="39">
        <f ca="1">IFERROR(__xludf.DUMMYFUNCTION("IFERROR(sum(QUERY('Mes01'!$B$2:$E1000, ""SELECT C WHERE E = 'Pessoa 2' AND B = '""&amp;$A23&amp;""'"")),0)"),0)</f>
        <v>0</v>
      </c>
      <c r="L23" s="39">
        <f ca="1">IFERROR(__xludf.DUMMYFUNCTION("IFERROR(sum(QUERY('Mes01'!$B$2:$E1000, ""SELECT C WHERE E = 'Pessoa 2' AND B = '""&amp;$A23&amp;""'"")),0)"),0)</f>
        <v>0</v>
      </c>
      <c r="M23" s="39">
        <f ca="1">IFERROR(__xludf.DUMMYFUNCTION("IFERROR(sum(QUERY('Mes01'!$B$2:$E1000, ""SELECT C WHERE E = 'Pessoa 2' AND B = '""&amp;$A23&amp;""'"")),0)"),0)</f>
        <v>0</v>
      </c>
      <c r="P23" s="32"/>
      <c r="Q23" s="32"/>
    </row>
    <row r="24" spans="1:17" ht="15.75" customHeight="1">
      <c r="A24" s="51" t="str">
        <f ca="1">IF(AND(Resumo!A35 &lt;&gt; "Investimento (aporte)", Resumo!A35 &lt;&gt; "Gasto Pessoal"),Resumo!A35,"__Gasto não-divisível__")</f>
        <v xml:space="preserve"> Transporte Uber &amp; Apps </v>
      </c>
      <c r="B24" s="39">
        <f ca="1">IFERROR(__xludf.DUMMYFUNCTION("IFERROR(sum(QUERY('Mes01'!$B$2:$E1000, ""SELECT C WHERE E = 'Pessoa 2' AND B = '""&amp;$A24&amp;""'"")),0)"),0)</f>
        <v>0</v>
      </c>
      <c r="C24" s="39">
        <f ca="1">IFERROR(__xludf.DUMMYFUNCTION("IFERROR(sum(QUERY('Mes01'!$B$2:$E1000, ""SELECT C WHERE E = 'Pessoa 2' AND B = '""&amp;$A24&amp;""'"")),0)"),0)</f>
        <v>0</v>
      </c>
      <c r="D24" s="39">
        <f ca="1">IFERROR(__xludf.DUMMYFUNCTION("IFERROR(sum(QUERY('Mes01'!$B$2:$E1000, ""SELECT C WHERE E = 'Pessoa 2' AND B = '""&amp;$A24&amp;""'"")),0)"),0)</f>
        <v>0</v>
      </c>
      <c r="E24" s="39">
        <f ca="1">IFERROR(__xludf.DUMMYFUNCTION("IFERROR(sum(QUERY('Mes01'!$B$2:$E1000, ""SELECT C WHERE E = 'Pessoa 2' AND B = '""&amp;$A24&amp;""'"")),0)"),0)</f>
        <v>0</v>
      </c>
      <c r="F24" s="39">
        <f ca="1">IFERROR(__xludf.DUMMYFUNCTION("IFERROR(sum(QUERY('Mes01'!$B$2:$E1000, ""SELECT C WHERE E = 'Pessoa 2' AND B = '""&amp;$A24&amp;""'"")),0)"),0)</f>
        <v>0</v>
      </c>
      <c r="G24" s="39">
        <f ca="1">IFERROR(__xludf.DUMMYFUNCTION("IFERROR(sum(QUERY('Mes01'!$B$2:$E1000, ""SELECT C WHERE E = 'Pessoa 2' AND B = '""&amp;$A24&amp;""'"")),0)"),0)</f>
        <v>0</v>
      </c>
      <c r="H24" s="39">
        <f ca="1">IFERROR(__xludf.DUMMYFUNCTION("IFERROR(sum(QUERY('Mes01'!$B$2:$E1000, ""SELECT C WHERE E = 'Pessoa 2' AND B = '""&amp;$A24&amp;""'"")),0)"),0)</f>
        <v>0</v>
      </c>
      <c r="I24" s="39">
        <f ca="1">IFERROR(__xludf.DUMMYFUNCTION("IFERROR(sum(QUERY('Mes01'!$B$2:$E1000, ""SELECT C WHERE E = 'Pessoa 2' AND B = '""&amp;$A24&amp;""'"")),0)"),0)</f>
        <v>0</v>
      </c>
      <c r="J24" s="39">
        <f ca="1">IFERROR(__xludf.DUMMYFUNCTION("IFERROR(sum(QUERY('Mes01'!$B$2:$E1000, ""SELECT C WHERE E = 'Pessoa 2' AND B = '""&amp;$A24&amp;""'"")),0)"),0)</f>
        <v>0</v>
      </c>
      <c r="K24" s="39">
        <f ca="1">IFERROR(__xludf.DUMMYFUNCTION("IFERROR(sum(QUERY('Mes01'!$B$2:$E1000, ""SELECT C WHERE E = 'Pessoa 2' AND B = '""&amp;$A24&amp;""'"")),0)"),0)</f>
        <v>0</v>
      </c>
      <c r="L24" s="39">
        <f ca="1">IFERROR(__xludf.DUMMYFUNCTION("IFERROR(sum(QUERY('Mes01'!$B$2:$E1000, ""SELECT C WHERE E = 'Pessoa 2' AND B = '""&amp;$A24&amp;""'"")),0)"),0)</f>
        <v>0</v>
      </c>
      <c r="M24" s="39">
        <f ca="1">IFERROR(__xludf.DUMMYFUNCTION("IFERROR(sum(QUERY('Mes01'!$B$2:$E1000, ""SELECT C WHERE E = 'Pessoa 2' AND B = '""&amp;$A24&amp;""'"")),0)"),0)</f>
        <v>0</v>
      </c>
      <c r="N24" s="53"/>
      <c r="O24" s="32"/>
      <c r="P24" s="32"/>
      <c r="Q24" s="32"/>
    </row>
    <row r="25" spans="1:17" ht="15.75" customHeight="1">
      <c r="A25" s="51" t="str">
        <f ca="1">IF(AND(Resumo!A36 &lt;&gt; "Investimento (aporte)", Resumo!A36 &lt;&gt; "Gasto Pessoal"),Resumo!A36,"__Gasto não-divisível__")</f>
        <v xml:space="preserve"> Educação </v>
      </c>
      <c r="B25" s="39">
        <f ca="1">IFERROR(__xludf.DUMMYFUNCTION("IFERROR(sum(QUERY('Mes01'!$B$2:$E1000, ""SELECT C WHERE E = 'Pessoa 2' AND B = '""&amp;$A25&amp;""'"")),0)"),0)</f>
        <v>0</v>
      </c>
      <c r="C25" s="39">
        <f ca="1">IFERROR(__xludf.DUMMYFUNCTION("IFERROR(sum(QUERY('Mes01'!$B$2:$E1000, ""SELECT C WHERE E = 'Pessoa 2' AND B = '""&amp;$A25&amp;""'"")),0)"),0)</f>
        <v>0</v>
      </c>
      <c r="D25" s="39">
        <f ca="1">IFERROR(__xludf.DUMMYFUNCTION("IFERROR(sum(QUERY('Mes01'!$B$2:$E1000, ""SELECT C WHERE E = 'Pessoa 2' AND B = '""&amp;$A25&amp;""'"")),0)"),0)</f>
        <v>0</v>
      </c>
      <c r="E25" s="39">
        <f ca="1">IFERROR(__xludf.DUMMYFUNCTION("IFERROR(sum(QUERY('Mes01'!$B$2:$E1000, ""SELECT C WHERE E = 'Pessoa 2' AND B = '""&amp;$A25&amp;""'"")),0)"),0)</f>
        <v>0</v>
      </c>
      <c r="F25" s="39">
        <f ca="1">IFERROR(__xludf.DUMMYFUNCTION("IFERROR(sum(QUERY('Mes01'!$B$2:$E1000, ""SELECT C WHERE E = 'Pessoa 2' AND B = '""&amp;$A25&amp;""'"")),0)"),0)</f>
        <v>0</v>
      </c>
      <c r="G25" s="39">
        <f ca="1">IFERROR(__xludf.DUMMYFUNCTION("IFERROR(sum(QUERY('Mes01'!$B$2:$E1000, ""SELECT C WHERE E = 'Pessoa 2' AND B = '""&amp;$A25&amp;""'"")),0)"),0)</f>
        <v>0</v>
      </c>
      <c r="H25" s="39">
        <f ca="1">IFERROR(__xludf.DUMMYFUNCTION("IFERROR(sum(QUERY('Mes01'!$B$2:$E1000, ""SELECT C WHERE E = 'Pessoa 2' AND B = '""&amp;$A25&amp;""'"")),0)"),0)</f>
        <v>0</v>
      </c>
      <c r="I25" s="39">
        <f ca="1">IFERROR(__xludf.DUMMYFUNCTION("IFERROR(sum(QUERY('Mes01'!$B$2:$E1000, ""SELECT C WHERE E = 'Pessoa 2' AND B = '""&amp;$A25&amp;""'"")),0)"),0)</f>
        <v>0</v>
      </c>
      <c r="J25" s="39">
        <f ca="1">IFERROR(__xludf.DUMMYFUNCTION("IFERROR(sum(QUERY('Mes01'!$B$2:$E1000, ""SELECT C WHERE E = 'Pessoa 2' AND B = '""&amp;$A25&amp;""'"")),0)"),0)</f>
        <v>0</v>
      </c>
      <c r="K25" s="39">
        <f ca="1">IFERROR(__xludf.DUMMYFUNCTION("IFERROR(sum(QUERY('Mes01'!$B$2:$E1000, ""SELECT C WHERE E = 'Pessoa 2' AND B = '""&amp;$A25&amp;""'"")),0)"),0)</f>
        <v>0</v>
      </c>
      <c r="L25" s="39">
        <f ca="1">IFERROR(__xludf.DUMMYFUNCTION("IFERROR(sum(QUERY('Mes01'!$B$2:$E1000, ""SELECT C WHERE E = 'Pessoa 2' AND B = '""&amp;$A25&amp;""'"")),0)"),0)</f>
        <v>0</v>
      </c>
      <c r="M25" s="39">
        <f ca="1">IFERROR(__xludf.DUMMYFUNCTION("IFERROR(sum(QUERY('Mes01'!$B$2:$E1000, ""SELECT C WHERE E = 'Pessoa 2' AND B = '""&amp;$A25&amp;""'"")),0)"),0)</f>
        <v>0</v>
      </c>
      <c r="N25" s="53"/>
      <c r="O25" s="32"/>
      <c r="P25" s="32"/>
      <c r="Q25" s="32"/>
    </row>
    <row r="26" spans="1:17" ht="15.75" customHeight="1">
      <c r="A26" s="51" t="str">
        <f ca="1">IF(AND(Resumo!A37 &lt;&gt; "Investimento (aporte)", Resumo!A37 &lt;&gt; "Gasto Pessoal"),Resumo!A37,"__Gasto não-divisível__")</f>
        <v xml:space="preserve"> Roupa_Acessorios </v>
      </c>
      <c r="B26" s="39">
        <f ca="1">IFERROR(__xludf.DUMMYFUNCTION("IFERROR(sum(QUERY('Mes01'!$B$2:$E1000, ""SELECT C WHERE E = 'Pessoa 2' AND B = '""&amp;$A26&amp;""'"")),0)"),0)</f>
        <v>0</v>
      </c>
      <c r="C26" s="39">
        <f ca="1">IFERROR(__xludf.DUMMYFUNCTION("IFERROR(sum(QUERY('Mes01'!$B$2:$E1000, ""SELECT C WHERE E = 'Pessoa 2' AND B = '""&amp;$A26&amp;""'"")),0)"),0)</f>
        <v>0</v>
      </c>
      <c r="D26" s="39">
        <f ca="1">IFERROR(__xludf.DUMMYFUNCTION("IFERROR(sum(QUERY('Mes01'!$B$2:$E1000, ""SELECT C WHERE E = 'Pessoa 2' AND B = '""&amp;$A26&amp;""'"")),0)"),0)</f>
        <v>0</v>
      </c>
      <c r="E26" s="39">
        <f ca="1">IFERROR(__xludf.DUMMYFUNCTION("IFERROR(sum(QUERY('Mes01'!$B$2:$E1000, ""SELECT C WHERE E = 'Pessoa 2' AND B = '""&amp;$A26&amp;""'"")),0)"),0)</f>
        <v>0</v>
      </c>
      <c r="F26" s="39">
        <f ca="1">IFERROR(__xludf.DUMMYFUNCTION("IFERROR(sum(QUERY('Mes01'!$B$2:$E1000, ""SELECT C WHERE E = 'Pessoa 2' AND B = '""&amp;$A26&amp;""'"")),0)"),0)</f>
        <v>0</v>
      </c>
      <c r="G26" s="39">
        <f ca="1">IFERROR(__xludf.DUMMYFUNCTION("IFERROR(sum(QUERY('Mes01'!$B$2:$E1000, ""SELECT C WHERE E = 'Pessoa 2' AND B = '""&amp;$A26&amp;""'"")),0)"),0)</f>
        <v>0</v>
      </c>
      <c r="H26" s="39">
        <f ca="1">IFERROR(__xludf.DUMMYFUNCTION("IFERROR(sum(QUERY('Mes01'!$B$2:$E1000, ""SELECT C WHERE E = 'Pessoa 2' AND B = '""&amp;$A26&amp;""'"")),0)"),0)</f>
        <v>0</v>
      </c>
      <c r="I26" s="39">
        <f ca="1">IFERROR(__xludf.DUMMYFUNCTION("IFERROR(sum(QUERY('Mes01'!$B$2:$E1000, ""SELECT C WHERE E = 'Pessoa 2' AND B = '""&amp;$A26&amp;""'"")),0)"),0)</f>
        <v>0</v>
      </c>
      <c r="J26" s="39">
        <f ca="1">IFERROR(__xludf.DUMMYFUNCTION("IFERROR(sum(QUERY('Mes01'!$B$2:$E1000, ""SELECT C WHERE E = 'Pessoa 2' AND B = '""&amp;$A26&amp;""'"")),0)"),0)</f>
        <v>0</v>
      </c>
      <c r="K26" s="39">
        <f ca="1">IFERROR(__xludf.DUMMYFUNCTION("IFERROR(sum(QUERY('Mes01'!$B$2:$E1000, ""SELECT C WHERE E = 'Pessoa 2' AND B = '""&amp;$A26&amp;""'"")),0)"),0)</f>
        <v>0</v>
      </c>
      <c r="L26" s="39">
        <f ca="1">IFERROR(__xludf.DUMMYFUNCTION("IFERROR(sum(QUERY('Mes01'!$B$2:$E1000, ""SELECT C WHERE E = 'Pessoa 2' AND B = '""&amp;$A26&amp;""'"")),0)"),0)</f>
        <v>0</v>
      </c>
      <c r="M26" s="39">
        <f ca="1">IFERROR(__xludf.DUMMYFUNCTION("IFERROR(sum(QUERY('Mes01'!$B$2:$E1000, ""SELECT C WHERE E = 'Pessoa 2' AND B = '""&amp;$A26&amp;""'"")),0)"),0)</f>
        <v>0</v>
      </c>
      <c r="N26" s="53"/>
      <c r="O26" s="32"/>
      <c r="P26" s="32"/>
      <c r="Q26" s="32"/>
    </row>
    <row r="27" spans="1:17" ht="15.75" customHeight="1">
      <c r="A27" s="51" t="str">
        <f ca="1">IF(AND(Resumo!A38 &lt;&gt; "Investimento (aporte)", Resumo!A38 &lt;&gt; "Gasto Pessoal"),Resumo!A38,"__Gasto não-divisível__")</f>
        <v xml:space="preserve"> Viagem/Vacation </v>
      </c>
      <c r="B27" s="39">
        <f ca="1">IFERROR(__xludf.DUMMYFUNCTION("IFERROR(sum(QUERY('Mes01'!$B$2:$E1000, ""SELECT C WHERE E = 'Pessoa 2' AND B = '""&amp;$A27&amp;""'"")),0)"),0)</f>
        <v>0</v>
      </c>
      <c r="C27" s="39">
        <f ca="1">IFERROR(__xludf.DUMMYFUNCTION("IFERROR(sum(QUERY('Mes01'!$B$2:$E1000, ""SELECT C WHERE E = 'Pessoa 2' AND B = '""&amp;$A27&amp;""'"")),0)"),0)</f>
        <v>0</v>
      </c>
      <c r="D27" s="39">
        <f ca="1">IFERROR(__xludf.DUMMYFUNCTION("IFERROR(sum(QUERY('Mes01'!$B$2:$E1000, ""SELECT C WHERE E = 'Pessoa 2' AND B = '""&amp;$A27&amp;""'"")),0)"),0)</f>
        <v>0</v>
      </c>
      <c r="E27" s="39">
        <f ca="1">IFERROR(__xludf.DUMMYFUNCTION("IFERROR(sum(QUERY('Mes01'!$B$2:$E1000, ""SELECT C WHERE E = 'Pessoa 2' AND B = '""&amp;$A27&amp;""'"")),0)"),0)</f>
        <v>0</v>
      </c>
      <c r="F27" s="39">
        <f ca="1">IFERROR(__xludf.DUMMYFUNCTION("IFERROR(sum(QUERY('Mes01'!$B$2:$E1000, ""SELECT C WHERE E = 'Pessoa 2' AND B = '""&amp;$A27&amp;""'"")),0)"),0)</f>
        <v>0</v>
      </c>
      <c r="G27" s="39">
        <f ca="1">IFERROR(__xludf.DUMMYFUNCTION("IFERROR(sum(QUERY('Mes01'!$B$2:$E1000, ""SELECT C WHERE E = 'Pessoa 2' AND B = '""&amp;$A27&amp;""'"")),0)"),0)</f>
        <v>0</v>
      </c>
      <c r="H27" s="39">
        <f ca="1">IFERROR(__xludf.DUMMYFUNCTION("IFERROR(sum(QUERY('Mes01'!$B$2:$E1000, ""SELECT C WHERE E = 'Pessoa 2' AND B = '""&amp;$A27&amp;""'"")),0)"),0)</f>
        <v>0</v>
      </c>
      <c r="I27" s="39">
        <f ca="1">IFERROR(__xludf.DUMMYFUNCTION("IFERROR(sum(QUERY('Mes01'!$B$2:$E1000, ""SELECT C WHERE E = 'Pessoa 2' AND B = '""&amp;$A27&amp;""'"")),0)"),0)</f>
        <v>0</v>
      </c>
      <c r="J27" s="39">
        <f ca="1">IFERROR(__xludf.DUMMYFUNCTION("IFERROR(sum(QUERY('Mes01'!$B$2:$E1000, ""SELECT C WHERE E = 'Pessoa 2' AND B = '""&amp;$A27&amp;""'"")),0)"),0)</f>
        <v>0</v>
      </c>
      <c r="K27" s="39">
        <f ca="1">IFERROR(__xludf.DUMMYFUNCTION("IFERROR(sum(QUERY('Mes01'!$B$2:$E1000, ""SELECT C WHERE E = 'Pessoa 2' AND B = '""&amp;$A27&amp;""'"")),0)"),0)</f>
        <v>0</v>
      </c>
      <c r="L27" s="39">
        <f ca="1">IFERROR(__xludf.DUMMYFUNCTION("IFERROR(sum(QUERY('Mes01'!$B$2:$E1000, ""SELECT C WHERE E = 'Pessoa 2' AND B = '""&amp;$A27&amp;""'"")),0)"),0)</f>
        <v>0</v>
      </c>
      <c r="M27" s="39">
        <f ca="1">IFERROR(__xludf.DUMMYFUNCTION("IFERROR(sum(QUERY('Mes01'!$B$2:$E1000, ""SELECT C WHERE E = 'Pessoa 2' AND B = '""&amp;$A27&amp;""'"")),0)"),0)</f>
        <v>0</v>
      </c>
      <c r="N27" s="38"/>
      <c r="O27" s="32"/>
      <c r="P27" s="32"/>
      <c r="Q27" s="32"/>
    </row>
    <row r="28" spans="1:17" ht="15.75" customHeight="1">
      <c r="A28" s="52">
        <f>IF(AND(Resumo!A39 &lt;&gt; "Investimento (aporte)", Resumo!A39 &lt;&gt; "Gasto Pessoal"),Resumo!A39,"__Gasto não-divisível__")</f>
        <v>0</v>
      </c>
      <c r="B28" s="39">
        <f ca="1">IFERROR(__xludf.DUMMYFUNCTION("IFERROR(sum(QUERY('Mes01'!$B$2:$E1000, ""SELECT C WHERE E = 'Pessoa 2' AND B = '""&amp;$A28&amp;""'"")),0)"),0)</f>
        <v>0</v>
      </c>
      <c r="C28" s="39">
        <f ca="1">IFERROR(__xludf.DUMMYFUNCTION("IFERROR(sum(QUERY('Mes01'!$B$2:$E1000, ""SELECT C WHERE E = 'Pessoa 2' AND B = '""&amp;$A28&amp;""'"")),0)"),0)</f>
        <v>0</v>
      </c>
      <c r="D28" s="39">
        <f ca="1">IFERROR(__xludf.DUMMYFUNCTION("IFERROR(sum(QUERY('Mes01'!$B$2:$E1000, ""SELECT C WHERE E = 'Pessoa 2' AND B = '""&amp;$A28&amp;""'"")),0)"),0)</f>
        <v>0</v>
      </c>
      <c r="E28" s="39">
        <f ca="1">IFERROR(__xludf.DUMMYFUNCTION("IFERROR(sum(QUERY('Mes01'!$B$2:$E1000, ""SELECT C WHERE E = 'Pessoa 2' AND B = '""&amp;$A28&amp;""'"")),0)"),0)</f>
        <v>0</v>
      </c>
      <c r="F28" s="39">
        <f ca="1">IFERROR(__xludf.DUMMYFUNCTION("IFERROR(sum(QUERY('Mes01'!$B$2:$E1000, ""SELECT C WHERE E = 'Pessoa 2' AND B = '""&amp;$A28&amp;""'"")),0)"),0)</f>
        <v>0</v>
      </c>
      <c r="G28" s="39">
        <f ca="1">IFERROR(__xludf.DUMMYFUNCTION("IFERROR(sum(QUERY('Mes01'!$B$2:$E1000, ""SELECT C WHERE E = 'Pessoa 2' AND B = '""&amp;$A28&amp;""'"")),0)"),0)</f>
        <v>0</v>
      </c>
      <c r="H28" s="39">
        <f ca="1">IFERROR(__xludf.DUMMYFUNCTION("IFERROR(sum(QUERY('Mes01'!$B$2:$E1000, ""SELECT C WHERE E = 'Pessoa 2' AND B = '""&amp;$A28&amp;""'"")),0)"),0)</f>
        <v>0</v>
      </c>
      <c r="I28" s="39">
        <f ca="1">IFERROR(__xludf.DUMMYFUNCTION("IFERROR(sum(QUERY('Mes01'!$B$2:$E1000, ""SELECT C WHERE E = 'Pessoa 2' AND B = '""&amp;$A28&amp;""'"")),0)"),0)</f>
        <v>0</v>
      </c>
      <c r="J28" s="39">
        <f ca="1">IFERROR(__xludf.DUMMYFUNCTION("IFERROR(sum(QUERY('Mes01'!$B$2:$E1000, ""SELECT C WHERE E = 'Pessoa 2' AND B = '""&amp;$A28&amp;""'"")),0)"),0)</f>
        <v>0</v>
      </c>
      <c r="K28" s="39">
        <f ca="1">IFERROR(__xludf.DUMMYFUNCTION("IFERROR(sum(QUERY('Mes01'!$B$2:$E1000, ""SELECT C WHERE E = 'Pessoa 2' AND B = '""&amp;$A28&amp;""'"")),0)"),0)</f>
        <v>0</v>
      </c>
      <c r="L28" s="39">
        <f ca="1">IFERROR(__xludf.DUMMYFUNCTION("IFERROR(sum(QUERY('Mes01'!$B$2:$E1000, ""SELECT C WHERE E = 'Pessoa 2' AND B = '""&amp;$A28&amp;""'"")),0)"),0)</f>
        <v>0</v>
      </c>
      <c r="M28" s="39">
        <f ca="1">IFERROR(__xludf.DUMMYFUNCTION("IFERROR(sum(QUERY('Mes01'!$B$2:$E1000, ""SELECT C WHERE E = 'Pessoa 2' AND B = '""&amp;$A28&amp;""'"")),0)"),0)</f>
        <v>0</v>
      </c>
      <c r="N28" s="38"/>
      <c r="O28" s="32"/>
      <c r="P28" s="32"/>
      <c r="Q28" s="32"/>
    </row>
    <row r="29" spans="1:17" ht="15.75" customHeight="1">
      <c r="A29" s="52">
        <f>IF(AND(Resumo!A40 &lt;&gt; "Investimento (aporte)", Resumo!A40 &lt;&gt; "Gasto Pessoal"),Resumo!A40,"__Gasto não-divisível__")</f>
        <v>0</v>
      </c>
      <c r="B29" s="39">
        <f ca="1">IFERROR(__xludf.DUMMYFUNCTION("IFERROR(sum(QUERY('Mes01'!$B$2:$E1000, ""SELECT C WHERE E = 'Pessoa 2' AND B = '""&amp;$A29&amp;""'"")),0)"),0)</f>
        <v>0</v>
      </c>
      <c r="C29" s="39">
        <f ca="1">IFERROR(__xludf.DUMMYFUNCTION("IFERROR(sum(QUERY('Mes01'!$B$2:$E1000, ""SELECT C WHERE E = 'Pessoa 2' AND B = '""&amp;$A29&amp;""'"")),0)"),0)</f>
        <v>0</v>
      </c>
      <c r="D29" s="39">
        <f ca="1">IFERROR(__xludf.DUMMYFUNCTION("IFERROR(sum(QUERY('Mes01'!$B$2:$E1000, ""SELECT C WHERE E = 'Pessoa 2' AND B = '""&amp;$A29&amp;""'"")),0)"),0)</f>
        <v>0</v>
      </c>
      <c r="E29" s="39">
        <f ca="1">IFERROR(__xludf.DUMMYFUNCTION("IFERROR(sum(QUERY('Mes01'!$B$2:$E1000, ""SELECT C WHERE E = 'Pessoa 2' AND B = '""&amp;$A29&amp;""'"")),0)"),0)</f>
        <v>0</v>
      </c>
      <c r="F29" s="39">
        <f ca="1">IFERROR(__xludf.DUMMYFUNCTION("IFERROR(sum(QUERY('Mes01'!$B$2:$E1000, ""SELECT C WHERE E = 'Pessoa 2' AND B = '""&amp;$A29&amp;""'"")),0)"),0)</f>
        <v>0</v>
      </c>
      <c r="G29" s="39">
        <f ca="1">IFERROR(__xludf.DUMMYFUNCTION("IFERROR(sum(QUERY('Mes01'!$B$2:$E1000, ""SELECT C WHERE E = 'Pessoa 2' AND B = '""&amp;$A29&amp;""'"")),0)"),0)</f>
        <v>0</v>
      </c>
      <c r="H29" s="39">
        <f ca="1">IFERROR(__xludf.DUMMYFUNCTION("IFERROR(sum(QUERY('Mes01'!$B$2:$E1000, ""SELECT C WHERE E = 'Pessoa 2' AND B = '""&amp;$A29&amp;""'"")),0)"),0)</f>
        <v>0</v>
      </c>
      <c r="I29" s="39">
        <f ca="1">IFERROR(__xludf.DUMMYFUNCTION("IFERROR(sum(QUERY('Mes01'!$B$2:$E1000, ""SELECT C WHERE E = 'Pessoa 2' AND B = '""&amp;$A29&amp;""'"")),0)"),0)</f>
        <v>0</v>
      </c>
      <c r="J29" s="39">
        <f ca="1">IFERROR(__xludf.DUMMYFUNCTION("IFERROR(sum(QUERY('Mes01'!$B$2:$E1000, ""SELECT C WHERE E = 'Pessoa 2' AND B = '""&amp;$A29&amp;""'"")),0)"),0)</f>
        <v>0</v>
      </c>
      <c r="K29" s="39">
        <f ca="1">IFERROR(__xludf.DUMMYFUNCTION("IFERROR(sum(QUERY('Mes01'!$B$2:$E1000, ""SELECT C WHERE E = 'Pessoa 2' AND B = '""&amp;$A29&amp;""'"")),0)"),0)</f>
        <v>0</v>
      </c>
      <c r="L29" s="39">
        <f ca="1">IFERROR(__xludf.DUMMYFUNCTION("IFERROR(sum(QUERY('Mes01'!$B$2:$E1000, ""SELECT C WHERE E = 'Pessoa 2' AND B = '""&amp;$A29&amp;""'"")),0)"),0)</f>
        <v>0</v>
      </c>
      <c r="M29" s="39">
        <f ca="1">IFERROR(__xludf.DUMMYFUNCTION("IFERROR(sum(QUERY('Mes01'!$B$2:$E1000, ""SELECT C WHERE E = 'Pessoa 2' AND B = '""&amp;$A29&amp;""'"")),0)"),0)</f>
        <v>0</v>
      </c>
      <c r="N29" s="38"/>
      <c r="O29" s="32"/>
      <c r="P29" s="32"/>
      <c r="Q29" s="32"/>
    </row>
    <row r="30" spans="1:17" ht="15.75" customHeight="1">
      <c r="A30" s="52">
        <f>IF(AND(Resumo!A41 &lt;&gt; "Investimento (aporte)", Resumo!A41 &lt;&gt; "Gasto Pessoal"),Resumo!A41,"__Gasto não-divisível__")</f>
        <v>0</v>
      </c>
      <c r="B30" s="39">
        <f ca="1">IFERROR(__xludf.DUMMYFUNCTION("IFERROR(sum(QUERY('Mes01'!$B$2:$E1000, ""SELECT C WHERE E = 'Pessoa 2' AND B = '""&amp;$A30&amp;""'"")),0)"),0)</f>
        <v>0</v>
      </c>
      <c r="C30" s="39">
        <f ca="1">IFERROR(__xludf.DUMMYFUNCTION("IFERROR(sum(QUERY('Mes01'!$B$2:$E1000, ""SELECT C WHERE E = 'Pessoa 2' AND B = '""&amp;$A30&amp;""'"")),0)"),0)</f>
        <v>0</v>
      </c>
      <c r="D30" s="39">
        <f ca="1">IFERROR(__xludf.DUMMYFUNCTION("IFERROR(sum(QUERY('Mes01'!$B$2:$E1000, ""SELECT C WHERE E = 'Pessoa 2' AND B = '""&amp;$A30&amp;""'"")),0)"),0)</f>
        <v>0</v>
      </c>
      <c r="E30" s="39">
        <f ca="1">IFERROR(__xludf.DUMMYFUNCTION("IFERROR(sum(QUERY('Mes01'!$B$2:$E1000, ""SELECT C WHERE E = 'Pessoa 2' AND B = '""&amp;$A30&amp;""'"")),0)"),0)</f>
        <v>0</v>
      </c>
      <c r="F30" s="39">
        <f ca="1">IFERROR(__xludf.DUMMYFUNCTION("IFERROR(sum(QUERY('Mes01'!$B$2:$E1000, ""SELECT C WHERE E = 'Pessoa 2' AND B = '""&amp;$A30&amp;""'"")),0)"),0)</f>
        <v>0</v>
      </c>
      <c r="G30" s="39">
        <f ca="1">IFERROR(__xludf.DUMMYFUNCTION("IFERROR(sum(QUERY('Mes01'!$B$2:$E1000, ""SELECT C WHERE E = 'Pessoa 2' AND B = '""&amp;$A30&amp;""'"")),0)"),0)</f>
        <v>0</v>
      </c>
      <c r="H30" s="39">
        <f ca="1">IFERROR(__xludf.DUMMYFUNCTION("IFERROR(sum(QUERY('Mes01'!$B$2:$E1000, ""SELECT C WHERE E = 'Pessoa 2' AND B = '""&amp;$A30&amp;""'"")),0)"),0)</f>
        <v>0</v>
      </c>
      <c r="I30" s="39">
        <f ca="1">IFERROR(__xludf.DUMMYFUNCTION("IFERROR(sum(QUERY('Mes01'!$B$2:$E1000, ""SELECT C WHERE E = 'Pessoa 2' AND B = '""&amp;$A30&amp;""'"")),0)"),0)</f>
        <v>0</v>
      </c>
      <c r="J30" s="39">
        <f ca="1">IFERROR(__xludf.DUMMYFUNCTION("IFERROR(sum(QUERY('Mes01'!$B$2:$E1000, ""SELECT C WHERE E = 'Pessoa 2' AND B = '""&amp;$A30&amp;""'"")),0)"),0)</f>
        <v>0</v>
      </c>
      <c r="K30" s="39">
        <f ca="1">IFERROR(__xludf.DUMMYFUNCTION("IFERROR(sum(QUERY('Mes01'!$B$2:$E1000, ""SELECT C WHERE E = 'Pessoa 2' AND B = '""&amp;$A30&amp;""'"")),0)"),0)</f>
        <v>0</v>
      </c>
      <c r="L30" s="39">
        <f ca="1">IFERROR(__xludf.DUMMYFUNCTION("IFERROR(sum(QUERY('Mes01'!$B$2:$E1000, ""SELECT C WHERE E = 'Pessoa 2' AND B = '""&amp;$A30&amp;""'"")),0)"),0)</f>
        <v>0</v>
      </c>
      <c r="M30" s="39">
        <f ca="1">IFERROR(__xludf.DUMMYFUNCTION("IFERROR(sum(QUERY('Mes01'!$B$2:$E1000, ""SELECT C WHERE E = 'Pessoa 2' AND B = '""&amp;$A30&amp;""'"")),0)"),0)</f>
        <v>0</v>
      </c>
      <c r="N30" s="38"/>
      <c r="O30" s="32"/>
      <c r="P30" s="32"/>
      <c r="Q30" s="32"/>
    </row>
    <row r="31" spans="1:17" ht="15.75" customHeight="1">
      <c r="A31" s="52">
        <f>IF(AND(Resumo!A42 &lt;&gt; "Investimento (aporte)", Resumo!A42 &lt;&gt; "Gasto Pessoal"),Resumo!A42,"__Gasto não-divisível__")</f>
        <v>0</v>
      </c>
      <c r="B31" s="39">
        <f ca="1">IFERROR(__xludf.DUMMYFUNCTION("IFERROR(sum(QUERY('Mes01'!$B$2:$E1000, ""SELECT C WHERE E = 'Pessoa 2' AND B = '""&amp;$A31&amp;""'"")),0)"),0)</f>
        <v>0</v>
      </c>
      <c r="C31" s="39">
        <f ca="1">IFERROR(__xludf.DUMMYFUNCTION("IFERROR(sum(QUERY('Mes01'!$B$2:$E1000, ""SELECT C WHERE E = 'Pessoa 2' AND B = '""&amp;$A31&amp;""'"")),0)"),0)</f>
        <v>0</v>
      </c>
      <c r="D31" s="39">
        <f ca="1">IFERROR(__xludf.DUMMYFUNCTION("IFERROR(sum(QUERY('Mes01'!$B$2:$E1000, ""SELECT C WHERE E = 'Pessoa 2' AND B = '""&amp;$A31&amp;""'"")),0)"),0)</f>
        <v>0</v>
      </c>
      <c r="E31" s="39">
        <f ca="1">IFERROR(__xludf.DUMMYFUNCTION("IFERROR(sum(QUERY('Mes01'!$B$2:$E1000, ""SELECT C WHERE E = 'Pessoa 2' AND B = '""&amp;$A31&amp;""'"")),0)"),0)</f>
        <v>0</v>
      </c>
      <c r="F31" s="39">
        <f ca="1">IFERROR(__xludf.DUMMYFUNCTION("IFERROR(sum(QUERY('Mes01'!$B$2:$E1000, ""SELECT C WHERE E = 'Pessoa 2' AND B = '""&amp;$A31&amp;""'"")),0)"),0)</f>
        <v>0</v>
      </c>
      <c r="G31" s="39">
        <f ca="1">IFERROR(__xludf.DUMMYFUNCTION("IFERROR(sum(QUERY('Mes01'!$B$2:$E1000, ""SELECT C WHERE E = 'Pessoa 2' AND B = '""&amp;$A31&amp;""'"")),0)"),0)</f>
        <v>0</v>
      </c>
      <c r="H31" s="39">
        <f ca="1">IFERROR(__xludf.DUMMYFUNCTION("IFERROR(sum(QUERY('Mes01'!$B$2:$E1000, ""SELECT C WHERE E = 'Pessoa 2' AND B = '""&amp;$A31&amp;""'"")),0)"),0)</f>
        <v>0</v>
      </c>
      <c r="I31" s="39">
        <f ca="1">IFERROR(__xludf.DUMMYFUNCTION("IFERROR(sum(QUERY('Mes01'!$B$2:$E1000, ""SELECT C WHERE E = 'Pessoa 2' AND B = '""&amp;$A31&amp;""'"")),0)"),0)</f>
        <v>0</v>
      </c>
      <c r="J31" s="39">
        <f ca="1">IFERROR(__xludf.DUMMYFUNCTION("IFERROR(sum(QUERY('Mes01'!$B$2:$E1000, ""SELECT C WHERE E = 'Pessoa 2' AND B = '""&amp;$A31&amp;""'"")),0)"),0)</f>
        <v>0</v>
      </c>
      <c r="K31" s="39">
        <f ca="1">IFERROR(__xludf.DUMMYFUNCTION("IFERROR(sum(QUERY('Mes01'!$B$2:$E1000, ""SELECT C WHERE E = 'Pessoa 2' AND B = '""&amp;$A31&amp;""'"")),0)"),0)</f>
        <v>0</v>
      </c>
      <c r="L31" s="39">
        <f ca="1">IFERROR(__xludf.DUMMYFUNCTION("IFERROR(sum(QUERY('Mes01'!$B$2:$E1000, ""SELECT C WHERE E = 'Pessoa 2' AND B = '""&amp;$A31&amp;""'"")),0)"),0)</f>
        <v>0</v>
      </c>
      <c r="M31" s="39">
        <f ca="1">IFERROR(__xludf.DUMMYFUNCTION("IFERROR(sum(QUERY('Mes01'!$B$2:$E1000, ""SELECT C WHERE E = 'Pessoa 2' AND B = '""&amp;$A31&amp;""'"")),0)"),0)</f>
        <v>0</v>
      </c>
      <c r="N31" s="38"/>
      <c r="O31" s="32"/>
      <c r="P31" s="32"/>
      <c r="Q31" s="32"/>
    </row>
    <row r="32" spans="1:17" ht="15.75" customHeight="1">
      <c r="A32" s="52">
        <f>IF(AND(Resumo!A43 &lt;&gt; "Investimento (aporte)", Resumo!A43 &lt;&gt; "Gasto Pessoal"),Resumo!A43,"__Gasto não-divisível__")</f>
        <v>0</v>
      </c>
      <c r="B32" s="39">
        <f ca="1">IFERROR(__xludf.DUMMYFUNCTION("IFERROR(sum(QUERY('Mes01'!$B$2:$E1000, ""SELECT C WHERE E = 'Pessoa 2' AND B = '""&amp;$A32&amp;""'"")),0)"),0)</f>
        <v>0</v>
      </c>
      <c r="C32" s="39">
        <f ca="1">IFERROR(__xludf.DUMMYFUNCTION("IFERROR(sum(QUERY('Mes01'!$B$2:$E1000, ""SELECT C WHERE E = 'Pessoa 2' AND B = '""&amp;$A32&amp;""'"")),0)"),0)</f>
        <v>0</v>
      </c>
      <c r="D32" s="39">
        <f ca="1">IFERROR(__xludf.DUMMYFUNCTION("IFERROR(sum(QUERY('Mes01'!$B$2:$E1000, ""SELECT C WHERE E = 'Pessoa 2' AND B = '""&amp;$A32&amp;""'"")),0)"),0)</f>
        <v>0</v>
      </c>
      <c r="E32" s="39">
        <f ca="1">IFERROR(__xludf.DUMMYFUNCTION("IFERROR(sum(QUERY('Mes01'!$B$2:$E1000, ""SELECT C WHERE E = 'Pessoa 2' AND B = '""&amp;$A32&amp;""'"")),0)"),0)</f>
        <v>0</v>
      </c>
      <c r="F32" s="39">
        <f ca="1">IFERROR(__xludf.DUMMYFUNCTION("IFERROR(sum(QUERY('Mes01'!$B$2:$E1000, ""SELECT C WHERE E = 'Pessoa 2' AND B = '""&amp;$A32&amp;""'"")),0)"),0)</f>
        <v>0</v>
      </c>
      <c r="G32" s="39">
        <f ca="1">IFERROR(__xludf.DUMMYFUNCTION("IFERROR(sum(QUERY('Mes01'!$B$2:$E1000, ""SELECT C WHERE E = 'Pessoa 2' AND B = '""&amp;$A32&amp;""'"")),0)"),0)</f>
        <v>0</v>
      </c>
      <c r="H32" s="39">
        <f ca="1">IFERROR(__xludf.DUMMYFUNCTION("IFERROR(sum(QUERY('Mes01'!$B$2:$E1000, ""SELECT C WHERE E = 'Pessoa 2' AND B = '""&amp;$A32&amp;""'"")),0)"),0)</f>
        <v>0</v>
      </c>
      <c r="I32" s="39">
        <f ca="1">IFERROR(__xludf.DUMMYFUNCTION("IFERROR(sum(QUERY('Mes01'!$B$2:$E1000, ""SELECT C WHERE E = 'Pessoa 2' AND B = '""&amp;$A32&amp;""'"")),0)"),0)</f>
        <v>0</v>
      </c>
      <c r="J32" s="39">
        <f ca="1">IFERROR(__xludf.DUMMYFUNCTION("IFERROR(sum(QUERY('Mes01'!$B$2:$E1000, ""SELECT C WHERE E = 'Pessoa 2' AND B = '""&amp;$A32&amp;""'"")),0)"),0)</f>
        <v>0</v>
      </c>
      <c r="K32" s="39">
        <f ca="1">IFERROR(__xludf.DUMMYFUNCTION("IFERROR(sum(QUERY('Mes01'!$B$2:$E1000, ""SELECT C WHERE E = 'Pessoa 2' AND B = '""&amp;$A32&amp;""'"")),0)"),0)</f>
        <v>0</v>
      </c>
      <c r="L32" s="39">
        <f ca="1">IFERROR(__xludf.DUMMYFUNCTION("IFERROR(sum(QUERY('Mes01'!$B$2:$E1000, ""SELECT C WHERE E = 'Pessoa 2' AND B = '""&amp;$A32&amp;""'"")),0)"),0)</f>
        <v>0</v>
      </c>
      <c r="M32" s="39">
        <f ca="1">IFERROR(__xludf.DUMMYFUNCTION("IFERROR(sum(QUERY('Mes01'!$B$2:$E1000, ""SELECT C WHERE E = 'Pessoa 2' AND B = '""&amp;$A32&amp;""'"")),0)"),0)</f>
        <v>0</v>
      </c>
      <c r="N32" s="38"/>
      <c r="O32" s="32"/>
      <c r="P32" s="32"/>
      <c r="Q32" s="32"/>
    </row>
    <row r="33" spans="1:17" ht="15.75" customHeight="1">
      <c r="A33" s="52">
        <f>IF(AND(Resumo!A44 &lt;&gt; "Investimento (aporte)", Resumo!A44 &lt;&gt; "Gasto Pessoal"),Resumo!A44,"__Gasto não-divisível__")</f>
        <v>0</v>
      </c>
      <c r="B33" s="39">
        <f ca="1">IFERROR(__xludf.DUMMYFUNCTION("IFERROR(sum(QUERY('Mes01'!$B$2:$E1000, ""SELECT C WHERE E = 'Pessoa 2' AND B = '""&amp;$A33&amp;""'"")),0)"),0)</f>
        <v>0</v>
      </c>
      <c r="C33" s="39">
        <f ca="1">IFERROR(__xludf.DUMMYFUNCTION("IFERROR(sum(QUERY('Mes01'!$B$2:$E1000, ""SELECT C WHERE E = 'Pessoa 2' AND B = '""&amp;$A33&amp;""'"")),0)"),0)</f>
        <v>0</v>
      </c>
      <c r="D33" s="39">
        <f ca="1">IFERROR(__xludf.DUMMYFUNCTION("IFERROR(sum(QUERY('Mes01'!$B$2:$E1000, ""SELECT C WHERE E = 'Pessoa 2' AND B = '""&amp;$A33&amp;""'"")),0)"),0)</f>
        <v>0</v>
      </c>
      <c r="E33" s="39">
        <f ca="1">IFERROR(__xludf.DUMMYFUNCTION("IFERROR(sum(QUERY('Mes01'!$B$2:$E1000, ""SELECT C WHERE E = 'Pessoa 2' AND B = '""&amp;$A33&amp;""'"")),0)"),0)</f>
        <v>0</v>
      </c>
      <c r="F33" s="39">
        <f ca="1">IFERROR(__xludf.DUMMYFUNCTION("IFERROR(sum(QUERY('Mes01'!$B$2:$E1000, ""SELECT C WHERE E = 'Pessoa 2' AND B = '""&amp;$A33&amp;""'"")),0)"),0)</f>
        <v>0</v>
      </c>
      <c r="G33" s="39">
        <f ca="1">IFERROR(__xludf.DUMMYFUNCTION("IFERROR(sum(QUERY('Mes01'!$B$2:$E1000, ""SELECT C WHERE E = 'Pessoa 2' AND B = '""&amp;$A33&amp;""'"")),0)"),0)</f>
        <v>0</v>
      </c>
      <c r="H33" s="39">
        <f ca="1">IFERROR(__xludf.DUMMYFUNCTION("IFERROR(sum(QUERY('Mes01'!$B$2:$E1000, ""SELECT C WHERE E = 'Pessoa 2' AND B = '""&amp;$A33&amp;""'"")),0)"),0)</f>
        <v>0</v>
      </c>
      <c r="I33" s="39">
        <f ca="1">IFERROR(__xludf.DUMMYFUNCTION("IFERROR(sum(QUERY('Mes01'!$B$2:$E1000, ""SELECT C WHERE E = 'Pessoa 2' AND B = '""&amp;$A33&amp;""'"")),0)"),0)</f>
        <v>0</v>
      </c>
      <c r="J33" s="39">
        <f ca="1">IFERROR(__xludf.DUMMYFUNCTION("IFERROR(sum(QUERY('Mes01'!$B$2:$E1000, ""SELECT C WHERE E = 'Pessoa 2' AND B = '""&amp;$A33&amp;""'"")),0)"),0)</f>
        <v>0</v>
      </c>
      <c r="K33" s="39">
        <f ca="1">IFERROR(__xludf.DUMMYFUNCTION("IFERROR(sum(QUERY('Mes01'!$B$2:$E1000, ""SELECT C WHERE E = 'Pessoa 2' AND B = '""&amp;$A33&amp;""'"")),0)"),0)</f>
        <v>0</v>
      </c>
      <c r="L33" s="39">
        <f ca="1">IFERROR(__xludf.DUMMYFUNCTION("IFERROR(sum(QUERY('Mes01'!$B$2:$E1000, ""SELECT C WHERE E = 'Pessoa 2' AND B = '""&amp;$A33&amp;""'"")),0)"),0)</f>
        <v>0</v>
      </c>
      <c r="M33" s="39">
        <f ca="1">IFERROR(__xludf.DUMMYFUNCTION("IFERROR(sum(QUERY('Mes01'!$B$2:$E1000, ""SELECT C WHERE E = 'Pessoa 2' AND B = '""&amp;$A33&amp;""'"")),0)"),0)</f>
        <v>0</v>
      </c>
      <c r="N33" s="38"/>
      <c r="O33" s="32"/>
      <c r="P33" s="32"/>
      <c r="Q33" s="32"/>
    </row>
    <row r="34" spans="1:17" ht="15.75" customHeight="1">
      <c r="A34" s="52">
        <f>IF(AND(Resumo!A45 &lt;&gt; "Investimento (aporte)", Resumo!A45 &lt;&gt; "Gasto Pessoal"),Resumo!A45,"__Gasto não-divisível__")</f>
        <v>0</v>
      </c>
      <c r="B34" s="39">
        <f ca="1">IFERROR(__xludf.DUMMYFUNCTION("IFERROR(sum(QUERY('Mes01'!$B$2:$E1000, ""SELECT C WHERE E = 'Pessoa 2' AND B = '""&amp;$A34&amp;""'"")),0)"),0)</f>
        <v>0</v>
      </c>
      <c r="C34" s="39">
        <f ca="1">IFERROR(__xludf.DUMMYFUNCTION("IFERROR(sum(QUERY('Mes01'!$B$2:$E1000, ""SELECT C WHERE E = 'Pessoa 2' AND B = '""&amp;$A34&amp;""'"")),0)"),0)</f>
        <v>0</v>
      </c>
      <c r="D34" s="39">
        <f ca="1">IFERROR(__xludf.DUMMYFUNCTION("IFERROR(sum(QUERY('Mes01'!$B$2:$E1000, ""SELECT C WHERE E = 'Pessoa 2' AND B = '""&amp;$A34&amp;""'"")),0)"),0)</f>
        <v>0</v>
      </c>
      <c r="E34" s="39">
        <f ca="1">IFERROR(__xludf.DUMMYFUNCTION("IFERROR(sum(QUERY('Mes01'!$B$2:$E1000, ""SELECT C WHERE E = 'Pessoa 2' AND B = '""&amp;$A34&amp;""'"")),0)"),0)</f>
        <v>0</v>
      </c>
      <c r="F34" s="39">
        <f ca="1">IFERROR(__xludf.DUMMYFUNCTION("IFERROR(sum(QUERY('Mes01'!$B$2:$E1000, ""SELECT C WHERE E = 'Pessoa 2' AND B = '""&amp;$A34&amp;""'"")),0)"),0)</f>
        <v>0</v>
      </c>
      <c r="G34" s="39">
        <f ca="1">IFERROR(__xludf.DUMMYFUNCTION("IFERROR(sum(QUERY('Mes01'!$B$2:$E1000, ""SELECT C WHERE E = 'Pessoa 2' AND B = '""&amp;$A34&amp;""'"")),0)"),0)</f>
        <v>0</v>
      </c>
      <c r="H34" s="39">
        <f ca="1">IFERROR(__xludf.DUMMYFUNCTION("IFERROR(sum(QUERY('Mes01'!$B$2:$E1000, ""SELECT C WHERE E = 'Pessoa 2' AND B = '""&amp;$A34&amp;""'"")),0)"),0)</f>
        <v>0</v>
      </c>
      <c r="I34" s="39">
        <f ca="1">IFERROR(__xludf.DUMMYFUNCTION("IFERROR(sum(QUERY('Mes01'!$B$2:$E1000, ""SELECT C WHERE E = 'Pessoa 2' AND B = '""&amp;$A34&amp;""'"")),0)"),0)</f>
        <v>0</v>
      </c>
      <c r="J34" s="39">
        <f ca="1">IFERROR(__xludf.DUMMYFUNCTION("IFERROR(sum(QUERY('Mes01'!$B$2:$E1000, ""SELECT C WHERE E = 'Pessoa 2' AND B = '""&amp;$A34&amp;""'"")),0)"),0)</f>
        <v>0</v>
      </c>
      <c r="K34" s="39">
        <f ca="1">IFERROR(__xludf.DUMMYFUNCTION("IFERROR(sum(QUERY('Mes01'!$B$2:$E1000, ""SELECT C WHERE E = 'Pessoa 2' AND B = '""&amp;$A34&amp;""'"")),0)"),0)</f>
        <v>0</v>
      </c>
      <c r="L34" s="39">
        <f ca="1">IFERROR(__xludf.DUMMYFUNCTION("IFERROR(sum(QUERY('Mes01'!$B$2:$E1000, ""SELECT C WHERE E = 'Pessoa 2' AND B = '""&amp;$A34&amp;""'"")),0)"),0)</f>
        <v>0</v>
      </c>
      <c r="M34" s="39">
        <f ca="1">IFERROR(__xludf.DUMMYFUNCTION("IFERROR(sum(QUERY('Mes01'!$B$2:$E1000, ""SELECT C WHERE E = 'Pessoa 2' AND B = '""&amp;$A34&amp;""'"")),0)"),0)</f>
        <v>0</v>
      </c>
      <c r="N34" s="38"/>
      <c r="O34" s="32"/>
      <c r="P34" s="32"/>
      <c r="Q34" s="32"/>
    </row>
    <row r="35" spans="1:17" ht="15.75" customHeight="1">
      <c r="A35" s="52">
        <f>IF(AND(Resumo!A46 &lt;&gt; "Investimento (aporte)", Resumo!A46 &lt;&gt; "Gasto Pessoal"),Resumo!A46,"__Gasto não-divisível__")</f>
        <v>0</v>
      </c>
      <c r="B35" s="39">
        <f ca="1">IFERROR(__xludf.DUMMYFUNCTION("IFERROR(sum(QUERY('Mes01'!$B$2:$E1000, ""SELECT C WHERE E = 'Pessoa 2' AND B = '""&amp;$A35&amp;""'"")),0)"),0)</f>
        <v>0</v>
      </c>
      <c r="C35" s="39">
        <f ca="1">IFERROR(__xludf.DUMMYFUNCTION("IFERROR(sum(QUERY('Mes01'!$B$2:$E1000, ""SELECT C WHERE E = 'Pessoa 2' AND B = '""&amp;$A35&amp;""'"")),0)"),0)</f>
        <v>0</v>
      </c>
      <c r="D35" s="39">
        <f ca="1">IFERROR(__xludf.DUMMYFUNCTION("IFERROR(sum(QUERY('Mes01'!$B$2:$E1000, ""SELECT C WHERE E = 'Pessoa 2' AND B = '""&amp;$A35&amp;""'"")),0)"),0)</f>
        <v>0</v>
      </c>
      <c r="E35" s="39">
        <f ca="1">IFERROR(__xludf.DUMMYFUNCTION("IFERROR(sum(QUERY('Mes01'!$B$2:$E1000, ""SELECT C WHERE E = 'Pessoa 2' AND B = '""&amp;$A35&amp;""'"")),0)"),0)</f>
        <v>0</v>
      </c>
      <c r="F35" s="39">
        <f ca="1">IFERROR(__xludf.DUMMYFUNCTION("IFERROR(sum(QUERY('Mes01'!$B$2:$E1000, ""SELECT C WHERE E = 'Pessoa 2' AND B = '""&amp;$A35&amp;""'"")),0)"),0)</f>
        <v>0</v>
      </c>
      <c r="G35" s="39">
        <f ca="1">IFERROR(__xludf.DUMMYFUNCTION("IFERROR(sum(QUERY('Mes01'!$B$2:$E1000, ""SELECT C WHERE E = 'Pessoa 2' AND B = '""&amp;$A35&amp;""'"")),0)"),0)</f>
        <v>0</v>
      </c>
      <c r="H35" s="39">
        <f ca="1">IFERROR(__xludf.DUMMYFUNCTION("IFERROR(sum(QUERY('Mes01'!$B$2:$E1000, ""SELECT C WHERE E = 'Pessoa 2' AND B = '""&amp;$A35&amp;""'"")),0)"),0)</f>
        <v>0</v>
      </c>
      <c r="I35" s="39">
        <f ca="1">IFERROR(__xludf.DUMMYFUNCTION("IFERROR(sum(QUERY('Mes01'!$B$2:$E1000, ""SELECT C WHERE E = 'Pessoa 2' AND B = '""&amp;$A35&amp;""'"")),0)"),0)</f>
        <v>0</v>
      </c>
      <c r="J35" s="39">
        <f ca="1">IFERROR(__xludf.DUMMYFUNCTION("IFERROR(sum(QUERY('Mes01'!$B$2:$E1000, ""SELECT C WHERE E = 'Pessoa 2' AND B = '""&amp;$A35&amp;""'"")),0)"),0)</f>
        <v>0</v>
      </c>
      <c r="K35" s="39">
        <f ca="1">IFERROR(__xludf.DUMMYFUNCTION("IFERROR(sum(QUERY('Mes01'!$B$2:$E1000, ""SELECT C WHERE E = 'Pessoa 2' AND B = '""&amp;$A35&amp;""'"")),0)"),0)</f>
        <v>0</v>
      </c>
      <c r="L35" s="39">
        <f ca="1">IFERROR(__xludf.DUMMYFUNCTION("IFERROR(sum(QUERY('Mes01'!$B$2:$E1000, ""SELECT C WHERE E = 'Pessoa 2' AND B = '""&amp;$A35&amp;""'"")),0)"),0)</f>
        <v>0</v>
      </c>
      <c r="M35" s="39">
        <f ca="1">IFERROR(__xludf.DUMMYFUNCTION("IFERROR(sum(QUERY('Mes01'!$B$2:$E1000, ""SELECT C WHERE E = 'Pessoa 2' AND B = '""&amp;$A35&amp;""'"")),0)"),0)</f>
        <v>0</v>
      </c>
      <c r="N35" s="38"/>
      <c r="O35" s="32"/>
      <c r="P35" s="32"/>
      <c r="Q35" s="32"/>
    </row>
    <row r="36" spans="1:17" ht="15.75" customHeight="1">
      <c r="A36" s="52">
        <f>IF(AND(Resumo!A47 &lt;&gt; "Investimento (aporte)", Resumo!A47 &lt;&gt; "Gasto Pessoal"),Resumo!A47,"__Gasto não-divisível__")</f>
        <v>0</v>
      </c>
      <c r="B36" s="39">
        <f ca="1">IFERROR(__xludf.DUMMYFUNCTION("IFERROR(sum(QUERY('Mes01'!$B$2:$E1000, ""SELECT C WHERE E = 'Pessoa 2' AND B = '""&amp;$A36&amp;""'"")),0)"),0)</f>
        <v>0</v>
      </c>
      <c r="C36" s="39">
        <f ca="1">IFERROR(__xludf.DUMMYFUNCTION("IFERROR(sum(QUERY('Mes01'!$B$2:$E1000, ""SELECT C WHERE E = 'Pessoa 2' AND B = '""&amp;$A36&amp;""'"")),0)"),0)</f>
        <v>0</v>
      </c>
      <c r="D36" s="39">
        <f ca="1">IFERROR(__xludf.DUMMYFUNCTION("IFERROR(sum(QUERY('Mes01'!$B$2:$E1000, ""SELECT C WHERE E = 'Pessoa 2' AND B = '""&amp;$A36&amp;""'"")),0)"),0)</f>
        <v>0</v>
      </c>
      <c r="E36" s="39">
        <f ca="1">IFERROR(__xludf.DUMMYFUNCTION("IFERROR(sum(QUERY('Mes01'!$B$2:$E1000, ""SELECT C WHERE E = 'Pessoa 2' AND B = '""&amp;$A36&amp;""'"")),0)"),0)</f>
        <v>0</v>
      </c>
      <c r="F36" s="39">
        <f ca="1">IFERROR(__xludf.DUMMYFUNCTION("IFERROR(sum(QUERY('Mes01'!$B$2:$E1000, ""SELECT C WHERE E = 'Pessoa 2' AND B = '""&amp;$A36&amp;""'"")),0)"),0)</f>
        <v>0</v>
      </c>
      <c r="G36" s="39">
        <f ca="1">IFERROR(__xludf.DUMMYFUNCTION("IFERROR(sum(QUERY('Mes01'!$B$2:$E1000, ""SELECT C WHERE E = 'Pessoa 2' AND B = '""&amp;$A36&amp;""'"")),0)"),0)</f>
        <v>0</v>
      </c>
      <c r="H36" s="39">
        <f ca="1">IFERROR(__xludf.DUMMYFUNCTION("IFERROR(sum(QUERY('Mes01'!$B$2:$E1000, ""SELECT C WHERE E = 'Pessoa 2' AND B = '""&amp;$A36&amp;""'"")),0)"),0)</f>
        <v>0</v>
      </c>
      <c r="I36" s="39">
        <f ca="1">IFERROR(__xludf.DUMMYFUNCTION("IFERROR(sum(QUERY('Mes01'!$B$2:$E1000, ""SELECT C WHERE E = 'Pessoa 2' AND B = '""&amp;$A36&amp;""'"")),0)"),0)</f>
        <v>0</v>
      </c>
      <c r="J36" s="39">
        <f ca="1">IFERROR(__xludf.DUMMYFUNCTION("IFERROR(sum(QUERY('Mes01'!$B$2:$E1000, ""SELECT C WHERE E = 'Pessoa 2' AND B = '""&amp;$A36&amp;""'"")),0)"),0)</f>
        <v>0</v>
      </c>
      <c r="K36" s="39">
        <f ca="1">IFERROR(__xludf.DUMMYFUNCTION("IFERROR(sum(QUERY('Mes01'!$B$2:$E1000, ""SELECT C WHERE E = 'Pessoa 2' AND B = '""&amp;$A36&amp;""'"")),0)"),0)</f>
        <v>0</v>
      </c>
      <c r="L36" s="39">
        <f ca="1">IFERROR(__xludf.DUMMYFUNCTION("IFERROR(sum(QUERY('Mes01'!$B$2:$E1000, ""SELECT C WHERE E = 'Pessoa 2' AND B = '""&amp;$A36&amp;""'"")),0)"),0)</f>
        <v>0</v>
      </c>
      <c r="M36" s="39">
        <f ca="1">IFERROR(__xludf.DUMMYFUNCTION("IFERROR(sum(QUERY('Mes01'!$B$2:$E1000, ""SELECT C WHERE E = 'Pessoa 2' AND B = '""&amp;$A36&amp;""'"")),0)"),0)</f>
        <v>0</v>
      </c>
      <c r="N36" s="38"/>
      <c r="O36" s="32"/>
      <c r="P36" s="32"/>
      <c r="Q36" s="32"/>
    </row>
    <row r="37" spans="1:17" ht="15.75" customHeight="1">
      <c r="A37" s="52">
        <f>IF(AND(Resumo!A48 &lt;&gt; "Investimento (aporte)", Resumo!A48 &lt;&gt; "Gasto Pessoal"),Resumo!A48,"__Gasto não-divisível__")</f>
        <v>0</v>
      </c>
      <c r="B37" s="39">
        <f ca="1">IFERROR(__xludf.DUMMYFUNCTION("IFERROR(sum(QUERY('Mes01'!$B$2:$E1000, ""SELECT C WHERE E = 'Pessoa 2' AND B = '""&amp;$A37&amp;""'"")),0)"),0)</f>
        <v>0</v>
      </c>
      <c r="C37" s="39">
        <f ca="1">IFERROR(__xludf.DUMMYFUNCTION("IFERROR(sum(QUERY('Mes01'!$B$2:$E1000, ""SELECT C WHERE E = 'Pessoa 2' AND B = '""&amp;$A37&amp;""'"")),0)"),0)</f>
        <v>0</v>
      </c>
      <c r="D37" s="39">
        <f ca="1">IFERROR(__xludf.DUMMYFUNCTION("IFERROR(sum(QUERY('Mes01'!$B$2:$E1000, ""SELECT C WHERE E = 'Pessoa 2' AND B = '""&amp;$A37&amp;""'"")),0)"),0)</f>
        <v>0</v>
      </c>
      <c r="E37" s="39">
        <f ca="1">IFERROR(__xludf.DUMMYFUNCTION("IFERROR(sum(QUERY('Mes01'!$B$2:$E1000, ""SELECT C WHERE E = 'Pessoa 2' AND B = '""&amp;$A37&amp;""'"")),0)"),0)</f>
        <v>0</v>
      </c>
      <c r="F37" s="39">
        <f ca="1">IFERROR(__xludf.DUMMYFUNCTION("IFERROR(sum(QUERY('Mes01'!$B$2:$E1000, ""SELECT C WHERE E = 'Pessoa 2' AND B = '""&amp;$A37&amp;""'"")),0)"),0)</f>
        <v>0</v>
      </c>
      <c r="G37" s="39">
        <f ca="1">IFERROR(__xludf.DUMMYFUNCTION("IFERROR(sum(QUERY('Mes01'!$B$2:$E1000, ""SELECT C WHERE E = 'Pessoa 2' AND B = '""&amp;$A37&amp;""'"")),0)"),0)</f>
        <v>0</v>
      </c>
      <c r="H37" s="39">
        <f ca="1">IFERROR(__xludf.DUMMYFUNCTION("IFERROR(sum(QUERY('Mes01'!$B$2:$E1000, ""SELECT C WHERE E = 'Pessoa 2' AND B = '""&amp;$A37&amp;""'"")),0)"),0)</f>
        <v>0</v>
      </c>
      <c r="I37" s="39">
        <f ca="1">IFERROR(__xludf.DUMMYFUNCTION("IFERROR(sum(QUERY('Mes01'!$B$2:$E1000, ""SELECT C WHERE E = 'Pessoa 2' AND B = '""&amp;$A37&amp;""'"")),0)"),0)</f>
        <v>0</v>
      </c>
      <c r="J37" s="39">
        <f ca="1">IFERROR(__xludf.DUMMYFUNCTION("IFERROR(sum(QUERY('Mes01'!$B$2:$E1000, ""SELECT C WHERE E = 'Pessoa 2' AND B = '""&amp;$A37&amp;""'"")),0)"),0)</f>
        <v>0</v>
      </c>
      <c r="K37" s="39">
        <f ca="1">IFERROR(__xludf.DUMMYFUNCTION("IFERROR(sum(QUERY('Mes01'!$B$2:$E1000, ""SELECT C WHERE E = 'Pessoa 2' AND B = '""&amp;$A37&amp;""'"")),0)"),0)</f>
        <v>0</v>
      </c>
      <c r="L37" s="39">
        <f ca="1">IFERROR(__xludf.DUMMYFUNCTION("IFERROR(sum(QUERY('Mes01'!$B$2:$E1000, ""SELECT C WHERE E = 'Pessoa 2' AND B = '""&amp;$A37&amp;""'"")),0)"),0)</f>
        <v>0</v>
      </c>
      <c r="M37" s="39">
        <f ca="1">IFERROR(__xludf.DUMMYFUNCTION("IFERROR(sum(QUERY('Mes01'!$B$2:$E1000, ""SELECT C WHERE E = 'Pessoa 2' AND B = '""&amp;$A37&amp;""'"")),0)"),0)</f>
        <v>0</v>
      </c>
      <c r="N37" s="38"/>
      <c r="O37" s="32"/>
      <c r="P37" s="5" t="s">
        <v>78</v>
      </c>
      <c r="Q37" s="32"/>
    </row>
    <row r="38" spans="1:17">
      <c r="A38" s="54" t="s">
        <v>79</v>
      </c>
      <c r="B38" s="55">
        <v>0</v>
      </c>
      <c r="C38" s="55">
        <v>0</v>
      </c>
      <c r="D38" s="55">
        <v>0</v>
      </c>
      <c r="E38" s="55">
        <v>0</v>
      </c>
      <c r="F38" s="55">
        <v>129.78</v>
      </c>
      <c r="G38" s="55">
        <v>0</v>
      </c>
      <c r="H38" s="55">
        <v>0</v>
      </c>
      <c r="I38" s="55">
        <v>0</v>
      </c>
      <c r="J38" s="55">
        <v>76.930000000000007</v>
      </c>
      <c r="K38" s="55">
        <v>0</v>
      </c>
      <c r="L38" s="55">
        <v>0</v>
      </c>
      <c r="M38" s="55">
        <v>0</v>
      </c>
      <c r="N38" s="53"/>
      <c r="O38" s="54" t="s">
        <v>80</v>
      </c>
      <c r="P38" s="38">
        <v>0</v>
      </c>
      <c r="Q38" s="32"/>
    </row>
    <row r="39" spans="1:17">
      <c r="A39" s="54" t="s">
        <v>81</v>
      </c>
      <c r="B39" s="56">
        <v>0</v>
      </c>
      <c r="C39" s="56">
        <v>0</v>
      </c>
      <c r="D39" s="56">
        <v>0</v>
      </c>
      <c r="E39" s="56">
        <v>0</v>
      </c>
      <c r="F39" s="56">
        <v>0</v>
      </c>
      <c r="G39" s="56">
        <v>681.22</v>
      </c>
      <c r="H39" s="56">
        <v>566.17999999999995</v>
      </c>
      <c r="I39" s="56">
        <v>412.21</v>
      </c>
      <c r="J39" s="56">
        <v>350</v>
      </c>
      <c r="K39" s="56">
        <v>513.67999999999995</v>
      </c>
      <c r="L39" s="56">
        <v>0</v>
      </c>
      <c r="M39" s="56">
        <v>0</v>
      </c>
      <c r="N39" s="53"/>
      <c r="O39" s="55">
        <f>SUM(B39:N39)</f>
        <v>2523.29</v>
      </c>
      <c r="P39" s="32"/>
      <c r="Q39" s="32"/>
    </row>
    <row r="40" spans="1:17" ht="15.75" customHeight="1">
      <c r="A40" s="57" t="str">
        <f t="shared" ref="A40:A69" ca="1" si="6">$A8</f>
        <v xml:space="preserve"> Aluguel_Cond </v>
      </c>
      <c r="B40" s="39">
        <f ca="1">IFERROR(__xludf.DUMMYFUNCTION("IFERROR(sum(QUERY('Mes01'!$B$2:$E1000, ""SELECT C WHERE E = 'Pessoa 2' AND B = '""&amp;$A40&amp;""'"")),0)"),0)</f>
        <v>0</v>
      </c>
      <c r="C40" s="39">
        <f ca="1">IFERROR(__xludf.DUMMYFUNCTION("IFERROR(sum(QUERY('Mes01'!$B$2:$E1000, ""SELECT C WHERE E = 'Pessoa 2' AND B = '""&amp;$A40&amp;""'"")),0)"),0)</f>
        <v>0</v>
      </c>
      <c r="D40" s="39">
        <f ca="1">IFERROR(__xludf.DUMMYFUNCTION("IFERROR(sum(QUERY('Mes01'!$B$2:$E1000, ""SELECT C WHERE E = 'Pessoa 2' AND B = '""&amp;$A40&amp;""'"")),0)"),0)</f>
        <v>0</v>
      </c>
      <c r="E40" s="39">
        <f ca="1">IFERROR(__xludf.DUMMYFUNCTION("IFERROR(sum(QUERY('Mes01'!$B$2:$E1000, ""SELECT C WHERE E = 'Pessoa 2' AND B = '""&amp;$A40&amp;""'"")),0)"),0)</f>
        <v>0</v>
      </c>
      <c r="F40" s="39">
        <f ca="1">IFERROR(__xludf.DUMMYFUNCTION("IFERROR(sum(QUERY('Mes01'!$B$2:$E1000, ""SELECT C WHERE E = 'Pessoa 2' AND B = '""&amp;$A40&amp;""'"")),0)"),0)</f>
        <v>0</v>
      </c>
      <c r="G40" s="39">
        <f ca="1">IFERROR(__xludf.DUMMYFUNCTION("IFERROR(sum(QUERY('Mes01'!$B$2:$E1000, ""SELECT C WHERE E = 'Pessoa 2' AND B = '""&amp;$A40&amp;""'"")),0)"),0)</f>
        <v>0</v>
      </c>
      <c r="H40" s="39">
        <f ca="1">IFERROR(__xludf.DUMMYFUNCTION("IFERROR(sum(QUERY('Mes01'!$B$2:$E1000, ""SELECT C WHERE E = 'Pessoa 2' AND B = '""&amp;$A40&amp;""'"")),0)"),0)</f>
        <v>0</v>
      </c>
      <c r="I40" s="39">
        <f ca="1">IFERROR(__xludf.DUMMYFUNCTION("IFERROR(sum(QUERY('Mes01'!$B$2:$E1000, ""SELECT C WHERE E = 'Pessoa 2' AND B = '""&amp;$A40&amp;""'"")),0)"),0)</f>
        <v>0</v>
      </c>
      <c r="J40" s="39">
        <f ca="1">IFERROR(__xludf.DUMMYFUNCTION("IFERROR(sum(QUERY('Mes01'!$B$2:$E1000, ""SELECT C WHERE E = 'Pessoa 2' AND B = '""&amp;$A40&amp;""'"")),0)"),0)</f>
        <v>0</v>
      </c>
      <c r="K40" s="39">
        <f ca="1">IFERROR(__xludf.DUMMYFUNCTION("IFERROR(sum(QUERY('Mes01'!$B$2:$E1000, ""SELECT C WHERE E = 'Pessoa 2' AND B = '""&amp;$A40&amp;""'"")),0)"),0)</f>
        <v>0</v>
      </c>
      <c r="L40" s="39">
        <f ca="1">IFERROR(__xludf.DUMMYFUNCTION("IFERROR(sum(QUERY('Mes01'!$B$2:$E1000, ""SELECT C WHERE E = 'Pessoa 2' AND B = '""&amp;$A40&amp;""'"")),0)"),0)</f>
        <v>0</v>
      </c>
      <c r="M40" s="39">
        <f ca="1">IFERROR(__xludf.DUMMYFUNCTION("IFERROR(sum(QUERY('Mes01'!$B$2:$E1000, ""SELECT C WHERE E = 'Pessoa 2' AND B = '""&amp;$A40&amp;""'"")),0)"),0)</f>
        <v>0</v>
      </c>
      <c r="N40" s="38"/>
      <c r="O40" s="32"/>
      <c r="P40" s="32"/>
      <c r="Q40" s="32"/>
    </row>
    <row r="41" spans="1:17" ht="15.75" customHeight="1">
      <c r="A41" s="58" t="str">
        <f t="shared" ca="1" si="6"/>
        <v xml:space="preserve"> Gasto Pessoal </v>
      </c>
      <c r="B41" s="39">
        <f ca="1">IFERROR(__xludf.DUMMYFUNCTION("IFERROR(sum(QUERY('Mes01'!$B$2:$E1000, ""SELECT C WHERE E = 'Pessoa 2' AND B = '""&amp;$A41&amp;""'"")),0)"),0)</f>
        <v>0</v>
      </c>
      <c r="C41" s="39">
        <f ca="1">IFERROR(__xludf.DUMMYFUNCTION("IFERROR(sum(QUERY('Mes01'!$B$2:$E1000, ""SELECT C WHERE E = 'Pessoa 2' AND B = '""&amp;$A41&amp;""'"")),0)"),0)</f>
        <v>0</v>
      </c>
      <c r="D41" s="39">
        <f ca="1">IFERROR(__xludf.DUMMYFUNCTION("IFERROR(sum(QUERY('Mes01'!$B$2:$E1000, ""SELECT C WHERE E = 'Pessoa 2' AND B = '""&amp;$A41&amp;""'"")),0)"),0)</f>
        <v>0</v>
      </c>
      <c r="E41" s="39">
        <f ca="1">IFERROR(__xludf.DUMMYFUNCTION("IFERROR(sum(QUERY('Mes01'!$B$2:$E1000, ""SELECT C WHERE E = 'Pessoa 2' AND B = '""&amp;$A41&amp;""'"")),0)"),0)</f>
        <v>0</v>
      </c>
      <c r="F41" s="39">
        <f ca="1">IFERROR(__xludf.DUMMYFUNCTION("IFERROR(sum(QUERY('Mes01'!$B$2:$E1000, ""SELECT C WHERE E = 'Pessoa 2' AND B = '""&amp;$A41&amp;""'"")),0)"),0)</f>
        <v>0</v>
      </c>
      <c r="G41" s="39">
        <f ca="1">IFERROR(__xludf.DUMMYFUNCTION("IFERROR(sum(QUERY('Mes01'!$B$2:$E1000, ""SELECT C WHERE E = 'Pessoa 2' AND B = '""&amp;$A41&amp;""'"")),0)"),0)</f>
        <v>0</v>
      </c>
      <c r="H41" s="39">
        <f ca="1">IFERROR(__xludf.DUMMYFUNCTION("IFERROR(sum(QUERY('Mes01'!$B$2:$E1000, ""SELECT C WHERE E = 'Pessoa 2' AND B = '""&amp;$A41&amp;""'"")),0)"),0)</f>
        <v>0</v>
      </c>
      <c r="I41" s="39">
        <f ca="1">IFERROR(__xludf.DUMMYFUNCTION("IFERROR(sum(QUERY('Mes01'!$B$2:$E1000, ""SELECT C WHERE E = 'Pessoa 2' AND B = '""&amp;$A41&amp;""'"")),0)"),0)</f>
        <v>0</v>
      </c>
      <c r="J41" s="39">
        <f ca="1">IFERROR(__xludf.DUMMYFUNCTION("IFERROR(sum(QUERY('Mes01'!$B$2:$E1000, ""SELECT C WHERE E = 'Pessoa 2' AND B = '""&amp;$A41&amp;""'"")),0)"),0)</f>
        <v>0</v>
      </c>
      <c r="K41" s="39">
        <f ca="1">IFERROR(__xludf.DUMMYFUNCTION("IFERROR(sum(QUERY('Mes01'!$B$2:$E1000, ""SELECT C WHERE E = 'Pessoa 2' AND B = '""&amp;$A41&amp;""'"")),0)"),0)</f>
        <v>0</v>
      </c>
      <c r="L41" s="39">
        <f ca="1">IFERROR(__xludf.DUMMYFUNCTION("IFERROR(sum(QUERY('Mes01'!$B$2:$E1000, ""SELECT C WHERE E = 'Pessoa 2' AND B = '""&amp;$A41&amp;""'"")),0)"),0)</f>
        <v>0</v>
      </c>
      <c r="M41" s="39">
        <f ca="1">IFERROR(__xludf.DUMMYFUNCTION("IFERROR(sum(QUERY('Mes01'!$B$2:$E1000, ""SELECT C WHERE E = 'Pessoa 2' AND B = '""&amp;$A41&amp;""'"")),0)"),0)</f>
        <v>0</v>
      </c>
      <c r="N41" s="38"/>
      <c r="O41" s="32"/>
      <c r="P41" s="32"/>
      <c r="Q41" s="32"/>
    </row>
    <row r="42" spans="1:17" ht="15.75" customHeight="1">
      <c r="A42" s="57" t="str">
        <f t="shared" ca="1" si="6"/>
        <v xml:space="preserve"> Academia &amp; Fitness </v>
      </c>
      <c r="B42" s="39">
        <f ca="1">IFERROR(__xludf.DUMMYFUNCTION("IFERROR(sum(QUERY('Mes01'!$B$2:$E1000, ""SELECT C WHERE E = 'Pessoa 2' AND B = '""&amp;$A42&amp;""'"")),0)"),0)</f>
        <v>0</v>
      </c>
      <c r="C42" s="39">
        <f ca="1">IFERROR(__xludf.DUMMYFUNCTION("IFERROR(sum(QUERY('Mes01'!$B$2:$E1000, ""SELECT C WHERE E = 'Pessoa 2' AND B = '""&amp;$A42&amp;""'"")),0)"),0)</f>
        <v>0</v>
      </c>
      <c r="D42" s="39">
        <f ca="1">IFERROR(__xludf.DUMMYFUNCTION("IFERROR(sum(QUERY('Mes01'!$B$2:$E1000, ""SELECT C WHERE E = 'Pessoa 2' AND B = '""&amp;$A42&amp;""'"")),0)"),0)</f>
        <v>0</v>
      </c>
      <c r="E42" s="39">
        <f ca="1">IFERROR(__xludf.DUMMYFUNCTION("IFERROR(sum(QUERY('Mes01'!$B$2:$E1000, ""SELECT C WHERE E = 'Pessoa 2' AND B = '""&amp;$A42&amp;""'"")),0)"),0)</f>
        <v>0</v>
      </c>
      <c r="F42" s="39">
        <f ca="1">IFERROR(__xludf.DUMMYFUNCTION("IFERROR(sum(QUERY('Mes01'!$B$2:$E1000, ""SELECT C WHERE E = 'Pessoa 2' AND B = '""&amp;$A42&amp;""'"")),0)"),0)</f>
        <v>0</v>
      </c>
      <c r="G42" s="39">
        <f ca="1">IFERROR(__xludf.DUMMYFUNCTION("IFERROR(sum(QUERY('Mes01'!$B$2:$E1000, ""SELECT C WHERE E = 'Pessoa 2' AND B = '""&amp;$A42&amp;""'"")),0)"),0)</f>
        <v>0</v>
      </c>
      <c r="H42" s="39">
        <f ca="1">IFERROR(__xludf.DUMMYFUNCTION("IFERROR(sum(QUERY('Mes01'!$B$2:$E1000, ""SELECT C WHERE E = 'Pessoa 2' AND B = '""&amp;$A42&amp;""'"")),0)"),0)</f>
        <v>0</v>
      </c>
      <c r="I42" s="39">
        <f ca="1">IFERROR(__xludf.DUMMYFUNCTION("IFERROR(sum(QUERY('Mes01'!$B$2:$E1000, ""SELECT C WHERE E = 'Pessoa 2' AND B = '""&amp;$A42&amp;""'"")),0)"),0)</f>
        <v>0</v>
      </c>
      <c r="J42" s="39">
        <f ca="1">IFERROR(__xludf.DUMMYFUNCTION("IFERROR(sum(QUERY('Mes01'!$B$2:$E1000, ""SELECT C WHERE E = 'Pessoa 2' AND B = '""&amp;$A42&amp;""'"")),0)"),0)</f>
        <v>0</v>
      </c>
      <c r="K42" s="39">
        <f ca="1">IFERROR(__xludf.DUMMYFUNCTION("IFERROR(sum(QUERY('Mes01'!$B$2:$E1000, ""SELECT C WHERE E = 'Pessoa 2' AND B = '""&amp;$A42&amp;""'"")),0)"),0)</f>
        <v>0</v>
      </c>
      <c r="L42" s="39">
        <f ca="1">IFERROR(__xludf.DUMMYFUNCTION("IFERROR(sum(QUERY('Mes01'!$B$2:$E1000, ""SELECT C WHERE E = 'Pessoa 2' AND B = '""&amp;$A42&amp;""'"")),0)"),0)</f>
        <v>0</v>
      </c>
      <c r="M42" s="39">
        <f ca="1">IFERROR(__xludf.DUMMYFUNCTION("IFERROR(sum(QUERY('Mes01'!$B$2:$E1000, ""SELECT C WHERE E = 'Pessoa 2' AND B = '""&amp;$A42&amp;""'"")),0)"),0)</f>
        <v>0</v>
      </c>
      <c r="N42" s="38"/>
      <c r="O42" s="32"/>
      <c r="P42" s="32"/>
      <c r="Q42" s="32"/>
    </row>
    <row r="43" spans="1:17" ht="15.75" customHeight="1">
      <c r="A43" s="57" t="str">
        <f t="shared" ca="1" si="6"/>
        <v xml:space="preserve"> Work-related </v>
      </c>
      <c r="B43" s="39">
        <f ca="1">IFERROR(__xludf.DUMMYFUNCTION("IFERROR(sum(QUERY('Mes01'!$B$2:$E1000, ""SELECT C WHERE E = 'Pessoa 2' AND B = '""&amp;$A43&amp;""'"")),0)"),776.304545446037)</f>
        <v>776.30454544603697</v>
      </c>
      <c r="C43" s="39">
        <f ca="1">IFERROR(__xludf.DUMMYFUNCTION("IFERROR(sum(QUERY('Mes01'!$B$2:$E1000, ""SELECT C WHERE E = 'Pessoa 2' AND B = '""&amp;$A43&amp;""'"")),0)"),776.304545446037)</f>
        <v>776.30454544603697</v>
      </c>
      <c r="D43" s="39">
        <f ca="1">IFERROR(__xludf.DUMMYFUNCTION("IFERROR(sum(QUERY('Mes01'!$B$2:$E1000, ""SELECT C WHERE E = 'Pessoa 2' AND B = '""&amp;$A43&amp;""'"")),0)"),776.304545446037)</f>
        <v>776.30454544603697</v>
      </c>
      <c r="E43" s="39">
        <f ca="1">IFERROR(__xludf.DUMMYFUNCTION("IFERROR(sum(QUERY('Mes01'!$B$2:$E1000, ""SELECT C WHERE E = 'Pessoa 2' AND B = '""&amp;$A43&amp;""'"")),0)"),776.304545446037)</f>
        <v>776.30454544603697</v>
      </c>
      <c r="F43" s="39">
        <f ca="1">IFERROR(__xludf.DUMMYFUNCTION("IFERROR(sum(QUERY('Mes01'!$B$2:$E1000, ""SELECT C WHERE E = 'Pessoa 2' AND B = '""&amp;$A43&amp;""'"")),0)"),776.304545446037)</f>
        <v>776.30454544603697</v>
      </c>
      <c r="G43" s="39">
        <f ca="1">IFERROR(__xludf.DUMMYFUNCTION("IFERROR(sum(QUERY('Mes01'!$B$2:$E1000, ""SELECT C WHERE E = 'Pessoa 2' AND B = '""&amp;$A43&amp;""'"")),0)"),776.304545446037)</f>
        <v>776.30454544603697</v>
      </c>
      <c r="H43" s="39">
        <f ca="1">IFERROR(__xludf.DUMMYFUNCTION("IFERROR(sum(QUERY('Mes01'!$B$2:$E1000, ""SELECT C WHERE E = 'Pessoa 2' AND B = '""&amp;$A43&amp;""'"")),0)"),776.304545446037)</f>
        <v>776.30454544603697</v>
      </c>
      <c r="I43" s="39">
        <f ca="1">IFERROR(__xludf.DUMMYFUNCTION("IFERROR(sum(QUERY('Mes01'!$B$2:$E1000, ""SELECT C WHERE E = 'Pessoa 2' AND B = '""&amp;$A43&amp;""'"")),0)"),776.304545446037)</f>
        <v>776.30454544603697</v>
      </c>
      <c r="J43" s="39">
        <f ca="1">IFERROR(__xludf.DUMMYFUNCTION("IFERROR(sum(QUERY('Mes01'!$B$2:$E1000, ""SELECT C WHERE E = 'Pessoa 2' AND B = '""&amp;$A43&amp;""'"")),0)"),776.304545446037)</f>
        <v>776.30454544603697</v>
      </c>
      <c r="K43" s="39">
        <f ca="1">IFERROR(__xludf.DUMMYFUNCTION("IFERROR(sum(QUERY('Mes01'!$B$2:$E1000, ""SELECT C WHERE E = 'Pessoa 2' AND B = '""&amp;$A43&amp;""'"")),0)"),776.304545446037)</f>
        <v>776.30454544603697</v>
      </c>
      <c r="L43" s="39">
        <f ca="1">IFERROR(__xludf.DUMMYFUNCTION("IFERROR(sum(QUERY('Mes01'!$B$2:$E1000, ""SELECT C WHERE E = 'Pessoa 2' AND B = '""&amp;$A43&amp;""'"")),0)"),776.304545446037)</f>
        <v>776.30454544603697</v>
      </c>
      <c r="M43" s="39">
        <f ca="1">IFERROR(__xludf.DUMMYFUNCTION("IFERROR(sum(QUERY('Mes01'!$B$2:$E1000, ""SELECT C WHERE E = 'Pessoa 2' AND B = '""&amp;$A43&amp;""'"")),0)"),776.304545446037)</f>
        <v>776.30454544603697</v>
      </c>
      <c r="N43" s="38"/>
      <c r="O43" s="32"/>
      <c r="P43" s="32"/>
      <c r="Q43" s="32"/>
    </row>
    <row r="44" spans="1:17" ht="15.75" customHeight="1">
      <c r="A44" s="57" t="str">
        <f t="shared" ca="1" si="6"/>
        <v xml:space="preserve"> Manutenção_Casa </v>
      </c>
      <c r="B44" s="39">
        <f ca="1">IFERROR(__xludf.DUMMYFUNCTION("IFERROR(sum(QUERY('Mes01'!$B$2:$E1000, ""SELECT C WHERE E = 'Pessoa 2' AND B = '""&amp;$A44&amp;""'"")),0)"),363.715846936236)</f>
        <v>363.71584693623601</v>
      </c>
      <c r="C44" s="39">
        <f ca="1">IFERROR(__xludf.DUMMYFUNCTION("IFERROR(sum(QUERY('Mes01'!$B$2:$E1000, ""SELECT C WHERE E = 'Pessoa 2' AND B = '""&amp;$A44&amp;""'"")),0)"),363.715846936236)</f>
        <v>363.71584693623601</v>
      </c>
      <c r="D44" s="39">
        <f ca="1">IFERROR(__xludf.DUMMYFUNCTION("IFERROR(sum(QUERY('Mes01'!$B$2:$E1000, ""SELECT C WHERE E = 'Pessoa 2' AND B = '""&amp;$A44&amp;""'"")),0)"),363.715846936236)</f>
        <v>363.71584693623601</v>
      </c>
      <c r="E44" s="39">
        <f ca="1">IFERROR(__xludf.DUMMYFUNCTION("IFERROR(sum(QUERY('Mes01'!$B$2:$E1000, ""SELECT C WHERE E = 'Pessoa 2' AND B = '""&amp;$A44&amp;""'"")),0)"),363.715846936236)</f>
        <v>363.71584693623601</v>
      </c>
      <c r="F44" s="39">
        <f ca="1">IFERROR(__xludf.DUMMYFUNCTION("IFERROR(sum(QUERY('Mes01'!$B$2:$E1000, ""SELECT C WHERE E = 'Pessoa 2' AND B = '""&amp;$A44&amp;""'"")),0)"),363.715846936236)</f>
        <v>363.71584693623601</v>
      </c>
      <c r="G44" s="39">
        <f ca="1">IFERROR(__xludf.DUMMYFUNCTION("IFERROR(sum(QUERY('Mes01'!$B$2:$E1000, ""SELECT C WHERE E = 'Pessoa 2' AND B = '""&amp;$A44&amp;""'"")),0)"),363.715846936236)</f>
        <v>363.71584693623601</v>
      </c>
      <c r="H44" s="39">
        <f ca="1">IFERROR(__xludf.DUMMYFUNCTION("IFERROR(sum(QUERY('Mes01'!$B$2:$E1000, ""SELECT C WHERE E = 'Pessoa 2' AND B = '""&amp;$A44&amp;""'"")),0)"),363.715846936236)</f>
        <v>363.71584693623601</v>
      </c>
      <c r="I44" s="39">
        <f ca="1">IFERROR(__xludf.DUMMYFUNCTION("IFERROR(sum(QUERY('Mes01'!$B$2:$E1000, ""SELECT C WHERE E = 'Pessoa 2' AND B = '""&amp;$A44&amp;""'"")),0)"),363.715846936236)</f>
        <v>363.71584693623601</v>
      </c>
      <c r="J44" s="39">
        <f ca="1">IFERROR(__xludf.DUMMYFUNCTION("IFERROR(sum(QUERY('Mes01'!$B$2:$E1000, ""SELECT C WHERE E = 'Pessoa 2' AND B = '""&amp;$A44&amp;""'"")),0)"),363.715846936236)</f>
        <v>363.71584693623601</v>
      </c>
      <c r="K44" s="39">
        <f ca="1">IFERROR(__xludf.DUMMYFUNCTION("IFERROR(sum(QUERY('Mes01'!$B$2:$E1000, ""SELECT C WHERE E = 'Pessoa 2' AND B = '""&amp;$A44&amp;""'"")),0)"),363.715846936236)</f>
        <v>363.71584693623601</v>
      </c>
      <c r="L44" s="39">
        <f ca="1">IFERROR(__xludf.DUMMYFUNCTION("IFERROR(sum(QUERY('Mes01'!$B$2:$E1000, ""SELECT C WHERE E = 'Pessoa 2' AND B = '""&amp;$A44&amp;""'"")),0)"),363.715846936236)</f>
        <v>363.71584693623601</v>
      </c>
      <c r="M44" s="39">
        <f ca="1">IFERROR(__xludf.DUMMYFUNCTION("IFERROR(sum(QUERY('Mes01'!$B$2:$E1000, ""SELECT C WHERE E = 'Pessoa 2' AND B = '""&amp;$A44&amp;""'"")),0)"),363.715846936236)</f>
        <v>363.71584693623601</v>
      </c>
      <c r="N44" s="38"/>
      <c r="O44" s="32"/>
      <c r="P44" s="32"/>
      <c r="Q44" s="32"/>
    </row>
    <row r="45" spans="1:17" ht="15.75" customHeight="1">
      <c r="A45" s="57" t="str">
        <f t="shared" ca="1" si="6"/>
        <v xml:space="preserve"> Outros </v>
      </c>
      <c r="B45" s="39">
        <f ca="1">IFERROR(__xludf.DUMMYFUNCTION("IFERROR(sum(QUERY('Mes01'!$B$2:$E1000, ""SELECT C WHERE E = 'Pessoa 2' AND B = '""&amp;$A45&amp;""'"")),0)"),133.712311914919)</f>
        <v>133.71231191491901</v>
      </c>
      <c r="C45" s="39">
        <f ca="1">IFERROR(__xludf.DUMMYFUNCTION("IFERROR(sum(QUERY('Mes01'!$B$2:$E1000, ""SELECT C WHERE E = 'Pessoa 2' AND B = '""&amp;$A45&amp;""'"")),0)"),133.712311914919)</f>
        <v>133.71231191491901</v>
      </c>
      <c r="D45" s="39">
        <f ca="1">IFERROR(__xludf.DUMMYFUNCTION("IFERROR(sum(QUERY('Mes01'!$B$2:$E1000, ""SELECT C WHERE E = 'Pessoa 2' AND B = '""&amp;$A45&amp;""'"")),0)"),133.712311914919)</f>
        <v>133.71231191491901</v>
      </c>
      <c r="E45" s="39">
        <f ca="1">IFERROR(__xludf.DUMMYFUNCTION("IFERROR(sum(QUERY('Mes01'!$B$2:$E1000, ""SELECT C WHERE E = 'Pessoa 2' AND B = '""&amp;$A45&amp;""'"")),0)"),133.712311914919)</f>
        <v>133.71231191491901</v>
      </c>
      <c r="F45" s="39">
        <f ca="1">IFERROR(__xludf.DUMMYFUNCTION("IFERROR(sum(QUERY('Mes01'!$B$2:$E1000, ""SELECT C WHERE E = 'Pessoa 2' AND B = '""&amp;$A45&amp;""'"")),0)"),133.712311914919)</f>
        <v>133.71231191491901</v>
      </c>
      <c r="G45" s="39">
        <f ca="1">IFERROR(__xludf.DUMMYFUNCTION("IFERROR(sum(QUERY('Mes01'!$B$2:$E1000, ""SELECT C WHERE E = 'Pessoa 2' AND B = '""&amp;$A45&amp;""'"")),0)"),133.712311914919)</f>
        <v>133.71231191491901</v>
      </c>
      <c r="H45" s="39">
        <f ca="1">IFERROR(__xludf.DUMMYFUNCTION("IFERROR(sum(QUERY('Mes01'!$B$2:$E1000, ""SELECT C WHERE E = 'Pessoa 2' AND B = '""&amp;$A45&amp;""'"")),0)"),133.712311914919)</f>
        <v>133.71231191491901</v>
      </c>
      <c r="I45" s="39">
        <f ca="1">IFERROR(__xludf.DUMMYFUNCTION("IFERROR(sum(QUERY('Mes01'!$B$2:$E1000, ""SELECT C WHERE E = 'Pessoa 2' AND B = '""&amp;$A45&amp;""'"")),0)"),133.712311914919)</f>
        <v>133.71231191491901</v>
      </c>
      <c r="J45" s="39">
        <f ca="1">IFERROR(__xludf.DUMMYFUNCTION("IFERROR(sum(QUERY('Mes01'!$B$2:$E1000, ""SELECT C WHERE E = 'Pessoa 2' AND B = '""&amp;$A45&amp;""'"")),0)"),133.712311914919)</f>
        <v>133.71231191491901</v>
      </c>
      <c r="K45" s="39">
        <f ca="1">IFERROR(__xludf.DUMMYFUNCTION("IFERROR(sum(QUERY('Mes01'!$B$2:$E1000, ""SELECT C WHERE E = 'Pessoa 2' AND B = '""&amp;$A45&amp;""'"")),0)"),133.712311914919)</f>
        <v>133.71231191491901</v>
      </c>
      <c r="L45" s="39">
        <f ca="1">IFERROR(__xludf.DUMMYFUNCTION("IFERROR(sum(QUERY('Mes01'!$B$2:$E1000, ""SELECT C WHERE E = 'Pessoa 2' AND B = '""&amp;$A45&amp;""'"")),0)"),133.712311914919)</f>
        <v>133.71231191491901</v>
      </c>
      <c r="M45" s="39">
        <f ca="1">IFERROR(__xludf.DUMMYFUNCTION("IFERROR(sum(QUERY('Mes01'!$B$2:$E1000, ""SELECT C WHERE E = 'Pessoa 2' AND B = '""&amp;$A45&amp;""'"")),0)"),133.712311914919)</f>
        <v>133.71231191491901</v>
      </c>
      <c r="N45" s="38"/>
      <c r="O45" s="32"/>
      <c r="P45" s="32"/>
      <c r="Q45" s="32"/>
    </row>
    <row r="46" spans="1:17">
      <c r="A46" s="57" t="str">
        <f t="shared" ca="1" si="6"/>
        <v xml:space="preserve"> Saúde </v>
      </c>
      <c r="B46" s="39">
        <f ca="1">IFERROR(__xludf.DUMMYFUNCTION("IFERROR(sum(QUERY('Mes01'!$B$2:$E1000, ""SELECT C WHERE E = 'Pessoa 2' AND B = '""&amp;$A46&amp;""'"")),0)"),890.115947576933)</f>
        <v>890.11594757693297</v>
      </c>
      <c r="C46" s="39">
        <f ca="1">IFERROR(__xludf.DUMMYFUNCTION("IFERROR(sum(QUERY('Mes01'!$B$2:$E1000, ""SELECT C WHERE E = 'Pessoa 2' AND B = '""&amp;$A46&amp;""'"")),0)"),890.115947576933)</f>
        <v>890.11594757693297</v>
      </c>
      <c r="D46" s="39">
        <f ca="1">IFERROR(__xludf.DUMMYFUNCTION("IFERROR(sum(QUERY('Mes01'!$B$2:$E1000, ""SELECT C WHERE E = 'Pessoa 2' AND B = '""&amp;$A46&amp;""'"")),0)"),890.115947576933)</f>
        <v>890.11594757693297</v>
      </c>
      <c r="E46" s="39">
        <f ca="1">IFERROR(__xludf.DUMMYFUNCTION("IFERROR(sum(QUERY('Mes01'!$B$2:$E1000, ""SELECT C WHERE E = 'Pessoa 2' AND B = '""&amp;$A46&amp;""'"")),0)"),890.115947576933)</f>
        <v>890.11594757693297</v>
      </c>
      <c r="F46" s="39">
        <f ca="1">IFERROR(__xludf.DUMMYFUNCTION("IFERROR(sum(QUERY('Mes01'!$B$2:$E1000, ""SELECT C WHERE E = 'Pessoa 2' AND B = '""&amp;$A46&amp;""'"")),0)"),890.115947576933)</f>
        <v>890.11594757693297</v>
      </c>
      <c r="G46" s="39">
        <f ca="1">IFERROR(__xludf.DUMMYFUNCTION("IFERROR(sum(QUERY('Mes01'!$B$2:$E1000, ""SELECT C WHERE E = 'Pessoa 2' AND B = '""&amp;$A46&amp;""'"")),0)"),890.115947576933)</f>
        <v>890.11594757693297</v>
      </c>
      <c r="H46" s="39">
        <f ca="1">IFERROR(__xludf.DUMMYFUNCTION("IFERROR(sum(QUERY('Mes01'!$B$2:$E1000, ""SELECT C WHERE E = 'Pessoa 2' AND B = '""&amp;$A46&amp;""'"")),0)"),890.115947576933)</f>
        <v>890.11594757693297</v>
      </c>
      <c r="I46" s="39">
        <f ca="1">IFERROR(__xludf.DUMMYFUNCTION("IFERROR(sum(QUERY('Mes01'!$B$2:$E1000, ""SELECT C WHERE E = 'Pessoa 2' AND B = '""&amp;$A46&amp;""'"")),0)"),890.115947576933)</f>
        <v>890.11594757693297</v>
      </c>
      <c r="J46" s="39">
        <f ca="1">IFERROR(__xludf.DUMMYFUNCTION("IFERROR(sum(QUERY('Mes01'!$B$2:$E1000, ""SELECT C WHERE E = 'Pessoa 2' AND B = '""&amp;$A46&amp;""'"")),0)"),890.115947576933)</f>
        <v>890.11594757693297</v>
      </c>
      <c r="K46" s="39">
        <f ca="1">IFERROR(__xludf.DUMMYFUNCTION("IFERROR(sum(QUERY('Mes01'!$B$2:$E1000, ""SELECT C WHERE E = 'Pessoa 2' AND B = '""&amp;$A46&amp;""'"")),0)"),890.115947576933)</f>
        <v>890.11594757693297</v>
      </c>
      <c r="L46" s="39">
        <f ca="1">IFERROR(__xludf.DUMMYFUNCTION("IFERROR(sum(QUERY('Mes01'!$B$2:$E1000, ""SELECT C WHERE E = 'Pessoa 2' AND B = '""&amp;$A46&amp;""'"")),0)"),890.115947576933)</f>
        <v>890.11594757693297</v>
      </c>
      <c r="M46" s="39">
        <f ca="1">IFERROR(__xludf.DUMMYFUNCTION("IFERROR(sum(QUERY('Mes01'!$B$2:$E1000, ""SELECT C WHERE E = 'Pessoa 2' AND B = '""&amp;$A46&amp;""'"")),0)"),890.115947576933)</f>
        <v>890.11594757693297</v>
      </c>
      <c r="N46" s="38"/>
      <c r="O46" s="59"/>
      <c r="P46" s="32"/>
      <c r="Q46" s="32"/>
    </row>
    <row r="47" spans="1:17">
      <c r="A47" s="57" t="str">
        <f t="shared" ca="1" si="6"/>
        <v xml:space="preserve"> Home Supplies </v>
      </c>
      <c r="B47" s="39">
        <f ca="1">IFERROR(__xludf.DUMMYFUNCTION("IFERROR(sum(QUERY('Mes01'!$B$2:$E1000, ""SELECT C WHERE E = 'Pessoa 2' AND B = '""&amp;$A47&amp;""'"")),0)"),324.087178266535)</f>
        <v>324.08717826653498</v>
      </c>
      <c r="C47" s="39">
        <f ca="1">IFERROR(__xludf.DUMMYFUNCTION("IFERROR(sum(QUERY('Mes01'!$B$2:$E1000, ""SELECT C WHERE E = 'Pessoa 2' AND B = '""&amp;$A47&amp;""'"")),0)"),324.087178266535)</f>
        <v>324.08717826653498</v>
      </c>
      <c r="D47" s="39">
        <f ca="1">IFERROR(__xludf.DUMMYFUNCTION("IFERROR(sum(QUERY('Mes01'!$B$2:$E1000, ""SELECT C WHERE E = 'Pessoa 2' AND B = '""&amp;$A47&amp;""'"")),0)"),324.087178266535)</f>
        <v>324.08717826653498</v>
      </c>
      <c r="E47" s="39">
        <f ca="1">IFERROR(__xludf.DUMMYFUNCTION("IFERROR(sum(QUERY('Mes01'!$B$2:$E1000, ""SELECT C WHERE E = 'Pessoa 2' AND B = '""&amp;$A47&amp;""'"")),0)"),324.087178266535)</f>
        <v>324.08717826653498</v>
      </c>
      <c r="F47" s="39">
        <f ca="1">IFERROR(__xludf.DUMMYFUNCTION("IFERROR(sum(QUERY('Mes01'!$B$2:$E1000, ""SELECT C WHERE E = 'Pessoa 2' AND B = '""&amp;$A47&amp;""'"")),0)"),324.087178266535)</f>
        <v>324.08717826653498</v>
      </c>
      <c r="G47" s="39">
        <f ca="1">IFERROR(__xludf.DUMMYFUNCTION("IFERROR(sum(QUERY('Mes01'!$B$2:$E1000, ""SELECT C WHERE E = 'Pessoa 2' AND B = '""&amp;$A47&amp;""'"")),0)"),324.087178266535)</f>
        <v>324.08717826653498</v>
      </c>
      <c r="H47" s="39">
        <f ca="1">IFERROR(__xludf.DUMMYFUNCTION("IFERROR(sum(QUERY('Mes01'!$B$2:$E1000, ""SELECT C WHERE E = 'Pessoa 2' AND B = '""&amp;$A47&amp;""'"")),0)"),324.087178266535)</f>
        <v>324.08717826653498</v>
      </c>
      <c r="I47" s="39">
        <f ca="1">IFERROR(__xludf.DUMMYFUNCTION("IFERROR(sum(QUERY('Mes01'!$B$2:$E1000, ""SELECT C WHERE E = 'Pessoa 2' AND B = '""&amp;$A47&amp;""'"")),0)"),324.087178266535)</f>
        <v>324.08717826653498</v>
      </c>
      <c r="J47" s="39">
        <f ca="1">IFERROR(__xludf.DUMMYFUNCTION("IFERROR(sum(QUERY('Mes01'!$B$2:$E1000, ""SELECT C WHERE E = 'Pessoa 2' AND B = '""&amp;$A47&amp;""'"")),0)"),324.087178266535)</f>
        <v>324.08717826653498</v>
      </c>
      <c r="K47" s="39">
        <f ca="1">IFERROR(__xludf.DUMMYFUNCTION("IFERROR(sum(QUERY('Mes01'!$B$2:$E1000, ""SELECT C WHERE E = 'Pessoa 2' AND B = '""&amp;$A47&amp;""'"")),0)"),324.087178266535)</f>
        <v>324.08717826653498</v>
      </c>
      <c r="L47" s="39">
        <f ca="1">IFERROR(__xludf.DUMMYFUNCTION("IFERROR(sum(QUERY('Mes01'!$B$2:$E1000, ""SELECT C WHERE E = 'Pessoa 2' AND B = '""&amp;$A47&amp;""'"")),0)"),324.087178266535)</f>
        <v>324.08717826653498</v>
      </c>
      <c r="M47" s="39">
        <f ca="1">IFERROR(__xludf.DUMMYFUNCTION("IFERROR(sum(QUERY('Mes01'!$B$2:$E1000, ""SELECT C WHERE E = 'Pessoa 2' AND B = '""&amp;$A47&amp;""'"")),0)"),324.087178266535)</f>
        <v>324.08717826653498</v>
      </c>
      <c r="N47" s="38"/>
      <c r="O47" s="60"/>
      <c r="P47" s="32"/>
      <c r="Q47" s="32"/>
    </row>
    <row r="48" spans="1:17" ht="15.75" customHeight="1">
      <c r="A48" s="57" t="str">
        <f t="shared" ca="1" si="6"/>
        <v xml:space="preserve"> Energia_Gás_Água_Esgoto </v>
      </c>
      <c r="B48" s="39">
        <f ca="1">IFERROR(__xludf.DUMMYFUNCTION("IFERROR(sum(QUERY('Mes01'!$B$2:$E1000, ""SELECT C WHERE E = 'Pessoa 2' AND B = '""&amp;$A48&amp;""'"")),0)"),0)</f>
        <v>0</v>
      </c>
      <c r="C48" s="39">
        <f ca="1">IFERROR(__xludf.DUMMYFUNCTION("IFERROR(sum(QUERY('Mes01'!$B$2:$E1000, ""SELECT C WHERE E = 'Pessoa 2' AND B = '""&amp;$A48&amp;""'"")),0)"),0)</f>
        <v>0</v>
      </c>
      <c r="D48" s="39">
        <f ca="1">IFERROR(__xludf.DUMMYFUNCTION("IFERROR(sum(QUERY('Mes01'!$B$2:$E1000, ""SELECT C WHERE E = 'Pessoa 2' AND B = '""&amp;$A48&amp;""'"")),0)"),0)</f>
        <v>0</v>
      </c>
      <c r="E48" s="39">
        <f ca="1">IFERROR(__xludf.DUMMYFUNCTION("IFERROR(sum(QUERY('Mes01'!$B$2:$E1000, ""SELECT C WHERE E = 'Pessoa 2' AND B = '""&amp;$A48&amp;""'"")),0)"),0)</f>
        <v>0</v>
      </c>
      <c r="F48" s="39">
        <f ca="1">IFERROR(__xludf.DUMMYFUNCTION("IFERROR(sum(QUERY('Mes01'!$B$2:$E1000, ""SELECT C WHERE E = 'Pessoa 2' AND B = '""&amp;$A48&amp;""'"")),0)"),0)</f>
        <v>0</v>
      </c>
      <c r="G48" s="39">
        <f ca="1">IFERROR(__xludf.DUMMYFUNCTION("IFERROR(sum(QUERY('Mes01'!$B$2:$E1000, ""SELECT C WHERE E = 'Pessoa 2' AND B = '""&amp;$A48&amp;""'"")),0)"),0)</f>
        <v>0</v>
      </c>
      <c r="H48" s="39">
        <f ca="1">IFERROR(__xludf.DUMMYFUNCTION("IFERROR(sum(QUERY('Mes01'!$B$2:$E1000, ""SELECT C WHERE E = 'Pessoa 2' AND B = '""&amp;$A48&amp;""'"")),0)"),0)</f>
        <v>0</v>
      </c>
      <c r="I48" s="39">
        <f ca="1">IFERROR(__xludf.DUMMYFUNCTION("IFERROR(sum(QUERY('Mes01'!$B$2:$E1000, ""SELECT C WHERE E = 'Pessoa 2' AND B = '""&amp;$A48&amp;""'"")),0)"),0)</f>
        <v>0</v>
      </c>
      <c r="J48" s="39">
        <f ca="1">IFERROR(__xludf.DUMMYFUNCTION("IFERROR(sum(QUERY('Mes01'!$B$2:$E1000, ""SELECT C WHERE E = 'Pessoa 2' AND B = '""&amp;$A48&amp;""'"")),0)"),0)</f>
        <v>0</v>
      </c>
      <c r="K48" s="39">
        <f ca="1">IFERROR(__xludf.DUMMYFUNCTION("IFERROR(sum(QUERY('Mes01'!$B$2:$E1000, ""SELECT C WHERE E = 'Pessoa 2' AND B = '""&amp;$A48&amp;""'"")),0)"),0)</f>
        <v>0</v>
      </c>
      <c r="L48" s="39">
        <f ca="1">IFERROR(__xludf.DUMMYFUNCTION("IFERROR(sum(QUERY('Mes01'!$B$2:$E1000, ""SELECT C WHERE E = 'Pessoa 2' AND B = '""&amp;$A48&amp;""'"")),0)"),0)</f>
        <v>0</v>
      </c>
      <c r="M48" s="39">
        <f ca="1">IFERROR(__xludf.DUMMYFUNCTION("IFERROR(sum(QUERY('Mes01'!$B$2:$E1000, ""SELECT C WHERE E = 'Pessoa 2' AND B = '""&amp;$A48&amp;""'"")),0)"),0)</f>
        <v>0</v>
      </c>
      <c r="N48" s="32"/>
      <c r="O48" s="32"/>
      <c r="P48" s="32"/>
      <c r="Q48" s="32"/>
    </row>
    <row r="49" spans="1:17" ht="15.75" customHeight="1">
      <c r="A49" s="57" t="str">
        <f t="shared" ca="1" si="6"/>
        <v xml:space="preserve"> Móveis_Aparelhos_Decoração </v>
      </c>
      <c r="B49" s="39">
        <f ca="1">IFERROR(__xludf.DUMMYFUNCTION("IFERROR(sum(QUERY('Mes01'!$B$2:$E1000, ""SELECT C WHERE E = 'Pessoa 2' AND B = '""&amp;$A49&amp;""'"")),0)"),96.119005313004)</f>
        <v>96.119005313003996</v>
      </c>
      <c r="C49" s="39">
        <f ca="1">IFERROR(__xludf.DUMMYFUNCTION("IFERROR(sum(QUERY('Mes01'!$B$2:$E1000, ""SELECT C WHERE E = 'Pessoa 2' AND B = '""&amp;$A49&amp;""'"")),0)"),96.119005313004)</f>
        <v>96.119005313003996</v>
      </c>
      <c r="D49" s="39">
        <f ca="1">IFERROR(__xludf.DUMMYFUNCTION("IFERROR(sum(QUERY('Mes01'!$B$2:$E1000, ""SELECT C WHERE E = 'Pessoa 2' AND B = '""&amp;$A49&amp;""'"")),0)"),96.119005313004)</f>
        <v>96.119005313003996</v>
      </c>
      <c r="E49" s="39">
        <f ca="1">IFERROR(__xludf.DUMMYFUNCTION("IFERROR(sum(QUERY('Mes01'!$B$2:$E1000, ""SELECT C WHERE E = 'Pessoa 2' AND B = '""&amp;$A49&amp;""'"")),0)"),96.119005313004)</f>
        <v>96.119005313003996</v>
      </c>
      <c r="F49" s="39">
        <f ca="1">IFERROR(__xludf.DUMMYFUNCTION("IFERROR(sum(QUERY('Mes01'!$B$2:$E1000, ""SELECT C WHERE E = 'Pessoa 2' AND B = '""&amp;$A49&amp;""'"")),0)"),96.119005313004)</f>
        <v>96.119005313003996</v>
      </c>
      <c r="G49" s="39">
        <f ca="1">IFERROR(__xludf.DUMMYFUNCTION("IFERROR(sum(QUERY('Mes01'!$B$2:$E1000, ""SELECT C WHERE E = 'Pessoa 2' AND B = '""&amp;$A49&amp;""'"")),0)"),96.119005313004)</f>
        <v>96.119005313003996</v>
      </c>
      <c r="H49" s="39">
        <f ca="1">IFERROR(__xludf.DUMMYFUNCTION("IFERROR(sum(QUERY('Mes01'!$B$2:$E1000, ""SELECT C WHERE E = 'Pessoa 2' AND B = '""&amp;$A49&amp;""'"")),0)"),96.119005313004)</f>
        <v>96.119005313003996</v>
      </c>
      <c r="I49" s="39">
        <f ca="1">IFERROR(__xludf.DUMMYFUNCTION("IFERROR(sum(QUERY('Mes01'!$B$2:$E1000, ""SELECT C WHERE E = 'Pessoa 2' AND B = '""&amp;$A49&amp;""'"")),0)"),96.119005313004)</f>
        <v>96.119005313003996</v>
      </c>
      <c r="J49" s="39">
        <f ca="1">IFERROR(__xludf.DUMMYFUNCTION("IFERROR(sum(QUERY('Mes01'!$B$2:$E1000, ""SELECT C WHERE E = 'Pessoa 2' AND B = '""&amp;$A49&amp;""'"")),0)"),96.119005313004)</f>
        <v>96.119005313003996</v>
      </c>
      <c r="K49" s="39">
        <f ca="1">IFERROR(__xludf.DUMMYFUNCTION("IFERROR(sum(QUERY('Mes01'!$B$2:$E1000, ""SELECT C WHERE E = 'Pessoa 2' AND B = '""&amp;$A49&amp;""'"")),0)"),96.119005313004)</f>
        <v>96.119005313003996</v>
      </c>
      <c r="L49" s="39">
        <f ca="1">IFERROR(__xludf.DUMMYFUNCTION("IFERROR(sum(QUERY('Mes01'!$B$2:$E1000, ""SELECT C WHERE E = 'Pessoa 2' AND B = '""&amp;$A49&amp;""'"")),0)"),96.119005313004)</f>
        <v>96.119005313003996</v>
      </c>
      <c r="M49" s="39">
        <f ca="1">IFERROR(__xludf.DUMMYFUNCTION("IFERROR(sum(QUERY('Mes01'!$B$2:$E1000, ""SELECT C WHERE E = 'Pessoa 2' AND B = '""&amp;$A49&amp;""'"")),0)"),96.119005313004)</f>
        <v>96.119005313003996</v>
      </c>
      <c r="N49" s="32"/>
      <c r="O49" s="32"/>
      <c r="P49" s="32"/>
      <c r="Q49" s="32"/>
    </row>
    <row r="50" spans="1:17" ht="15.75" customHeight="1">
      <c r="A50" s="57" t="str">
        <f t="shared" ca="1" si="6"/>
        <v xml:space="preserve"> Imposto (IPVA-IPTU-etc) </v>
      </c>
      <c r="B50" s="39">
        <f ca="1">IFERROR(__xludf.DUMMYFUNCTION("IFERROR(sum(QUERY('Mes01'!$B$2:$E1000, ""SELECT C WHERE E = 'Pessoa 2' AND B = '""&amp;$A50&amp;""'"")),0)"),620.015707607646)</f>
        <v>620.01570760764605</v>
      </c>
      <c r="C50" s="39">
        <f ca="1">IFERROR(__xludf.DUMMYFUNCTION("IFERROR(sum(QUERY('Mes01'!$B$2:$E1000, ""SELECT C WHERE E = 'Pessoa 2' AND B = '""&amp;$A50&amp;""'"")),0)"),620.015707607646)</f>
        <v>620.01570760764605</v>
      </c>
      <c r="D50" s="39">
        <f ca="1">IFERROR(__xludf.DUMMYFUNCTION("IFERROR(sum(QUERY('Mes01'!$B$2:$E1000, ""SELECT C WHERE E = 'Pessoa 2' AND B = '""&amp;$A50&amp;""'"")),0)"),620.015707607646)</f>
        <v>620.01570760764605</v>
      </c>
      <c r="E50" s="39">
        <f ca="1">IFERROR(__xludf.DUMMYFUNCTION("IFERROR(sum(QUERY('Mes01'!$B$2:$E1000, ""SELECT C WHERE E = 'Pessoa 2' AND B = '""&amp;$A50&amp;""'"")),0)"),620.015707607646)</f>
        <v>620.01570760764605</v>
      </c>
      <c r="F50" s="39">
        <f ca="1">IFERROR(__xludf.DUMMYFUNCTION("IFERROR(sum(QUERY('Mes01'!$B$2:$E1000, ""SELECT C WHERE E = 'Pessoa 2' AND B = '""&amp;$A50&amp;""'"")),0)"),620.015707607646)</f>
        <v>620.01570760764605</v>
      </c>
      <c r="G50" s="39">
        <f ca="1">IFERROR(__xludf.DUMMYFUNCTION("IFERROR(sum(QUERY('Mes01'!$B$2:$E1000, ""SELECT C WHERE E = 'Pessoa 2' AND B = '""&amp;$A50&amp;""'"")),0)"),620.015707607646)</f>
        <v>620.01570760764605</v>
      </c>
      <c r="H50" s="39">
        <f ca="1">IFERROR(__xludf.DUMMYFUNCTION("IFERROR(sum(QUERY('Mes01'!$B$2:$E1000, ""SELECT C WHERE E = 'Pessoa 2' AND B = '""&amp;$A50&amp;""'"")),0)"),620.015707607646)</f>
        <v>620.01570760764605</v>
      </c>
      <c r="I50" s="39">
        <f ca="1">IFERROR(__xludf.DUMMYFUNCTION("IFERROR(sum(QUERY('Mes01'!$B$2:$E1000, ""SELECT C WHERE E = 'Pessoa 2' AND B = '""&amp;$A50&amp;""'"")),0)"),620.015707607646)</f>
        <v>620.01570760764605</v>
      </c>
      <c r="J50" s="39">
        <f ca="1">IFERROR(__xludf.DUMMYFUNCTION("IFERROR(sum(QUERY('Mes01'!$B$2:$E1000, ""SELECT C WHERE E = 'Pessoa 2' AND B = '""&amp;$A50&amp;""'"")),0)"),620.015707607646)</f>
        <v>620.01570760764605</v>
      </c>
      <c r="K50" s="39">
        <f ca="1">IFERROR(__xludf.DUMMYFUNCTION("IFERROR(sum(QUERY('Mes01'!$B$2:$E1000, ""SELECT C WHERE E = 'Pessoa 2' AND B = '""&amp;$A50&amp;""'"")),0)"),620.015707607646)</f>
        <v>620.01570760764605</v>
      </c>
      <c r="L50" s="39">
        <f ca="1">IFERROR(__xludf.DUMMYFUNCTION("IFERROR(sum(QUERY('Mes01'!$B$2:$E1000, ""SELECT C WHERE E = 'Pessoa 2' AND B = '""&amp;$A50&amp;""'"")),0)"),620.015707607646)</f>
        <v>620.01570760764605</v>
      </c>
      <c r="M50" s="39">
        <f ca="1">IFERROR(__xludf.DUMMYFUNCTION("IFERROR(sum(QUERY('Mes01'!$B$2:$E1000, ""SELECT C WHERE E = 'Pessoa 2' AND B = '""&amp;$A50&amp;""'"")),0)"),620.015707607646)</f>
        <v>620.01570760764605</v>
      </c>
      <c r="N50" s="32"/>
      <c r="O50" s="32"/>
      <c r="P50" s="32"/>
      <c r="Q50" s="32"/>
    </row>
    <row r="51" spans="1:17" ht="15.75" customHeight="1">
      <c r="A51" s="57" t="str">
        <f t="shared" ca="1" si="6"/>
        <v xml:space="preserve"> Entretenimento_&amp;_Restaurantes </v>
      </c>
      <c r="B51" s="39">
        <f ca="1">IFERROR(__xludf.DUMMYFUNCTION("IFERROR(sum(QUERY('Mes01'!$B$2:$E1000, ""SELECT C WHERE E = 'Pessoa 2' AND B = '""&amp;$A51&amp;""'"")),0)"),0)</f>
        <v>0</v>
      </c>
      <c r="C51" s="39">
        <f ca="1">IFERROR(__xludf.DUMMYFUNCTION("IFERROR(sum(QUERY('Mes01'!$B$2:$E1000, ""SELECT C WHERE E = 'Pessoa 2' AND B = '""&amp;$A51&amp;""'"")),0)"),0)</f>
        <v>0</v>
      </c>
      <c r="D51" s="39">
        <f ca="1">IFERROR(__xludf.DUMMYFUNCTION("IFERROR(sum(QUERY('Mes01'!$B$2:$E1000, ""SELECT C WHERE E = 'Pessoa 2' AND B = '""&amp;$A51&amp;""'"")),0)"),0)</f>
        <v>0</v>
      </c>
      <c r="E51" s="39">
        <f ca="1">IFERROR(__xludf.DUMMYFUNCTION("IFERROR(sum(QUERY('Mes01'!$B$2:$E1000, ""SELECT C WHERE E = 'Pessoa 2' AND B = '""&amp;$A51&amp;""'"")),0)"),0)</f>
        <v>0</v>
      </c>
      <c r="F51" s="39">
        <f ca="1">IFERROR(__xludf.DUMMYFUNCTION("IFERROR(sum(QUERY('Mes01'!$B$2:$E1000, ""SELECT C WHERE E = 'Pessoa 2' AND B = '""&amp;$A51&amp;""'"")),0)"),0)</f>
        <v>0</v>
      </c>
      <c r="G51" s="39">
        <f ca="1">IFERROR(__xludf.DUMMYFUNCTION("IFERROR(sum(QUERY('Mes01'!$B$2:$E1000, ""SELECT C WHERE E = 'Pessoa 2' AND B = '""&amp;$A51&amp;""'"")),0)"),0)</f>
        <v>0</v>
      </c>
      <c r="H51" s="39">
        <f ca="1">IFERROR(__xludf.DUMMYFUNCTION("IFERROR(sum(QUERY('Mes01'!$B$2:$E1000, ""SELECT C WHERE E = 'Pessoa 2' AND B = '""&amp;$A51&amp;""'"")),0)"),0)</f>
        <v>0</v>
      </c>
      <c r="I51" s="39">
        <f ca="1">IFERROR(__xludf.DUMMYFUNCTION("IFERROR(sum(QUERY('Mes01'!$B$2:$E1000, ""SELECT C WHERE E = 'Pessoa 2' AND B = '""&amp;$A51&amp;""'"")),0)"),0)</f>
        <v>0</v>
      </c>
      <c r="J51" s="39">
        <f ca="1">IFERROR(__xludf.DUMMYFUNCTION("IFERROR(sum(QUERY('Mes01'!$B$2:$E1000, ""SELECT C WHERE E = 'Pessoa 2' AND B = '""&amp;$A51&amp;""'"")),0)"),0)</f>
        <v>0</v>
      </c>
      <c r="K51" s="39">
        <f ca="1">IFERROR(__xludf.DUMMYFUNCTION("IFERROR(sum(QUERY('Mes01'!$B$2:$E1000, ""SELECT C WHERE E = 'Pessoa 2' AND B = '""&amp;$A51&amp;""'"")),0)"),0)</f>
        <v>0</v>
      </c>
      <c r="L51" s="39">
        <f ca="1">IFERROR(__xludf.DUMMYFUNCTION("IFERROR(sum(QUERY('Mes01'!$B$2:$E1000, ""SELECT C WHERE E = 'Pessoa 2' AND B = '""&amp;$A51&amp;""'"")),0)"),0)</f>
        <v>0</v>
      </c>
      <c r="M51" s="39">
        <f ca="1">IFERROR(__xludf.DUMMYFUNCTION("IFERROR(sum(QUERY('Mes01'!$B$2:$E1000, ""SELECT C WHERE E = 'Pessoa 2' AND B = '""&amp;$A51&amp;""'"")),0)"),0)</f>
        <v>0</v>
      </c>
      <c r="N51" s="32"/>
      <c r="O51" s="32"/>
      <c r="P51" s="32"/>
      <c r="Q51" s="32"/>
    </row>
    <row r="52" spans="1:17" ht="15.75" customHeight="1">
      <c r="A52" s="57" t="str">
        <f t="shared" ca="1" si="6"/>
        <v xml:space="preserve"> Comida_Alimentação </v>
      </c>
      <c r="B52" s="39">
        <f ca="1">IFERROR(__xludf.DUMMYFUNCTION("IFERROR(sum(QUERY('Mes01'!$B$2:$E1000, ""SELECT C WHERE E = 'Pessoa 2' AND B = '""&amp;$A52&amp;""'"")),0)"),0)</f>
        <v>0</v>
      </c>
      <c r="C52" s="39">
        <f ca="1">IFERROR(__xludf.DUMMYFUNCTION("IFERROR(sum(QUERY('Mes01'!$B$2:$E1000, ""SELECT C WHERE E = 'Pessoa 2' AND B = '""&amp;$A52&amp;""'"")),0)"),0)</f>
        <v>0</v>
      </c>
      <c r="D52" s="39">
        <f ca="1">IFERROR(__xludf.DUMMYFUNCTION("IFERROR(sum(QUERY('Mes01'!$B$2:$E1000, ""SELECT C WHERE E = 'Pessoa 2' AND B = '""&amp;$A52&amp;""'"")),0)"),0)</f>
        <v>0</v>
      </c>
      <c r="E52" s="39">
        <f ca="1">IFERROR(__xludf.DUMMYFUNCTION("IFERROR(sum(QUERY('Mes01'!$B$2:$E1000, ""SELECT C WHERE E = 'Pessoa 2' AND B = '""&amp;$A52&amp;""'"")),0)"),0)</f>
        <v>0</v>
      </c>
      <c r="F52" s="39">
        <f ca="1">IFERROR(__xludf.DUMMYFUNCTION("IFERROR(sum(QUERY('Mes01'!$B$2:$E1000, ""SELECT C WHERE E = 'Pessoa 2' AND B = '""&amp;$A52&amp;""'"")),0)"),0)</f>
        <v>0</v>
      </c>
      <c r="G52" s="39">
        <f ca="1">IFERROR(__xludf.DUMMYFUNCTION("IFERROR(sum(QUERY('Mes01'!$B$2:$E1000, ""SELECT C WHERE E = 'Pessoa 2' AND B = '""&amp;$A52&amp;""'"")),0)"),0)</f>
        <v>0</v>
      </c>
      <c r="H52" s="39">
        <f ca="1">IFERROR(__xludf.DUMMYFUNCTION("IFERROR(sum(QUERY('Mes01'!$B$2:$E1000, ""SELECT C WHERE E = 'Pessoa 2' AND B = '""&amp;$A52&amp;""'"")),0)"),0)</f>
        <v>0</v>
      </c>
      <c r="I52" s="39">
        <f ca="1">IFERROR(__xludf.DUMMYFUNCTION("IFERROR(sum(QUERY('Mes01'!$B$2:$E1000, ""SELECT C WHERE E = 'Pessoa 2' AND B = '""&amp;$A52&amp;""'"")),0)"),0)</f>
        <v>0</v>
      </c>
      <c r="J52" s="39">
        <f ca="1">IFERROR(__xludf.DUMMYFUNCTION("IFERROR(sum(QUERY('Mes01'!$B$2:$E1000, ""SELECT C WHERE E = 'Pessoa 2' AND B = '""&amp;$A52&amp;""'"")),0)"),0)</f>
        <v>0</v>
      </c>
      <c r="K52" s="39">
        <f ca="1">IFERROR(__xludf.DUMMYFUNCTION("IFERROR(sum(QUERY('Mes01'!$B$2:$E1000, ""SELECT C WHERE E = 'Pessoa 2' AND B = '""&amp;$A52&amp;""'"")),0)"),0)</f>
        <v>0</v>
      </c>
      <c r="L52" s="39">
        <f ca="1">IFERROR(__xludf.DUMMYFUNCTION("IFERROR(sum(QUERY('Mes01'!$B$2:$E1000, ""SELECT C WHERE E = 'Pessoa 2' AND B = '""&amp;$A52&amp;""'"")),0)"),0)</f>
        <v>0</v>
      </c>
      <c r="M52" s="39">
        <f ca="1">IFERROR(__xludf.DUMMYFUNCTION("IFERROR(sum(QUERY('Mes01'!$B$2:$E1000, ""SELECT C WHERE E = 'Pessoa 2' AND B = '""&amp;$A52&amp;""'"")),0)"),0)</f>
        <v>0</v>
      </c>
      <c r="N52" s="32"/>
      <c r="O52" s="32"/>
      <c r="P52" s="32"/>
      <c r="Q52" s="32"/>
    </row>
    <row r="53" spans="1:17" ht="15.75" customHeight="1">
      <c r="A53" s="58" t="str">
        <f t="shared" ca="1" si="6"/>
        <v xml:space="preserve"> Investimento (aporte) </v>
      </c>
      <c r="B53" s="39">
        <f ca="1">IFERROR(__xludf.DUMMYFUNCTION("IFERROR(sum(QUERY('Mes01'!$B$2:$E1000, ""SELECT C WHERE E = 'Pessoa 2' AND B = '""&amp;$A53&amp;""'"")),0)"),0)</f>
        <v>0</v>
      </c>
      <c r="C53" s="39">
        <f ca="1">IFERROR(__xludf.DUMMYFUNCTION("IFERROR(sum(QUERY('Mes01'!$B$2:$E1000, ""SELECT C WHERE E = 'Pessoa 2' AND B = '""&amp;$A53&amp;""'"")),0)"),0)</f>
        <v>0</v>
      </c>
      <c r="D53" s="39">
        <f ca="1">IFERROR(__xludf.DUMMYFUNCTION("IFERROR(sum(QUERY('Mes01'!$B$2:$E1000, ""SELECT C WHERE E = 'Pessoa 2' AND B = '""&amp;$A53&amp;""'"")),0)"),0)</f>
        <v>0</v>
      </c>
      <c r="E53" s="39">
        <f ca="1">IFERROR(__xludf.DUMMYFUNCTION("IFERROR(sum(QUERY('Mes01'!$B$2:$E1000, ""SELECT C WHERE E = 'Pessoa 2' AND B = '""&amp;$A53&amp;""'"")),0)"),0)</f>
        <v>0</v>
      </c>
      <c r="F53" s="39">
        <f ca="1">IFERROR(__xludf.DUMMYFUNCTION("IFERROR(sum(QUERY('Mes01'!$B$2:$E1000, ""SELECT C WHERE E = 'Pessoa 2' AND B = '""&amp;$A53&amp;""'"")),0)"),0)</f>
        <v>0</v>
      </c>
      <c r="G53" s="39">
        <f ca="1">IFERROR(__xludf.DUMMYFUNCTION("IFERROR(sum(QUERY('Mes01'!$B$2:$E1000, ""SELECT C WHERE E = 'Pessoa 2' AND B = '""&amp;$A53&amp;""'"")),0)"),0)</f>
        <v>0</v>
      </c>
      <c r="H53" s="39">
        <f ca="1">IFERROR(__xludf.DUMMYFUNCTION("IFERROR(sum(QUERY('Mes01'!$B$2:$E1000, ""SELECT C WHERE E = 'Pessoa 2' AND B = '""&amp;$A53&amp;""'"")),0)"),0)</f>
        <v>0</v>
      </c>
      <c r="I53" s="39">
        <f ca="1">IFERROR(__xludf.DUMMYFUNCTION("IFERROR(sum(QUERY('Mes01'!$B$2:$E1000, ""SELECT C WHERE E = 'Pessoa 2' AND B = '""&amp;$A53&amp;""'"")),0)"),0)</f>
        <v>0</v>
      </c>
      <c r="J53" s="39">
        <f ca="1">IFERROR(__xludf.DUMMYFUNCTION("IFERROR(sum(QUERY('Mes01'!$B$2:$E1000, ""SELECT C WHERE E = 'Pessoa 2' AND B = '""&amp;$A53&amp;""'"")),0)"),0)</f>
        <v>0</v>
      </c>
      <c r="K53" s="39">
        <f ca="1">IFERROR(__xludf.DUMMYFUNCTION("IFERROR(sum(QUERY('Mes01'!$B$2:$E1000, ""SELECT C WHERE E = 'Pessoa 2' AND B = '""&amp;$A53&amp;""'"")),0)"),0)</f>
        <v>0</v>
      </c>
      <c r="L53" s="39">
        <f ca="1">IFERROR(__xludf.DUMMYFUNCTION("IFERROR(sum(QUERY('Mes01'!$B$2:$E1000, ""SELECT C WHERE E = 'Pessoa 2' AND B = '""&amp;$A53&amp;""'"")),0)"),0)</f>
        <v>0</v>
      </c>
      <c r="M53" s="39">
        <f ca="1">IFERROR(__xludf.DUMMYFUNCTION("IFERROR(sum(QUERY('Mes01'!$B$2:$E1000, ""SELECT C WHERE E = 'Pessoa 2' AND B = '""&amp;$A53&amp;""'"")),0)"),0)</f>
        <v>0</v>
      </c>
      <c r="N53" s="32"/>
      <c r="O53" s="32"/>
      <c r="P53" s="32"/>
      <c r="Q53" s="32"/>
    </row>
    <row r="54" spans="1:17" ht="15.75" customHeight="1">
      <c r="A54" s="57" t="str">
        <f t="shared" ca="1" si="6"/>
        <v xml:space="preserve"> Internet_Telefonia </v>
      </c>
      <c r="B54" s="39">
        <f ca="1">IFERROR(__xludf.DUMMYFUNCTION("IFERROR(sum(QUERY('Mes01'!$B$2:$E1000, ""SELECT C WHERE E = 'Pessoa 2' AND B = '""&amp;$A54&amp;""'"")),0)"),0)</f>
        <v>0</v>
      </c>
      <c r="C54" s="39">
        <f ca="1">IFERROR(__xludf.DUMMYFUNCTION("IFERROR(sum(QUERY('Mes01'!$B$2:$E1000, ""SELECT C WHERE E = 'Pessoa 2' AND B = '""&amp;$A54&amp;""'"")),0)"),0)</f>
        <v>0</v>
      </c>
      <c r="D54" s="39">
        <f ca="1">IFERROR(__xludf.DUMMYFUNCTION("IFERROR(sum(QUERY('Mes01'!$B$2:$E1000, ""SELECT C WHERE E = 'Pessoa 2' AND B = '""&amp;$A54&amp;""'"")),0)"),0)</f>
        <v>0</v>
      </c>
      <c r="E54" s="39">
        <f ca="1">IFERROR(__xludf.DUMMYFUNCTION("IFERROR(sum(QUERY('Mes01'!$B$2:$E1000, ""SELECT C WHERE E = 'Pessoa 2' AND B = '""&amp;$A54&amp;""'"")),0)"),0)</f>
        <v>0</v>
      </c>
      <c r="F54" s="39">
        <f ca="1">IFERROR(__xludf.DUMMYFUNCTION("IFERROR(sum(QUERY('Mes01'!$B$2:$E1000, ""SELECT C WHERE E = 'Pessoa 2' AND B = '""&amp;$A54&amp;""'"")),0)"),0)</f>
        <v>0</v>
      </c>
      <c r="G54" s="39">
        <f ca="1">IFERROR(__xludf.DUMMYFUNCTION("IFERROR(sum(QUERY('Mes01'!$B$2:$E1000, ""SELECT C WHERE E = 'Pessoa 2' AND B = '""&amp;$A54&amp;""'"")),0)"),0)</f>
        <v>0</v>
      </c>
      <c r="H54" s="39">
        <f ca="1">IFERROR(__xludf.DUMMYFUNCTION("IFERROR(sum(QUERY('Mes01'!$B$2:$E1000, ""SELECT C WHERE E = 'Pessoa 2' AND B = '""&amp;$A54&amp;""'"")),0)"),0)</f>
        <v>0</v>
      </c>
      <c r="I54" s="39">
        <f ca="1">IFERROR(__xludf.DUMMYFUNCTION("IFERROR(sum(QUERY('Mes01'!$B$2:$E1000, ""SELECT C WHERE E = 'Pessoa 2' AND B = '""&amp;$A54&amp;""'"")),0)"),0)</f>
        <v>0</v>
      </c>
      <c r="J54" s="39">
        <f ca="1">IFERROR(__xludf.DUMMYFUNCTION("IFERROR(sum(QUERY('Mes01'!$B$2:$E1000, ""SELECT C WHERE E = 'Pessoa 2' AND B = '""&amp;$A54&amp;""'"")),0)"),0)</f>
        <v>0</v>
      </c>
      <c r="K54" s="39">
        <f ca="1">IFERROR(__xludf.DUMMYFUNCTION("IFERROR(sum(QUERY('Mes01'!$B$2:$E1000, ""SELECT C WHERE E = 'Pessoa 2' AND B = '""&amp;$A54&amp;""'"")),0)"),0)</f>
        <v>0</v>
      </c>
      <c r="L54" s="39">
        <f ca="1">IFERROR(__xludf.DUMMYFUNCTION("IFERROR(sum(QUERY('Mes01'!$B$2:$E1000, ""SELECT C WHERE E = 'Pessoa 2' AND B = '""&amp;$A54&amp;""'"")),0)"),0)</f>
        <v>0</v>
      </c>
      <c r="M54" s="39">
        <f ca="1">IFERROR(__xludf.DUMMYFUNCTION("IFERROR(sum(QUERY('Mes01'!$B$2:$E1000, ""SELECT C WHERE E = 'Pessoa 2' AND B = '""&amp;$A54&amp;""'"")),0)"),0)</f>
        <v>0</v>
      </c>
      <c r="N54" s="32"/>
      <c r="O54" s="32"/>
      <c r="P54" s="32"/>
      <c r="Q54" s="32"/>
    </row>
    <row r="55" spans="1:17" ht="15.75" customHeight="1">
      <c r="A55" s="57" t="str">
        <f t="shared" ca="1" si="6"/>
        <v xml:space="preserve"> Transporte Geral &amp; Coletivo </v>
      </c>
      <c r="B55" s="39">
        <f ca="1">IFERROR(__xludf.DUMMYFUNCTION("IFERROR(sum(QUERY('Mes01'!$B$2:$E1000, ""SELECT C WHERE E = 'Pessoa 2' AND B = '""&amp;$A55&amp;""'"")),0)"),0)</f>
        <v>0</v>
      </c>
      <c r="C55" s="39">
        <f ca="1">IFERROR(__xludf.DUMMYFUNCTION("IFERROR(sum(QUERY('Mes01'!$B$2:$E1000, ""SELECT C WHERE E = 'Pessoa 2' AND B = '""&amp;$A55&amp;""'"")),0)"),0)</f>
        <v>0</v>
      </c>
      <c r="D55" s="39">
        <f ca="1">IFERROR(__xludf.DUMMYFUNCTION("IFERROR(sum(QUERY('Mes01'!$B$2:$E1000, ""SELECT C WHERE E = 'Pessoa 2' AND B = '""&amp;$A55&amp;""'"")),0)"),0)</f>
        <v>0</v>
      </c>
      <c r="E55" s="39">
        <f ca="1">IFERROR(__xludf.DUMMYFUNCTION("IFERROR(sum(QUERY('Mes01'!$B$2:$E1000, ""SELECT C WHERE E = 'Pessoa 2' AND B = '""&amp;$A55&amp;""'"")),0)"),0)</f>
        <v>0</v>
      </c>
      <c r="F55" s="39">
        <f ca="1">IFERROR(__xludf.DUMMYFUNCTION("IFERROR(sum(QUERY('Mes01'!$B$2:$E1000, ""SELECT C WHERE E = 'Pessoa 2' AND B = '""&amp;$A55&amp;""'"")),0)"),0)</f>
        <v>0</v>
      </c>
      <c r="G55" s="39">
        <f ca="1">IFERROR(__xludf.DUMMYFUNCTION("IFERROR(sum(QUERY('Mes01'!$B$2:$E1000, ""SELECT C WHERE E = 'Pessoa 2' AND B = '""&amp;$A55&amp;""'"")),0)"),0)</f>
        <v>0</v>
      </c>
      <c r="H55" s="39">
        <f ca="1">IFERROR(__xludf.DUMMYFUNCTION("IFERROR(sum(QUERY('Mes01'!$B$2:$E1000, ""SELECT C WHERE E = 'Pessoa 2' AND B = '""&amp;$A55&amp;""'"")),0)"),0)</f>
        <v>0</v>
      </c>
      <c r="I55" s="39">
        <f ca="1">IFERROR(__xludf.DUMMYFUNCTION("IFERROR(sum(QUERY('Mes01'!$B$2:$E1000, ""SELECT C WHERE E = 'Pessoa 2' AND B = '""&amp;$A55&amp;""'"")),0)"),0)</f>
        <v>0</v>
      </c>
      <c r="J55" s="39">
        <f ca="1">IFERROR(__xludf.DUMMYFUNCTION("IFERROR(sum(QUERY('Mes01'!$B$2:$E1000, ""SELECT C WHERE E = 'Pessoa 2' AND B = '""&amp;$A55&amp;""'"")),0)"),0)</f>
        <v>0</v>
      </c>
      <c r="K55" s="39">
        <f ca="1">IFERROR(__xludf.DUMMYFUNCTION("IFERROR(sum(QUERY('Mes01'!$B$2:$E1000, ""SELECT C WHERE E = 'Pessoa 2' AND B = '""&amp;$A55&amp;""'"")),0)"),0)</f>
        <v>0</v>
      </c>
      <c r="L55" s="39">
        <f ca="1">IFERROR(__xludf.DUMMYFUNCTION("IFERROR(sum(QUERY('Mes01'!$B$2:$E1000, ""SELECT C WHERE E = 'Pessoa 2' AND B = '""&amp;$A55&amp;""'"")),0)"),0)</f>
        <v>0</v>
      </c>
      <c r="M55" s="39">
        <f ca="1">IFERROR(__xludf.DUMMYFUNCTION("IFERROR(sum(QUERY('Mes01'!$B$2:$E1000, ""SELECT C WHERE E = 'Pessoa 2' AND B = '""&amp;$A55&amp;""'"")),0)"),0)</f>
        <v>0</v>
      </c>
      <c r="N55" s="32"/>
      <c r="O55" s="32"/>
      <c r="P55" s="32"/>
      <c r="Q55" s="32"/>
    </row>
    <row r="56" spans="1:17" ht="15.75" customHeight="1">
      <c r="A56" s="57" t="str">
        <f t="shared" ca="1" si="6"/>
        <v xml:space="preserve"> Transporte Uber &amp; Apps </v>
      </c>
      <c r="B56" s="39">
        <f ca="1">IFERROR(__xludf.DUMMYFUNCTION("IFERROR(sum(QUERY('Mes01'!$B$2:$E1000, ""SELECT C WHERE E = 'Pessoa 2' AND B = '""&amp;$A56&amp;""'"")),0)"),0)</f>
        <v>0</v>
      </c>
      <c r="C56" s="39">
        <f ca="1">IFERROR(__xludf.DUMMYFUNCTION("IFERROR(sum(QUERY('Mes01'!$B$2:$E1000, ""SELECT C WHERE E = 'Pessoa 2' AND B = '""&amp;$A56&amp;""'"")),0)"),0)</f>
        <v>0</v>
      </c>
      <c r="D56" s="39">
        <f ca="1">IFERROR(__xludf.DUMMYFUNCTION("IFERROR(sum(QUERY('Mes01'!$B$2:$E1000, ""SELECT C WHERE E = 'Pessoa 2' AND B = '""&amp;$A56&amp;""'"")),0)"),0)</f>
        <v>0</v>
      </c>
      <c r="E56" s="39">
        <f ca="1">IFERROR(__xludf.DUMMYFUNCTION("IFERROR(sum(QUERY('Mes01'!$B$2:$E1000, ""SELECT C WHERE E = 'Pessoa 2' AND B = '""&amp;$A56&amp;""'"")),0)"),0)</f>
        <v>0</v>
      </c>
      <c r="F56" s="39">
        <f ca="1">IFERROR(__xludf.DUMMYFUNCTION("IFERROR(sum(QUERY('Mes01'!$B$2:$E1000, ""SELECT C WHERE E = 'Pessoa 2' AND B = '""&amp;$A56&amp;""'"")),0)"),0)</f>
        <v>0</v>
      </c>
      <c r="G56" s="39">
        <f ca="1">IFERROR(__xludf.DUMMYFUNCTION("IFERROR(sum(QUERY('Mes01'!$B$2:$E1000, ""SELECT C WHERE E = 'Pessoa 2' AND B = '""&amp;$A56&amp;""'"")),0)"),0)</f>
        <v>0</v>
      </c>
      <c r="H56" s="39">
        <f ca="1">IFERROR(__xludf.DUMMYFUNCTION("IFERROR(sum(QUERY('Mes01'!$B$2:$E1000, ""SELECT C WHERE E = 'Pessoa 2' AND B = '""&amp;$A56&amp;""'"")),0)"),0)</f>
        <v>0</v>
      </c>
      <c r="I56" s="39">
        <f ca="1">IFERROR(__xludf.DUMMYFUNCTION("IFERROR(sum(QUERY('Mes01'!$B$2:$E1000, ""SELECT C WHERE E = 'Pessoa 2' AND B = '""&amp;$A56&amp;""'"")),0)"),0)</f>
        <v>0</v>
      </c>
      <c r="J56" s="39">
        <f ca="1">IFERROR(__xludf.DUMMYFUNCTION("IFERROR(sum(QUERY('Mes01'!$B$2:$E1000, ""SELECT C WHERE E = 'Pessoa 2' AND B = '""&amp;$A56&amp;""'"")),0)"),0)</f>
        <v>0</v>
      </c>
      <c r="K56" s="39">
        <f ca="1">IFERROR(__xludf.DUMMYFUNCTION("IFERROR(sum(QUERY('Mes01'!$B$2:$E1000, ""SELECT C WHERE E = 'Pessoa 2' AND B = '""&amp;$A56&amp;""'"")),0)"),0)</f>
        <v>0</v>
      </c>
      <c r="L56" s="39">
        <f ca="1">IFERROR(__xludf.DUMMYFUNCTION("IFERROR(sum(QUERY('Mes01'!$B$2:$E1000, ""SELECT C WHERE E = 'Pessoa 2' AND B = '""&amp;$A56&amp;""'"")),0)"),0)</f>
        <v>0</v>
      </c>
      <c r="M56" s="39">
        <f ca="1">IFERROR(__xludf.DUMMYFUNCTION("IFERROR(sum(QUERY('Mes01'!$B$2:$E1000, ""SELECT C WHERE E = 'Pessoa 2' AND B = '""&amp;$A56&amp;""'"")),0)"),0)</f>
        <v>0</v>
      </c>
      <c r="N56" s="32"/>
      <c r="O56" s="32"/>
      <c r="P56" s="32"/>
      <c r="Q56" s="32"/>
    </row>
    <row r="57" spans="1:17" ht="15.75" customHeight="1">
      <c r="A57" s="57" t="str">
        <f t="shared" ca="1" si="6"/>
        <v xml:space="preserve"> Educação </v>
      </c>
      <c r="B57" s="39">
        <f ca="1">IFERROR(__xludf.DUMMYFUNCTION("IFERROR(sum(QUERY('Mes01'!$B$2:$E1000, ""SELECT C WHERE E = 'Pessoa 2' AND B = '""&amp;$A57&amp;""'"")),0)"),0)</f>
        <v>0</v>
      </c>
      <c r="C57" s="39">
        <f ca="1">IFERROR(__xludf.DUMMYFUNCTION("IFERROR(sum(QUERY('Mes01'!$B$2:$E1000, ""SELECT C WHERE E = 'Pessoa 2' AND B = '""&amp;$A57&amp;""'"")),0)"),0)</f>
        <v>0</v>
      </c>
      <c r="D57" s="39">
        <f ca="1">IFERROR(__xludf.DUMMYFUNCTION("IFERROR(sum(QUERY('Mes01'!$B$2:$E1000, ""SELECT C WHERE E = 'Pessoa 2' AND B = '""&amp;$A57&amp;""'"")),0)"),0)</f>
        <v>0</v>
      </c>
      <c r="E57" s="39">
        <f ca="1">IFERROR(__xludf.DUMMYFUNCTION("IFERROR(sum(QUERY('Mes01'!$B$2:$E1000, ""SELECT C WHERE E = 'Pessoa 2' AND B = '""&amp;$A57&amp;""'"")),0)"),0)</f>
        <v>0</v>
      </c>
      <c r="F57" s="39">
        <f ca="1">IFERROR(__xludf.DUMMYFUNCTION("IFERROR(sum(QUERY('Mes01'!$B$2:$E1000, ""SELECT C WHERE E = 'Pessoa 2' AND B = '""&amp;$A57&amp;""'"")),0)"),0)</f>
        <v>0</v>
      </c>
      <c r="G57" s="39">
        <f ca="1">IFERROR(__xludf.DUMMYFUNCTION("IFERROR(sum(QUERY('Mes01'!$B$2:$E1000, ""SELECT C WHERE E = 'Pessoa 2' AND B = '""&amp;$A57&amp;""'"")),0)"),0)</f>
        <v>0</v>
      </c>
      <c r="H57" s="39">
        <f ca="1">IFERROR(__xludf.DUMMYFUNCTION("IFERROR(sum(QUERY('Mes01'!$B$2:$E1000, ""SELECT C WHERE E = 'Pessoa 2' AND B = '""&amp;$A57&amp;""'"")),0)"),0)</f>
        <v>0</v>
      </c>
      <c r="I57" s="39">
        <f ca="1">IFERROR(__xludf.DUMMYFUNCTION("IFERROR(sum(QUERY('Mes01'!$B$2:$E1000, ""SELECT C WHERE E = 'Pessoa 2' AND B = '""&amp;$A57&amp;""'"")),0)"),0)</f>
        <v>0</v>
      </c>
      <c r="J57" s="39">
        <f ca="1">IFERROR(__xludf.DUMMYFUNCTION("IFERROR(sum(QUERY('Mes01'!$B$2:$E1000, ""SELECT C WHERE E = 'Pessoa 2' AND B = '""&amp;$A57&amp;""'"")),0)"),0)</f>
        <v>0</v>
      </c>
      <c r="K57" s="39">
        <f ca="1">IFERROR(__xludf.DUMMYFUNCTION("IFERROR(sum(QUERY('Mes01'!$B$2:$E1000, ""SELECT C WHERE E = 'Pessoa 2' AND B = '""&amp;$A57&amp;""'"")),0)"),0)</f>
        <v>0</v>
      </c>
      <c r="L57" s="39">
        <f ca="1">IFERROR(__xludf.DUMMYFUNCTION("IFERROR(sum(QUERY('Mes01'!$B$2:$E1000, ""SELECT C WHERE E = 'Pessoa 2' AND B = '""&amp;$A57&amp;""'"")),0)"),0)</f>
        <v>0</v>
      </c>
      <c r="M57" s="39">
        <f ca="1">IFERROR(__xludf.DUMMYFUNCTION("IFERROR(sum(QUERY('Mes01'!$B$2:$E1000, ""SELECT C WHERE E = 'Pessoa 2' AND B = '""&amp;$A57&amp;""'"")),0)"),0)</f>
        <v>0</v>
      </c>
      <c r="N57" s="32"/>
      <c r="O57" s="32"/>
    </row>
    <row r="58" spans="1:17" ht="15.75" customHeight="1">
      <c r="A58" s="57" t="str">
        <f t="shared" ca="1" si="6"/>
        <v xml:space="preserve"> Roupa_Acessorios </v>
      </c>
      <c r="B58" s="39">
        <f ca="1">IFERROR(__xludf.DUMMYFUNCTION("IFERROR(sum(QUERY('Mes01'!$B$2:$E1000, ""SELECT C WHERE E = 'Pessoa 2' AND B = '""&amp;$A58&amp;""'"")),0)"),0)</f>
        <v>0</v>
      </c>
      <c r="C58" s="39">
        <f ca="1">IFERROR(__xludf.DUMMYFUNCTION("IFERROR(sum(QUERY('Mes01'!$B$2:$E1000, ""SELECT C WHERE E = 'Pessoa 2' AND B = '""&amp;$A58&amp;""'"")),0)"),0)</f>
        <v>0</v>
      </c>
      <c r="D58" s="39">
        <f ca="1">IFERROR(__xludf.DUMMYFUNCTION("IFERROR(sum(QUERY('Mes01'!$B$2:$E1000, ""SELECT C WHERE E = 'Pessoa 2' AND B = '""&amp;$A58&amp;""'"")),0)"),0)</f>
        <v>0</v>
      </c>
      <c r="E58" s="39">
        <f ca="1">IFERROR(__xludf.DUMMYFUNCTION("IFERROR(sum(QUERY('Mes01'!$B$2:$E1000, ""SELECT C WHERE E = 'Pessoa 2' AND B = '""&amp;$A58&amp;""'"")),0)"),0)</f>
        <v>0</v>
      </c>
      <c r="F58" s="39">
        <f ca="1">IFERROR(__xludf.DUMMYFUNCTION("IFERROR(sum(QUERY('Mes01'!$B$2:$E1000, ""SELECT C WHERE E = 'Pessoa 2' AND B = '""&amp;$A58&amp;""'"")),0)"),0)</f>
        <v>0</v>
      </c>
      <c r="G58" s="39">
        <f ca="1">IFERROR(__xludf.DUMMYFUNCTION("IFERROR(sum(QUERY('Mes01'!$B$2:$E1000, ""SELECT C WHERE E = 'Pessoa 2' AND B = '""&amp;$A58&amp;""'"")),0)"),0)</f>
        <v>0</v>
      </c>
      <c r="H58" s="39">
        <f ca="1">IFERROR(__xludf.DUMMYFUNCTION("IFERROR(sum(QUERY('Mes01'!$B$2:$E1000, ""SELECT C WHERE E = 'Pessoa 2' AND B = '""&amp;$A58&amp;""'"")),0)"),0)</f>
        <v>0</v>
      </c>
      <c r="I58" s="39">
        <f ca="1">IFERROR(__xludf.DUMMYFUNCTION("IFERROR(sum(QUERY('Mes01'!$B$2:$E1000, ""SELECT C WHERE E = 'Pessoa 2' AND B = '""&amp;$A58&amp;""'"")),0)"),0)</f>
        <v>0</v>
      </c>
      <c r="J58" s="39">
        <f ca="1">IFERROR(__xludf.DUMMYFUNCTION("IFERROR(sum(QUERY('Mes01'!$B$2:$E1000, ""SELECT C WHERE E = 'Pessoa 2' AND B = '""&amp;$A58&amp;""'"")),0)"),0)</f>
        <v>0</v>
      </c>
      <c r="K58" s="39">
        <f ca="1">IFERROR(__xludf.DUMMYFUNCTION("IFERROR(sum(QUERY('Mes01'!$B$2:$E1000, ""SELECT C WHERE E = 'Pessoa 2' AND B = '""&amp;$A58&amp;""'"")),0)"),0)</f>
        <v>0</v>
      </c>
      <c r="L58" s="39">
        <f ca="1">IFERROR(__xludf.DUMMYFUNCTION("IFERROR(sum(QUERY('Mes01'!$B$2:$E1000, ""SELECT C WHERE E = 'Pessoa 2' AND B = '""&amp;$A58&amp;""'"")),0)"),0)</f>
        <v>0</v>
      </c>
      <c r="M58" s="39">
        <f ca="1">IFERROR(__xludf.DUMMYFUNCTION("IFERROR(sum(QUERY('Mes01'!$B$2:$E1000, ""SELECT C WHERE E = 'Pessoa 2' AND B = '""&amp;$A58&amp;""'"")),0)"),0)</f>
        <v>0</v>
      </c>
      <c r="N58" s="32"/>
      <c r="O58" s="32"/>
    </row>
    <row r="59" spans="1:17" ht="15.75" customHeight="1">
      <c r="A59" s="57" t="str">
        <f t="shared" ca="1" si="6"/>
        <v xml:space="preserve"> Viagem/Vacation </v>
      </c>
      <c r="B59" s="39">
        <f ca="1">IFERROR(__xludf.DUMMYFUNCTION("IFERROR(sum(QUERY('Mes01'!$B$2:$E1000, ""SELECT C WHERE E = 'Pessoa 2' AND B = '""&amp;$A59&amp;""'"")),0)"),0)</f>
        <v>0</v>
      </c>
      <c r="C59" s="39">
        <f ca="1">IFERROR(__xludf.DUMMYFUNCTION("IFERROR(sum(QUERY('Mes01'!$B$2:$E1000, ""SELECT C WHERE E = 'Pessoa 2' AND B = '""&amp;$A59&amp;""'"")),0)"),0)</f>
        <v>0</v>
      </c>
      <c r="D59" s="39">
        <f ca="1">IFERROR(__xludf.DUMMYFUNCTION("IFERROR(sum(QUERY('Mes01'!$B$2:$E1000, ""SELECT C WHERE E = 'Pessoa 2' AND B = '""&amp;$A59&amp;""'"")),0)"),0)</f>
        <v>0</v>
      </c>
      <c r="E59" s="39">
        <f ca="1">IFERROR(__xludf.DUMMYFUNCTION("IFERROR(sum(QUERY('Mes01'!$B$2:$E1000, ""SELECT C WHERE E = 'Pessoa 2' AND B = '""&amp;$A59&amp;""'"")),0)"),0)</f>
        <v>0</v>
      </c>
      <c r="F59" s="39">
        <f ca="1">IFERROR(__xludf.DUMMYFUNCTION("IFERROR(sum(QUERY('Mes01'!$B$2:$E1000, ""SELECT C WHERE E = 'Pessoa 2' AND B = '""&amp;$A59&amp;""'"")),0)"),0)</f>
        <v>0</v>
      </c>
      <c r="G59" s="39">
        <f ca="1">IFERROR(__xludf.DUMMYFUNCTION("IFERROR(sum(QUERY('Mes01'!$B$2:$E1000, ""SELECT C WHERE E = 'Pessoa 2' AND B = '""&amp;$A59&amp;""'"")),0)"),0)</f>
        <v>0</v>
      </c>
      <c r="H59" s="39">
        <f ca="1">IFERROR(__xludf.DUMMYFUNCTION("IFERROR(sum(QUERY('Mes01'!$B$2:$E1000, ""SELECT C WHERE E = 'Pessoa 2' AND B = '""&amp;$A59&amp;""'"")),0)"),0)</f>
        <v>0</v>
      </c>
      <c r="I59" s="39">
        <f ca="1">IFERROR(__xludf.DUMMYFUNCTION("IFERROR(sum(QUERY('Mes01'!$B$2:$E1000, ""SELECT C WHERE E = 'Pessoa 2' AND B = '""&amp;$A59&amp;""'"")),0)"),0)</f>
        <v>0</v>
      </c>
      <c r="J59" s="39">
        <f ca="1">IFERROR(__xludf.DUMMYFUNCTION("IFERROR(sum(QUERY('Mes01'!$B$2:$E1000, ""SELECT C WHERE E = 'Pessoa 2' AND B = '""&amp;$A59&amp;""'"")),0)"),0)</f>
        <v>0</v>
      </c>
      <c r="K59" s="39">
        <f ca="1">IFERROR(__xludf.DUMMYFUNCTION("IFERROR(sum(QUERY('Mes01'!$B$2:$E1000, ""SELECT C WHERE E = 'Pessoa 2' AND B = '""&amp;$A59&amp;""'"")),0)"),0)</f>
        <v>0</v>
      </c>
      <c r="L59" s="39">
        <f ca="1">IFERROR(__xludf.DUMMYFUNCTION("IFERROR(sum(QUERY('Mes01'!$B$2:$E1000, ""SELECT C WHERE E = 'Pessoa 2' AND B = '""&amp;$A59&amp;""'"")),0)"),0)</f>
        <v>0</v>
      </c>
      <c r="M59" s="39">
        <f ca="1">IFERROR(__xludf.DUMMYFUNCTION("IFERROR(sum(QUERY('Mes01'!$B$2:$E1000, ""SELECT C WHERE E = 'Pessoa 2' AND B = '""&amp;$A59&amp;""'"")),0)"),0)</f>
        <v>0</v>
      </c>
    </row>
    <row r="60" spans="1:17" ht="15.75" customHeight="1">
      <c r="A60" s="58">
        <f t="shared" si="6"/>
        <v>0</v>
      </c>
      <c r="B60" s="39">
        <f ca="1">IFERROR(__xludf.DUMMYFUNCTION("IFERROR(sum(QUERY('Mes01'!$B$2:$E1000, ""SELECT C WHERE E = 'Pessoa 2' AND B = '""&amp;$A60&amp;""'"")),0)"),0)</f>
        <v>0</v>
      </c>
      <c r="C60" s="39">
        <f ca="1">IFERROR(__xludf.DUMMYFUNCTION("IFERROR(sum(QUERY('Mes01'!$B$2:$E1000, ""SELECT C WHERE E = 'Pessoa 2' AND B = '""&amp;$A60&amp;""'"")),0)"),0)</f>
        <v>0</v>
      </c>
      <c r="D60" s="39">
        <f ca="1">IFERROR(__xludf.DUMMYFUNCTION("IFERROR(sum(QUERY('Mes01'!$B$2:$E1000, ""SELECT C WHERE E = 'Pessoa 2' AND B = '""&amp;$A60&amp;""'"")),0)"),0)</f>
        <v>0</v>
      </c>
      <c r="E60" s="39">
        <f ca="1">IFERROR(__xludf.DUMMYFUNCTION("IFERROR(sum(QUERY('Mes01'!$B$2:$E1000, ""SELECT C WHERE E = 'Pessoa 2' AND B = '""&amp;$A60&amp;""'"")),0)"),0)</f>
        <v>0</v>
      </c>
      <c r="F60" s="39">
        <f ca="1">IFERROR(__xludf.DUMMYFUNCTION("IFERROR(sum(QUERY('Mes01'!$B$2:$E1000, ""SELECT C WHERE E = 'Pessoa 2' AND B = '""&amp;$A60&amp;""'"")),0)"),0)</f>
        <v>0</v>
      </c>
      <c r="G60" s="39">
        <f ca="1">IFERROR(__xludf.DUMMYFUNCTION("IFERROR(sum(QUERY('Mes01'!$B$2:$E1000, ""SELECT C WHERE E = 'Pessoa 2' AND B = '""&amp;$A60&amp;""'"")),0)"),0)</f>
        <v>0</v>
      </c>
      <c r="H60" s="39">
        <f ca="1">IFERROR(__xludf.DUMMYFUNCTION("IFERROR(sum(QUERY('Mes01'!$B$2:$E1000, ""SELECT C WHERE E = 'Pessoa 2' AND B = '""&amp;$A60&amp;""'"")),0)"),0)</f>
        <v>0</v>
      </c>
      <c r="I60" s="39">
        <f ca="1">IFERROR(__xludf.DUMMYFUNCTION("IFERROR(sum(QUERY('Mes01'!$B$2:$E1000, ""SELECT C WHERE E = 'Pessoa 2' AND B = '""&amp;$A60&amp;""'"")),0)"),0)</f>
        <v>0</v>
      </c>
      <c r="J60" s="39">
        <f ca="1">IFERROR(__xludf.DUMMYFUNCTION("IFERROR(sum(QUERY('Mes01'!$B$2:$E1000, ""SELECT C WHERE E = 'Pessoa 2' AND B = '""&amp;$A60&amp;""'"")),0)"),0)</f>
        <v>0</v>
      </c>
      <c r="K60" s="39">
        <f ca="1">IFERROR(__xludf.DUMMYFUNCTION("IFERROR(sum(QUERY('Mes01'!$B$2:$E1000, ""SELECT C WHERE E = 'Pessoa 2' AND B = '""&amp;$A60&amp;""'"")),0)"),0)</f>
        <v>0</v>
      </c>
      <c r="L60" s="39">
        <f ca="1">IFERROR(__xludf.DUMMYFUNCTION("IFERROR(sum(QUERY('Mes01'!$B$2:$E1000, ""SELECT C WHERE E = 'Pessoa 2' AND B = '""&amp;$A60&amp;""'"")),0)"),0)</f>
        <v>0</v>
      </c>
      <c r="M60" s="39">
        <f ca="1">IFERROR(__xludf.DUMMYFUNCTION("IFERROR(sum(QUERY('Mes01'!$B$2:$E1000, ""SELECT C WHERE E = 'Pessoa 2' AND B = '""&amp;$A60&amp;""'"")),0)"),0)</f>
        <v>0</v>
      </c>
    </row>
    <row r="61" spans="1:17" ht="15.75" customHeight="1">
      <c r="A61" s="58">
        <f t="shared" si="6"/>
        <v>0</v>
      </c>
      <c r="B61" s="39">
        <f ca="1">IFERROR(__xludf.DUMMYFUNCTION("IFERROR(sum(QUERY('Mes01'!$B$2:$E1000, ""SELECT C WHERE E = 'Pessoa 2' AND B = '""&amp;$A61&amp;""'"")),0)"),0)</f>
        <v>0</v>
      </c>
      <c r="C61" s="39">
        <f ca="1">IFERROR(__xludf.DUMMYFUNCTION("IFERROR(sum(QUERY('Mes01'!$B$2:$E1000, ""SELECT C WHERE E = 'Pessoa 2' AND B = '""&amp;$A61&amp;""'"")),0)"),0)</f>
        <v>0</v>
      </c>
      <c r="D61" s="39">
        <f ca="1">IFERROR(__xludf.DUMMYFUNCTION("IFERROR(sum(QUERY('Mes01'!$B$2:$E1000, ""SELECT C WHERE E = 'Pessoa 2' AND B = '""&amp;$A61&amp;""'"")),0)"),0)</f>
        <v>0</v>
      </c>
      <c r="E61" s="39">
        <f ca="1">IFERROR(__xludf.DUMMYFUNCTION("IFERROR(sum(QUERY('Mes01'!$B$2:$E1000, ""SELECT C WHERE E = 'Pessoa 2' AND B = '""&amp;$A61&amp;""'"")),0)"),0)</f>
        <v>0</v>
      </c>
      <c r="F61" s="39">
        <f ca="1">IFERROR(__xludf.DUMMYFUNCTION("IFERROR(sum(QUERY('Mes01'!$B$2:$E1000, ""SELECT C WHERE E = 'Pessoa 2' AND B = '""&amp;$A61&amp;""'"")),0)"),0)</f>
        <v>0</v>
      </c>
      <c r="G61" s="39">
        <f ca="1">IFERROR(__xludf.DUMMYFUNCTION("IFERROR(sum(QUERY('Mes01'!$B$2:$E1000, ""SELECT C WHERE E = 'Pessoa 2' AND B = '""&amp;$A61&amp;""'"")),0)"),0)</f>
        <v>0</v>
      </c>
      <c r="H61" s="39">
        <f ca="1">IFERROR(__xludf.DUMMYFUNCTION("IFERROR(sum(QUERY('Mes01'!$B$2:$E1000, ""SELECT C WHERE E = 'Pessoa 2' AND B = '""&amp;$A61&amp;""'"")),0)"),0)</f>
        <v>0</v>
      </c>
      <c r="I61" s="39">
        <f ca="1">IFERROR(__xludf.DUMMYFUNCTION("IFERROR(sum(QUERY('Mes01'!$B$2:$E1000, ""SELECT C WHERE E = 'Pessoa 2' AND B = '""&amp;$A61&amp;""'"")),0)"),0)</f>
        <v>0</v>
      </c>
      <c r="J61" s="39">
        <f ca="1">IFERROR(__xludf.DUMMYFUNCTION("IFERROR(sum(QUERY('Mes01'!$B$2:$E1000, ""SELECT C WHERE E = 'Pessoa 2' AND B = '""&amp;$A61&amp;""'"")),0)"),0)</f>
        <v>0</v>
      </c>
      <c r="K61" s="39">
        <f ca="1">IFERROR(__xludf.DUMMYFUNCTION("IFERROR(sum(QUERY('Mes01'!$B$2:$E1000, ""SELECT C WHERE E = 'Pessoa 2' AND B = '""&amp;$A61&amp;""'"")),0)"),0)</f>
        <v>0</v>
      </c>
      <c r="L61" s="39">
        <f ca="1">IFERROR(__xludf.DUMMYFUNCTION("IFERROR(sum(QUERY('Mes01'!$B$2:$E1000, ""SELECT C WHERE E = 'Pessoa 2' AND B = '""&amp;$A61&amp;""'"")),0)"),0)</f>
        <v>0</v>
      </c>
      <c r="M61" s="39">
        <f ca="1">IFERROR(__xludf.DUMMYFUNCTION("IFERROR(sum(QUERY('Mes01'!$B$2:$E1000, ""SELECT C WHERE E = 'Pessoa 2' AND B = '""&amp;$A61&amp;""'"")),0)"),0)</f>
        <v>0</v>
      </c>
    </row>
    <row r="62" spans="1:17" ht="15.75" customHeight="1">
      <c r="A62" s="58">
        <f t="shared" si="6"/>
        <v>0</v>
      </c>
      <c r="B62" s="39">
        <f ca="1">IFERROR(__xludf.DUMMYFUNCTION("IFERROR(sum(QUERY('Mes01'!$B$2:$E1000, ""SELECT C WHERE E = 'Pessoa 2' AND B = '""&amp;$A62&amp;""'"")),0)"),0)</f>
        <v>0</v>
      </c>
      <c r="C62" s="39">
        <f ca="1">IFERROR(__xludf.DUMMYFUNCTION("IFERROR(sum(QUERY('Mes01'!$B$2:$E1000, ""SELECT C WHERE E = 'Pessoa 2' AND B = '""&amp;$A62&amp;""'"")),0)"),0)</f>
        <v>0</v>
      </c>
      <c r="D62" s="39">
        <f ca="1">IFERROR(__xludf.DUMMYFUNCTION("IFERROR(sum(QUERY('Mes01'!$B$2:$E1000, ""SELECT C WHERE E = 'Pessoa 2' AND B = '""&amp;$A62&amp;""'"")),0)"),0)</f>
        <v>0</v>
      </c>
      <c r="E62" s="39">
        <f ca="1">IFERROR(__xludf.DUMMYFUNCTION("IFERROR(sum(QUERY('Mes01'!$B$2:$E1000, ""SELECT C WHERE E = 'Pessoa 2' AND B = '""&amp;$A62&amp;""'"")),0)"),0)</f>
        <v>0</v>
      </c>
      <c r="F62" s="39">
        <f ca="1">IFERROR(__xludf.DUMMYFUNCTION("IFERROR(sum(QUERY('Mes01'!$B$2:$E1000, ""SELECT C WHERE E = 'Pessoa 2' AND B = '""&amp;$A62&amp;""'"")),0)"),0)</f>
        <v>0</v>
      </c>
      <c r="G62" s="39">
        <f ca="1">IFERROR(__xludf.DUMMYFUNCTION("IFERROR(sum(QUERY('Mes01'!$B$2:$E1000, ""SELECT C WHERE E = 'Pessoa 2' AND B = '""&amp;$A62&amp;""'"")),0)"),0)</f>
        <v>0</v>
      </c>
      <c r="H62" s="39">
        <f ca="1">IFERROR(__xludf.DUMMYFUNCTION("IFERROR(sum(QUERY('Mes01'!$B$2:$E1000, ""SELECT C WHERE E = 'Pessoa 2' AND B = '""&amp;$A62&amp;""'"")),0)"),0)</f>
        <v>0</v>
      </c>
      <c r="I62" s="39">
        <f ca="1">IFERROR(__xludf.DUMMYFUNCTION("IFERROR(sum(QUERY('Mes01'!$B$2:$E1000, ""SELECT C WHERE E = 'Pessoa 2' AND B = '""&amp;$A62&amp;""'"")),0)"),0)</f>
        <v>0</v>
      </c>
      <c r="J62" s="39">
        <f ca="1">IFERROR(__xludf.DUMMYFUNCTION("IFERROR(sum(QUERY('Mes01'!$B$2:$E1000, ""SELECT C WHERE E = 'Pessoa 2' AND B = '""&amp;$A62&amp;""'"")),0)"),0)</f>
        <v>0</v>
      </c>
      <c r="K62" s="39">
        <f ca="1">IFERROR(__xludf.DUMMYFUNCTION("IFERROR(sum(QUERY('Mes01'!$B$2:$E1000, ""SELECT C WHERE E = 'Pessoa 2' AND B = '""&amp;$A62&amp;""'"")),0)"),0)</f>
        <v>0</v>
      </c>
      <c r="L62" s="39">
        <f ca="1">IFERROR(__xludf.DUMMYFUNCTION("IFERROR(sum(QUERY('Mes01'!$B$2:$E1000, ""SELECT C WHERE E = 'Pessoa 2' AND B = '""&amp;$A62&amp;""'"")),0)"),0)</f>
        <v>0</v>
      </c>
      <c r="M62" s="39">
        <f ca="1">IFERROR(__xludf.DUMMYFUNCTION("IFERROR(sum(QUERY('Mes01'!$B$2:$E1000, ""SELECT C WHERE E = 'Pessoa 2' AND B = '""&amp;$A62&amp;""'"")),0)"),0)</f>
        <v>0</v>
      </c>
    </row>
    <row r="63" spans="1:17" ht="12.5">
      <c r="A63" s="58">
        <f t="shared" si="6"/>
        <v>0</v>
      </c>
      <c r="B63" s="39">
        <f ca="1">IFERROR(__xludf.DUMMYFUNCTION("IFERROR(sum(QUERY('Mes01'!$B$2:$E1000, ""SELECT C WHERE E = 'Pessoa 2' AND B = '""&amp;$A63&amp;""'"")),0)"),0)</f>
        <v>0</v>
      </c>
      <c r="C63" s="39">
        <f ca="1">IFERROR(__xludf.DUMMYFUNCTION("IFERROR(sum(QUERY('Mes01'!$B$2:$E1000, ""SELECT C WHERE E = 'Pessoa 2' AND B = '""&amp;$A63&amp;""'"")),0)"),0)</f>
        <v>0</v>
      </c>
      <c r="D63" s="39">
        <f ca="1">IFERROR(__xludf.DUMMYFUNCTION("IFERROR(sum(QUERY('Mes01'!$B$2:$E1000, ""SELECT C WHERE E = 'Pessoa 2' AND B = '""&amp;$A63&amp;""'"")),0)"),0)</f>
        <v>0</v>
      </c>
      <c r="E63" s="39">
        <f ca="1">IFERROR(__xludf.DUMMYFUNCTION("IFERROR(sum(QUERY('Mes01'!$B$2:$E1000, ""SELECT C WHERE E = 'Pessoa 2' AND B = '""&amp;$A63&amp;""'"")),0)"),0)</f>
        <v>0</v>
      </c>
      <c r="F63" s="39">
        <f ca="1">IFERROR(__xludf.DUMMYFUNCTION("IFERROR(sum(QUERY('Mes01'!$B$2:$E1000, ""SELECT C WHERE E = 'Pessoa 2' AND B = '""&amp;$A63&amp;""'"")),0)"),0)</f>
        <v>0</v>
      </c>
      <c r="G63" s="39">
        <f ca="1">IFERROR(__xludf.DUMMYFUNCTION("IFERROR(sum(QUERY('Mes01'!$B$2:$E1000, ""SELECT C WHERE E = 'Pessoa 2' AND B = '""&amp;$A63&amp;""'"")),0)"),0)</f>
        <v>0</v>
      </c>
      <c r="H63" s="39">
        <f ca="1">IFERROR(__xludf.DUMMYFUNCTION("IFERROR(sum(QUERY('Mes01'!$B$2:$E1000, ""SELECT C WHERE E = 'Pessoa 2' AND B = '""&amp;$A63&amp;""'"")),0)"),0)</f>
        <v>0</v>
      </c>
      <c r="I63" s="39">
        <f ca="1">IFERROR(__xludf.DUMMYFUNCTION("IFERROR(sum(QUERY('Mes01'!$B$2:$E1000, ""SELECT C WHERE E = 'Pessoa 2' AND B = '""&amp;$A63&amp;""'"")),0)"),0)</f>
        <v>0</v>
      </c>
      <c r="J63" s="39">
        <f ca="1">IFERROR(__xludf.DUMMYFUNCTION("IFERROR(sum(QUERY('Mes01'!$B$2:$E1000, ""SELECT C WHERE E = 'Pessoa 2' AND B = '""&amp;$A63&amp;""'"")),0)"),0)</f>
        <v>0</v>
      </c>
      <c r="K63" s="39">
        <f ca="1">IFERROR(__xludf.DUMMYFUNCTION("IFERROR(sum(QUERY('Mes01'!$B$2:$E1000, ""SELECT C WHERE E = 'Pessoa 2' AND B = '""&amp;$A63&amp;""'"")),0)"),0)</f>
        <v>0</v>
      </c>
      <c r="L63" s="39">
        <f ca="1">IFERROR(__xludf.DUMMYFUNCTION("IFERROR(sum(QUERY('Mes01'!$B$2:$E1000, ""SELECT C WHERE E = 'Pessoa 2' AND B = '""&amp;$A63&amp;""'"")),0)"),0)</f>
        <v>0</v>
      </c>
      <c r="M63" s="39">
        <f ca="1">IFERROR(__xludf.DUMMYFUNCTION("IFERROR(sum(QUERY('Mes01'!$B$2:$E1000, ""SELECT C WHERE E = 'Pessoa 2' AND B = '""&amp;$A63&amp;""'"")),0)"),0)</f>
        <v>0</v>
      </c>
    </row>
    <row r="64" spans="1:17" ht="12.5">
      <c r="A64" s="58">
        <f t="shared" si="6"/>
        <v>0</v>
      </c>
      <c r="B64" s="39">
        <f ca="1">IFERROR(__xludf.DUMMYFUNCTION("IFERROR(sum(QUERY('Mes01'!$B$2:$E1000, ""SELECT C WHERE E = 'Pessoa 2' AND B = '""&amp;$A64&amp;""'"")),0)"),0)</f>
        <v>0</v>
      </c>
      <c r="C64" s="39">
        <f ca="1">IFERROR(__xludf.DUMMYFUNCTION("IFERROR(sum(QUERY('Mes01'!$B$2:$E1000, ""SELECT C WHERE E = 'Pessoa 2' AND B = '""&amp;$A64&amp;""'"")),0)"),0)</f>
        <v>0</v>
      </c>
      <c r="D64" s="39">
        <f ca="1">IFERROR(__xludf.DUMMYFUNCTION("IFERROR(sum(QUERY('Mes01'!$B$2:$E1000, ""SELECT C WHERE E = 'Pessoa 2' AND B = '""&amp;$A64&amp;""'"")),0)"),0)</f>
        <v>0</v>
      </c>
      <c r="E64" s="39">
        <f ca="1">IFERROR(__xludf.DUMMYFUNCTION("IFERROR(sum(QUERY('Mes01'!$B$2:$E1000, ""SELECT C WHERE E = 'Pessoa 2' AND B = '""&amp;$A64&amp;""'"")),0)"),0)</f>
        <v>0</v>
      </c>
      <c r="F64" s="39">
        <f ca="1">IFERROR(__xludf.DUMMYFUNCTION("IFERROR(sum(QUERY('Mes01'!$B$2:$E1000, ""SELECT C WHERE E = 'Pessoa 2' AND B = '""&amp;$A64&amp;""'"")),0)"),0)</f>
        <v>0</v>
      </c>
      <c r="G64" s="39">
        <f ca="1">IFERROR(__xludf.DUMMYFUNCTION("IFERROR(sum(QUERY('Mes01'!$B$2:$E1000, ""SELECT C WHERE E = 'Pessoa 2' AND B = '""&amp;$A64&amp;""'"")),0)"),0)</f>
        <v>0</v>
      </c>
      <c r="H64" s="39">
        <f ca="1">IFERROR(__xludf.DUMMYFUNCTION("IFERROR(sum(QUERY('Mes01'!$B$2:$E1000, ""SELECT C WHERE E = 'Pessoa 2' AND B = '""&amp;$A64&amp;""'"")),0)"),0)</f>
        <v>0</v>
      </c>
      <c r="I64" s="39">
        <f ca="1">IFERROR(__xludf.DUMMYFUNCTION("IFERROR(sum(QUERY('Mes01'!$B$2:$E1000, ""SELECT C WHERE E = 'Pessoa 2' AND B = '""&amp;$A64&amp;""'"")),0)"),0)</f>
        <v>0</v>
      </c>
      <c r="J64" s="39">
        <f ca="1">IFERROR(__xludf.DUMMYFUNCTION("IFERROR(sum(QUERY('Mes01'!$B$2:$E1000, ""SELECT C WHERE E = 'Pessoa 2' AND B = '""&amp;$A64&amp;""'"")),0)"),0)</f>
        <v>0</v>
      </c>
      <c r="K64" s="39">
        <f ca="1">IFERROR(__xludf.DUMMYFUNCTION("IFERROR(sum(QUERY('Mes01'!$B$2:$E1000, ""SELECT C WHERE E = 'Pessoa 2' AND B = '""&amp;$A64&amp;""'"")),0)"),0)</f>
        <v>0</v>
      </c>
      <c r="L64" s="39">
        <f ca="1">IFERROR(__xludf.DUMMYFUNCTION("IFERROR(sum(QUERY('Mes01'!$B$2:$E1000, ""SELECT C WHERE E = 'Pessoa 2' AND B = '""&amp;$A64&amp;""'"")),0)"),0)</f>
        <v>0</v>
      </c>
      <c r="M64" s="39">
        <f ca="1">IFERROR(__xludf.DUMMYFUNCTION("IFERROR(sum(QUERY('Mes01'!$B$2:$E1000, ""SELECT C WHERE E = 'Pessoa 2' AND B = '""&amp;$A64&amp;""'"")),0)"),0)</f>
        <v>0</v>
      </c>
    </row>
    <row r="65" spans="1:16" ht="12.5">
      <c r="A65" s="58">
        <f t="shared" si="6"/>
        <v>0</v>
      </c>
      <c r="B65" s="39">
        <f ca="1">IFERROR(__xludf.DUMMYFUNCTION("IFERROR(sum(QUERY('Mes01'!$B$2:$E1000, ""SELECT C WHERE E = 'Pessoa 2' AND B = '""&amp;$A65&amp;""'"")),0)"),0)</f>
        <v>0</v>
      </c>
      <c r="C65" s="39">
        <f ca="1">IFERROR(__xludf.DUMMYFUNCTION("IFERROR(sum(QUERY('Mes01'!$B$2:$E1000, ""SELECT C WHERE E = 'Pessoa 2' AND B = '""&amp;$A65&amp;""'"")),0)"),0)</f>
        <v>0</v>
      </c>
      <c r="D65" s="39">
        <f ca="1">IFERROR(__xludf.DUMMYFUNCTION("IFERROR(sum(QUERY('Mes01'!$B$2:$E1000, ""SELECT C WHERE E = 'Pessoa 2' AND B = '""&amp;$A65&amp;""'"")),0)"),0)</f>
        <v>0</v>
      </c>
      <c r="E65" s="39">
        <f ca="1">IFERROR(__xludf.DUMMYFUNCTION("IFERROR(sum(QUERY('Mes01'!$B$2:$E1000, ""SELECT C WHERE E = 'Pessoa 2' AND B = '""&amp;$A65&amp;""'"")),0)"),0)</f>
        <v>0</v>
      </c>
      <c r="F65" s="39">
        <f ca="1">IFERROR(__xludf.DUMMYFUNCTION("IFERROR(sum(QUERY('Mes01'!$B$2:$E1000, ""SELECT C WHERE E = 'Pessoa 2' AND B = '""&amp;$A65&amp;""'"")),0)"),0)</f>
        <v>0</v>
      </c>
      <c r="G65" s="39">
        <f ca="1">IFERROR(__xludf.DUMMYFUNCTION("IFERROR(sum(QUERY('Mes01'!$B$2:$E1000, ""SELECT C WHERE E = 'Pessoa 2' AND B = '""&amp;$A65&amp;""'"")),0)"),0)</f>
        <v>0</v>
      </c>
      <c r="H65" s="39">
        <f ca="1">IFERROR(__xludf.DUMMYFUNCTION("IFERROR(sum(QUERY('Mes01'!$B$2:$E1000, ""SELECT C WHERE E = 'Pessoa 2' AND B = '""&amp;$A65&amp;""'"")),0)"),0)</f>
        <v>0</v>
      </c>
      <c r="I65" s="39">
        <f ca="1">IFERROR(__xludf.DUMMYFUNCTION("IFERROR(sum(QUERY('Mes01'!$B$2:$E1000, ""SELECT C WHERE E = 'Pessoa 2' AND B = '""&amp;$A65&amp;""'"")),0)"),0)</f>
        <v>0</v>
      </c>
      <c r="J65" s="39">
        <f ca="1">IFERROR(__xludf.DUMMYFUNCTION("IFERROR(sum(QUERY('Mes01'!$B$2:$E1000, ""SELECT C WHERE E = 'Pessoa 2' AND B = '""&amp;$A65&amp;""'"")),0)"),0)</f>
        <v>0</v>
      </c>
      <c r="K65" s="39">
        <f ca="1">IFERROR(__xludf.DUMMYFUNCTION("IFERROR(sum(QUERY('Mes01'!$B$2:$E1000, ""SELECT C WHERE E = 'Pessoa 2' AND B = '""&amp;$A65&amp;""'"")),0)"),0)</f>
        <v>0</v>
      </c>
      <c r="L65" s="39">
        <f ca="1">IFERROR(__xludf.DUMMYFUNCTION("IFERROR(sum(QUERY('Mes01'!$B$2:$E1000, ""SELECT C WHERE E = 'Pessoa 2' AND B = '""&amp;$A65&amp;""'"")),0)"),0)</f>
        <v>0</v>
      </c>
      <c r="M65" s="39">
        <f ca="1">IFERROR(__xludf.DUMMYFUNCTION("IFERROR(sum(QUERY('Mes01'!$B$2:$E1000, ""SELECT C WHERE E = 'Pessoa 2' AND B = '""&amp;$A65&amp;""'"")),0)"),0)</f>
        <v>0</v>
      </c>
    </row>
    <row r="66" spans="1:16" ht="12.5">
      <c r="A66" s="58">
        <f t="shared" si="6"/>
        <v>0</v>
      </c>
      <c r="B66" s="39">
        <f ca="1">IFERROR(__xludf.DUMMYFUNCTION("IFERROR(sum(QUERY('Mes01'!$B$2:$E1000, ""SELECT C WHERE E = 'Pessoa 2' AND B = '""&amp;$A66&amp;""'"")),0)"),0)</f>
        <v>0</v>
      </c>
      <c r="C66" s="39">
        <f ca="1">IFERROR(__xludf.DUMMYFUNCTION("IFERROR(sum(QUERY('Mes01'!$B$2:$E1000, ""SELECT C WHERE E = 'Pessoa 2' AND B = '""&amp;$A66&amp;""'"")),0)"),0)</f>
        <v>0</v>
      </c>
      <c r="D66" s="39">
        <f ca="1">IFERROR(__xludf.DUMMYFUNCTION("IFERROR(sum(QUERY('Mes01'!$B$2:$E1000, ""SELECT C WHERE E = 'Pessoa 2' AND B = '""&amp;$A66&amp;""'"")),0)"),0)</f>
        <v>0</v>
      </c>
      <c r="E66" s="39">
        <f ca="1">IFERROR(__xludf.DUMMYFUNCTION("IFERROR(sum(QUERY('Mes01'!$B$2:$E1000, ""SELECT C WHERE E = 'Pessoa 2' AND B = '""&amp;$A66&amp;""'"")),0)"),0)</f>
        <v>0</v>
      </c>
      <c r="F66" s="39">
        <f ca="1">IFERROR(__xludf.DUMMYFUNCTION("IFERROR(sum(QUERY('Mes01'!$B$2:$E1000, ""SELECT C WHERE E = 'Pessoa 2' AND B = '""&amp;$A66&amp;""'"")),0)"),0)</f>
        <v>0</v>
      </c>
      <c r="G66" s="39">
        <f ca="1">IFERROR(__xludf.DUMMYFUNCTION("IFERROR(sum(QUERY('Mes01'!$B$2:$E1000, ""SELECT C WHERE E = 'Pessoa 2' AND B = '""&amp;$A66&amp;""'"")),0)"),0)</f>
        <v>0</v>
      </c>
      <c r="H66" s="39">
        <f ca="1">IFERROR(__xludf.DUMMYFUNCTION("IFERROR(sum(QUERY('Mes01'!$B$2:$E1000, ""SELECT C WHERE E = 'Pessoa 2' AND B = '""&amp;$A66&amp;""'"")),0)"),0)</f>
        <v>0</v>
      </c>
      <c r="I66" s="39">
        <f ca="1">IFERROR(__xludf.DUMMYFUNCTION("IFERROR(sum(QUERY('Mes01'!$B$2:$E1000, ""SELECT C WHERE E = 'Pessoa 2' AND B = '""&amp;$A66&amp;""'"")),0)"),0)</f>
        <v>0</v>
      </c>
      <c r="J66" s="39">
        <f ca="1">IFERROR(__xludf.DUMMYFUNCTION("IFERROR(sum(QUERY('Mes01'!$B$2:$E1000, ""SELECT C WHERE E = 'Pessoa 2' AND B = '""&amp;$A66&amp;""'"")),0)"),0)</f>
        <v>0</v>
      </c>
      <c r="K66" s="39">
        <f ca="1">IFERROR(__xludf.DUMMYFUNCTION("IFERROR(sum(QUERY('Mes01'!$B$2:$E1000, ""SELECT C WHERE E = 'Pessoa 2' AND B = '""&amp;$A66&amp;""'"")),0)"),0)</f>
        <v>0</v>
      </c>
      <c r="L66" s="39">
        <f ca="1">IFERROR(__xludf.DUMMYFUNCTION("IFERROR(sum(QUERY('Mes01'!$B$2:$E1000, ""SELECT C WHERE E = 'Pessoa 2' AND B = '""&amp;$A66&amp;""'"")),0)"),0)</f>
        <v>0</v>
      </c>
      <c r="M66" s="39">
        <f ca="1">IFERROR(__xludf.DUMMYFUNCTION("IFERROR(sum(QUERY('Mes01'!$B$2:$E1000, ""SELECT C WHERE E = 'Pessoa 2' AND B = '""&amp;$A66&amp;""'"")),0)"),0)</f>
        <v>0</v>
      </c>
    </row>
    <row r="67" spans="1:16" ht="12.5">
      <c r="A67" s="58">
        <f t="shared" si="6"/>
        <v>0</v>
      </c>
      <c r="B67" s="39">
        <f ca="1">IFERROR(__xludf.DUMMYFUNCTION("IFERROR(sum(QUERY('Mes01'!$B$2:$E1000, ""SELECT C WHERE E = 'Pessoa 2' AND B = '""&amp;$A67&amp;""'"")),0)"),0)</f>
        <v>0</v>
      </c>
      <c r="C67" s="39">
        <f ca="1">IFERROR(__xludf.DUMMYFUNCTION("IFERROR(sum(QUERY('Mes01'!$B$2:$E1000, ""SELECT C WHERE E = 'Pessoa 2' AND B = '""&amp;$A67&amp;""'"")),0)"),0)</f>
        <v>0</v>
      </c>
      <c r="D67" s="39">
        <f ca="1">IFERROR(__xludf.DUMMYFUNCTION("IFERROR(sum(QUERY('Mes01'!$B$2:$E1000, ""SELECT C WHERE E = 'Pessoa 2' AND B = '""&amp;$A67&amp;""'"")),0)"),0)</f>
        <v>0</v>
      </c>
      <c r="E67" s="39">
        <f ca="1">IFERROR(__xludf.DUMMYFUNCTION("IFERROR(sum(QUERY('Mes01'!$B$2:$E1000, ""SELECT C WHERE E = 'Pessoa 2' AND B = '""&amp;$A67&amp;""'"")),0)"),0)</f>
        <v>0</v>
      </c>
      <c r="F67" s="39">
        <f ca="1">IFERROR(__xludf.DUMMYFUNCTION("IFERROR(sum(QUERY('Mes01'!$B$2:$E1000, ""SELECT C WHERE E = 'Pessoa 2' AND B = '""&amp;$A67&amp;""'"")),0)"),0)</f>
        <v>0</v>
      </c>
      <c r="G67" s="39">
        <f ca="1">IFERROR(__xludf.DUMMYFUNCTION("IFERROR(sum(QUERY('Mes01'!$B$2:$E1000, ""SELECT C WHERE E = 'Pessoa 2' AND B = '""&amp;$A67&amp;""'"")),0)"),0)</f>
        <v>0</v>
      </c>
      <c r="H67" s="39">
        <f ca="1">IFERROR(__xludf.DUMMYFUNCTION("IFERROR(sum(QUERY('Mes01'!$B$2:$E1000, ""SELECT C WHERE E = 'Pessoa 2' AND B = '""&amp;$A67&amp;""'"")),0)"),0)</f>
        <v>0</v>
      </c>
      <c r="I67" s="39">
        <f ca="1">IFERROR(__xludf.DUMMYFUNCTION("IFERROR(sum(QUERY('Mes01'!$B$2:$E1000, ""SELECT C WHERE E = 'Pessoa 2' AND B = '""&amp;$A67&amp;""'"")),0)"),0)</f>
        <v>0</v>
      </c>
      <c r="J67" s="39">
        <f ca="1">IFERROR(__xludf.DUMMYFUNCTION("IFERROR(sum(QUERY('Mes01'!$B$2:$E1000, ""SELECT C WHERE E = 'Pessoa 2' AND B = '""&amp;$A67&amp;""'"")),0)"),0)</f>
        <v>0</v>
      </c>
      <c r="K67" s="39">
        <f ca="1">IFERROR(__xludf.DUMMYFUNCTION("IFERROR(sum(QUERY('Mes01'!$B$2:$E1000, ""SELECT C WHERE E = 'Pessoa 2' AND B = '""&amp;$A67&amp;""'"")),0)"),0)</f>
        <v>0</v>
      </c>
      <c r="L67" s="39">
        <f ca="1">IFERROR(__xludf.DUMMYFUNCTION("IFERROR(sum(QUERY('Mes01'!$B$2:$E1000, ""SELECT C WHERE E = 'Pessoa 2' AND B = '""&amp;$A67&amp;""'"")),0)"),0)</f>
        <v>0</v>
      </c>
      <c r="M67" s="39">
        <f ca="1">IFERROR(__xludf.DUMMYFUNCTION("IFERROR(sum(QUERY('Mes01'!$B$2:$E1000, ""SELECT C WHERE E = 'Pessoa 2' AND B = '""&amp;$A67&amp;""'"")),0)"),0)</f>
        <v>0</v>
      </c>
    </row>
    <row r="68" spans="1:16" ht="12.5">
      <c r="A68" s="58">
        <f t="shared" si="6"/>
        <v>0</v>
      </c>
      <c r="B68" s="39">
        <f ca="1">IFERROR(__xludf.DUMMYFUNCTION("IFERROR(sum(QUERY('Mes01'!$B$2:$E1000, ""SELECT C WHERE E = 'Pessoa 2' AND B = '""&amp;$A68&amp;""'"")),0)"),0)</f>
        <v>0</v>
      </c>
      <c r="C68" s="39">
        <f ca="1">IFERROR(__xludf.DUMMYFUNCTION("IFERROR(sum(QUERY('Mes01'!$B$2:$E1000, ""SELECT C WHERE E = 'Pessoa 2' AND B = '""&amp;$A68&amp;""'"")),0)"),0)</f>
        <v>0</v>
      </c>
      <c r="D68" s="39">
        <f ca="1">IFERROR(__xludf.DUMMYFUNCTION("IFERROR(sum(QUERY('Mes01'!$B$2:$E1000, ""SELECT C WHERE E = 'Pessoa 2' AND B = '""&amp;$A68&amp;""'"")),0)"),0)</f>
        <v>0</v>
      </c>
      <c r="E68" s="39">
        <f ca="1">IFERROR(__xludf.DUMMYFUNCTION("IFERROR(sum(QUERY('Mes01'!$B$2:$E1000, ""SELECT C WHERE E = 'Pessoa 2' AND B = '""&amp;$A68&amp;""'"")),0)"),0)</f>
        <v>0</v>
      </c>
      <c r="F68" s="39">
        <f ca="1">IFERROR(__xludf.DUMMYFUNCTION("IFERROR(sum(QUERY('Mes01'!$B$2:$E1000, ""SELECT C WHERE E = 'Pessoa 2' AND B = '""&amp;$A68&amp;""'"")),0)"),0)</f>
        <v>0</v>
      </c>
      <c r="G68" s="39">
        <f ca="1">IFERROR(__xludf.DUMMYFUNCTION("IFERROR(sum(QUERY('Mes01'!$B$2:$E1000, ""SELECT C WHERE E = 'Pessoa 2' AND B = '""&amp;$A68&amp;""'"")),0)"),0)</f>
        <v>0</v>
      </c>
      <c r="H68" s="39">
        <f ca="1">IFERROR(__xludf.DUMMYFUNCTION("IFERROR(sum(QUERY('Mes01'!$B$2:$E1000, ""SELECT C WHERE E = 'Pessoa 2' AND B = '""&amp;$A68&amp;""'"")),0)"),0)</f>
        <v>0</v>
      </c>
      <c r="I68" s="39">
        <f ca="1">IFERROR(__xludf.DUMMYFUNCTION("IFERROR(sum(QUERY('Mes01'!$B$2:$E1000, ""SELECT C WHERE E = 'Pessoa 2' AND B = '""&amp;$A68&amp;""'"")),0)"),0)</f>
        <v>0</v>
      </c>
      <c r="J68" s="39">
        <f ca="1">IFERROR(__xludf.DUMMYFUNCTION("IFERROR(sum(QUERY('Mes01'!$B$2:$E1000, ""SELECT C WHERE E = 'Pessoa 2' AND B = '""&amp;$A68&amp;""'"")),0)"),0)</f>
        <v>0</v>
      </c>
      <c r="K68" s="39">
        <f ca="1">IFERROR(__xludf.DUMMYFUNCTION("IFERROR(sum(QUERY('Mes01'!$B$2:$E1000, ""SELECT C WHERE E = 'Pessoa 2' AND B = '""&amp;$A68&amp;""'"")),0)"),0)</f>
        <v>0</v>
      </c>
      <c r="L68" s="39">
        <f ca="1">IFERROR(__xludf.DUMMYFUNCTION("IFERROR(sum(QUERY('Mes01'!$B$2:$E1000, ""SELECT C WHERE E = 'Pessoa 2' AND B = '""&amp;$A68&amp;""'"")),0)"),0)</f>
        <v>0</v>
      </c>
      <c r="M68" s="39">
        <f ca="1">IFERROR(__xludf.DUMMYFUNCTION("IFERROR(sum(QUERY('Mes01'!$B$2:$E1000, ""SELECT C WHERE E = 'Pessoa 2' AND B = '""&amp;$A68&amp;""'"")),0)"),0)</f>
        <v>0</v>
      </c>
    </row>
    <row r="69" spans="1:16" ht="12.5">
      <c r="A69" s="58">
        <f t="shared" si="6"/>
        <v>0</v>
      </c>
      <c r="B69" s="39">
        <f ca="1">IFERROR(__xludf.DUMMYFUNCTION("IFERROR(sum(QUERY('Mes01'!$B$2:$E1000, ""SELECT C WHERE E = 'Pessoa 2' AND B = '""&amp;$A69&amp;""'"")),0)"),0)</f>
        <v>0</v>
      </c>
      <c r="C69" s="39">
        <f ca="1">IFERROR(__xludf.DUMMYFUNCTION("IFERROR(sum(QUERY('Mes01'!$B$2:$E1000, ""SELECT C WHERE E = 'Pessoa 2' AND B = '""&amp;$A69&amp;""'"")),0)"),0)</f>
        <v>0</v>
      </c>
      <c r="D69" s="39">
        <f ca="1">IFERROR(__xludf.DUMMYFUNCTION("IFERROR(sum(QUERY('Mes01'!$B$2:$E1000, ""SELECT C WHERE E = 'Pessoa 2' AND B = '""&amp;$A69&amp;""'"")),0)"),0)</f>
        <v>0</v>
      </c>
      <c r="E69" s="39">
        <f ca="1">IFERROR(__xludf.DUMMYFUNCTION("IFERROR(sum(QUERY('Mes01'!$B$2:$E1000, ""SELECT C WHERE E = 'Pessoa 2' AND B = '""&amp;$A69&amp;""'"")),0)"),0)</f>
        <v>0</v>
      </c>
      <c r="F69" s="39">
        <f ca="1">IFERROR(__xludf.DUMMYFUNCTION("IFERROR(sum(QUERY('Mes01'!$B$2:$E1000, ""SELECT C WHERE E = 'Pessoa 2' AND B = '""&amp;$A69&amp;""'"")),0)"),0)</f>
        <v>0</v>
      </c>
      <c r="G69" s="39">
        <f ca="1">IFERROR(__xludf.DUMMYFUNCTION("IFERROR(sum(QUERY('Mes01'!$B$2:$E1000, ""SELECT C WHERE E = 'Pessoa 2' AND B = '""&amp;$A69&amp;""'"")),0)"),0)</f>
        <v>0</v>
      </c>
      <c r="H69" s="39">
        <f ca="1">IFERROR(__xludf.DUMMYFUNCTION("IFERROR(sum(QUERY('Mes01'!$B$2:$E1000, ""SELECT C WHERE E = 'Pessoa 2' AND B = '""&amp;$A69&amp;""'"")),0)"),0)</f>
        <v>0</v>
      </c>
      <c r="I69" s="39">
        <f ca="1">IFERROR(__xludf.DUMMYFUNCTION("IFERROR(sum(QUERY('Mes01'!$B$2:$E1000, ""SELECT C WHERE E = 'Pessoa 2' AND B = '""&amp;$A69&amp;""'"")),0)"),0)</f>
        <v>0</v>
      </c>
      <c r="J69" s="39">
        <f ca="1">IFERROR(__xludf.DUMMYFUNCTION("IFERROR(sum(QUERY('Mes01'!$B$2:$E1000, ""SELECT C WHERE E = 'Pessoa 2' AND B = '""&amp;$A69&amp;""'"")),0)"),0)</f>
        <v>0</v>
      </c>
      <c r="K69" s="39">
        <f ca="1">IFERROR(__xludf.DUMMYFUNCTION("IFERROR(sum(QUERY('Mes01'!$B$2:$E1000, ""SELECT C WHERE E = 'Pessoa 2' AND B = '""&amp;$A69&amp;""'"")),0)"),0)</f>
        <v>0</v>
      </c>
      <c r="L69" s="39">
        <f ca="1">IFERROR(__xludf.DUMMYFUNCTION("IFERROR(sum(QUERY('Mes01'!$B$2:$E1000, ""SELECT C WHERE E = 'Pessoa 2' AND B = '""&amp;$A69&amp;""'"")),0)"),0)</f>
        <v>0</v>
      </c>
      <c r="M69" s="39">
        <f ca="1">IFERROR(__xludf.DUMMYFUNCTION("IFERROR(sum(QUERY('Mes01'!$B$2:$E1000, ""SELECT C WHERE E = 'Pessoa 2' AND B = '""&amp;$A69&amp;""'"")),0)"),0)</f>
        <v>0</v>
      </c>
      <c r="P69" s="5" t="s">
        <v>78</v>
      </c>
    </row>
    <row r="70" spans="1:16" ht="13">
      <c r="A70" s="61" t="s">
        <v>82</v>
      </c>
      <c r="B70" s="62">
        <v>0</v>
      </c>
      <c r="C70" s="62">
        <v>463.41</v>
      </c>
      <c r="D70" s="62">
        <v>0</v>
      </c>
      <c r="E70" s="62">
        <v>0</v>
      </c>
      <c r="F70" s="62">
        <v>0</v>
      </c>
      <c r="G70" s="62">
        <v>0</v>
      </c>
      <c r="H70" s="62">
        <v>0</v>
      </c>
      <c r="I70" s="62">
        <v>0</v>
      </c>
      <c r="J70" s="62">
        <v>0</v>
      </c>
      <c r="K70" s="62">
        <v>0</v>
      </c>
      <c r="L70" s="62">
        <v>0</v>
      </c>
      <c r="M70" s="62">
        <v>0</v>
      </c>
      <c r="O70" s="61" t="s">
        <v>80</v>
      </c>
      <c r="P70" s="15">
        <v>0</v>
      </c>
    </row>
    <row r="71" spans="1:16" ht="13">
      <c r="A71" s="61" t="s">
        <v>83</v>
      </c>
      <c r="B71" s="62">
        <v>475.77</v>
      </c>
      <c r="C71" s="62">
        <v>0</v>
      </c>
      <c r="D71" s="62">
        <v>914.46</v>
      </c>
      <c r="E71" s="62">
        <v>433.79</v>
      </c>
      <c r="F71" s="62">
        <v>0</v>
      </c>
      <c r="G71" s="62">
        <v>0</v>
      </c>
      <c r="H71" s="62">
        <v>0</v>
      </c>
      <c r="I71" s="62">
        <v>0</v>
      </c>
      <c r="J71" s="62">
        <v>0</v>
      </c>
      <c r="K71" s="62">
        <v>0</v>
      </c>
      <c r="L71" s="62">
        <v>99.74</v>
      </c>
      <c r="M71" s="62">
        <v>494.33</v>
      </c>
      <c r="O71" s="63">
        <f>SUM(B71:N71)</f>
        <v>2418.09</v>
      </c>
    </row>
    <row r="72" spans="1:16" ht="12.5">
      <c r="A72" s="64"/>
      <c r="B72" s="32"/>
      <c r="C72" s="32"/>
      <c r="D72" s="32"/>
      <c r="E72" s="32"/>
      <c r="F72" s="32"/>
      <c r="G72" s="32"/>
      <c r="H72" s="32"/>
      <c r="I72" s="32"/>
      <c r="J72" s="32"/>
      <c r="K72" s="32"/>
      <c r="L72" s="32"/>
      <c r="M72" s="32"/>
    </row>
    <row r="73" spans="1:16" ht="13">
      <c r="A73" s="31" t="s">
        <v>84</v>
      </c>
      <c r="B73" s="32"/>
      <c r="C73" s="32"/>
      <c r="D73" s="32"/>
      <c r="E73" s="32"/>
      <c r="F73" s="32"/>
      <c r="G73" s="32"/>
      <c r="H73" s="32"/>
      <c r="I73" s="32"/>
      <c r="J73" s="32"/>
      <c r="K73" s="32"/>
      <c r="L73" s="32"/>
      <c r="M73" s="32"/>
    </row>
    <row r="74" spans="1:16" ht="13">
      <c r="A74" s="65" t="s">
        <v>85</v>
      </c>
      <c r="B74" s="39">
        <f t="shared" ref="B74:M74" ca="1" si="7">B5/2</f>
        <v>3204.0705430613098</v>
      </c>
      <c r="C74" s="39">
        <f t="shared" ca="1" si="7"/>
        <v>3204.0705430613098</v>
      </c>
      <c r="D74" s="39">
        <f t="shared" ca="1" si="7"/>
        <v>3204.0705430613098</v>
      </c>
      <c r="E74" s="39">
        <f t="shared" ca="1" si="7"/>
        <v>3204.0705430613098</v>
      </c>
      <c r="F74" s="39">
        <f t="shared" ca="1" si="7"/>
        <v>3204.0705430613098</v>
      </c>
      <c r="G74" s="39">
        <f t="shared" ca="1" si="7"/>
        <v>3204.0705430613098</v>
      </c>
      <c r="H74" s="39">
        <f t="shared" ca="1" si="7"/>
        <v>3204.0705430613098</v>
      </c>
      <c r="I74" s="39">
        <f t="shared" ca="1" si="7"/>
        <v>3204.0705430613098</v>
      </c>
      <c r="J74" s="39">
        <f t="shared" ca="1" si="7"/>
        <v>3204.0705430613098</v>
      </c>
      <c r="K74" s="39">
        <f t="shared" ca="1" si="7"/>
        <v>3204.0705430613098</v>
      </c>
      <c r="L74" s="39">
        <f t="shared" ca="1" si="7"/>
        <v>3204.0705430613098</v>
      </c>
      <c r="M74" s="39">
        <f t="shared" ca="1" si="7"/>
        <v>3204.0705430613098</v>
      </c>
    </row>
    <row r="75" spans="1:16" ht="12.5">
      <c r="A75" s="5" t="s">
        <v>86</v>
      </c>
      <c r="B75" s="15">
        <f t="shared" ref="B75:M75" ca="1" si="8">B$5</f>
        <v>6408.1410861226195</v>
      </c>
      <c r="C75" s="15">
        <f t="shared" ca="1" si="8"/>
        <v>6408.1410861226195</v>
      </c>
      <c r="D75" s="15">
        <f t="shared" ca="1" si="8"/>
        <v>6408.1410861226195</v>
      </c>
      <c r="E75" s="15">
        <f t="shared" ca="1" si="8"/>
        <v>6408.1410861226195</v>
      </c>
      <c r="F75" s="15">
        <f t="shared" ca="1" si="8"/>
        <v>6408.1410861226195</v>
      </c>
      <c r="G75" s="15">
        <f t="shared" ca="1" si="8"/>
        <v>6408.1410861226195</v>
      </c>
      <c r="H75" s="15">
        <f t="shared" ca="1" si="8"/>
        <v>6408.1410861226195</v>
      </c>
      <c r="I75" s="15">
        <f t="shared" ca="1" si="8"/>
        <v>6408.1410861226195</v>
      </c>
      <c r="J75" s="15">
        <f t="shared" ca="1" si="8"/>
        <v>6408.1410861226195</v>
      </c>
      <c r="K75" s="15">
        <f t="shared" ca="1" si="8"/>
        <v>6408.1410861226195</v>
      </c>
      <c r="L75" s="15">
        <f t="shared" ca="1" si="8"/>
        <v>6408.1410861226195</v>
      </c>
      <c r="M75" s="15">
        <f t="shared" ca="1" si="8"/>
        <v>6408.1410861226195</v>
      </c>
    </row>
    <row r="76" spans="1:16" ht="12.5">
      <c r="A76" s="64" t="s">
        <v>87</v>
      </c>
      <c r="B76" s="39">
        <f t="shared" ref="B76:M76" ca="1" si="9">B3+B39</f>
        <v>3204.0705430613098</v>
      </c>
      <c r="C76" s="39">
        <f t="shared" ca="1" si="9"/>
        <v>3204.0705430613098</v>
      </c>
      <c r="D76" s="39">
        <f t="shared" ca="1" si="9"/>
        <v>3204.0705430613098</v>
      </c>
      <c r="E76" s="39">
        <f t="shared" ca="1" si="9"/>
        <v>3204.0705430613098</v>
      </c>
      <c r="F76" s="39">
        <f t="shared" ca="1" si="9"/>
        <v>3204.0705430613098</v>
      </c>
      <c r="G76" s="39">
        <f t="shared" ca="1" si="9"/>
        <v>3885.29054306131</v>
      </c>
      <c r="H76" s="39">
        <f t="shared" ca="1" si="9"/>
        <v>3770.2505430613096</v>
      </c>
      <c r="I76" s="39">
        <f t="shared" ca="1" si="9"/>
        <v>3616.2805430613098</v>
      </c>
      <c r="J76" s="39">
        <f t="shared" ca="1" si="9"/>
        <v>3554.0705430613098</v>
      </c>
      <c r="K76" s="39">
        <f t="shared" ca="1" si="9"/>
        <v>3717.7505430613096</v>
      </c>
      <c r="L76" s="39">
        <f t="shared" ca="1" si="9"/>
        <v>3204.0705430613098</v>
      </c>
      <c r="M76" s="39">
        <f t="shared" ca="1" si="9"/>
        <v>3204.0705430613098</v>
      </c>
    </row>
    <row r="77" spans="1:16" ht="12.5">
      <c r="A77" s="64" t="s">
        <v>88</v>
      </c>
      <c r="B77" s="39">
        <f t="shared" ref="B77:M77" ca="1" si="10">B4+B71</f>
        <v>3679.8405430613097</v>
      </c>
      <c r="C77" s="39">
        <f t="shared" ca="1" si="10"/>
        <v>3204.0705430613098</v>
      </c>
      <c r="D77" s="39">
        <f t="shared" ca="1" si="10"/>
        <v>4118.5305430613098</v>
      </c>
      <c r="E77" s="39">
        <f t="shared" ca="1" si="10"/>
        <v>3637.8605430613097</v>
      </c>
      <c r="F77" s="39">
        <f t="shared" ca="1" si="10"/>
        <v>3204.0705430613098</v>
      </c>
      <c r="G77" s="39">
        <f t="shared" ca="1" si="10"/>
        <v>3204.0705430613098</v>
      </c>
      <c r="H77" s="39">
        <f t="shared" ca="1" si="10"/>
        <v>3204.0705430613098</v>
      </c>
      <c r="I77" s="39">
        <f t="shared" ca="1" si="10"/>
        <v>3204.0705430613098</v>
      </c>
      <c r="J77" s="39">
        <f t="shared" ca="1" si="10"/>
        <v>3204.0705430613098</v>
      </c>
      <c r="K77" s="39">
        <f t="shared" ca="1" si="10"/>
        <v>3204.0705430613098</v>
      </c>
      <c r="L77" s="39">
        <f t="shared" ca="1" si="10"/>
        <v>3303.8105430613095</v>
      </c>
      <c r="M77" s="39">
        <f t="shared" ca="1" si="10"/>
        <v>3698.4005430613097</v>
      </c>
    </row>
    <row r="78" spans="1:16" ht="12.5">
      <c r="B78" s="39"/>
      <c r="C78" s="39"/>
      <c r="D78" s="39"/>
      <c r="E78" s="39"/>
      <c r="F78" s="39"/>
      <c r="G78" s="39"/>
      <c r="H78" s="39"/>
      <c r="I78" s="39"/>
      <c r="J78" s="39"/>
      <c r="K78" s="39"/>
      <c r="L78" s="39"/>
      <c r="M78" s="39"/>
    </row>
    <row r="79" spans="1:16" ht="13">
      <c r="A79" s="49" t="s">
        <v>89</v>
      </c>
      <c r="B79" s="39">
        <f t="shared" ref="B79:M79" ca="1" si="11">B75*B97</f>
        <v>2728.2998402286689</v>
      </c>
      <c r="C79" s="39">
        <f t="shared" ca="1" si="11"/>
        <v>2740.6579450540335</v>
      </c>
      <c r="D79" s="39">
        <f t="shared" ca="1" si="11"/>
        <v>2753.016049879398</v>
      </c>
      <c r="E79" s="39">
        <f t="shared" ca="1" si="11"/>
        <v>2770.2778147002687</v>
      </c>
      <c r="F79" s="39">
        <f t="shared" ca="1" si="11"/>
        <v>3333.8480935558159</v>
      </c>
      <c r="G79" s="39">
        <f t="shared" ca="1" si="11"/>
        <v>3755.5131102787982</v>
      </c>
      <c r="H79" s="39">
        <f t="shared" ca="1" si="11"/>
        <v>3770.2460622465746</v>
      </c>
      <c r="I79" s="39">
        <f t="shared" ca="1" si="11"/>
        <v>3616.2827146517625</v>
      </c>
      <c r="J79" s="39">
        <f t="shared" ca="1" si="11"/>
        <v>3631.0028189692071</v>
      </c>
      <c r="K79" s="39">
        <f t="shared" ca="1" si="11"/>
        <v>3640.8192632911446</v>
      </c>
      <c r="L79" s="39">
        <f t="shared" ca="1" si="11"/>
        <v>3104.327193578406</v>
      </c>
      <c r="M79" s="39">
        <f t="shared" ca="1" si="11"/>
        <v>2709.7403859982319</v>
      </c>
    </row>
    <row r="80" spans="1:16" ht="13">
      <c r="A80" s="49" t="s">
        <v>90</v>
      </c>
      <c r="B80" s="39">
        <f t="shared" ref="B80:M80" ca="1" si="12">B75*B98</f>
        <v>3679.8412458939497</v>
      </c>
      <c r="C80" s="39">
        <f t="shared" ca="1" si="12"/>
        <v>3667.4831410685852</v>
      </c>
      <c r="D80" s="39">
        <f t="shared" ca="1" si="12"/>
        <v>3655.1250362432215</v>
      </c>
      <c r="E80" s="39">
        <f t="shared" ca="1" si="12"/>
        <v>3637.8632714223509</v>
      </c>
      <c r="F80" s="39">
        <f t="shared" ca="1" si="12"/>
        <v>3074.2929925668032</v>
      </c>
      <c r="G80" s="39">
        <f t="shared" ca="1" si="12"/>
        <v>2652.6279758438209</v>
      </c>
      <c r="H80" s="39">
        <f t="shared" ca="1" si="12"/>
        <v>2637.8950238760449</v>
      </c>
      <c r="I80" s="39">
        <f t="shared" ca="1" si="12"/>
        <v>2791.8583714708566</v>
      </c>
      <c r="J80" s="39">
        <f t="shared" ca="1" si="12"/>
        <v>2777.1382671534125</v>
      </c>
      <c r="K80" s="39">
        <f t="shared" ca="1" si="12"/>
        <v>2767.3218228314754</v>
      </c>
      <c r="L80" s="39">
        <f t="shared" ca="1" si="12"/>
        <v>3303.8138925442136</v>
      </c>
      <c r="M80" s="39">
        <f t="shared" ca="1" si="12"/>
        <v>3698.4007001243881</v>
      </c>
    </row>
    <row r="81" spans="1:16" ht="13">
      <c r="A81" s="49"/>
      <c r="B81" s="39"/>
      <c r="C81" s="39"/>
      <c r="D81" s="39"/>
      <c r="E81" s="39"/>
      <c r="F81" s="39"/>
      <c r="G81" s="39"/>
      <c r="H81" s="39"/>
      <c r="I81" s="39"/>
      <c r="J81" s="39"/>
      <c r="K81" s="39"/>
      <c r="L81" s="39"/>
      <c r="M81" s="39"/>
    </row>
    <row r="82" spans="1:16" ht="13">
      <c r="A82" s="49" t="s">
        <v>91</v>
      </c>
      <c r="B82" s="39" t="b">
        <f t="shared" ref="B82:M82" ca="1" si="13">B76&gt;B79</f>
        <v>1</v>
      </c>
      <c r="C82" s="39" t="b">
        <f t="shared" ca="1" si="13"/>
        <v>1</v>
      </c>
      <c r="D82" s="39" t="b">
        <f t="shared" ca="1" si="13"/>
        <v>1</v>
      </c>
      <c r="E82" s="39" t="b">
        <f t="shared" ca="1" si="13"/>
        <v>1</v>
      </c>
      <c r="F82" s="39" t="b">
        <f t="shared" ca="1" si="13"/>
        <v>0</v>
      </c>
      <c r="G82" s="39" t="b">
        <f t="shared" ca="1" si="13"/>
        <v>1</v>
      </c>
      <c r="H82" s="39" t="b">
        <f t="shared" ca="1" si="13"/>
        <v>1</v>
      </c>
      <c r="I82" s="39" t="b">
        <f t="shared" ca="1" si="13"/>
        <v>0</v>
      </c>
      <c r="J82" s="39" t="b">
        <f t="shared" ca="1" si="13"/>
        <v>0</v>
      </c>
      <c r="K82" s="39" t="b">
        <f t="shared" ca="1" si="13"/>
        <v>1</v>
      </c>
      <c r="L82" s="39" t="b">
        <f t="shared" ca="1" si="13"/>
        <v>1</v>
      </c>
      <c r="M82" s="39" t="b">
        <f t="shared" ca="1" si="13"/>
        <v>1</v>
      </c>
    </row>
    <row r="83" spans="1:16" ht="12.5">
      <c r="A83" s="66" t="s">
        <v>92</v>
      </c>
      <c r="B83" s="15">
        <f ca="1">IF(B82,B76-B79,0)+P70-P38</f>
        <v>475.77070283264084</v>
      </c>
      <c r="C83" s="15">
        <f t="shared" ref="C83:M83" ca="1" si="14">IF(C82,C76-C79,0)+B70-B38</f>
        <v>463.4125980072763</v>
      </c>
      <c r="D83" s="15">
        <f t="shared" ca="1" si="14"/>
        <v>914.46449318191185</v>
      </c>
      <c r="E83" s="15">
        <f t="shared" ca="1" si="14"/>
        <v>433.7927283610411</v>
      </c>
      <c r="F83" s="15">
        <f t="shared" ca="1" si="14"/>
        <v>0</v>
      </c>
      <c r="G83" s="15">
        <f t="shared" ca="1" si="14"/>
        <v>-2.5672174881776755E-3</v>
      </c>
      <c r="H83" s="15">
        <f t="shared" ca="1" si="14"/>
        <v>4.4808147349613137E-3</v>
      </c>
      <c r="I83" s="15">
        <f t="shared" ca="1" si="14"/>
        <v>0</v>
      </c>
      <c r="J83" s="15">
        <f t="shared" ca="1" si="14"/>
        <v>0</v>
      </c>
      <c r="K83" s="15">
        <f t="shared" ca="1" si="14"/>
        <v>1.2797701650129056E-3</v>
      </c>
      <c r="L83" s="15">
        <f t="shared" ca="1" si="14"/>
        <v>99.743349482903795</v>
      </c>
      <c r="M83" s="15">
        <f t="shared" ca="1" si="14"/>
        <v>494.33015706307788</v>
      </c>
    </row>
    <row r="84" spans="1:16" ht="12.5">
      <c r="A84" s="66" t="s">
        <v>93</v>
      </c>
      <c r="B84" s="15">
        <f ca="1">IF(B82=FALSE,B77-B80,0)+P38-P70</f>
        <v>0</v>
      </c>
      <c r="C84" s="15">
        <f t="shared" ref="C84:M84" ca="1" si="15">IF(C82=FALSE,C77-C80,0)+B38-B70</f>
        <v>0</v>
      </c>
      <c r="D84" s="15">
        <f t="shared" ca="1" si="15"/>
        <v>-463.41</v>
      </c>
      <c r="E84" s="15">
        <f t="shared" ca="1" si="15"/>
        <v>0</v>
      </c>
      <c r="F84" s="15">
        <f t="shared" ca="1" si="15"/>
        <v>129.77755049450661</v>
      </c>
      <c r="G84" s="15">
        <f t="shared" ca="1" si="15"/>
        <v>129.78</v>
      </c>
      <c r="H84" s="15">
        <f t="shared" ca="1" si="15"/>
        <v>0</v>
      </c>
      <c r="I84" s="15">
        <f t="shared" ca="1" si="15"/>
        <v>412.21217159045318</v>
      </c>
      <c r="J84" s="15">
        <f t="shared" ca="1" si="15"/>
        <v>426.93227590789729</v>
      </c>
      <c r="K84" s="15">
        <f t="shared" ca="1" si="15"/>
        <v>76.930000000000007</v>
      </c>
      <c r="L84" s="15">
        <f t="shared" ca="1" si="15"/>
        <v>0</v>
      </c>
      <c r="M84" s="15">
        <f t="shared" ca="1" si="15"/>
        <v>0</v>
      </c>
    </row>
    <row r="85" spans="1:16" ht="12.5">
      <c r="A85" s="66"/>
    </row>
    <row r="86" spans="1:16" ht="12.5">
      <c r="A86" s="66" t="s">
        <v>94</v>
      </c>
      <c r="B86" s="15">
        <f t="shared" ref="B86:M86" ca="1" si="16">IF(B82,(B83-B71-B70)*-1,B84-B38-B39)</f>
        <v>-7.0283264085446717E-4</v>
      </c>
      <c r="C86" s="15">
        <f t="shared" ca="1" si="16"/>
        <v>-2.5980072762763484E-3</v>
      </c>
      <c r="D86" s="15">
        <f t="shared" ca="1" si="16"/>
        <v>-4.4931819118119165E-3</v>
      </c>
      <c r="E86" s="15">
        <f t="shared" ca="1" si="16"/>
        <v>-2.728361041079097E-3</v>
      </c>
      <c r="F86" s="15">
        <f t="shared" ca="1" si="16"/>
        <v>-2.4495054933879601E-3</v>
      </c>
      <c r="G86" s="15">
        <f t="shared" ca="1" si="16"/>
        <v>2.5672174881776755E-3</v>
      </c>
      <c r="H86" s="15">
        <f t="shared" ca="1" si="16"/>
        <v>-4.4808147349613137E-3</v>
      </c>
      <c r="I86" s="15">
        <f t="shared" ca="1" si="16"/>
        <v>2.1715904532015884E-3</v>
      </c>
      <c r="J86" s="15">
        <f t="shared" ca="1" si="16"/>
        <v>2.2759078972853786E-3</v>
      </c>
      <c r="K86" s="15">
        <f t="shared" ca="1" si="16"/>
        <v>-1.2797701650129056E-3</v>
      </c>
      <c r="L86" s="15">
        <f t="shared" ca="1" si="16"/>
        <v>-3.3494829038005491E-3</v>
      </c>
      <c r="M86" s="15">
        <f t="shared" ca="1" si="16"/>
        <v>-1.5706307789287166E-4</v>
      </c>
    </row>
    <row r="88" spans="1:16" ht="13">
      <c r="A88" s="67" t="s">
        <v>95</v>
      </c>
      <c r="B88" s="68"/>
      <c r="C88" s="68"/>
      <c r="D88" s="68"/>
      <c r="E88" s="68"/>
      <c r="F88" s="68"/>
      <c r="G88" s="68"/>
      <c r="H88" s="68"/>
      <c r="I88" s="68"/>
      <c r="J88" s="68"/>
      <c r="K88" s="68"/>
      <c r="L88" s="68"/>
      <c r="M88" s="68"/>
      <c r="O88" s="68" t="s">
        <v>96</v>
      </c>
      <c r="P88" s="68"/>
    </row>
    <row r="89" spans="1:16" ht="12.5">
      <c r="A89" s="68" t="s">
        <v>97</v>
      </c>
      <c r="B89" s="69">
        <f>IFERROR(IF(Rendimentos!B3&lt;1,$O$89,Rendimentos!B3),$O$89)</f>
        <v>2545.5121951219512</v>
      </c>
      <c r="C89" s="69">
        <f>IFERROR(IF(Rendimentos!C3&lt;1,$O$89,Rendimentos!C3),$O$89)</f>
        <v>2545.5121951219512</v>
      </c>
      <c r="D89" s="69">
        <f>IFERROR(IF(Rendimentos!D3&lt;1,$O$89,Rendimentos!D3),$O$89)</f>
        <v>2545.5121951219512</v>
      </c>
      <c r="E89" s="69">
        <f>IFERROR(IF(Rendimentos!E3&lt;1,$O$89,Rendimentos!E3),$O$89)</f>
        <v>3857.4065040650403</v>
      </c>
      <c r="F89" s="69">
        <f>IFERROR(IF(Rendimentos!F3&lt;1,$O$89,Rendimentos!F3),$O$89)</f>
        <v>3475.0325203252032</v>
      </c>
      <c r="G89" s="69">
        <f>IFERROR(IF(Rendimentos!G3&lt;1,$O$89,Rendimentos!G3),$O$89)</f>
        <v>5325</v>
      </c>
      <c r="H89" s="69">
        <f>IFERROR(IF(Rendimentos!H3&lt;1,$O$89,Rendimentos!H3),$O$89)</f>
        <v>3475.0325203252032</v>
      </c>
      <c r="I89" s="69">
        <f>IFERROR(IF(Rendimentos!I3&lt;1,$O$89,Rendimentos!I3),$O$89)</f>
        <v>1750</v>
      </c>
      <c r="J89" s="69">
        <f>IFERROR(IF(Rendimentos!J3&lt;1,$O$89,Rendimentos!J3),$O$89)</f>
        <v>3265.9430894308944</v>
      </c>
      <c r="K89" s="69">
        <f>IFERROR(IF(Rendimentos!K3&lt;1,$O$89,Rendimentos!K3),$O$89)</f>
        <v>3265.9430894308944</v>
      </c>
      <c r="L89" s="69">
        <f>IFERROR(IF(Rendimentos!L3&lt;1,$O$89,Rendimentos!L3),$O$89)</f>
        <v>3265.9430894308944</v>
      </c>
      <c r="M89" s="69">
        <f>IFERROR(IF(Rendimentos!M3&lt;1,$O$89,Rendimentos!M3),$O$89)</f>
        <v>3265.9430894308944</v>
      </c>
      <c r="O89" s="69">
        <v>2200</v>
      </c>
      <c r="P89" s="70">
        <f>O89/(O89+O90)</f>
        <v>0.42307692307692307</v>
      </c>
    </row>
    <row r="90" spans="1:16" ht="12.5">
      <c r="A90" s="68" t="s">
        <v>98</v>
      </c>
      <c r="B90" s="69">
        <f>IFERROR(IF(SUM(Rendimentos!B18:B19)&lt;1,$O$90,SUM(Rendimentos!B18:B19)),$O$90)</f>
        <v>3250.98</v>
      </c>
      <c r="C90" s="69">
        <f>IFERROR(IF(SUM(Rendimentos!C18:C19)&lt;1,$O$90,SUM(Rendimentos!C18:C19)),$O$90)</f>
        <v>3310.98</v>
      </c>
      <c r="D90" s="69">
        <f>IFERROR(IF(SUM(Rendimentos!D18:D19)&lt;1,$O$90,SUM(Rendimentos!D18:D19)),$O$90)</f>
        <v>3310.98</v>
      </c>
      <c r="E90" s="69">
        <f>IFERROR(IF(SUM(Rendimentos!E18:E19)&lt;1,$O$90,SUM(Rendimentos!E18:E19)),$O$90)</f>
        <v>4924.6099999999997</v>
      </c>
      <c r="F90" s="69">
        <f>IFERROR(IF(SUM(Rendimentos!F18:F19)&lt;1,$O$90,SUM(Rendimentos!F18:F19)),$O$90)</f>
        <v>180</v>
      </c>
      <c r="G90" s="69">
        <f>IFERROR(IF(SUM(Rendimentos!G18:G19)&lt;1,$O$90,SUM(Rendimentos!G18:G19)),$O$90)</f>
        <v>1185.69</v>
      </c>
      <c r="H90" s="69">
        <f>IFERROR(IF(SUM(Rendimentos!H18:H19)&lt;1,$O$90,SUM(Rendimentos!H18:H19)),$O$90)</f>
        <v>4197.1100000000006</v>
      </c>
      <c r="I90" s="69">
        <f>IFERROR(IF(SUM(Rendimentos!I18:I19)&lt;1,$O$90,SUM(Rendimentos!I18:I19)),$O$90)</f>
        <v>4274.29</v>
      </c>
      <c r="J90" s="69">
        <f>IFERROR(IF(SUM(Rendimentos!J18:J19)&lt;1,$O$90,SUM(Rendimentos!J18:J19)),$O$90)</f>
        <v>4017.11</v>
      </c>
      <c r="K90" s="69">
        <f>IFERROR(IF(SUM(Rendimentos!K18:K19)&lt;1,$O$90,SUM(Rendimentos!K18:K19)),$O$90)</f>
        <v>4017.11</v>
      </c>
      <c r="L90" s="69">
        <f>IFERROR(IF(SUM(Rendimentos!L18:L19)&lt;1,$O$90,SUM(Rendimentos!L18:L19)),$O$90)</f>
        <v>4017.11</v>
      </c>
      <c r="M90" s="69">
        <f>IFERROR(IF(SUM(Rendimentos!M18:M19)&lt;1,$O$90,SUM(Rendimentos!M18:M19)),$O$90)</f>
        <v>4017.11</v>
      </c>
      <c r="O90" s="69">
        <v>3000</v>
      </c>
      <c r="P90" s="70">
        <f>O90/(O89+O90)</f>
        <v>0.57692307692307687</v>
      </c>
    </row>
    <row r="92" spans="1:16" ht="13">
      <c r="A92" s="12" t="s">
        <v>99</v>
      </c>
    </row>
    <row r="93" spans="1:16" ht="12.5">
      <c r="A93" s="5" t="s">
        <v>97</v>
      </c>
      <c r="B93" s="46">
        <f t="shared" ref="B93:M93" si="17">B89/(B89+B90)</f>
        <v>0.43914700640227405</v>
      </c>
      <c r="C93" s="46">
        <f t="shared" si="17"/>
        <v>0.43464792751575509</v>
      </c>
      <c r="D93" s="46">
        <f t="shared" si="17"/>
        <v>0.43464792751575509</v>
      </c>
      <c r="E93" s="46">
        <f t="shared" si="17"/>
        <v>0.43923926837071137</v>
      </c>
      <c r="F93" s="46">
        <f t="shared" si="17"/>
        <v>0.95075283215702155</v>
      </c>
      <c r="G93" s="46">
        <f t="shared" si="17"/>
        <v>0.8178856618883712</v>
      </c>
      <c r="H93" s="46">
        <f t="shared" si="17"/>
        <v>0.45294160153035123</v>
      </c>
      <c r="I93" s="46">
        <f t="shared" si="17"/>
        <v>0.29049066363007092</v>
      </c>
      <c r="J93" s="46">
        <f t="shared" si="17"/>
        <v>0.44843049327354262</v>
      </c>
      <c r="K93" s="46">
        <f t="shared" si="17"/>
        <v>0.44843049327354262</v>
      </c>
      <c r="L93" s="46">
        <f t="shared" si="17"/>
        <v>0.44843049327354262</v>
      </c>
      <c r="M93" s="46">
        <f t="shared" si="17"/>
        <v>0.44843049327354262</v>
      </c>
    </row>
    <row r="94" spans="1:16" ht="12.5">
      <c r="A94" s="5" t="s">
        <v>100</v>
      </c>
      <c r="B94" s="46">
        <f t="shared" ref="B94:M94" si="18">B90/(B89+B90)</f>
        <v>0.56085299359772589</v>
      </c>
      <c r="C94" s="46">
        <f t="shared" si="18"/>
        <v>0.56535207248424491</v>
      </c>
      <c r="D94" s="46">
        <f t="shared" si="18"/>
        <v>0.56535207248424491</v>
      </c>
      <c r="E94" s="46">
        <f t="shared" si="18"/>
        <v>0.56076073162928874</v>
      </c>
      <c r="F94" s="46">
        <f t="shared" si="18"/>
        <v>4.9247167842978501E-2</v>
      </c>
      <c r="G94" s="46">
        <f t="shared" si="18"/>
        <v>0.18211433811162872</v>
      </c>
      <c r="H94" s="46">
        <f t="shared" si="18"/>
        <v>0.54705839846964877</v>
      </c>
      <c r="I94" s="46">
        <f t="shared" si="18"/>
        <v>0.70950933636992908</v>
      </c>
      <c r="J94" s="46">
        <f t="shared" si="18"/>
        <v>0.55156950672645744</v>
      </c>
      <c r="K94" s="46">
        <f t="shared" si="18"/>
        <v>0.55156950672645744</v>
      </c>
      <c r="L94" s="46">
        <f t="shared" si="18"/>
        <v>0.55156950672645744</v>
      </c>
      <c r="M94" s="46">
        <f t="shared" si="18"/>
        <v>0.55156950672645744</v>
      </c>
    </row>
    <row r="96" spans="1:16" ht="13">
      <c r="A96" s="12" t="s">
        <v>101</v>
      </c>
    </row>
    <row r="97" spans="1:13" ht="12.5">
      <c r="A97" s="5" t="s">
        <v>97</v>
      </c>
      <c r="B97" s="46">
        <f t="shared" ref="B97:B98" si="19">((B93*1)+($P89*5))/6</f>
        <v>0.4257552702978149</v>
      </c>
      <c r="C97" s="46">
        <f t="shared" ref="C97:C98" si="20">((C93+B93)+($P89*4))/6</f>
        <v>0.42768377103762023</v>
      </c>
      <c r="D97" s="46">
        <f t="shared" ref="D97:D98" si="21">((D93+C93+B93)+($P89*3))/6</f>
        <v>0.42961227177742556</v>
      </c>
      <c r="E97" s="46">
        <f t="shared" ref="E97:E98" si="22">((E93+D93+C93+B93)+($P89*2))/6</f>
        <v>0.43230599599305691</v>
      </c>
      <c r="F97" s="46">
        <f t="shared" ref="F97:F98" si="23">((SUM(B93:F93)+($P89*1))/6)</f>
        <v>0.52025198083974</v>
      </c>
      <c r="G97" s="46">
        <f t="shared" ref="G97:M97" si="24">SUM(B93:G93)/6</f>
        <v>0.58605343730831472</v>
      </c>
      <c r="H97" s="46">
        <f t="shared" si="24"/>
        <v>0.58835253649632757</v>
      </c>
      <c r="I97" s="46">
        <f t="shared" si="24"/>
        <v>0.56432632584871356</v>
      </c>
      <c r="J97" s="46">
        <f t="shared" si="24"/>
        <v>0.56662342014167821</v>
      </c>
      <c r="K97" s="46">
        <f t="shared" si="24"/>
        <v>0.56815529095881667</v>
      </c>
      <c r="L97" s="46">
        <f t="shared" si="24"/>
        <v>0.48443490114490356</v>
      </c>
      <c r="M97" s="46">
        <f t="shared" si="24"/>
        <v>0.42285903970909877</v>
      </c>
    </row>
    <row r="98" spans="1:13" ht="12.5">
      <c r="A98" s="5" t="s">
        <v>100</v>
      </c>
      <c r="B98" s="46">
        <f t="shared" si="19"/>
        <v>0.57424472970218499</v>
      </c>
      <c r="C98" s="46">
        <f t="shared" si="20"/>
        <v>0.57231622896237966</v>
      </c>
      <c r="D98" s="46">
        <f t="shared" si="21"/>
        <v>0.57038772822257444</v>
      </c>
      <c r="E98" s="46">
        <f t="shared" si="22"/>
        <v>0.56769400400694303</v>
      </c>
      <c r="F98" s="46">
        <f t="shared" si="23"/>
        <v>0.47974801916025989</v>
      </c>
      <c r="G98" s="46">
        <f t="shared" ref="G98:M98" si="25">SUM(B94:G94)/6</f>
        <v>0.41394656269168523</v>
      </c>
      <c r="H98" s="46">
        <f t="shared" si="25"/>
        <v>0.41164746350367243</v>
      </c>
      <c r="I98" s="46">
        <f t="shared" si="25"/>
        <v>0.43567367415128638</v>
      </c>
      <c r="J98" s="46">
        <f t="shared" si="25"/>
        <v>0.43337657985832184</v>
      </c>
      <c r="K98" s="46">
        <f t="shared" si="25"/>
        <v>0.43184470904118338</v>
      </c>
      <c r="L98" s="46">
        <f t="shared" si="25"/>
        <v>0.51556509885509649</v>
      </c>
      <c r="M98" s="46">
        <f t="shared" si="25"/>
        <v>0.57714096029090134</v>
      </c>
    </row>
  </sheetData>
  <conditionalFormatting sqref="B7:M7">
    <cfRule type="notContainsText" dxfId="26" priority="3" operator="notContains" text="OK">
      <formula>ISERROR(SEARCH(("OK"),(B7)))</formula>
    </cfRule>
  </conditionalFormatting>
  <conditionalFormatting sqref="B8:M37 B40:M69">
    <cfRule type="cellIs" dxfId="25" priority="1" operator="equal">
      <formula>0</formula>
    </cfRule>
  </conditionalFormatting>
  <conditionalFormatting sqref="B78:M82">
    <cfRule type="cellIs" dxfId="24" priority="2" operator="less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6D9EEB"/>
    <outlinePr summaryBelow="0" summaryRight="0"/>
  </sheetPr>
  <dimension ref="A1:AA100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2.6328125" defaultRowHeight="15.75" customHeight="1"/>
  <cols>
    <col min="1" max="1" width="18.08984375" customWidth="1"/>
    <col min="2" max="2" width="30.36328125" customWidth="1"/>
    <col min="3" max="3" width="22.36328125" customWidth="1"/>
    <col min="4" max="4" width="60.90625" customWidth="1"/>
    <col min="5" max="5" width="12.7265625" customWidth="1"/>
    <col min="6" max="6" width="20.26953125" customWidth="1"/>
    <col min="7" max="7" width="44.90625" customWidth="1"/>
    <col min="8" max="8" width="6.90625" customWidth="1"/>
    <col min="10" max="10" width="43.08984375" customWidth="1"/>
  </cols>
  <sheetData>
    <row r="1" spans="1:27">
      <c r="A1" s="71" t="s">
        <v>102</v>
      </c>
      <c r="B1" s="14" t="s">
        <v>103</v>
      </c>
      <c r="C1" s="72" t="s">
        <v>104</v>
      </c>
      <c r="D1" s="14" t="s">
        <v>105</v>
      </c>
      <c r="E1" s="14" t="s">
        <v>106</v>
      </c>
      <c r="F1" s="20"/>
      <c r="G1" s="14"/>
      <c r="H1" s="20"/>
      <c r="I1" s="14"/>
      <c r="J1" s="14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</row>
    <row r="2" spans="1:27" ht="15.75" customHeight="1">
      <c r="A2" s="73"/>
      <c r="B2" s="15"/>
      <c r="C2" s="16"/>
      <c r="E2" s="5"/>
      <c r="F2" s="15"/>
      <c r="G2" s="5"/>
      <c r="I2" s="15"/>
    </row>
    <row r="3" spans="1:27" ht="15.75" customHeight="1">
      <c r="A3" s="74">
        <v>44939</v>
      </c>
      <c r="B3" s="38" t="s">
        <v>35</v>
      </c>
      <c r="C3" s="75">
        <v>219.47354268653433</v>
      </c>
      <c r="D3" s="32" t="s">
        <v>107</v>
      </c>
      <c r="E3" s="32" t="s">
        <v>65</v>
      </c>
      <c r="F3" s="18"/>
      <c r="G3" s="5"/>
      <c r="H3" s="5"/>
      <c r="I3" s="15"/>
      <c r="J3" s="5"/>
    </row>
    <row r="4" spans="1:27" ht="15.75" customHeight="1">
      <c r="A4" s="74">
        <v>44927</v>
      </c>
      <c r="B4" s="38" t="s">
        <v>31</v>
      </c>
      <c r="C4" s="75">
        <v>235.72724970342699</v>
      </c>
      <c r="D4" s="32" t="s">
        <v>108</v>
      </c>
      <c r="E4" s="32" t="s">
        <v>65</v>
      </c>
      <c r="F4" s="15"/>
      <c r="G4" s="5"/>
      <c r="H4" s="5"/>
      <c r="I4" s="15"/>
      <c r="J4" s="5"/>
    </row>
    <row r="5" spans="1:27" ht="15.75" customHeight="1">
      <c r="A5" s="74">
        <v>44937</v>
      </c>
      <c r="B5" s="38" t="s">
        <v>109</v>
      </c>
      <c r="C5" s="75">
        <v>211.54703889041033</v>
      </c>
      <c r="D5" s="32" t="s">
        <v>110</v>
      </c>
      <c r="E5" s="32" t="s">
        <v>65</v>
      </c>
      <c r="F5" s="15"/>
      <c r="G5" s="5"/>
      <c r="H5" s="5"/>
      <c r="I5" s="15"/>
      <c r="J5" s="5"/>
    </row>
    <row r="6" spans="1:27" ht="15.75" customHeight="1">
      <c r="A6" s="74">
        <v>44946</v>
      </c>
      <c r="B6" s="38" t="s">
        <v>33</v>
      </c>
      <c r="C6" s="75">
        <v>653.65959800959661</v>
      </c>
      <c r="D6" s="32" t="s">
        <v>111</v>
      </c>
      <c r="E6" s="32" t="s">
        <v>64</v>
      </c>
      <c r="F6" s="15"/>
      <c r="G6" s="5"/>
      <c r="H6" s="5"/>
      <c r="I6" s="15"/>
      <c r="J6" s="5"/>
    </row>
    <row r="7" spans="1:27" ht="15.75" customHeight="1">
      <c r="A7" s="74">
        <v>44948</v>
      </c>
      <c r="B7" s="38" t="s">
        <v>33</v>
      </c>
      <c r="C7" s="75">
        <v>477.89973809016004</v>
      </c>
      <c r="D7" s="32" t="s">
        <v>112</v>
      </c>
      <c r="E7" s="32" t="s">
        <v>65</v>
      </c>
      <c r="F7" s="15"/>
      <c r="G7" s="5"/>
      <c r="H7" s="5"/>
      <c r="I7" s="15"/>
      <c r="J7" s="5"/>
    </row>
    <row r="8" spans="1:27" ht="15.75" customHeight="1">
      <c r="A8" s="74">
        <v>44946</v>
      </c>
      <c r="B8" s="38" t="s">
        <v>40</v>
      </c>
      <c r="C8" s="75">
        <v>159.384220428513</v>
      </c>
      <c r="D8" s="32" t="s">
        <v>113</v>
      </c>
      <c r="E8" s="32" t="s">
        <v>65</v>
      </c>
      <c r="F8" s="15"/>
      <c r="G8" s="5"/>
      <c r="H8" s="5"/>
      <c r="I8" s="15"/>
      <c r="J8" s="5"/>
    </row>
    <row r="9" spans="1:27" ht="15.75" customHeight="1">
      <c r="A9" s="74">
        <v>44932</v>
      </c>
      <c r="B9" s="38" t="s">
        <v>51</v>
      </c>
      <c r="C9" s="75">
        <v>133.71231191491933</v>
      </c>
      <c r="D9" s="32" t="s">
        <v>114</v>
      </c>
      <c r="E9" s="32" t="s">
        <v>64</v>
      </c>
      <c r="F9" s="15"/>
      <c r="G9" s="5"/>
      <c r="H9" s="5"/>
      <c r="I9" s="15"/>
      <c r="J9" s="5"/>
    </row>
    <row r="10" spans="1:27" ht="15.75" customHeight="1">
      <c r="A10" s="74">
        <v>44945</v>
      </c>
      <c r="B10" s="38" t="s">
        <v>44</v>
      </c>
      <c r="C10" s="75">
        <v>467.81382206622334</v>
      </c>
      <c r="D10" s="32" t="s">
        <v>115</v>
      </c>
      <c r="E10" s="32" t="s">
        <v>64</v>
      </c>
      <c r="F10" s="15"/>
      <c r="G10" s="5"/>
      <c r="H10" s="5"/>
      <c r="I10" s="15"/>
      <c r="J10" s="5"/>
    </row>
    <row r="11" spans="1:27" ht="15.75" customHeight="1">
      <c r="A11" s="74">
        <v>44931</v>
      </c>
      <c r="B11" s="38" t="s">
        <v>36</v>
      </c>
      <c r="C11" s="75">
        <v>324.08717826653498</v>
      </c>
      <c r="D11" s="32" t="s">
        <v>116</v>
      </c>
      <c r="E11" s="32" t="s">
        <v>64</v>
      </c>
      <c r="F11" s="15"/>
      <c r="G11" s="5"/>
      <c r="H11" s="5"/>
      <c r="I11" s="15"/>
      <c r="J11" s="5"/>
    </row>
    <row r="12" spans="1:27" ht="15.75" customHeight="1">
      <c r="A12" s="74">
        <v>44939</v>
      </c>
      <c r="B12" s="38" t="s">
        <v>40</v>
      </c>
      <c r="C12" s="75">
        <v>405.87036610521335</v>
      </c>
      <c r="D12" s="32" t="s">
        <v>117</v>
      </c>
      <c r="E12" s="32" t="s">
        <v>65</v>
      </c>
      <c r="F12" s="15"/>
      <c r="G12" s="5"/>
      <c r="H12" s="5"/>
      <c r="I12" s="15"/>
      <c r="J12" s="5"/>
    </row>
    <row r="13" spans="1:27" ht="15.75" customHeight="1">
      <c r="A13" s="74">
        <v>44937</v>
      </c>
      <c r="B13" s="38" t="s">
        <v>37</v>
      </c>
      <c r="C13" s="75">
        <v>550.79316125571336</v>
      </c>
      <c r="D13" s="32" t="s">
        <v>118</v>
      </c>
      <c r="E13" s="32" t="s">
        <v>65</v>
      </c>
      <c r="F13" s="15"/>
      <c r="G13" s="5"/>
      <c r="H13" s="5"/>
      <c r="I13" s="15"/>
      <c r="J13" s="5"/>
    </row>
    <row r="14" spans="1:27" ht="15.75" customHeight="1">
      <c r="A14" s="74">
        <v>44939</v>
      </c>
      <c r="B14" s="38" t="s">
        <v>33</v>
      </c>
      <c r="C14" s="75">
        <v>122.64494743644066</v>
      </c>
      <c r="D14" s="32" t="s">
        <v>119</v>
      </c>
      <c r="E14" s="32" t="s">
        <v>64</v>
      </c>
      <c r="F14" s="15"/>
      <c r="G14" s="5"/>
      <c r="H14" s="5"/>
      <c r="I14" s="15"/>
      <c r="J14" s="5"/>
    </row>
    <row r="15" spans="1:27" ht="15.75" customHeight="1">
      <c r="A15" s="74">
        <v>44952</v>
      </c>
      <c r="B15" s="38" t="s">
        <v>41</v>
      </c>
      <c r="C15" s="75">
        <v>96.119005313003996</v>
      </c>
      <c r="D15" s="32" t="s">
        <v>120</v>
      </c>
      <c r="E15" s="32" t="s">
        <v>64</v>
      </c>
      <c r="F15" s="15"/>
      <c r="G15" s="5"/>
      <c r="H15" s="5"/>
      <c r="I15" s="15"/>
      <c r="J15" s="5"/>
    </row>
    <row r="16" spans="1:27" ht="15.75" customHeight="1">
      <c r="A16" s="74">
        <v>44946</v>
      </c>
      <c r="B16" s="38" t="s">
        <v>44</v>
      </c>
      <c r="C16" s="75">
        <v>422.30212551071003</v>
      </c>
      <c r="D16" s="32" t="s">
        <v>121</v>
      </c>
      <c r="E16" s="32" t="s">
        <v>64</v>
      </c>
      <c r="F16" s="15"/>
      <c r="G16" s="5"/>
      <c r="H16" s="5"/>
      <c r="I16" s="15"/>
      <c r="J16" s="5"/>
    </row>
    <row r="17" spans="1:10" ht="15.75" customHeight="1">
      <c r="A17" s="74">
        <v>44940</v>
      </c>
      <c r="B17" s="38" t="s">
        <v>36</v>
      </c>
      <c r="C17" s="75">
        <v>434.91755399326667</v>
      </c>
      <c r="D17" s="32" t="s">
        <v>122</v>
      </c>
      <c r="E17" s="32" t="s">
        <v>65</v>
      </c>
      <c r="F17" s="15"/>
      <c r="G17" s="5"/>
      <c r="H17" s="5"/>
      <c r="I17" s="15"/>
      <c r="J17" s="5"/>
    </row>
    <row r="18" spans="1:10" ht="15.75" customHeight="1">
      <c r="A18" s="74">
        <v>44937</v>
      </c>
      <c r="B18" s="38" t="s">
        <v>50</v>
      </c>
      <c r="C18" s="75">
        <v>620.01570760764673</v>
      </c>
      <c r="D18" s="32" t="s">
        <v>123</v>
      </c>
      <c r="E18" s="32" t="s">
        <v>64</v>
      </c>
      <c r="F18" s="15"/>
      <c r="G18" s="5"/>
      <c r="H18" s="5"/>
      <c r="I18" s="15"/>
      <c r="J18" s="5"/>
    </row>
    <row r="19" spans="1:10" ht="15.75" customHeight="1">
      <c r="A19" s="74">
        <v>44945</v>
      </c>
      <c r="B19" s="38" t="s">
        <v>48</v>
      </c>
      <c r="C19" s="75">
        <v>370.59515876153</v>
      </c>
      <c r="D19" s="32" t="s">
        <v>124</v>
      </c>
      <c r="E19" s="32" t="s">
        <v>65</v>
      </c>
      <c r="F19" s="15"/>
      <c r="G19" s="5"/>
      <c r="H19" s="5"/>
      <c r="I19" s="15"/>
      <c r="J19" s="5"/>
    </row>
    <row r="20" spans="1:10" ht="15.75" customHeight="1">
      <c r="A20" s="74">
        <v>44943</v>
      </c>
      <c r="B20" s="38" t="s">
        <v>31</v>
      </c>
      <c r="C20" s="75">
        <v>118.84545959343633</v>
      </c>
      <c r="D20" s="32" t="s">
        <v>125</v>
      </c>
      <c r="E20" s="32" t="s">
        <v>64</v>
      </c>
      <c r="F20" s="15"/>
      <c r="G20" s="5"/>
      <c r="H20" s="5"/>
      <c r="I20" s="15"/>
      <c r="J20" s="5"/>
    </row>
    <row r="21" spans="1:10" ht="15.75" customHeight="1">
      <c r="A21" s="74">
        <v>44936</v>
      </c>
      <c r="B21" s="38" t="s">
        <v>40</v>
      </c>
      <c r="C21" s="75">
        <v>363.71584693623663</v>
      </c>
      <c r="D21" s="32" t="s">
        <v>126</v>
      </c>
      <c r="E21" s="32" t="s">
        <v>64</v>
      </c>
      <c r="F21" s="15"/>
      <c r="G21" s="5"/>
      <c r="H21" s="5"/>
      <c r="I21" s="15"/>
      <c r="J21" s="5"/>
    </row>
    <row r="22" spans="1:10" ht="15.75" customHeight="1">
      <c r="A22" s="74">
        <v>44928</v>
      </c>
      <c r="B22" s="38" t="s">
        <v>48</v>
      </c>
      <c r="C22" s="75">
        <v>80.713613385837661</v>
      </c>
      <c r="D22" s="32" t="s">
        <v>127</v>
      </c>
      <c r="E22" s="32" t="s">
        <v>65</v>
      </c>
      <c r="F22" s="15"/>
      <c r="G22" s="5"/>
      <c r="H22" s="5"/>
      <c r="I22" s="15"/>
      <c r="J22" s="5"/>
    </row>
    <row r="23" spans="1:10" ht="15.75" customHeight="1">
      <c r="A23" s="74">
        <v>44937</v>
      </c>
      <c r="B23" s="38" t="s">
        <v>39</v>
      </c>
      <c r="C23" s="75">
        <v>388.61768778279333</v>
      </c>
      <c r="D23" s="32" t="s">
        <v>128</v>
      </c>
      <c r="E23" s="32" t="s">
        <v>65</v>
      </c>
      <c r="F23" s="15"/>
      <c r="G23" s="5"/>
      <c r="H23" s="5"/>
      <c r="I23" s="15"/>
      <c r="J23" s="5"/>
    </row>
    <row r="24" spans="1:10" ht="15.75" customHeight="1">
      <c r="A24" s="74">
        <v>44945</v>
      </c>
      <c r="B24" s="38" t="s">
        <v>109</v>
      </c>
      <c r="C24" s="75">
        <v>292.48915350911631</v>
      </c>
      <c r="D24" s="32" t="s">
        <v>129</v>
      </c>
      <c r="E24" s="32" t="s">
        <v>65</v>
      </c>
      <c r="F24" s="15"/>
      <c r="G24" s="5"/>
      <c r="H24" s="5"/>
      <c r="I24" s="15"/>
      <c r="J24" s="5"/>
    </row>
    <row r="25" spans="1:10" ht="15.75" customHeight="1">
      <c r="A25" s="74">
        <v>44939</v>
      </c>
      <c r="B25" s="38" t="s">
        <v>52</v>
      </c>
      <c r="C25" s="75">
        <v>617.00731375063663</v>
      </c>
      <c r="D25" s="32" t="s">
        <v>130</v>
      </c>
      <c r="E25" s="32" t="s">
        <v>65</v>
      </c>
      <c r="F25" s="15"/>
      <c r="G25" s="15"/>
      <c r="H25" s="5"/>
      <c r="I25" s="15"/>
      <c r="J25" s="5"/>
    </row>
    <row r="26" spans="1:10" ht="15.75" customHeight="1">
      <c r="A26" s="73"/>
      <c r="B26" s="15"/>
      <c r="C26" s="16"/>
      <c r="E26" s="5"/>
      <c r="F26" s="15"/>
      <c r="G26" s="5"/>
      <c r="I26" s="15"/>
    </row>
    <row r="27" spans="1:10" ht="15.75" customHeight="1">
      <c r="A27" s="73"/>
      <c r="B27" s="15"/>
      <c r="C27" s="16"/>
      <c r="E27" s="5"/>
      <c r="F27" s="15"/>
      <c r="G27" s="5"/>
      <c r="I27" s="15"/>
    </row>
    <row r="28" spans="1:10" ht="15.75" customHeight="1">
      <c r="A28" s="73"/>
      <c r="B28" s="15"/>
      <c r="C28" s="16"/>
      <c r="E28" s="5"/>
      <c r="F28" s="15"/>
      <c r="G28" s="5"/>
      <c r="I28" s="15"/>
    </row>
    <row r="29" spans="1:10" ht="15.75" customHeight="1">
      <c r="A29" s="73"/>
      <c r="B29" s="15"/>
      <c r="C29" s="16"/>
      <c r="E29" s="5"/>
      <c r="F29" s="15"/>
      <c r="G29" s="5"/>
      <c r="I29" s="15"/>
    </row>
    <row r="30" spans="1:10" ht="15.75" customHeight="1">
      <c r="A30" s="73"/>
      <c r="B30" s="15"/>
      <c r="C30" s="16"/>
      <c r="E30" s="5"/>
      <c r="F30" s="15"/>
      <c r="G30" s="5"/>
      <c r="I30" s="15"/>
    </row>
    <row r="31" spans="1:10" ht="15.75" customHeight="1">
      <c r="A31" s="73"/>
      <c r="B31" s="15"/>
      <c r="C31" s="16"/>
      <c r="E31" s="5"/>
      <c r="F31" s="15"/>
      <c r="G31" s="5"/>
      <c r="I31" s="15"/>
    </row>
    <row r="32" spans="1:10" ht="15.75" customHeight="1">
      <c r="A32" s="73"/>
      <c r="B32" s="15"/>
      <c r="C32" s="16"/>
      <c r="E32" s="5"/>
      <c r="F32" s="15"/>
      <c r="G32" s="5"/>
      <c r="I32" s="15"/>
    </row>
    <row r="33" spans="1:9" ht="15.75" customHeight="1">
      <c r="A33" s="73"/>
      <c r="B33" s="15"/>
      <c r="C33" s="16"/>
      <c r="E33" s="5"/>
      <c r="F33" s="15"/>
      <c r="G33" s="32"/>
      <c r="I33" s="15"/>
    </row>
    <row r="34" spans="1:9" ht="15.75" customHeight="1">
      <c r="A34" s="73"/>
      <c r="B34" s="15"/>
      <c r="C34" s="16"/>
      <c r="E34" s="5"/>
      <c r="F34" s="15"/>
      <c r="G34" s="5"/>
      <c r="I34" s="15"/>
    </row>
    <row r="35" spans="1:9" ht="15.75" customHeight="1">
      <c r="A35" s="73"/>
      <c r="B35" s="15"/>
      <c r="C35" s="16"/>
      <c r="E35" s="5"/>
      <c r="F35" s="15"/>
      <c r="G35" s="5"/>
      <c r="I35" s="15"/>
    </row>
    <row r="36" spans="1:9" ht="15.75" customHeight="1">
      <c r="A36" s="73"/>
      <c r="B36" s="15"/>
      <c r="C36" s="16"/>
      <c r="E36" s="5"/>
      <c r="F36" s="15"/>
      <c r="G36" s="5"/>
      <c r="I36" s="15"/>
    </row>
    <row r="37" spans="1:9" ht="15.75" customHeight="1">
      <c r="A37" s="73"/>
      <c r="B37" s="15"/>
      <c r="C37" s="16"/>
      <c r="E37" s="5"/>
      <c r="F37" s="15"/>
      <c r="G37" s="5"/>
      <c r="I37" s="15"/>
    </row>
    <row r="38" spans="1:9" ht="15.75" customHeight="1">
      <c r="A38" s="73"/>
      <c r="B38" s="15"/>
      <c r="C38" s="16"/>
      <c r="E38" s="5"/>
      <c r="F38" s="15"/>
      <c r="G38" s="5"/>
      <c r="I38" s="15"/>
    </row>
    <row r="39" spans="1:9" ht="15.75" customHeight="1">
      <c r="A39" s="73"/>
      <c r="B39" s="15"/>
      <c r="C39" s="16"/>
      <c r="E39" s="5"/>
      <c r="F39" s="15"/>
      <c r="G39" s="5"/>
      <c r="I39" s="15"/>
    </row>
    <row r="40" spans="1:9" ht="15.75" customHeight="1">
      <c r="A40" s="73"/>
      <c r="B40" s="15"/>
      <c r="C40" s="16"/>
      <c r="E40" s="5"/>
      <c r="F40" s="15"/>
      <c r="G40" s="5"/>
      <c r="I40" s="15"/>
    </row>
    <row r="41" spans="1:9" ht="15.75" customHeight="1">
      <c r="A41" s="73"/>
      <c r="B41" s="15"/>
      <c r="C41" s="16"/>
      <c r="E41" s="5"/>
      <c r="F41" s="15"/>
      <c r="G41" s="5"/>
      <c r="I41" s="15"/>
    </row>
    <row r="42" spans="1:9" ht="15.75" customHeight="1">
      <c r="A42" s="73"/>
      <c r="B42" s="15"/>
      <c r="C42" s="16"/>
      <c r="E42" s="5"/>
      <c r="F42" s="15"/>
      <c r="G42" s="5"/>
      <c r="I42" s="15"/>
    </row>
    <row r="43" spans="1:9" ht="15.75" customHeight="1">
      <c r="A43" s="73"/>
      <c r="B43" s="15"/>
      <c r="C43" s="16"/>
      <c r="E43" s="5"/>
      <c r="F43" s="15"/>
      <c r="G43" s="5"/>
      <c r="I43" s="15"/>
    </row>
    <row r="44" spans="1:9" ht="15.75" customHeight="1">
      <c r="A44" s="73"/>
      <c r="B44" s="15"/>
      <c r="C44" s="16"/>
      <c r="E44" s="5"/>
      <c r="F44" s="15"/>
      <c r="G44" s="32"/>
      <c r="I44" s="15"/>
    </row>
    <row r="45" spans="1:9" ht="15.75" customHeight="1">
      <c r="A45" s="73"/>
      <c r="B45" s="15"/>
      <c r="C45" s="16"/>
      <c r="E45" s="5"/>
      <c r="F45" s="15"/>
      <c r="G45" s="32"/>
      <c r="I45" s="15"/>
    </row>
    <row r="46" spans="1:9" ht="15.75" customHeight="1">
      <c r="A46" s="73"/>
      <c r="B46" s="15"/>
      <c r="C46" s="16"/>
      <c r="E46" s="5"/>
      <c r="F46" s="15"/>
      <c r="G46" s="32"/>
      <c r="I46" s="15"/>
    </row>
    <row r="47" spans="1:9" ht="15.75" customHeight="1">
      <c r="A47" s="73"/>
      <c r="B47" s="15"/>
      <c r="C47" s="16"/>
      <c r="E47" s="5"/>
      <c r="F47" s="15"/>
      <c r="G47" s="5"/>
      <c r="I47" s="15"/>
    </row>
    <row r="48" spans="1:9" ht="15.75" customHeight="1">
      <c r="A48" s="73"/>
      <c r="B48" s="15"/>
      <c r="C48" s="16"/>
      <c r="E48" s="5"/>
      <c r="F48" s="15"/>
      <c r="G48" s="5"/>
      <c r="I48" s="15"/>
    </row>
    <row r="49" spans="1:9" ht="15.75" customHeight="1">
      <c r="A49" s="73"/>
      <c r="B49" s="15"/>
      <c r="C49" s="16"/>
      <c r="E49" s="5"/>
      <c r="F49" s="15"/>
      <c r="G49" s="5"/>
      <c r="I49" s="15"/>
    </row>
    <row r="50" spans="1:9" ht="15.75" customHeight="1">
      <c r="A50" s="73"/>
      <c r="B50" s="15"/>
      <c r="C50" s="16"/>
      <c r="E50" s="5"/>
      <c r="F50" s="15"/>
      <c r="G50" s="5"/>
      <c r="I50" s="15"/>
    </row>
    <row r="51" spans="1:9" ht="15.75" customHeight="1">
      <c r="A51" s="73"/>
      <c r="B51" s="15"/>
      <c r="C51" s="16"/>
      <c r="E51" s="5"/>
      <c r="F51" s="15"/>
      <c r="G51" s="5"/>
      <c r="I51" s="15"/>
    </row>
    <row r="52" spans="1:9" ht="15.75" customHeight="1">
      <c r="A52" s="73"/>
      <c r="B52" s="15"/>
      <c r="C52" s="16"/>
      <c r="E52" s="5"/>
      <c r="F52" s="15"/>
      <c r="G52" s="5"/>
      <c r="I52" s="15"/>
    </row>
    <row r="53" spans="1:9" ht="15.75" customHeight="1">
      <c r="A53" s="73"/>
      <c r="B53" s="15"/>
      <c r="C53" s="16"/>
      <c r="E53" s="5"/>
      <c r="F53" s="15"/>
      <c r="G53" s="5"/>
      <c r="I53" s="15"/>
    </row>
    <row r="54" spans="1:9" ht="15.75" customHeight="1">
      <c r="A54" s="73"/>
      <c r="B54" s="15"/>
      <c r="C54" s="16"/>
      <c r="E54" s="5"/>
      <c r="F54" s="15"/>
      <c r="G54" s="5"/>
      <c r="I54" s="15"/>
    </row>
    <row r="55" spans="1:9" ht="15.75" customHeight="1">
      <c r="A55" s="73"/>
      <c r="B55" s="15"/>
      <c r="C55" s="16"/>
      <c r="E55" s="5"/>
      <c r="F55" s="15"/>
      <c r="G55" s="5"/>
      <c r="I55" s="15"/>
    </row>
    <row r="56" spans="1:9" ht="15.75" customHeight="1">
      <c r="A56" s="73"/>
      <c r="B56" s="15"/>
      <c r="C56" s="16"/>
      <c r="E56" s="5"/>
      <c r="F56" s="15"/>
      <c r="G56" s="5"/>
      <c r="I56" s="15"/>
    </row>
    <row r="57" spans="1:9" ht="12.5">
      <c r="A57" s="73"/>
      <c r="B57" s="15"/>
      <c r="C57" s="16"/>
      <c r="E57" s="5"/>
      <c r="F57" s="15"/>
      <c r="G57" s="5"/>
      <c r="I57" s="15"/>
    </row>
    <row r="58" spans="1:9" ht="12.5">
      <c r="A58" s="73"/>
      <c r="B58" s="15"/>
      <c r="C58" s="16"/>
      <c r="E58" s="5"/>
      <c r="F58" s="15"/>
      <c r="G58" s="5"/>
      <c r="I58" s="15"/>
    </row>
    <row r="59" spans="1:9" ht="12.5">
      <c r="A59" s="73"/>
      <c r="B59" s="15"/>
      <c r="C59" s="16"/>
      <c r="E59" s="5"/>
      <c r="F59" s="15"/>
      <c r="G59" s="5"/>
      <c r="I59" s="15"/>
    </row>
    <row r="60" spans="1:9" ht="12.5">
      <c r="A60" s="73"/>
      <c r="B60" s="15"/>
      <c r="C60" s="16"/>
      <c r="E60" s="5"/>
      <c r="F60" s="15"/>
      <c r="G60" s="5"/>
      <c r="I60" s="15"/>
    </row>
    <row r="61" spans="1:9" ht="12.5">
      <c r="A61" s="73"/>
      <c r="B61" s="15"/>
      <c r="C61" s="16"/>
      <c r="E61" s="5"/>
      <c r="F61" s="15"/>
      <c r="G61" s="5"/>
      <c r="I61" s="15"/>
    </row>
    <row r="62" spans="1:9" ht="12.5">
      <c r="A62" s="73"/>
      <c r="B62" s="15"/>
      <c r="C62" s="16"/>
      <c r="E62" s="5"/>
      <c r="F62" s="15"/>
      <c r="G62" s="5"/>
      <c r="I62" s="15"/>
    </row>
    <row r="63" spans="1:9" ht="12.5">
      <c r="A63" s="73"/>
      <c r="B63" s="15"/>
      <c r="C63" s="16"/>
      <c r="E63" s="5"/>
      <c r="F63" s="15"/>
      <c r="G63" s="5"/>
      <c r="I63" s="15"/>
    </row>
    <row r="64" spans="1:9" ht="12.5">
      <c r="A64" s="73"/>
      <c r="B64" s="15"/>
      <c r="C64" s="16"/>
      <c r="E64" s="5"/>
      <c r="F64" s="15"/>
      <c r="G64" s="5"/>
      <c r="I64" s="15"/>
    </row>
    <row r="65" spans="1:9" ht="12.5">
      <c r="A65" s="73"/>
      <c r="B65" s="15"/>
      <c r="C65" s="16"/>
      <c r="E65" s="5"/>
      <c r="F65" s="15"/>
      <c r="G65" s="5"/>
      <c r="I65" s="15"/>
    </row>
    <row r="66" spans="1:9" ht="12.5">
      <c r="A66" s="73"/>
      <c r="B66" s="15"/>
      <c r="C66" s="16"/>
      <c r="E66" s="5"/>
      <c r="F66" s="15"/>
      <c r="G66" s="5"/>
      <c r="I66" s="15"/>
    </row>
    <row r="67" spans="1:9" ht="12.5">
      <c r="A67" s="73"/>
      <c r="B67" s="15"/>
      <c r="C67" s="16"/>
      <c r="E67" s="5"/>
      <c r="F67" s="15"/>
      <c r="G67" s="5"/>
      <c r="I67" s="15"/>
    </row>
    <row r="68" spans="1:9" ht="12.5">
      <c r="A68" s="73"/>
      <c r="B68" s="15"/>
      <c r="C68" s="16"/>
      <c r="E68" s="5"/>
      <c r="F68" s="15"/>
      <c r="G68" s="5"/>
      <c r="I68" s="15"/>
    </row>
    <row r="69" spans="1:9" ht="12.5">
      <c r="A69" s="73"/>
      <c r="B69" s="15"/>
      <c r="C69" s="16"/>
      <c r="E69" s="5"/>
      <c r="F69" s="15"/>
      <c r="G69" s="5"/>
      <c r="I69" s="15"/>
    </row>
    <row r="70" spans="1:9" ht="12.5">
      <c r="A70" s="73"/>
      <c r="B70" s="15"/>
      <c r="C70" s="16"/>
      <c r="E70" s="5"/>
      <c r="F70" s="15"/>
      <c r="G70" s="5"/>
      <c r="I70" s="15"/>
    </row>
    <row r="71" spans="1:9" ht="12.5">
      <c r="A71" s="73"/>
      <c r="B71" s="5"/>
      <c r="C71" s="16"/>
      <c r="E71" s="5"/>
      <c r="G71" s="5"/>
    </row>
    <row r="72" spans="1:9" ht="12.5">
      <c r="A72" s="73"/>
      <c r="B72" s="5"/>
      <c r="C72" s="16"/>
      <c r="E72" s="5"/>
      <c r="G72" s="5"/>
    </row>
    <row r="73" spans="1:9" ht="12.5">
      <c r="A73" s="76"/>
      <c r="B73" s="5"/>
      <c r="C73" s="16"/>
      <c r="E73" s="5"/>
      <c r="G73" s="5"/>
    </row>
    <row r="74" spans="1:9" ht="12.5">
      <c r="A74" s="76"/>
      <c r="B74" s="5"/>
      <c r="C74" s="16"/>
      <c r="E74" s="5"/>
      <c r="G74" s="5"/>
    </row>
    <row r="75" spans="1:9" ht="12.5">
      <c r="A75" s="76"/>
      <c r="B75" s="5"/>
      <c r="C75" s="16"/>
      <c r="E75" s="5"/>
      <c r="G75" s="5"/>
    </row>
    <row r="76" spans="1:9" ht="12.5">
      <c r="A76" s="76"/>
      <c r="B76" s="5"/>
      <c r="C76" s="16"/>
      <c r="E76" s="5"/>
      <c r="G76" s="5"/>
    </row>
    <row r="77" spans="1:9" ht="12.5">
      <c r="A77" s="76"/>
      <c r="B77" s="5"/>
      <c r="C77" s="16"/>
      <c r="E77" s="5"/>
      <c r="G77" s="5"/>
    </row>
    <row r="78" spans="1:9" ht="12.5">
      <c r="A78" s="76"/>
      <c r="B78" s="5"/>
      <c r="C78" s="16"/>
      <c r="E78" s="5"/>
      <c r="G78" s="5"/>
    </row>
    <row r="79" spans="1:9" ht="12.5">
      <c r="A79" s="76"/>
      <c r="B79" s="5"/>
      <c r="C79" s="16"/>
      <c r="E79" s="5"/>
      <c r="G79" s="5"/>
    </row>
    <row r="80" spans="1:9" ht="12.5">
      <c r="A80" s="76"/>
      <c r="B80" s="5"/>
      <c r="C80" s="16"/>
      <c r="E80" s="5"/>
      <c r="G80" s="5"/>
    </row>
    <row r="81" spans="1:7" ht="12.5">
      <c r="A81" s="76"/>
      <c r="B81" s="5"/>
      <c r="C81" s="16"/>
      <c r="E81" s="5"/>
      <c r="G81" s="5"/>
    </row>
    <row r="82" spans="1:7" ht="12.5">
      <c r="A82" s="76"/>
      <c r="B82" s="5"/>
      <c r="C82" s="16"/>
      <c r="E82" s="5"/>
      <c r="G82" s="5"/>
    </row>
    <row r="83" spans="1:7" ht="12.5">
      <c r="A83" s="76"/>
      <c r="B83" s="5"/>
      <c r="C83" s="16"/>
      <c r="E83" s="5"/>
      <c r="G83" s="5"/>
    </row>
    <row r="84" spans="1:7" ht="12.5">
      <c r="A84" s="76"/>
      <c r="B84" s="5"/>
      <c r="C84" s="16"/>
      <c r="E84" s="5"/>
      <c r="G84" s="5"/>
    </row>
    <row r="85" spans="1:7" ht="12.5">
      <c r="A85" s="76"/>
      <c r="B85" s="5"/>
      <c r="C85" s="16"/>
      <c r="E85" s="5"/>
      <c r="G85" s="5"/>
    </row>
    <row r="86" spans="1:7" ht="12.5">
      <c r="A86" s="76"/>
      <c r="B86" s="5"/>
      <c r="C86" s="16"/>
      <c r="E86" s="5"/>
      <c r="G86" s="5"/>
    </row>
    <row r="87" spans="1:7" ht="12.5">
      <c r="A87" s="76"/>
      <c r="B87" s="5"/>
      <c r="C87" s="16"/>
      <c r="E87" s="5"/>
      <c r="G87" s="5"/>
    </row>
    <row r="88" spans="1:7" ht="12.5">
      <c r="A88" s="76"/>
      <c r="B88" s="5"/>
      <c r="C88" s="16"/>
      <c r="E88" s="5"/>
      <c r="G88" s="5"/>
    </row>
    <row r="89" spans="1:7" ht="12.5">
      <c r="A89" s="76"/>
      <c r="B89" s="5"/>
      <c r="C89" s="16"/>
      <c r="E89" s="5"/>
      <c r="G89" s="5"/>
    </row>
    <row r="90" spans="1:7" ht="12.5">
      <c r="A90" s="76"/>
      <c r="B90" s="5"/>
      <c r="C90" s="16"/>
      <c r="E90" s="5"/>
      <c r="G90" s="5"/>
    </row>
    <row r="91" spans="1:7" ht="12.5">
      <c r="A91" s="76"/>
      <c r="B91" s="5"/>
      <c r="C91" s="16"/>
      <c r="E91" s="5"/>
      <c r="G91" s="5"/>
    </row>
    <row r="92" spans="1:7" ht="12.5">
      <c r="A92" s="76"/>
      <c r="B92" s="5"/>
      <c r="C92" s="16"/>
      <c r="E92" s="5"/>
      <c r="G92" s="5"/>
    </row>
    <row r="93" spans="1:7" ht="12.5">
      <c r="A93" s="76"/>
      <c r="B93" s="5"/>
      <c r="C93" s="16"/>
      <c r="E93" s="5"/>
      <c r="G93" s="5"/>
    </row>
    <row r="94" spans="1:7" ht="12.5">
      <c r="A94" s="76"/>
      <c r="B94" s="5"/>
      <c r="C94" s="16"/>
      <c r="E94" s="5"/>
      <c r="G94" s="5"/>
    </row>
    <row r="95" spans="1:7" ht="12.5">
      <c r="A95" s="76"/>
      <c r="B95" s="5"/>
      <c r="C95" s="16"/>
      <c r="E95" s="5"/>
      <c r="G95" s="5"/>
    </row>
    <row r="96" spans="1:7" ht="12.5">
      <c r="A96" s="76"/>
      <c r="B96" s="5"/>
      <c r="C96" s="16"/>
      <c r="E96" s="5"/>
      <c r="G96" s="5"/>
    </row>
    <row r="97" spans="1:7" ht="12.5">
      <c r="A97" s="76"/>
      <c r="B97" s="5"/>
      <c r="C97" s="16"/>
      <c r="E97" s="5"/>
      <c r="G97" s="5"/>
    </row>
    <row r="98" spans="1:7" ht="12.5">
      <c r="A98" s="76"/>
      <c r="B98" s="5"/>
      <c r="C98" s="16"/>
      <c r="E98" s="5"/>
      <c r="G98" s="5"/>
    </row>
    <row r="99" spans="1:7" ht="12.5">
      <c r="A99" s="76"/>
      <c r="B99" s="5"/>
      <c r="C99" s="16"/>
      <c r="E99" s="5"/>
      <c r="G99" s="5"/>
    </row>
    <row r="100" spans="1:7" ht="12.5">
      <c r="A100" s="76"/>
      <c r="B100" s="5"/>
      <c r="C100" s="16"/>
      <c r="E100" s="5"/>
      <c r="G100" s="5"/>
    </row>
    <row r="101" spans="1:7" ht="12.5">
      <c r="A101" s="76"/>
      <c r="B101" s="5"/>
      <c r="C101" s="16"/>
      <c r="E101" s="5"/>
      <c r="G101" s="5"/>
    </row>
    <row r="102" spans="1:7" ht="12.5">
      <c r="A102" s="76"/>
      <c r="B102" s="5"/>
      <c r="C102" s="16"/>
      <c r="E102" s="5"/>
      <c r="G102" s="5"/>
    </row>
    <row r="103" spans="1:7" ht="12.5">
      <c r="A103" s="76"/>
      <c r="B103" s="5"/>
      <c r="C103" s="16"/>
      <c r="E103" s="5"/>
      <c r="G103" s="5"/>
    </row>
    <row r="104" spans="1:7" ht="12.5">
      <c r="A104" s="76"/>
      <c r="B104" s="5"/>
      <c r="C104" s="16"/>
      <c r="E104" s="5"/>
      <c r="G104" s="5"/>
    </row>
    <row r="105" spans="1:7" ht="12.5">
      <c r="A105" s="76"/>
      <c r="B105" s="5"/>
      <c r="C105" s="16"/>
      <c r="E105" s="5"/>
      <c r="G105" s="5"/>
    </row>
    <row r="106" spans="1:7" ht="12.5">
      <c r="A106" s="76"/>
      <c r="B106" s="5"/>
      <c r="C106" s="16"/>
      <c r="E106" s="5"/>
      <c r="G106" s="5"/>
    </row>
    <row r="107" spans="1:7" ht="12.5">
      <c r="A107" s="76"/>
      <c r="B107" s="5"/>
      <c r="C107" s="16"/>
      <c r="E107" s="5"/>
      <c r="G107" s="5"/>
    </row>
    <row r="108" spans="1:7" ht="12.5">
      <c r="A108" s="76"/>
      <c r="B108" s="5"/>
      <c r="C108" s="16"/>
      <c r="E108" s="5"/>
      <c r="G108" s="5"/>
    </row>
    <row r="109" spans="1:7" ht="12.5">
      <c r="A109" s="76"/>
      <c r="B109" s="5"/>
      <c r="C109" s="16"/>
      <c r="E109" s="5"/>
      <c r="G109" s="5"/>
    </row>
    <row r="110" spans="1:7" ht="12.5">
      <c r="A110" s="76"/>
      <c r="B110" s="5"/>
      <c r="C110" s="16"/>
      <c r="E110" s="5"/>
      <c r="G110" s="5"/>
    </row>
    <row r="111" spans="1:7" ht="12.5">
      <c r="A111" s="76"/>
      <c r="B111" s="5"/>
      <c r="C111" s="16"/>
      <c r="E111" s="5"/>
      <c r="G111" s="5"/>
    </row>
    <row r="112" spans="1:7" ht="12.5">
      <c r="A112" s="76"/>
      <c r="B112" s="5"/>
      <c r="C112" s="16"/>
      <c r="E112" s="5"/>
      <c r="G112" s="5"/>
    </row>
    <row r="113" spans="1:7" ht="12.5">
      <c r="A113" s="76"/>
      <c r="B113" s="5"/>
      <c r="C113" s="16"/>
      <c r="E113" s="5"/>
      <c r="G113" s="5"/>
    </row>
    <row r="114" spans="1:7" ht="12.5">
      <c r="A114" s="76"/>
      <c r="B114" s="5"/>
      <c r="C114" s="16"/>
      <c r="E114" s="5"/>
      <c r="G114" s="5"/>
    </row>
    <row r="115" spans="1:7" ht="12.5">
      <c r="A115" s="76"/>
      <c r="B115" s="5"/>
      <c r="C115" s="16"/>
      <c r="E115" s="5"/>
      <c r="G115" s="5"/>
    </row>
    <row r="116" spans="1:7" ht="12.5">
      <c r="A116" s="76"/>
      <c r="B116" s="5"/>
      <c r="C116" s="16"/>
      <c r="E116" s="5"/>
      <c r="G116" s="5"/>
    </row>
    <row r="117" spans="1:7" ht="12.5">
      <c r="A117" s="76"/>
      <c r="B117" s="5"/>
      <c r="C117" s="16"/>
      <c r="E117" s="5"/>
      <c r="G117" s="5"/>
    </row>
    <row r="118" spans="1:7" ht="12.5">
      <c r="A118" s="76"/>
      <c r="B118" s="5"/>
      <c r="C118" s="16"/>
      <c r="E118" s="5"/>
      <c r="G118" s="5"/>
    </row>
    <row r="119" spans="1:7" ht="12.5">
      <c r="A119" s="76"/>
      <c r="B119" s="5"/>
      <c r="C119" s="16"/>
      <c r="E119" s="5"/>
      <c r="G119" s="5"/>
    </row>
    <row r="120" spans="1:7" ht="12.5">
      <c r="A120" s="76"/>
      <c r="B120" s="5"/>
      <c r="C120" s="16"/>
      <c r="E120" s="5"/>
      <c r="G120" s="5"/>
    </row>
    <row r="121" spans="1:7" ht="12.5">
      <c r="A121" s="76"/>
      <c r="B121" s="5"/>
      <c r="C121" s="16"/>
      <c r="E121" s="5"/>
      <c r="G121" s="5"/>
    </row>
    <row r="122" spans="1:7" ht="12.5">
      <c r="A122" s="76"/>
      <c r="B122" s="5"/>
      <c r="C122" s="16"/>
      <c r="E122" s="5"/>
      <c r="G122" s="5"/>
    </row>
    <row r="123" spans="1:7" ht="12.5">
      <c r="A123" s="76"/>
      <c r="B123" s="5"/>
      <c r="C123" s="16"/>
      <c r="E123" s="5"/>
      <c r="G123" s="5"/>
    </row>
    <row r="124" spans="1:7" ht="12.5">
      <c r="A124" s="76"/>
      <c r="B124" s="5"/>
      <c r="C124" s="16"/>
      <c r="E124" s="5"/>
      <c r="G124" s="5"/>
    </row>
    <row r="125" spans="1:7" ht="12.5">
      <c r="A125" s="76"/>
      <c r="B125" s="5"/>
      <c r="C125" s="16"/>
      <c r="E125" s="5"/>
      <c r="G125" s="5"/>
    </row>
    <row r="126" spans="1:7" ht="12.5">
      <c r="A126" s="76"/>
      <c r="B126" s="5"/>
      <c r="C126" s="16"/>
      <c r="E126" s="5"/>
      <c r="G126" s="5"/>
    </row>
    <row r="127" spans="1:7" ht="12.5">
      <c r="A127" s="76"/>
      <c r="B127" s="5"/>
      <c r="C127" s="16"/>
      <c r="E127" s="5"/>
      <c r="G127" s="5"/>
    </row>
    <row r="128" spans="1:7" ht="12.5">
      <c r="A128" s="76"/>
      <c r="B128" s="5"/>
      <c r="C128" s="16"/>
      <c r="E128" s="5"/>
      <c r="G128" s="5"/>
    </row>
    <row r="129" spans="1:7" ht="12.5">
      <c r="A129" s="76"/>
      <c r="B129" s="5"/>
      <c r="C129" s="16"/>
      <c r="E129" s="5"/>
      <c r="G129" s="5"/>
    </row>
    <row r="130" spans="1:7" ht="12.5">
      <c r="A130" s="76"/>
      <c r="B130" s="5"/>
      <c r="C130" s="16"/>
      <c r="E130" s="5"/>
      <c r="G130" s="5"/>
    </row>
    <row r="131" spans="1:7" ht="12.5">
      <c r="A131" s="76"/>
      <c r="B131" s="5"/>
      <c r="C131" s="16"/>
      <c r="E131" s="5"/>
      <c r="G131" s="5"/>
    </row>
    <row r="132" spans="1:7" ht="12.5">
      <c r="A132" s="76"/>
      <c r="B132" s="5"/>
      <c r="C132" s="16"/>
      <c r="E132" s="5"/>
      <c r="G132" s="5"/>
    </row>
    <row r="133" spans="1:7" ht="12.5">
      <c r="A133" s="76"/>
      <c r="B133" s="5"/>
      <c r="C133" s="16"/>
      <c r="E133" s="5"/>
      <c r="G133" s="5"/>
    </row>
    <row r="134" spans="1:7" ht="12.5">
      <c r="A134" s="76"/>
      <c r="B134" s="5"/>
      <c r="C134" s="16"/>
      <c r="E134" s="5"/>
      <c r="G134" s="5"/>
    </row>
    <row r="135" spans="1:7" ht="12.5">
      <c r="A135" s="76"/>
      <c r="B135" s="5"/>
      <c r="C135" s="16"/>
      <c r="E135" s="5"/>
      <c r="G135" s="5"/>
    </row>
    <row r="136" spans="1:7" ht="12.5">
      <c r="A136" s="76"/>
      <c r="B136" s="5"/>
      <c r="C136" s="16"/>
      <c r="E136" s="5"/>
      <c r="G136" s="5"/>
    </row>
    <row r="137" spans="1:7" ht="12.5">
      <c r="A137" s="76"/>
      <c r="B137" s="5"/>
      <c r="C137" s="16"/>
      <c r="E137" s="5"/>
      <c r="G137" s="5"/>
    </row>
    <row r="138" spans="1:7" ht="12.5">
      <c r="A138" s="76"/>
      <c r="B138" s="5"/>
      <c r="C138" s="16"/>
      <c r="E138" s="5"/>
      <c r="G138" s="5"/>
    </row>
    <row r="139" spans="1:7" ht="12.5">
      <c r="A139" s="76"/>
      <c r="B139" s="5"/>
      <c r="C139" s="16"/>
      <c r="E139" s="5"/>
      <c r="G139" s="5"/>
    </row>
    <row r="140" spans="1:7" ht="12.5">
      <c r="A140" s="76"/>
      <c r="B140" s="5"/>
      <c r="C140" s="16"/>
      <c r="E140" s="5"/>
      <c r="G140" s="5"/>
    </row>
    <row r="141" spans="1:7" ht="12.5">
      <c r="A141" s="76"/>
      <c r="B141" s="5"/>
      <c r="C141" s="16"/>
      <c r="E141" s="5"/>
      <c r="G141" s="5"/>
    </row>
    <row r="142" spans="1:7" ht="12.5">
      <c r="A142" s="76"/>
      <c r="B142" s="5"/>
      <c r="C142" s="16"/>
      <c r="E142" s="5"/>
      <c r="G142" s="5"/>
    </row>
    <row r="143" spans="1:7" ht="12.5">
      <c r="A143" s="76"/>
      <c r="B143" s="5"/>
      <c r="C143" s="16"/>
      <c r="E143" s="5"/>
      <c r="G143" s="5"/>
    </row>
    <row r="144" spans="1:7" ht="12.5">
      <c r="A144" s="76"/>
      <c r="B144" s="5"/>
      <c r="C144" s="16"/>
      <c r="E144" s="5"/>
      <c r="G144" s="5"/>
    </row>
    <row r="145" spans="1:7" ht="12.5">
      <c r="A145" s="76"/>
      <c r="B145" s="5"/>
      <c r="C145" s="16"/>
      <c r="E145" s="5"/>
      <c r="G145" s="5"/>
    </row>
    <row r="146" spans="1:7" ht="12.5">
      <c r="A146" s="76"/>
      <c r="B146" s="5"/>
      <c r="C146" s="16"/>
      <c r="E146" s="5"/>
      <c r="G146" s="5"/>
    </row>
    <row r="147" spans="1:7" ht="12.5">
      <c r="A147" s="76"/>
      <c r="B147" s="5"/>
      <c r="C147" s="16"/>
      <c r="E147" s="5"/>
      <c r="G147" s="5"/>
    </row>
    <row r="148" spans="1:7" ht="12.5">
      <c r="A148" s="76"/>
      <c r="B148" s="5"/>
      <c r="C148" s="16"/>
      <c r="E148" s="5"/>
      <c r="G148" s="5"/>
    </row>
    <row r="149" spans="1:7" ht="12.5">
      <c r="A149" s="76"/>
      <c r="B149" s="5"/>
      <c r="C149" s="16"/>
      <c r="E149" s="5"/>
      <c r="G149" s="5"/>
    </row>
    <row r="150" spans="1:7" ht="12.5">
      <c r="A150" s="76"/>
      <c r="B150" s="5"/>
      <c r="C150" s="16"/>
      <c r="E150" s="5"/>
      <c r="G150" s="5"/>
    </row>
    <row r="151" spans="1:7" ht="12.5">
      <c r="A151" s="76"/>
      <c r="B151" s="5"/>
      <c r="C151" s="16"/>
      <c r="E151" s="5"/>
      <c r="G151" s="5"/>
    </row>
    <row r="152" spans="1:7" ht="12.5">
      <c r="A152" s="76"/>
      <c r="B152" s="5"/>
      <c r="C152" s="16"/>
      <c r="E152" s="5"/>
      <c r="G152" s="5"/>
    </row>
    <row r="153" spans="1:7" ht="12.5">
      <c r="A153" s="76"/>
      <c r="B153" s="5"/>
      <c r="C153" s="16"/>
      <c r="E153" s="5"/>
      <c r="G153" s="5"/>
    </row>
    <row r="154" spans="1:7" ht="12.5">
      <c r="A154" s="76"/>
      <c r="B154" s="5"/>
      <c r="C154" s="16"/>
      <c r="E154" s="5"/>
      <c r="G154" s="5"/>
    </row>
    <row r="155" spans="1:7" ht="12.5">
      <c r="A155" s="76"/>
      <c r="B155" s="5"/>
      <c r="C155" s="16"/>
      <c r="E155" s="5"/>
      <c r="G155" s="5"/>
    </row>
    <row r="156" spans="1:7" ht="12.5">
      <c r="A156" s="76"/>
      <c r="B156" s="5"/>
      <c r="C156" s="16"/>
      <c r="E156" s="5"/>
      <c r="G156" s="5"/>
    </row>
    <row r="157" spans="1:7" ht="12.5">
      <c r="A157" s="76"/>
      <c r="B157" s="5"/>
      <c r="C157" s="16"/>
      <c r="E157" s="5"/>
      <c r="G157" s="5"/>
    </row>
    <row r="158" spans="1:7" ht="12.5">
      <c r="A158" s="76"/>
      <c r="B158" s="5"/>
      <c r="C158" s="16"/>
      <c r="E158" s="5"/>
      <c r="G158" s="5"/>
    </row>
    <row r="159" spans="1:7" ht="12.5">
      <c r="A159" s="76"/>
      <c r="B159" s="5"/>
      <c r="C159" s="16"/>
      <c r="E159" s="5"/>
      <c r="G159" s="5"/>
    </row>
    <row r="160" spans="1:7" ht="12.5">
      <c r="A160" s="76"/>
      <c r="B160" s="5"/>
      <c r="C160" s="16"/>
      <c r="E160" s="5"/>
      <c r="G160" s="5"/>
    </row>
    <row r="161" spans="1:7" ht="12.5">
      <c r="A161" s="76"/>
      <c r="B161" s="5"/>
      <c r="C161" s="16"/>
      <c r="E161" s="5"/>
      <c r="G161" s="5"/>
    </row>
    <row r="162" spans="1:7" ht="12.5">
      <c r="A162" s="76"/>
      <c r="B162" s="5"/>
      <c r="C162" s="16"/>
      <c r="E162" s="5"/>
      <c r="G162" s="5"/>
    </row>
    <row r="163" spans="1:7" ht="12.5">
      <c r="A163" s="76"/>
      <c r="B163" s="5"/>
      <c r="C163" s="16"/>
      <c r="E163" s="5"/>
      <c r="G163" s="5"/>
    </row>
    <row r="164" spans="1:7" ht="12.5">
      <c r="A164" s="76"/>
      <c r="B164" s="5"/>
      <c r="C164" s="16"/>
      <c r="E164" s="5"/>
      <c r="G164" s="5"/>
    </row>
    <row r="165" spans="1:7" ht="12.5">
      <c r="A165" s="76"/>
      <c r="B165" s="5"/>
      <c r="C165" s="16"/>
      <c r="E165" s="5"/>
      <c r="G165" s="5"/>
    </row>
    <row r="166" spans="1:7" ht="12.5">
      <c r="A166" s="76"/>
      <c r="B166" s="5"/>
      <c r="C166" s="16"/>
      <c r="E166" s="5"/>
      <c r="G166" s="5"/>
    </row>
    <row r="167" spans="1:7" ht="12.5">
      <c r="A167" s="76"/>
      <c r="B167" s="5"/>
      <c r="C167" s="16"/>
      <c r="E167" s="5"/>
      <c r="G167" s="5"/>
    </row>
    <row r="168" spans="1:7" ht="12.5">
      <c r="A168" s="76"/>
      <c r="B168" s="5"/>
      <c r="C168" s="16"/>
      <c r="E168" s="5"/>
      <c r="G168" s="5"/>
    </row>
    <row r="169" spans="1:7" ht="12.5">
      <c r="A169" s="76"/>
      <c r="B169" s="5"/>
      <c r="C169" s="16"/>
      <c r="E169" s="5"/>
      <c r="G169" s="5"/>
    </row>
    <row r="170" spans="1:7" ht="12.5">
      <c r="A170" s="76"/>
      <c r="B170" s="5"/>
      <c r="C170" s="16"/>
      <c r="E170" s="5"/>
      <c r="G170" s="5"/>
    </row>
    <row r="171" spans="1:7" ht="12.5">
      <c r="A171" s="76"/>
      <c r="B171" s="5"/>
      <c r="C171" s="16"/>
      <c r="E171" s="5"/>
      <c r="G171" s="5"/>
    </row>
    <row r="172" spans="1:7" ht="12.5">
      <c r="A172" s="76"/>
      <c r="B172" s="5"/>
      <c r="C172" s="16"/>
      <c r="E172" s="5"/>
      <c r="G172" s="5"/>
    </row>
    <row r="173" spans="1:7" ht="12.5">
      <c r="A173" s="76"/>
      <c r="B173" s="5"/>
      <c r="C173" s="16"/>
      <c r="E173" s="5"/>
      <c r="G173" s="5"/>
    </row>
    <row r="174" spans="1:7" ht="12.5">
      <c r="A174" s="76"/>
      <c r="B174" s="5"/>
      <c r="C174" s="16"/>
      <c r="E174" s="5"/>
      <c r="G174" s="5"/>
    </row>
    <row r="175" spans="1:7" ht="12.5">
      <c r="A175" s="76"/>
      <c r="B175" s="5"/>
      <c r="C175" s="16"/>
      <c r="E175" s="5"/>
      <c r="G175" s="5"/>
    </row>
    <row r="176" spans="1:7" ht="12.5">
      <c r="A176" s="76"/>
      <c r="B176" s="5"/>
      <c r="C176" s="16"/>
      <c r="E176" s="5"/>
      <c r="G176" s="5"/>
    </row>
    <row r="177" spans="1:7" ht="12.5">
      <c r="A177" s="76"/>
      <c r="B177" s="5"/>
      <c r="C177" s="16"/>
      <c r="E177" s="5"/>
      <c r="G177" s="5"/>
    </row>
    <row r="178" spans="1:7" ht="12.5">
      <c r="A178" s="76"/>
      <c r="B178" s="5"/>
      <c r="C178" s="16"/>
      <c r="E178" s="5"/>
      <c r="G178" s="5"/>
    </row>
    <row r="179" spans="1:7" ht="12.5">
      <c r="A179" s="76"/>
      <c r="B179" s="5"/>
      <c r="C179" s="16"/>
      <c r="E179" s="5"/>
      <c r="G179" s="5"/>
    </row>
    <row r="180" spans="1:7" ht="12.5">
      <c r="A180" s="76"/>
      <c r="B180" s="5"/>
      <c r="C180" s="16"/>
      <c r="E180" s="5"/>
      <c r="G180" s="5"/>
    </row>
    <row r="181" spans="1:7" ht="12.5">
      <c r="A181" s="76"/>
      <c r="B181" s="5"/>
      <c r="C181" s="16"/>
      <c r="E181" s="5"/>
      <c r="G181" s="5"/>
    </row>
    <row r="182" spans="1:7" ht="12.5">
      <c r="A182" s="76"/>
      <c r="B182" s="5"/>
      <c r="C182" s="16"/>
      <c r="E182" s="5"/>
      <c r="G182" s="5"/>
    </row>
    <row r="183" spans="1:7" ht="12.5">
      <c r="A183" s="76"/>
      <c r="B183" s="5"/>
      <c r="C183" s="16"/>
      <c r="E183" s="5"/>
      <c r="G183" s="5"/>
    </row>
    <row r="184" spans="1:7" ht="12.5">
      <c r="A184" s="76"/>
      <c r="B184" s="5"/>
      <c r="C184" s="16"/>
      <c r="E184" s="5"/>
      <c r="G184" s="5"/>
    </row>
    <row r="185" spans="1:7" ht="12.5">
      <c r="A185" s="76"/>
      <c r="B185" s="5"/>
      <c r="C185" s="16"/>
      <c r="E185" s="5"/>
      <c r="G185" s="5"/>
    </row>
    <row r="186" spans="1:7" ht="12.5">
      <c r="A186" s="76"/>
      <c r="B186" s="5"/>
      <c r="C186" s="16"/>
      <c r="E186" s="5"/>
      <c r="G186" s="5"/>
    </row>
    <row r="187" spans="1:7" ht="12.5">
      <c r="A187" s="76"/>
      <c r="B187" s="5"/>
      <c r="C187" s="16"/>
      <c r="E187" s="5"/>
      <c r="G187" s="5"/>
    </row>
    <row r="188" spans="1:7" ht="12.5">
      <c r="A188" s="76"/>
      <c r="B188" s="5"/>
      <c r="C188" s="16"/>
      <c r="E188" s="5"/>
      <c r="G188" s="5"/>
    </row>
    <row r="189" spans="1:7" ht="12.5">
      <c r="A189" s="76"/>
      <c r="B189" s="5"/>
      <c r="C189" s="16"/>
      <c r="E189" s="5"/>
      <c r="G189" s="5"/>
    </row>
    <row r="190" spans="1:7" ht="12.5">
      <c r="A190" s="76"/>
      <c r="B190" s="5"/>
      <c r="C190" s="16"/>
      <c r="E190" s="5"/>
      <c r="G190" s="5"/>
    </row>
    <row r="191" spans="1:7" ht="12.5">
      <c r="A191" s="76"/>
      <c r="B191" s="5"/>
      <c r="C191" s="16"/>
      <c r="E191" s="5"/>
      <c r="G191" s="5"/>
    </row>
    <row r="192" spans="1:7" ht="12.5">
      <c r="A192" s="76"/>
      <c r="B192" s="5"/>
      <c r="C192" s="16"/>
      <c r="E192" s="5"/>
      <c r="G192" s="5"/>
    </row>
    <row r="193" spans="1:7" ht="12.5">
      <c r="A193" s="76"/>
      <c r="B193" s="5"/>
      <c r="C193" s="16"/>
      <c r="E193" s="5"/>
      <c r="G193" s="5"/>
    </row>
    <row r="194" spans="1:7" ht="12.5">
      <c r="A194" s="76"/>
      <c r="B194" s="5"/>
      <c r="C194" s="16"/>
      <c r="E194" s="5"/>
      <c r="G194" s="5"/>
    </row>
    <row r="195" spans="1:7" ht="12.5">
      <c r="A195" s="76"/>
      <c r="B195" s="5"/>
      <c r="C195" s="16"/>
      <c r="E195" s="5"/>
      <c r="G195" s="5"/>
    </row>
    <row r="196" spans="1:7" ht="12.5">
      <c r="A196" s="76"/>
      <c r="B196" s="5"/>
      <c r="C196" s="16"/>
      <c r="E196" s="5"/>
      <c r="G196" s="5"/>
    </row>
    <row r="197" spans="1:7" ht="12.5">
      <c r="A197" s="76"/>
      <c r="B197" s="5"/>
      <c r="C197" s="16"/>
      <c r="E197" s="5"/>
      <c r="G197" s="5"/>
    </row>
    <row r="198" spans="1:7" ht="12.5">
      <c r="A198" s="76"/>
      <c r="B198" s="5"/>
      <c r="C198" s="16"/>
      <c r="E198" s="5"/>
      <c r="G198" s="5"/>
    </row>
    <row r="199" spans="1:7" ht="12.5">
      <c r="A199" s="76"/>
      <c r="B199" s="5"/>
      <c r="C199" s="16"/>
      <c r="E199" s="5"/>
      <c r="G199" s="5"/>
    </row>
    <row r="200" spans="1:7" ht="12.5">
      <c r="A200" s="76"/>
      <c r="B200" s="5"/>
      <c r="C200" s="16"/>
      <c r="E200" s="5"/>
      <c r="G200" s="5"/>
    </row>
    <row r="201" spans="1:7" ht="12.5">
      <c r="A201" s="76"/>
      <c r="B201" s="5"/>
      <c r="C201" s="16"/>
      <c r="E201" s="5"/>
      <c r="G201" s="5"/>
    </row>
    <row r="202" spans="1:7" ht="12.5">
      <c r="A202" s="76"/>
      <c r="B202" s="5"/>
      <c r="C202" s="16"/>
      <c r="E202" s="5"/>
      <c r="G202" s="5"/>
    </row>
    <row r="203" spans="1:7" ht="12.5">
      <c r="A203" s="76"/>
      <c r="B203" s="5"/>
      <c r="C203" s="16"/>
      <c r="E203" s="5"/>
      <c r="G203" s="5"/>
    </row>
    <row r="204" spans="1:7" ht="12.5">
      <c r="A204" s="76"/>
      <c r="B204" s="5"/>
      <c r="C204" s="16"/>
      <c r="E204" s="5"/>
      <c r="G204" s="5"/>
    </row>
    <row r="205" spans="1:7" ht="12.5">
      <c r="A205" s="76"/>
      <c r="B205" s="5"/>
      <c r="C205" s="16"/>
      <c r="E205" s="5"/>
      <c r="G205" s="5"/>
    </row>
    <row r="206" spans="1:7" ht="12.5">
      <c r="A206" s="76"/>
      <c r="B206" s="5"/>
      <c r="C206" s="16"/>
      <c r="E206" s="5"/>
      <c r="G206" s="5"/>
    </row>
    <row r="207" spans="1:7" ht="12.5">
      <c r="A207" s="76"/>
      <c r="B207" s="5"/>
      <c r="C207" s="16"/>
      <c r="E207" s="5"/>
      <c r="G207" s="5"/>
    </row>
    <row r="208" spans="1:7" ht="12.5">
      <c r="A208" s="76"/>
      <c r="B208" s="5"/>
      <c r="C208" s="16"/>
      <c r="E208" s="5"/>
      <c r="G208" s="5"/>
    </row>
    <row r="209" spans="1:7" ht="12.5">
      <c r="A209" s="76"/>
      <c r="B209" s="5"/>
      <c r="C209" s="16"/>
      <c r="E209" s="5"/>
      <c r="G209" s="5"/>
    </row>
    <row r="210" spans="1:7" ht="12.5">
      <c r="A210" s="76"/>
      <c r="B210" s="5"/>
      <c r="C210" s="16"/>
      <c r="E210" s="5"/>
      <c r="G210" s="5"/>
    </row>
    <row r="211" spans="1:7" ht="12.5">
      <c r="A211" s="76"/>
      <c r="B211" s="5"/>
      <c r="C211" s="16"/>
      <c r="E211" s="5"/>
      <c r="G211" s="5"/>
    </row>
    <row r="212" spans="1:7" ht="12.5">
      <c r="A212" s="76"/>
      <c r="B212" s="5"/>
      <c r="C212" s="16"/>
      <c r="E212" s="5"/>
      <c r="G212" s="5"/>
    </row>
    <row r="213" spans="1:7" ht="12.5">
      <c r="A213" s="76"/>
      <c r="B213" s="5"/>
      <c r="C213" s="16"/>
      <c r="E213" s="5"/>
      <c r="G213" s="5"/>
    </row>
    <row r="214" spans="1:7" ht="12.5">
      <c r="A214" s="76"/>
      <c r="B214" s="5"/>
      <c r="C214" s="16"/>
      <c r="E214" s="5"/>
      <c r="G214" s="5"/>
    </row>
    <row r="215" spans="1:7" ht="12.5">
      <c r="A215" s="76"/>
      <c r="B215" s="5"/>
      <c r="C215" s="16"/>
      <c r="E215" s="5"/>
      <c r="G215" s="5"/>
    </row>
    <row r="216" spans="1:7" ht="12.5">
      <c r="A216" s="76"/>
      <c r="B216" s="5"/>
      <c r="C216" s="16"/>
      <c r="E216" s="5"/>
      <c r="G216" s="5"/>
    </row>
    <row r="217" spans="1:7" ht="12.5">
      <c r="A217" s="76"/>
      <c r="B217" s="5"/>
      <c r="C217" s="16"/>
      <c r="E217" s="5"/>
      <c r="G217" s="5"/>
    </row>
    <row r="218" spans="1:7" ht="12.5">
      <c r="A218" s="76"/>
      <c r="B218" s="5"/>
      <c r="C218" s="16"/>
      <c r="E218" s="5"/>
      <c r="G218" s="5"/>
    </row>
    <row r="219" spans="1:7" ht="12.5">
      <c r="A219" s="76"/>
      <c r="B219" s="5"/>
      <c r="C219" s="16"/>
      <c r="E219" s="5"/>
      <c r="G219" s="5"/>
    </row>
    <row r="220" spans="1:7" ht="12.5">
      <c r="A220" s="76"/>
      <c r="B220" s="5"/>
      <c r="C220" s="16"/>
      <c r="E220" s="5"/>
      <c r="G220" s="5"/>
    </row>
    <row r="221" spans="1:7" ht="12.5">
      <c r="A221" s="76"/>
      <c r="B221" s="5"/>
      <c r="C221" s="16"/>
      <c r="E221" s="5"/>
      <c r="G221" s="5"/>
    </row>
    <row r="222" spans="1:7" ht="12.5">
      <c r="A222" s="76"/>
      <c r="B222" s="5"/>
      <c r="C222" s="16"/>
      <c r="E222" s="5"/>
      <c r="G222" s="5"/>
    </row>
    <row r="223" spans="1:7" ht="12.5">
      <c r="A223" s="76"/>
      <c r="B223" s="5"/>
      <c r="C223" s="16"/>
      <c r="E223" s="5"/>
      <c r="G223" s="5"/>
    </row>
    <row r="224" spans="1:7" ht="12.5">
      <c r="A224" s="76"/>
      <c r="B224" s="5"/>
      <c r="C224" s="16"/>
      <c r="E224" s="5"/>
      <c r="G224" s="5"/>
    </row>
    <row r="225" spans="1:7" ht="12.5">
      <c r="A225" s="76"/>
      <c r="B225" s="5"/>
      <c r="C225" s="16"/>
      <c r="E225" s="5"/>
      <c r="G225" s="5"/>
    </row>
    <row r="226" spans="1:7" ht="12.5">
      <c r="A226" s="76"/>
      <c r="B226" s="5"/>
      <c r="C226" s="16"/>
      <c r="E226" s="5"/>
      <c r="G226" s="5"/>
    </row>
    <row r="227" spans="1:7" ht="12.5">
      <c r="A227" s="76"/>
      <c r="B227" s="5"/>
      <c r="C227" s="16"/>
      <c r="E227" s="5"/>
      <c r="G227" s="5"/>
    </row>
    <row r="228" spans="1:7" ht="12.5">
      <c r="A228" s="76"/>
      <c r="B228" s="5"/>
      <c r="C228" s="16"/>
      <c r="E228" s="5"/>
      <c r="G228" s="5"/>
    </row>
    <row r="229" spans="1:7" ht="12.5">
      <c r="A229" s="76"/>
      <c r="B229" s="5"/>
      <c r="C229" s="16"/>
      <c r="E229" s="5"/>
      <c r="G229" s="5"/>
    </row>
    <row r="230" spans="1:7" ht="12.5">
      <c r="A230" s="76"/>
      <c r="B230" s="5"/>
      <c r="C230" s="16"/>
      <c r="E230" s="5"/>
      <c r="G230" s="5"/>
    </row>
    <row r="231" spans="1:7" ht="12.5">
      <c r="A231" s="76"/>
      <c r="B231" s="5"/>
      <c r="C231" s="16"/>
      <c r="E231" s="5"/>
      <c r="G231" s="5"/>
    </row>
    <row r="232" spans="1:7" ht="12.5">
      <c r="A232" s="76"/>
      <c r="B232" s="5"/>
      <c r="C232" s="16"/>
      <c r="E232" s="5"/>
      <c r="G232" s="5"/>
    </row>
    <row r="233" spans="1:7" ht="12.5">
      <c r="A233" s="76"/>
      <c r="B233" s="5"/>
      <c r="C233" s="16"/>
      <c r="E233" s="5"/>
      <c r="G233" s="5"/>
    </row>
    <row r="234" spans="1:7" ht="12.5">
      <c r="A234" s="76"/>
      <c r="B234" s="5"/>
      <c r="C234" s="16"/>
      <c r="E234" s="5"/>
      <c r="G234" s="5"/>
    </row>
    <row r="235" spans="1:7" ht="12.5">
      <c r="A235" s="76"/>
      <c r="B235" s="5"/>
      <c r="C235" s="16"/>
      <c r="E235" s="5"/>
      <c r="G235" s="5"/>
    </row>
    <row r="236" spans="1:7" ht="12.5">
      <c r="A236" s="76"/>
      <c r="B236" s="5"/>
      <c r="C236" s="16"/>
      <c r="E236" s="5"/>
      <c r="G236" s="5"/>
    </row>
    <row r="237" spans="1:7" ht="12.5">
      <c r="A237" s="76"/>
      <c r="B237" s="5"/>
      <c r="C237" s="16"/>
      <c r="E237" s="5"/>
      <c r="G237" s="5"/>
    </row>
    <row r="238" spans="1:7" ht="12.5">
      <c r="A238" s="76"/>
      <c r="B238" s="5"/>
      <c r="C238" s="16"/>
      <c r="E238" s="5"/>
      <c r="G238" s="5"/>
    </row>
    <row r="239" spans="1:7" ht="12.5">
      <c r="A239" s="76"/>
      <c r="B239" s="5"/>
      <c r="C239" s="16"/>
      <c r="E239" s="5"/>
      <c r="G239" s="5"/>
    </row>
    <row r="240" spans="1:7" ht="12.5">
      <c r="A240" s="76"/>
      <c r="B240" s="5"/>
      <c r="C240" s="16"/>
      <c r="E240" s="5"/>
      <c r="G240" s="5"/>
    </row>
    <row r="241" spans="1:7" ht="12.5">
      <c r="A241" s="76"/>
      <c r="B241" s="5"/>
      <c r="C241" s="16"/>
      <c r="E241" s="5"/>
      <c r="G241" s="5"/>
    </row>
    <row r="242" spans="1:7" ht="12.5">
      <c r="A242" s="76"/>
      <c r="B242" s="5"/>
      <c r="C242" s="16"/>
      <c r="E242" s="5"/>
      <c r="G242" s="5"/>
    </row>
    <row r="243" spans="1:7" ht="12.5">
      <c r="A243" s="76"/>
      <c r="B243" s="5"/>
      <c r="C243" s="16"/>
      <c r="E243" s="5"/>
      <c r="G243" s="5"/>
    </row>
    <row r="244" spans="1:7" ht="12.5">
      <c r="A244" s="76"/>
      <c r="B244" s="5"/>
      <c r="C244" s="16"/>
      <c r="E244" s="5"/>
      <c r="G244" s="5"/>
    </row>
    <row r="245" spans="1:7" ht="12.5">
      <c r="A245" s="76"/>
      <c r="B245" s="5"/>
      <c r="C245" s="16"/>
      <c r="E245" s="5"/>
      <c r="G245" s="5"/>
    </row>
    <row r="246" spans="1:7" ht="12.5">
      <c r="A246" s="76"/>
      <c r="B246" s="5"/>
      <c r="C246" s="16"/>
      <c r="E246" s="5"/>
      <c r="G246" s="5"/>
    </row>
    <row r="247" spans="1:7" ht="12.5">
      <c r="A247" s="76"/>
      <c r="B247" s="5"/>
      <c r="C247" s="16"/>
      <c r="E247" s="5"/>
      <c r="G247" s="5"/>
    </row>
    <row r="248" spans="1:7" ht="12.5">
      <c r="A248" s="76"/>
      <c r="B248" s="5"/>
      <c r="C248" s="16"/>
      <c r="E248" s="5"/>
      <c r="G248" s="5"/>
    </row>
    <row r="249" spans="1:7" ht="12.5">
      <c r="A249" s="76"/>
      <c r="B249" s="5"/>
      <c r="C249" s="16"/>
      <c r="E249" s="5"/>
      <c r="G249" s="5"/>
    </row>
    <row r="250" spans="1:7" ht="12.5">
      <c r="A250" s="76"/>
      <c r="B250" s="5"/>
      <c r="C250" s="16"/>
      <c r="E250" s="5"/>
      <c r="G250" s="5"/>
    </row>
    <row r="251" spans="1:7" ht="12.5">
      <c r="A251" s="76"/>
      <c r="B251" s="5"/>
      <c r="C251" s="16"/>
      <c r="E251" s="5"/>
      <c r="G251" s="5"/>
    </row>
    <row r="252" spans="1:7" ht="12.5">
      <c r="A252" s="76"/>
      <c r="B252" s="5"/>
      <c r="C252" s="16"/>
      <c r="E252" s="5"/>
      <c r="G252" s="5"/>
    </row>
    <row r="253" spans="1:7" ht="12.5">
      <c r="A253" s="76"/>
      <c r="B253" s="5"/>
      <c r="C253" s="16"/>
      <c r="E253" s="5"/>
      <c r="G253" s="5"/>
    </row>
    <row r="254" spans="1:7" ht="12.5">
      <c r="A254" s="76"/>
      <c r="B254" s="5"/>
      <c r="C254" s="16"/>
      <c r="E254" s="5"/>
      <c r="G254" s="5"/>
    </row>
    <row r="255" spans="1:7" ht="12.5">
      <c r="A255" s="76"/>
      <c r="B255" s="5"/>
      <c r="C255" s="16"/>
      <c r="E255" s="5"/>
      <c r="G255" s="5"/>
    </row>
    <row r="256" spans="1:7" ht="12.5">
      <c r="A256" s="76"/>
      <c r="B256" s="5"/>
      <c r="C256" s="16"/>
      <c r="E256" s="5"/>
      <c r="G256" s="5"/>
    </row>
    <row r="257" spans="1:7" ht="12.5">
      <c r="A257" s="76"/>
      <c r="B257" s="5"/>
      <c r="C257" s="16"/>
      <c r="E257" s="5"/>
      <c r="G257" s="5"/>
    </row>
    <row r="258" spans="1:7" ht="12.5">
      <c r="A258" s="76"/>
      <c r="B258" s="5"/>
      <c r="C258" s="16"/>
      <c r="E258" s="5"/>
      <c r="G258" s="5"/>
    </row>
    <row r="259" spans="1:7" ht="12.5">
      <c r="A259" s="76"/>
      <c r="B259" s="5"/>
      <c r="C259" s="16"/>
      <c r="E259" s="5"/>
      <c r="G259" s="5"/>
    </row>
    <row r="260" spans="1:7" ht="12.5">
      <c r="A260" s="76"/>
      <c r="B260" s="5"/>
      <c r="C260" s="16"/>
      <c r="E260" s="5"/>
      <c r="G260" s="5"/>
    </row>
    <row r="261" spans="1:7" ht="12.5">
      <c r="A261" s="76"/>
      <c r="B261" s="5"/>
      <c r="C261" s="16"/>
      <c r="E261" s="5"/>
      <c r="G261" s="5"/>
    </row>
    <row r="262" spans="1:7" ht="12.5">
      <c r="A262" s="76"/>
      <c r="B262" s="5"/>
      <c r="C262" s="16"/>
      <c r="E262" s="5"/>
      <c r="G262" s="5"/>
    </row>
    <row r="263" spans="1:7" ht="12.5">
      <c r="A263" s="76"/>
      <c r="B263" s="5"/>
      <c r="C263" s="16"/>
      <c r="E263" s="5"/>
      <c r="G263" s="5"/>
    </row>
    <row r="264" spans="1:7" ht="12.5">
      <c r="A264" s="76"/>
      <c r="B264" s="5"/>
      <c r="C264" s="16"/>
      <c r="E264" s="5"/>
      <c r="G264" s="5"/>
    </row>
    <row r="265" spans="1:7" ht="12.5">
      <c r="A265" s="76"/>
      <c r="B265" s="5"/>
      <c r="C265" s="16"/>
      <c r="E265" s="5"/>
      <c r="G265" s="5"/>
    </row>
    <row r="266" spans="1:7" ht="12.5">
      <c r="A266" s="76"/>
      <c r="B266" s="5"/>
      <c r="C266" s="16"/>
      <c r="E266" s="5"/>
      <c r="G266" s="5"/>
    </row>
    <row r="267" spans="1:7" ht="12.5">
      <c r="A267" s="76"/>
      <c r="B267" s="5"/>
      <c r="C267" s="16"/>
      <c r="E267" s="5"/>
      <c r="G267" s="5"/>
    </row>
    <row r="268" spans="1:7" ht="12.5">
      <c r="A268" s="76"/>
      <c r="B268" s="5"/>
      <c r="C268" s="16"/>
      <c r="E268" s="5"/>
      <c r="G268" s="5"/>
    </row>
    <row r="269" spans="1:7" ht="12.5">
      <c r="A269" s="76"/>
      <c r="B269" s="5"/>
      <c r="C269" s="16"/>
      <c r="E269" s="5"/>
      <c r="G269" s="5"/>
    </row>
    <row r="270" spans="1:7" ht="12.5">
      <c r="A270" s="76"/>
      <c r="B270" s="5"/>
      <c r="C270" s="16"/>
      <c r="E270" s="5"/>
      <c r="G270" s="5"/>
    </row>
    <row r="271" spans="1:7" ht="12.5">
      <c r="A271" s="76"/>
      <c r="B271" s="5"/>
      <c r="C271" s="16"/>
      <c r="E271" s="5"/>
      <c r="G271" s="5"/>
    </row>
    <row r="272" spans="1:7" ht="12.5">
      <c r="A272" s="76"/>
      <c r="B272" s="5"/>
      <c r="C272" s="16"/>
      <c r="E272" s="5"/>
      <c r="G272" s="5"/>
    </row>
    <row r="273" spans="1:7" ht="12.5">
      <c r="A273" s="76"/>
      <c r="B273" s="5"/>
      <c r="C273" s="16"/>
      <c r="E273" s="5"/>
      <c r="G273" s="5"/>
    </row>
    <row r="274" spans="1:7" ht="12.5">
      <c r="A274" s="76"/>
      <c r="B274" s="5"/>
      <c r="C274" s="16"/>
      <c r="E274" s="5"/>
      <c r="G274" s="5"/>
    </row>
    <row r="275" spans="1:7" ht="12.5">
      <c r="A275" s="76"/>
      <c r="B275" s="5"/>
      <c r="C275" s="16"/>
      <c r="E275" s="5"/>
      <c r="G275" s="5"/>
    </row>
    <row r="276" spans="1:7" ht="12.5">
      <c r="A276" s="76"/>
      <c r="B276" s="5"/>
      <c r="C276" s="16"/>
      <c r="E276" s="5"/>
      <c r="G276" s="5"/>
    </row>
    <row r="277" spans="1:7" ht="12.5">
      <c r="A277" s="76"/>
      <c r="B277" s="5"/>
      <c r="C277" s="16"/>
      <c r="E277" s="5"/>
      <c r="G277" s="5"/>
    </row>
    <row r="278" spans="1:7" ht="12.5">
      <c r="A278" s="76"/>
      <c r="B278" s="5"/>
      <c r="C278" s="16"/>
      <c r="E278" s="5"/>
      <c r="G278" s="5"/>
    </row>
    <row r="279" spans="1:7" ht="12.5">
      <c r="A279" s="76"/>
      <c r="B279" s="5"/>
      <c r="C279" s="16"/>
      <c r="E279" s="5"/>
      <c r="G279" s="5"/>
    </row>
    <row r="280" spans="1:7" ht="12.5">
      <c r="A280" s="76"/>
      <c r="B280" s="5"/>
      <c r="C280" s="16"/>
      <c r="E280" s="5"/>
      <c r="G280" s="5"/>
    </row>
    <row r="281" spans="1:7" ht="12.5">
      <c r="A281" s="76"/>
      <c r="B281" s="5"/>
      <c r="C281" s="16"/>
      <c r="E281" s="5"/>
      <c r="G281" s="5"/>
    </row>
    <row r="282" spans="1:7" ht="12.5">
      <c r="A282" s="76"/>
      <c r="B282" s="5"/>
      <c r="C282" s="16"/>
      <c r="E282" s="5"/>
      <c r="G282" s="5"/>
    </row>
    <row r="283" spans="1:7" ht="12.5">
      <c r="A283" s="76"/>
      <c r="B283" s="5"/>
      <c r="C283" s="16"/>
      <c r="E283" s="5"/>
      <c r="G283" s="5"/>
    </row>
    <row r="284" spans="1:7" ht="12.5">
      <c r="A284" s="76"/>
      <c r="B284" s="5"/>
      <c r="C284" s="16"/>
      <c r="E284" s="5"/>
      <c r="G284" s="5"/>
    </row>
    <row r="285" spans="1:7" ht="12.5">
      <c r="A285" s="76"/>
      <c r="B285" s="5"/>
      <c r="C285" s="16"/>
      <c r="E285" s="5"/>
      <c r="G285" s="5"/>
    </row>
    <row r="286" spans="1:7" ht="12.5">
      <c r="A286" s="76"/>
      <c r="B286" s="5"/>
      <c r="C286" s="16"/>
      <c r="E286" s="5"/>
      <c r="G286" s="5"/>
    </row>
    <row r="287" spans="1:7" ht="12.5">
      <c r="A287" s="76"/>
      <c r="B287" s="5"/>
      <c r="C287" s="16"/>
      <c r="E287" s="5"/>
      <c r="G287" s="5"/>
    </row>
    <row r="288" spans="1:7" ht="12.5">
      <c r="A288" s="76"/>
      <c r="B288" s="5"/>
      <c r="C288" s="16"/>
      <c r="E288" s="5"/>
      <c r="G288" s="5"/>
    </row>
    <row r="289" spans="1:7" ht="12.5">
      <c r="A289" s="76"/>
      <c r="B289" s="5"/>
      <c r="C289" s="16"/>
      <c r="E289" s="5"/>
      <c r="G289" s="5"/>
    </row>
    <row r="290" spans="1:7" ht="12.5">
      <c r="A290" s="76"/>
      <c r="B290" s="5"/>
      <c r="C290" s="16"/>
      <c r="E290" s="5"/>
      <c r="G290" s="5"/>
    </row>
    <row r="291" spans="1:7" ht="12.5">
      <c r="A291" s="76"/>
      <c r="B291" s="5"/>
      <c r="C291" s="16"/>
      <c r="E291" s="5"/>
      <c r="G291" s="5"/>
    </row>
    <row r="292" spans="1:7" ht="12.5">
      <c r="A292" s="76"/>
      <c r="B292" s="5"/>
      <c r="C292" s="16"/>
      <c r="E292" s="5"/>
      <c r="G292" s="5"/>
    </row>
    <row r="293" spans="1:7" ht="12.5">
      <c r="A293" s="76"/>
      <c r="B293" s="5"/>
      <c r="C293" s="16"/>
      <c r="E293" s="5"/>
      <c r="G293" s="5"/>
    </row>
    <row r="294" spans="1:7" ht="12.5">
      <c r="A294" s="76"/>
      <c r="B294" s="5"/>
      <c r="C294" s="16"/>
      <c r="E294" s="5"/>
      <c r="G294" s="5"/>
    </row>
    <row r="295" spans="1:7" ht="12.5">
      <c r="A295" s="76"/>
      <c r="B295" s="5"/>
      <c r="C295" s="16"/>
      <c r="E295" s="5"/>
      <c r="G295" s="5"/>
    </row>
    <row r="296" spans="1:7" ht="12.5">
      <c r="A296" s="76"/>
      <c r="B296" s="5"/>
      <c r="C296" s="16"/>
      <c r="E296" s="5"/>
      <c r="G296" s="5"/>
    </row>
    <row r="297" spans="1:7" ht="12.5">
      <c r="A297" s="76"/>
      <c r="B297" s="5"/>
      <c r="C297" s="16"/>
      <c r="E297" s="5"/>
      <c r="G297" s="5"/>
    </row>
    <row r="298" spans="1:7" ht="12.5">
      <c r="A298" s="76"/>
      <c r="B298" s="5"/>
      <c r="C298" s="16"/>
      <c r="E298" s="5"/>
      <c r="G298" s="5"/>
    </row>
    <row r="299" spans="1:7" ht="12.5">
      <c r="A299" s="76"/>
      <c r="B299" s="5"/>
      <c r="C299" s="16"/>
      <c r="E299" s="5"/>
      <c r="G299" s="5"/>
    </row>
    <row r="300" spans="1:7" ht="12.5">
      <c r="A300" s="76"/>
      <c r="B300" s="5"/>
      <c r="C300" s="16"/>
      <c r="E300" s="5"/>
      <c r="G300" s="5"/>
    </row>
    <row r="301" spans="1:7" ht="12.5">
      <c r="A301" s="76"/>
      <c r="B301" s="5"/>
      <c r="C301" s="16"/>
      <c r="E301" s="5"/>
      <c r="G301" s="5"/>
    </row>
    <row r="302" spans="1:7" ht="12.5">
      <c r="A302" s="76"/>
      <c r="B302" s="5"/>
      <c r="C302" s="16"/>
      <c r="E302" s="5"/>
      <c r="G302" s="5"/>
    </row>
    <row r="303" spans="1:7" ht="12.5">
      <c r="A303" s="76"/>
      <c r="B303" s="5"/>
      <c r="C303" s="16"/>
      <c r="E303" s="5"/>
      <c r="G303" s="5"/>
    </row>
    <row r="304" spans="1:7" ht="12.5">
      <c r="A304" s="76"/>
      <c r="B304" s="5"/>
      <c r="C304" s="16"/>
      <c r="E304" s="5"/>
      <c r="G304" s="5"/>
    </row>
    <row r="305" spans="1:7" ht="12.5">
      <c r="A305" s="76"/>
      <c r="B305" s="5"/>
      <c r="C305" s="16"/>
      <c r="E305" s="5"/>
      <c r="G305" s="5"/>
    </row>
    <row r="306" spans="1:7" ht="12.5">
      <c r="A306" s="76"/>
      <c r="B306" s="5"/>
      <c r="C306" s="16"/>
      <c r="E306" s="5"/>
      <c r="G306" s="5"/>
    </row>
    <row r="307" spans="1:7" ht="12.5">
      <c r="A307" s="76"/>
      <c r="B307" s="5"/>
      <c r="C307" s="16"/>
      <c r="E307" s="5"/>
      <c r="G307" s="5"/>
    </row>
    <row r="308" spans="1:7" ht="12.5">
      <c r="A308" s="76"/>
      <c r="B308" s="5"/>
      <c r="C308" s="16"/>
      <c r="E308" s="5"/>
      <c r="G308" s="5"/>
    </row>
    <row r="309" spans="1:7" ht="12.5">
      <c r="A309" s="76"/>
      <c r="B309" s="5"/>
      <c r="C309" s="16"/>
      <c r="E309" s="5"/>
      <c r="G309" s="5"/>
    </row>
    <row r="310" spans="1:7" ht="12.5">
      <c r="A310" s="76"/>
      <c r="B310" s="5"/>
      <c r="C310" s="16"/>
      <c r="E310" s="5"/>
      <c r="G310" s="5"/>
    </row>
    <row r="311" spans="1:7" ht="12.5">
      <c r="A311" s="76"/>
      <c r="B311" s="5"/>
      <c r="C311" s="16"/>
      <c r="E311" s="5"/>
      <c r="G311" s="5"/>
    </row>
    <row r="312" spans="1:7" ht="12.5">
      <c r="A312" s="76"/>
      <c r="B312" s="5"/>
      <c r="C312" s="16"/>
      <c r="E312" s="5"/>
      <c r="G312" s="5"/>
    </row>
    <row r="313" spans="1:7" ht="12.5">
      <c r="A313" s="76"/>
      <c r="B313" s="5"/>
      <c r="C313" s="16"/>
      <c r="E313" s="5"/>
      <c r="G313" s="5"/>
    </row>
    <row r="314" spans="1:7" ht="12.5">
      <c r="A314" s="76"/>
      <c r="B314" s="5"/>
      <c r="C314" s="16"/>
      <c r="E314" s="5"/>
      <c r="G314" s="5"/>
    </row>
    <row r="315" spans="1:7" ht="12.5">
      <c r="A315" s="76"/>
      <c r="B315" s="5"/>
      <c r="C315" s="16"/>
      <c r="E315" s="5"/>
      <c r="G315" s="5"/>
    </row>
    <row r="316" spans="1:7" ht="12.5">
      <c r="A316" s="76"/>
      <c r="B316" s="5"/>
      <c r="C316" s="16"/>
      <c r="E316" s="5"/>
      <c r="G316" s="5"/>
    </row>
    <row r="317" spans="1:7" ht="12.5">
      <c r="A317" s="76"/>
      <c r="B317" s="5"/>
      <c r="C317" s="16"/>
      <c r="E317" s="5"/>
      <c r="G317" s="5"/>
    </row>
    <row r="318" spans="1:7" ht="12.5">
      <c r="A318" s="76"/>
      <c r="B318" s="5"/>
      <c r="C318" s="16"/>
      <c r="E318" s="5"/>
      <c r="G318" s="5"/>
    </row>
    <row r="319" spans="1:7" ht="12.5">
      <c r="A319" s="76"/>
      <c r="B319" s="5"/>
      <c r="C319" s="16"/>
      <c r="E319" s="5"/>
      <c r="G319" s="5"/>
    </row>
    <row r="320" spans="1:7" ht="12.5">
      <c r="A320" s="76"/>
      <c r="B320" s="5"/>
      <c r="C320" s="16"/>
      <c r="E320" s="5"/>
      <c r="G320" s="5"/>
    </row>
    <row r="321" spans="1:7" ht="12.5">
      <c r="A321" s="76"/>
      <c r="B321" s="5"/>
      <c r="C321" s="16"/>
      <c r="E321" s="5"/>
      <c r="G321" s="5"/>
    </row>
    <row r="322" spans="1:7" ht="12.5">
      <c r="A322" s="76"/>
      <c r="B322" s="5"/>
      <c r="C322" s="16"/>
      <c r="E322" s="5"/>
      <c r="G322" s="5"/>
    </row>
    <row r="323" spans="1:7" ht="12.5">
      <c r="A323" s="76"/>
      <c r="B323" s="5"/>
      <c r="C323" s="16"/>
      <c r="E323" s="5"/>
      <c r="G323" s="5"/>
    </row>
    <row r="324" spans="1:7" ht="12.5">
      <c r="A324" s="76"/>
      <c r="B324" s="5"/>
      <c r="C324" s="16"/>
      <c r="E324" s="5"/>
      <c r="G324" s="5"/>
    </row>
    <row r="325" spans="1:7" ht="12.5">
      <c r="A325" s="76"/>
      <c r="B325" s="5"/>
      <c r="C325" s="16"/>
      <c r="E325" s="5"/>
      <c r="G325" s="5"/>
    </row>
    <row r="326" spans="1:7" ht="12.5">
      <c r="A326" s="76"/>
      <c r="B326" s="5"/>
      <c r="C326" s="16"/>
      <c r="E326" s="5"/>
      <c r="G326" s="5"/>
    </row>
    <row r="327" spans="1:7" ht="12.5">
      <c r="A327" s="76"/>
      <c r="B327" s="5"/>
      <c r="C327" s="16"/>
      <c r="E327" s="5"/>
      <c r="G327" s="5"/>
    </row>
    <row r="328" spans="1:7" ht="12.5">
      <c r="A328" s="76"/>
      <c r="B328" s="5"/>
      <c r="C328" s="16"/>
      <c r="E328" s="5"/>
      <c r="G328" s="5"/>
    </row>
    <row r="329" spans="1:7" ht="12.5">
      <c r="A329" s="76"/>
      <c r="B329" s="5"/>
      <c r="C329" s="16"/>
      <c r="E329" s="5"/>
      <c r="G329" s="5"/>
    </row>
    <row r="330" spans="1:7" ht="12.5">
      <c r="A330" s="76"/>
      <c r="B330" s="5"/>
      <c r="C330" s="16"/>
      <c r="E330" s="5"/>
      <c r="G330" s="5"/>
    </row>
    <row r="331" spans="1:7" ht="12.5">
      <c r="A331" s="76"/>
      <c r="B331" s="5"/>
      <c r="C331" s="16"/>
      <c r="E331" s="5"/>
      <c r="G331" s="5"/>
    </row>
    <row r="332" spans="1:7" ht="12.5">
      <c r="A332" s="76"/>
      <c r="B332" s="5"/>
      <c r="C332" s="16"/>
      <c r="E332" s="5"/>
      <c r="G332" s="5"/>
    </row>
    <row r="333" spans="1:7" ht="12.5">
      <c r="A333" s="76"/>
      <c r="B333" s="5"/>
      <c r="C333" s="16"/>
      <c r="E333" s="5"/>
      <c r="G333" s="5"/>
    </row>
    <row r="334" spans="1:7" ht="12.5">
      <c r="A334" s="76"/>
      <c r="B334" s="5"/>
      <c r="C334" s="16"/>
      <c r="E334" s="5"/>
      <c r="G334" s="5"/>
    </row>
    <row r="335" spans="1:7" ht="12.5">
      <c r="A335" s="76"/>
      <c r="B335" s="5"/>
      <c r="C335" s="16"/>
      <c r="E335" s="5"/>
      <c r="G335" s="5"/>
    </row>
    <row r="336" spans="1:7" ht="12.5">
      <c r="A336" s="76"/>
      <c r="B336" s="5"/>
      <c r="C336" s="16"/>
      <c r="E336" s="5"/>
      <c r="G336" s="5"/>
    </row>
    <row r="337" spans="1:7" ht="12.5">
      <c r="A337" s="76"/>
      <c r="B337" s="5"/>
      <c r="C337" s="16"/>
      <c r="E337" s="5"/>
      <c r="G337" s="5"/>
    </row>
    <row r="338" spans="1:7" ht="12.5">
      <c r="A338" s="76"/>
      <c r="B338" s="5"/>
      <c r="C338" s="16"/>
      <c r="E338" s="5"/>
      <c r="G338" s="5"/>
    </row>
    <row r="339" spans="1:7" ht="12.5">
      <c r="A339" s="76"/>
      <c r="B339" s="5"/>
      <c r="C339" s="16"/>
      <c r="E339" s="5"/>
      <c r="G339" s="5"/>
    </row>
    <row r="340" spans="1:7" ht="12.5">
      <c r="A340" s="76"/>
      <c r="B340" s="5"/>
      <c r="C340" s="16"/>
      <c r="E340" s="5"/>
      <c r="G340" s="5"/>
    </row>
    <row r="341" spans="1:7" ht="12.5">
      <c r="A341" s="76"/>
      <c r="B341" s="5"/>
      <c r="C341" s="16"/>
      <c r="E341" s="5"/>
      <c r="G341" s="5"/>
    </row>
    <row r="342" spans="1:7" ht="12.5">
      <c r="A342" s="76"/>
      <c r="B342" s="5"/>
      <c r="C342" s="16"/>
      <c r="E342" s="5"/>
      <c r="G342" s="5"/>
    </row>
    <row r="343" spans="1:7" ht="12.5">
      <c r="A343" s="76"/>
      <c r="B343" s="5"/>
      <c r="C343" s="16"/>
      <c r="E343" s="5"/>
      <c r="G343" s="5"/>
    </row>
    <row r="344" spans="1:7" ht="12.5">
      <c r="A344" s="76"/>
      <c r="B344" s="5"/>
      <c r="C344" s="16"/>
      <c r="E344" s="5"/>
      <c r="G344" s="5"/>
    </row>
    <row r="345" spans="1:7" ht="12.5">
      <c r="A345" s="76"/>
      <c r="B345" s="5"/>
      <c r="C345" s="16"/>
      <c r="E345" s="5"/>
      <c r="G345" s="5"/>
    </row>
    <row r="346" spans="1:7" ht="12.5">
      <c r="A346" s="76"/>
      <c r="B346" s="5"/>
      <c r="C346" s="16"/>
      <c r="E346" s="5"/>
      <c r="G346" s="5"/>
    </row>
    <row r="347" spans="1:7" ht="12.5">
      <c r="A347" s="76"/>
      <c r="B347" s="5"/>
      <c r="C347" s="16"/>
      <c r="E347" s="5"/>
      <c r="G347" s="5"/>
    </row>
    <row r="348" spans="1:7" ht="12.5">
      <c r="A348" s="76"/>
      <c r="B348" s="5"/>
      <c r="C348" s="16"/>
      <c r="E348" s="5"/>
      <c r="G348" s="5"/>
    </row>
    <row r="349" spans="1:7" ht="12.5">
      <c r="A349" s="76"/>
      <c r="B349" s="5"/>
      <c r="C349" s="16"/>
      <c r="E349" s="5"/>
      <c r="G349" s="5"/>
    </row>
    <row r="350" spans="1:7" ht="12.5">
      <c r="A350" s="76"/>
      <c r="B350" s="5"/>
      <c r="C350" s="16"/>
      <c r="E350" s="5"/>
      <c r="G350" s="5"/>
    </row>
    <row r="351" spans="1:7" ht="12.5">
      <c r="A351" s="76"/>
      <c r="B351" s="5"/>
      <c r="C351" s="16"/>
      <c r="E351" s="5"/>
      <c r="G351" s="5"/>
    </row>
    <row r="352" spans="1:7" ht="12.5">
      <c r="A352" s="76"/>
      <c r="B352" s="5"/>
      <c r="C352" s="16"/>
      <c r="E352" s="5"/>
      <c r="G352" s="5"/>
    </row>
    <row r="353" spans="1:7" ht="12.5">
      <c r="A353" s="76"/>
      <c r="B353" s="5"/>
      <c r="C353" s="16"/>
      <c r="E353" s="5"/>
      <c r="G353" s="5"/>
    </row>
    <row r="354" spans="1:7" ht="12.5">
      <c r="A354" s="76"/>
      <c r="B354" s="5"/>
      <c r="C354" s="16"/>
      <c r="E354" s="5"/>
      <c r="G354" s="5"/>
    </row>
    <row r="355" spans="1:7" ht="12.5">
      <c r="A355" s="76"/>
      <c r="B355" s="5"/>
      <c r="C355" s="16"/>
      <c r="E355" s="5"/>
      <c r="G355" s="5"/>
    </row>
    <row r="356" spans="1:7" ht="12.5">
      <c r="A356" s="76"/>
      <c r="B356" s="5"/>
      <c r="C356" s="16"/>
      <c r="E356" s="5"/>
      <c r="G356" s="5"/>
    </row>
    <row r="357" spans="1:7" ht="12.5">
      <c r="A357" s="76"/>
      <c r="B357" s="5"/>
      <c r="C357" s="16"/>
      <c r="E357" s="5"/>
      <c r="G357" s="5"/>
    </row>
    <row r="358" spans="1:7" ht="12.5">
      <c r="A358" s="76"/>
      <c r="B358" s="5"/>
      <c r="C358" s="16"/>
      <c r="E358" s="5"/>
      <c r="G358" s="5"/>
    </row>
    <row r="359" spans="1:7" ht="12.5">
      <c r="A359" s="76"/>
      <c r="B359" s="5"/>
      <c r="C359" s="16"/>
      <c r="E359" s="5"/>
      <c r="G359" s="5"/>
    </row>
    <row r="360" spans="1:7" ht="12.5">
      <c r="A360" s="76"/>
      <c r="B360" s="5"/>
      <c r="C360" s="16"/>
      <c r="E360" s="5"/>
      <c r="G360" s="5"/>
    </row>
    <row r="361" spans="1:7" ht="12.5">
      <c r="A361" s="76"/>
      <c r="B361" s="5"/>
      <c r="C361" s="16"/>
      <c r="E361" s="5"/>
      <c r="G361" s="5"/>
    </row>
    <row r="362" spans="1:7" ht="12.5">
      <c r="A362" s="76"/>
      <c r="B362" s="5"/>
      <c r="C362" s="16"/>
      <c r="E362" s="5"/>
      <c r="G362" s="5"/>
    </row>
    <row r="363" spans="1:7" ht="12.5">
      <c r="A363" s="76"/>
      <c r="B363" s="5"/>
      <c r="C363" s="16"/>
      <c r="E363" s="5"/>
      <c r="G363" s="5"/>
    </row>
    <row r="364" spans="1:7" ht="12.5">
      <c r="A364" s="76"/>
      <c r="B364" s="5"/>
      <c r="C364" s="16"/>
      <c r="E364" s="5"/>
      <c r="G364" s="5"/>
    </row>
    <row r="365" spans="1:7" ht="12.5">
      <c r="A365" s="76"/>
      <c r="B365" s="5"/>
      <c r="C365" s="16"/>
      <c r="E365" s="5"/>
      <c r="G365" s="5"/>
    </row>
    <row r="366" spans="1:7" ht="12.5">
      <c r="A366" s="76"/>
      <c r="B366" s="5"/>
      <c r="C366" s="16"/>
      <c r="E366" s="5"/>
      <c r="G366" s="5"/>
    </row>
    <row r="367" spans="1:7" ht="12.5">
      <c r="A367" s="76"/>
      <c r="B367" s="5"/>
      <c r="C367" s="16"/>
      <c r="E367" s="5"/>
      <c r="G367" s="5"/>
    </row>
    <row r="368" spans="1:7" ht="12.5">
      <c r="A368" s="76"/>
      <c r="B368" s="5"/>
      <c r="C368" s="16"/>
      <c r="E368" s="5"/>
      <c r="G368" s="5"/>
    </row>
    <row r="369" spans="1:7" ht="12.5">
      <c r="A369" s="76"/>
      <c r="B369" s="5"/>
      <c r="C369" s="16"/>
      <c r="E369" s="5"/>
      <c r="G369" s="5"/>
    </row>
    <row r="370" spans="1:7" ht="12.5">
      <c r="A370" s="76"/>
      <c r="B370" s="5"/>
      <c r="C370" s="16"/>
      <c r="E370" s="5"/>
      <c r="G370" s="5"/>
    </row>
    <row r="371" spans="1:7" ht="12.5">
      <c r="A371" s="76"/>
      <c r="B371" s="5"/>
      <c r="C371" s="16"/>
      <c r="E371" s="5"/>
      <c r="G371" s="5"/>
    </row>
    <row r="372" spans="1:7" ht="12.5">
      <c r="A372" s="76"/>
      <c r="B372" s="5"/>
      <c r="C372" s="16"/>
      <c r="E372" s="5"/>
      <c r="G372" s="5"/>
    </row>
    <row r="373" spans="1:7" ht="12.5">
      <c r="A373" s="76"/>
      <c r="B373" s="5"/>
      <c r="C373" s="16"/>
      <c r="E373" s="5"/>
      <c r="G373" s="5"/>
    </row>
    <row r="374" spans="1:7" ht="12.5">
      <c r="A374" s="76"/>
      <c r="B374" s="5"/>
      <c r="C374" s="16"/>
      <c r="E374" s="5"/>
      <c r="G374" s="5"/>
    </row>
    <row r="375" spans="1:7" ht="12.5">
      <c r="A375" s="76"/>
      <c r="B375" s="5"/>
      <c r="C375" s="16"/>
      <c r="E375" s="5"/>
      <c r="G375" s="5"/>
    </row>
    <row r="376" spans="1:7" ht="12.5">
      <c r="A376" s="76"/>
      <c r="B376" s="5"/>
      <c r="C376" s="16"/>
      <c r="E376" s="5"/>
      <c r="G376" s="5"/>
    </row>
    <row r="377" spans="1:7" ht="12.5">
      <c r="A377" s="76"/>
      <c r="B377" s="5"/>
      <c r="C377" s="16"/>
      <c r="E377" s="5"/>
      <c r="G377" s="5"/>
    </row>
    <row r="378" spans="1:7" ht="12.5">
      <c r="A378" s="76"/>
      <c r="B378" s="5"/>
      <c r="C378" s="16"/>
      <c r="E378" s="5"/>
      <c r="G378" s="5"/>
    </row>
    <row r="379" spans="1:7" ht="12.5">
      <c r="A379" s="76"/>
      <c r="B379" s="5"/>
      <c r="C379" s="16"/>
      <c r="E379" s="5"/>
      <c r="G379" s="5"/>
    </row>
    <row r="380" spans="1:7" ht="12.5">
      <c r="A380" s="76"/>
      <c r="B380" s="5"/>
      <c r="C380" s="16"/>
      <c r="E380" s="5"/>
      <c r="G380" s="5"/>
    </row>
    <row r="381" spans="1:7" ht="12.5">
      <c r="A381" s="76"/>
      <c r="B381" s="5"/>
      <c r="C381" s="16"/>
      <c r="E381" s="5"/>
      <c r="G381" s="5"/>
    </row>
    <row r="382" spans="1:7" ht="12.5">
      <c r="A382" s="76"/>
      <c r="B382" s="5"/>
      <c r="C382" s="16"/>
      <c r="E382" s="5"/>
      <c r="G382" s="5"/>
    </row>
    <row r="383" spans="1:7" ht="12.5">
      <c r="A383" s="76"/>
      <c r="B383" s="5"/>
      <c r="C383" s="16"/>
      <c r="E383" s="5"/>
      <c r="G383" s="5"/>
    </row>
    <row r="384" spans="1:7" ht="12.5">
      <c r="A384" s="76"/>
      <c r="B384" s="5"/>
      <c r="C384" s="16"/>
      <c r="E384" s="5"/>
      <c r="G384" s="5"/>
    </row>
    <row r="385" spans="1:7" ht="12.5">
      <c r="A385" s="76"/>
      <c r="B385" s="5"/>
      <c r="C385" s="16"/>
      <c r="E385" s="5"/>
      <c r="G385" s="5"/>
    </row>
    <row r="386" spans="1:7" ht="12.5">
      <c r="A386" s="76"/>
      <c r="B386" s="5"/>
      <c r="C386" s="16"/>
      <c r="E386" s="5"/>
      <c r="G386" s="5"/>
    </row>
    <row r="387" spans="1:7" ht="12.5">
      <c r="A387" s="76"/>
      <c r="B387" s="5"/>
      <c r="C387" s="16"/>
      <c r="E387" s="5"/>
      <c r="G387" s="5"/>
    </row>
    <row r="388" spans="1:7" ht="12.5">
      <c r="A388" s="76"/>
      <c r="B388" s="5"/>
      <c r="C388" s="16"/>
      <c r="E388" s="5"/>
      <c r="G388" s="5"/>
    </row>
    <row r="389" spans="1:7" ht="12.5">
      <c r="A389" s="76"/>
      <c r="B389" s="5"/>
      <c r="C389" s="16"/>
      <c r="E389" s="5"/>
      <c r="G389" s="5"/>
    </row>
    <row r="390" spans="1:7" ht="12.5">
      <c r="A390" s="76"/>
      <c r="B390" s="5"/>
      <c r="C390" s="16"/>
      <c r="E390" s="5"/>
      <c r="G390" s="5"/>
    </row>
    <row r="391" spans="1:7" ht="12.5">
      <c r="A391" s="76"/>
      <c r="B391" s="5"/>
      <c r="C391" s="16"/>
      <c r="E391" s="5"/>
      <c r="G391" s="5"/>
    </row>
    <row r="392" spans="1:7" ht="12.5">
      <c r="A392" s="76"/>
      <c r="B392" s="5"/>
      <c r="C392" s="16"/>
      <c r="E392" s="5"/>
      <c r="G392" s="5"/>
    </row>
    <row r="393" spans="1:7" ht="12.5">
      <c r="A393" s="76"/>
      <c r="B393" s="5"/>
      <c r="C393" s="16"/>
      <c r="E393" s="5"/>
      <c r="G393" s="5"/>
    </row>
    <row r="394" spans="1:7" ht="12.5">
      <c r="A394" s="76"/>
      <c r="B394" s="5"/>
      <c r="C394" s="16"/>
      <c r="E394" s="5"/>
      <c r="G394" s="5"/>
    </row>
    <row r="395" spans="1:7" ht="12.5">
      <c r="A395" s="76"/>
      <c r="B395" s="5"/>
      <c r="C395" s="16"/>
      <c r="E395" s="5"/>
      <c r="G395" s="5"/>
    </row>
    <row r="396" spans="1:7" ht="12.5">
      <c r="A396" s="76"/>
      <c r="B396" s="5"/>
      <c r="C396" s="16"/>
      <c r="E396" s="5"/>
      <c r="G396" s="5"/>
    </row>
    <row r="397" spans="1:7" ht="12.5">
      <c r="A397" s="76"/>
      <c r="B397" s="5"/>
      <c r="C397" s="16"/>
      <c r="E397" s="5"/>
      <c r="G397" s="5"/>
    </row>
    <row r="398" spans="1:7" ht="12.5">
      <c r="A398" s="76"/>
      <c r="B398" s="5"/>
      <c r="C398" s="16"/>
      <c r="E398" s="5"/>
      <c r="G398" s="5"/>
    </row>
    <row r="399" spans="1:7" ht="12.5">
      <c r="A399" s="76"/>
      <c r="B399" s="5"/>
      <c r="C399" s="16"/>
      <c r="E399" s="5"/>
      <c r="G399" s="5"/>
    </row>
    <row r="400" spans="1:7" ht="12.5">
      <c r="A400" s="76"/>
      <c r="B400" s="5"/>
      <c r="C400" s="16"/>
      <c r="E400" s="5"/>
      <c r="G400" s="5"/>
    </row>
    <row r="401" spans="1:7" ht="12.5">
      <c r="A401" s="76"/>
      <c r="B401" s="5"/>
      <c r="C401" s="16"/>
      <c r="E401" s="5"/>
      <c r="G401" s="5"/>
    </row>
    <row r="402" spans="1:7" ht="12.5">
      <c r="A402" s="76"/>
      <c r="B402" s="5"/>
      <c r="C402" s="16"/>
      <c r="E402" s="5"/>
      <c r="G402" s="5"/>
    </row>
    <row r="403" spans="1:7" ht="12.5">
      <c r="A403" s="76"/>
      <c r="B403" s="5"/>
      <c r="C403" s="16"/>
      <c r="E403" s="5"/>
      <c r="G403" s="5"/>
    </row>
    <row r="404" spans="1:7" ht="12.5">
      <c r="A404" s="76"/>
      <c r="B404" s="5"/>
      <c r="C404" s="16"/>
      <c r="E404" s="5"/>
      <c r="G404" s="5"/>
    </row>
    <row r="405" spans="1:7" ht="12.5">
      <c r="A405" s="76"/>
      <c r="B405" s="5"/>
      <c r="C405" s="16"/>
      <c r="E405" s="5"/>
      <c r="G405" s="5"/>
    </row>
    <row r="406" spans="1:7" ht="12.5">
      <c r="A406" s="76"/>
      <c r="B406" s="5"/>
      <c r="C406" s="16"/>
      <c r="E406" s="5"/>
      <c r="G406" s="5"/>
    </row>
    <row r="407" spans="1:7" ht="12.5">
      <c r="A407" s="76"/>
      <c r="B407" s="5"/>
      <c r="C407" s="16"/>
      <c r="E407" s="5"/>
      <c r="G407" s="5"/>
    </row>
    <row r="408" spans="1:7" ht="12.5">
      <c r="A408" s="76"/>
      <c r="B408" s="5"/>
      <c r="C408" s="16"/>
      <c r="E408" s="5"/>
      <c r="G408" s="5"/>
    </row>
    <row r="409" spans="1:7" ht="12.5">
      <c r="A409" s="76"/>
      <c r="B409" s="5"/>
      <c r="C409" s="16"/>
      <c r="E409" s="5"/>
      <c r="G409" s="5"/>
    </row>
    <row r="410" spans="1:7" ht="12.5">
      <c r="A410" s="76"/>
      <c r="B410" s="5"/>
      <c r="C410" s="16"/>
      <c r="E410" s="5"/>
      <c r="G410" s="5"/>
    </row>
    <row r="411" spans="1:7" ht="12.5">
      <c r="A411" s="76"/>
      <c r="B411" s="5"/>
      <c r="C411" s="16"/>
      <c r="E411" s="5"/>
      <c r="G411" s="5"/>
    </row>
    <row r="412" spans="1:7" ht="12.5">
      <c r="A412" s="76"/>
      <c r="B412" s="5"/>
      <c r="C412" s="16"/>
      <c r="E412" s="5"/>
      <c r="G412" s="5"/>
    </row>
    <row r="413" spans="1:7" ht="12.5">
      <c r="A413" s="76"/>
      <c r="B413" s="5"/>
      <c r="C413" s="16"/>
      <c r="E413" s="5"/>
      <c r="G413" s="5"/>
    </row>
    <row r="414" spans="1:7" ht="12.5">
      <c r="A414" s="76"/>
      <c r="B414" s="5"/>
      <c r="C414" s="16"/>
      <c r="E414" s="5"/>
      <c r="G414" s="5"/>
    </row>
    <row r="415" spans="1:7" ht="12.5">
      <c r="A415" s="76"/>
      <c r="B415" s="5"/>
      <c r="C415" s="16"/>
      <c r="E415" s="5"/>
      <c r="G415" s="5"/>
    </row>
    <row r="416" spans="1:7" ht="12.5">
      <c r="A416" s="76"/>
      <c r="B416" s="5"/>
      <c r="C416" s="16"/>
      <c r="E416" s="5"/>
      <c r="G416" s="5"/>
    </row>
    <row r="417" spans="1:7" ht="12.5">
      <c r="A417" s="76"/>
      <c r="B417" s="5"/>
      <c r="C417" s="16"/>
      <c r="E417" s="5"/>
      <c r="G417" s="5"/>
    </row>
    <row r="418" spans="1:7" ht="12.5">
      <c r="A418" s="76"/>
      <c r="B418" s="5"/>
      <c r="C418" s="16"/>
      <c r="E418" s="5"/>
      <c r="G418" s="5"/>
    </row>
    <row r="419" spans="1:7" ht="12.5">
      <c r="A419" s="76"/>
      <c r="B419" s="5"/>
      <c r="C419" s="16"/>
      <c r="E419" s="5"/>
      <c r="G419" s="5"/>
    </row>
    <row r="420" spans="1:7" ht="12.5">
      <c r="A420" s="76"/>
      <c r="B420" s="5"/>
      <c r="C420" s="16"/>
      <c r="E420" s="5"/>
      <c r="G420" s="5"/>
    </row>
    <row r="421" spans="1:7" ht="12.5">
      <c r="A421" s="76"/>
      <c r="B421" s="5"/>
      <c r="C421" s="16"/>
      <c r="E421" s="5"/>
      <c r="G421" s="5"/>
    </row>
    <row r="422" spans="1:7" ht="12.5">
      <c r="A422" s="76"/>
      <c r="B422" s="5"/>
      <c r="C422" s="16"/>
      <c r="E422" s="5"/>
      <c r="G422" s="5"/>
    </row>
    <row r="423" spans="1:7" ht="12.5">
      <c r="A423" s="76"/>
      <c r="B423" s="5"/>
      <c r="C423" s="16"/>
      <c r="E423" s="5"/>
      <c r="G423" s="5"/>
    </row>
    <row r="424" spans="1:7" ht="12.5">
      <c r="A424" s="76"/>
      <c r="B424" s="5"/>
      <c r="C424" s="16"/>
      <c r="E424" s="5"/>
      <c r="G424" s="5"/>
    </row>
    <row r="425" spans="1:7" ht="12.5">
      <c r="A425" s="76"/>
      <c r="B425" s="5"/>
      <c r="C425" s="16"/>
      <c r="E425" s="5"/>
      <c r="G425" s="5"/>
    </row>
    <row r="426" spans="1:7" ht="12.5">
      <c r="A426" s="76"/>
      <c r="B426" s="5"/>
      <c r="C426" s="16"/>
      <c r="E426" s="5"/>
      <c r="G426" s="5"/>
    </row>
    <row r="427" spans="1:7" ht="12.5">
      <c r="A427" s="76"/>
      <c r="B427" s="5"/>
      <c r="C427" s="16"/>
      <c r="E427" s="5"/>
      <c r="G427" s="5"/>
    </row>
    <row r="428" spans="1:7" ht="12.5">
      <c r="A428" s="76"/>
      <c r="B428" s="5"/>
      <c r="C428" s="16"/>
      <c r="E428" s="5"/>
      <c r="G428" s="5"/>
    </row>
    <row r="429" spans="1:7" ht="12.5">
      <c r="A429" s="76"/>
      <c r="B429" s="5"/>
      <c r="C429" s="16"/>
      <c r="E429" s="5"/>
      <c r="G429" s="5"/>
    </row>
    <row r="430" spans="1:7" ht="12.5">
      <c r="A430" s="76"/>
      <c r="B430" s="5"/>
      <c r="C430" s="16"/>
      <c r="E430" s="5"/>
      <c r="G430" s="5"/>
    </row>
    <row r="431" spans="1:7" ht="12.5">
      <c r="A431" s="76"/>
      <c r="B431" s="5"/>
      <c r="C431" s="16"/>
      <c r="E431" s="5"/>
      <c r="G431" s="5"/>
    </row>
    <row r="432" spans="1:7" ht="12.5">
      <c r="A432" s="76"/>
      <c r="B432" s="5"/>
      <c r="C432" s="16"/>
      <c r="E432" s="5"/>
      <c r="G432" s="5"/>
    </row>
    <row r="433" spans="1:7" ht="12.5">
      <c r="A433" s="76"/>
      <c r="B433" s="5"/>
      <c r="C433" s="16"/>
      <c r="E433" s="5"/>
      <c r="G433" s="5"/>
    </row>
    <row r="434" spans="1:7" ht="12.5">
      <c r="A434" s="76"/>
      <c r="B434" s="5"/>
      <c r="C434" s="16"/>
      <c r="E434" s="5"/>
      <c r="G434" s="5"/>
    </row>
    <row r="435" spans="1:7" ht="12.5">
      <c r="A435" s="76"/>
      <c r="B435" s="5"/>
      <c r="C435" s="16"/>
      <c r="E435" s="5"/>
      <c r="G435" s="5"/>
    </row>
    <row r="436" spans="1:7" ht="12.5">
      <c r="A436" s="76"/>
      <c r="B436" s="5"/>
      <c r="C436" s="16"/>
      <c r="E436" s="5"/>
      <c r="G436" s="5"/>
    </row>
    <row r="437" spans="1:7" ht="12.5">
      <c r="A437" s="76"/>
      <c r="B437" s="5"/>
      <c r="C437" s="16"/>
      <c r="E437" s="5"/>
      <c r="G437" s="5"/>
    </row>
    <row r="438" spans="1:7" ht="12.5">
      <c r="A438" s="76"/>
      <c r="B438" s="5"/>
      <c r="C438" s="16"/>
      <c r="E438" s="5"/>
      <c r="G438" s="5"/>
    </row>
    <row r="439" spans="1:7" ht="12.5">
      <c r="A439" s="76"/>
      <c r="B439" s="5"/>
      <c r="C439" s="16"/>
      <c r="E439" s="5"/>
      <c r="G439" s="5"/>
    </row>
    <row r="440" spans="1:7" ht="12.5">
      <c r="A440" s="76"/>
      <c r="B440" s="5"/>
      <c r="C440" s="16"/>
      <c r="E440" s="5"/>
      <c r="G440" s="5"/>
    </row>
    <row r="441" spans="1:7" ht="12.5">
      <c r="A441" s="76"/>
      <c r="B441" s="5"/>
      <c r="C441" s="16"/>
      <c r="E441" s="5"/>
      <c r="G441" s="5"/>
    </row>
    <row r="442" spans="1:7" ht="12.5">
      <c r="A442" s="76"/>
      <c r="B442" s="5"/>
      <c r="C442" s="16"/>
      <c r="E442" s="5"/>
      <c r="G442" s="5"/>
    </row>
    <row r="443" spans="1:7" ht="12.5">
      <c r="A443" s="76"/>
      <c r="B443" s="5"/>
      <c r="C443" s="16"/>
      <c r="E443" s="5"/>
      <c r="G443" s="5"/>
    </row>
    <row r="444" spans="1:7" ht="12.5">
      <c r="A444" s="76"/>
      <c r="B444" s="5"/>
      <c r="C444" s="16"/>
      <c r="E444" s="5"/>
      <c r="G444" s="5"/>
    </row>
    <row r="445" spans="1:7" ht="12.5">
      <c r="A445" s="76"/>
      <c r="B445" s="5"/>
      <c r="C445" s="16"/>
      <c r="E445" s="5"/>
      <c r="G445" s="5"/>
    </row>
    <row r="446" spans="1:7" ht="12.5">
      <c r="A446" s="76"/>
      <c r="B446" s="5"/>
      <c r="C446" s="16"/>
      <c r="E446" s="5"/>
      <c r="G446" s="5"/>
    </row>
    <row r="447" spans="1:7" ht="12.5">
      <c r="A447" s="76"/>
      <c r="B447" s="5"/>
      <c r="C447" s="16"/>
      <c r="E447" s="5"/>
      <c r="G447" s="5"/>
    </row>
    <row r="448" spans="1:7" ht="12.5">
      <c r="A448" s="76"/>
      <c r="B448" s="5"/>
      <c r="C448" s="16"/>
      <c r="E448" s="5"/>
      <c r="G448" s="5"/>
    </row>
    <row r="449" spans="1:7" ht="12.5">
      <c r="A449" s="76"/>
      <c r="B449" s="5"/>
      <c r="C449" s="16"/>
      <c r="E449" s="5"/>
      <c r="G449" s="5"/>
    </row>
    <row r="450" spans="1:7" ht="12.5">
      <c r="A450" s="76"/>
      <c r="B450" s="5"/>
      <c r="C450" s="16"/>
      <c r="E450" s="5"/>
      <c r="G450" s="5"/>
    </row>
    <row r="451" spans="1:7" ht="12.5">
      <c r="A451" s="76"/>
      <c r="B451" s="5"/>
      <c r="C451" s="16"/>
      <c r="E451" s="5"/>
      <c r="G451" s="5"/>
    </row>
    <row r="452" spans="1:7" ht="12.5">
      <c r="A452" s="76"/>
      <c r="B452" s="5"/>
      <c r="C452" s="16"/>
      <c r="E452" s="5"/>
      <c r="G452" s="5"/>
    </row>
    <row r="453" spans="1:7" ht="12.5">
      <c r="A453" s="76"/>
      <c r="B453" s="5"/>
      <c r="C453" s="16"/>
      <c r="E453" s="5"/>
      <c r="G453" s="5"/>
    </row>
    <row r="454" spans="1:7" ht="12.5">
      <c r="A454" s="76"/>
      <c r="B454" s="5"/>
      <c r="C454" s="16"/>
      <c r="E454" s="5"/>
      <c r="G454" s="5"/>
    </row>
    <row r="455" spans="1:7" ht="12.5">
      <c r="A455" s="76"/>
      <c r="B455" s="5"/>
      <c r="C455" s="16"/>
      <c r="E455" s="5"/>
      <c r="G455" s="5"/>
    </row>
    <row r="456" spans="1:7" ht="12.5">
      <c r="A456" s="76"/>
      <c r="B456" s="5"/>
      <c r="C456" s="16"/>
      <c r="E456" s="5"/>
      <c r="G456" s="5"/>
    </row>
    <row r="457" spans="1:7" ht="12.5">
      <c r="A457" s="76"/>
      <c r="B457" s="5"/>
      <c r="C457" s="16"/>
      <c r="E457" s="5"/>
      <c r="G457" s="5"/>
    </row>
    <row r="458" spans="1:7" ht="12.5">
      <c r="A458" s="76"/>
      <c r="B458" s="5"/>
      <c r="C458" s="16"/>
      <c r="E458" s="5"/>
      <c r="G458" s="5"/>
    </row>
    <row r="459" spans="1:7" ht="12.5">
      <c r="A459" s="76"/>
      <c r="B459" s="5"/>
      <c r="C459" s="16"/>
      <c r="E459" s="5"/>
      <c r="G459" s="5"/>
    </row>
    <row r="460" spans="1:7" ht="12.5">
      <c r="A460" s="76"/>
      <c r="B460" s="5"/>
      <c r="C460" s="16"/>
      <c r="E460" s="5"/>
      <c r="G460" s="5"/>
    </row>
    <row r="461" spans="1:7" ht="12.5">
      <c r="A461" s="76"/>
      <c r="B461" s="5"/>
      <c r="C461" s="16"/>
      <c r="E461" s="5"/>
      <c r="G461" s="5"/>
    </row>
    <row r="462" spans="1:7" ht="12.5">
      <c r="A462" s="76"/>
      <c r="B462" s="5"/>
      <c r="C462" s="16"/>
      <c r="E462" s="5"/>
      <c r="G462" s="5"/>
    </row>
    <row r="463" spans="1:7" ht="12.5">
      <c r="A463" s="76"/>
      <c r="B463" s="5"/>
      <c r="C463" s="16"/>
      <c r="E463" s="5"/>
      <c r="G463" s="5"/>
    </row>
    <row r="464" spans="1:7" ht="12.5">
      <c r="A464" s="76"/>
      <c r="B464" s="5"/>
      <c r="C464" s="16"/>
      <c r="E464" s="5"/>
      <c r="G464" s="5"/>
    </row>
    <row r="465" spans="1:7" ht="12.5">
      <c r="A465" s="76"/>
      <c r="B465" s="5"/>
      <c r="C465" s="16"/>
      <c r="E465" s="5"/>
      <c r="G465" s="5"/>
    </row>
    <row r="466" spans="1:7" ht="12.5">
      <c r="A466" s="76"/>
      <c r="B466" s="5"/>
      <c r="C466" s="16"/>
      <c r="E466" s="5"/>
      <c r="G466" s="5"/>
    </row>
    <row r="467" spans="1:7" ht="12.5">
      <c r="A467" s="76"/>
      <c r="B467" s="5"/>
      <c r="C467" s="16"/>
      <c r="E467" s="5"/>
      <c r="G467" s="5"/>
    </row>
    <row r="468" spans="1:7" ht="12.5">
      <c r="A468" s="76"/>
      <c r="B468" s="5"/>
      <c r="C468" s="16"/>
      <c r="E468" s="5"/>
      <c r="G468" s="5"/>
    </row>
    <row r="469" spans="1:7" ht="12.5">
      <c r="A469" s="76"/>
      <c r="B469" s="5"/>
      <c r="C469" s="16"/>
      <c r="E469" s="5"/>
      <c r="G469" s="5"/>
    </row>
    <row r="470" spans="1:7" ht="12.5">
      <c r="A470" s="76"/>
      <c r="B470" s="5"/>
      <c r="C470" s="16"/>
      <c r="E470" s="5"/>
      <c r="G470" s="5"/>
    </row>
    <row r="471" spans="1:7" ht="12.5">
      <c r="A471" s="76"/>
      <c r="B471" s="5"/>
      <c r="C471" s="16"/>
      <c r="E471" s="5"/>
      <c r="G471" s="5"/>
    </row>
    <row r="472" spans="1:7" ht="12.5">
      <c r="A472" s="76"/>
      <c r="B472" s="5"/>
      <c r="C472" s="16"/>
      <c r="E472" s="5"/>
      <c r="G472" s="5"/>
    </row>
    <row r="473" spans="1:7" ht="12.5">
      <c r="A473" s="76"/>
      <c r="B473" s="5"/>
      <c r="C473" s="16"/>
      <c r="E473" s="5"/>
      <c r="G473" s="5"/>
    </row>
    <row r="474" spans="1:7" ht="12.5">
      <c r="A474" s="76"/>
      <c r="B474" s="5"/>
      <c r="C474" s="16"/>
      <c r="E474" s="5"/>
      <c r="G474" s="5"/>
    </row>
    <row r="475" spans="1:7" ht="12.5">
      <c r="A475" s="76"/>
      <c r="B475" s="5"/>
      <c r="C475" s="16"/>
      <c r="E475" s="5"/>
      <c r="G475" s="5"/>
    </row>
    <row r="476" spans="1:7" ht="12.5">
      <c r="A476" s="76"/>
      <c r="B476" s="5"/>
      <c r="C476" s="16"/>
      <c r="E476" s="5"/>
      <c r="G476" s="5"/>
    </row>
    <row r="477" spans="1:7" ht="12.5">
      <c r="A477" s="76"/>
      <c r="B477" s="5"/>
      <c r="C477" s="16"/>
      <c r="E477" s="5"/>
      <c r="G477" s="5"/>
    </row>
    <row r="478" spans="1:7" ht="12.5">
      <c r="A478" s="76"/>
      <c r="B478" s="5"/>
      <c r="C478" s="16"/>
      <c r="E478" s="5"/>
      <c r="G478" s="5"/>
    </row>
    <row r="479" spans="1:7" ht="12.5">
      <c r="A479" s="76"/>
      <c r="B479" s="5"/>
      <c r="C479" s="16"/>
      <c r="E479" s="5"/>
      <c r="G479" s="5"/>
    </row>
    <row r="480" spans="1:7" ht="12.5">
      <c r="A480" s="76"/>
      <c r="B480" s="5"/>
      <c r="C480" s="16"/>
      <c r="E480" s="5"/>
      <c r="G480" s="5"/>
    </row>
    <row r="481" spans="1:7" ht="12.5">
      <c r="A481" s="76"/>
      <c r="B481" s="5"/>
      <c r="C481" s="16"/>
      <c r="E481" s="5"/>
      <c r="G481" s="5"/>
    </row>
    <row r="482" spans="1:7" ht="12.5">
      <c r="A482" s="76"/>
      <c r="B482" s="5"/>
      <c r="C482" s="16"/>
      <c r="E482" s="5"/>
      <c r="G482" s="5"/>
    </row>
    <row r="483" spans="1:7" ht="12.5">
      <c r="A483" s="76"/>
      <c r="B483" s="5"/>
      <c r="C483" s="16"/>
      <c r="E483" s="5"/>
      <c r="G483" s="5"/>
    </row>
    <row r="484" spans="1:7" ht="12.5">
      <c r="A484" s="76"/>
      <c r="B484" s="5"/>
      <c r="C484" s="16"/>
      <c r="E484" s="5"/>
      <c r="G484" s="5"/>
    </row>
    <row r="485" spans="1:7" ht="12.5">
      <c r="A485" s="76"/>
      <c r="B485" s="5"/>
      <c r="C485" s="16"/>
      <c r="E485" s="5"/>
      <c r="G485" s="5"/>
    </row>
    <row r="486" spans="1:7" ht="12.5">
      <c r="A486" s="76"/>
      <c r="B486" s="5"/>
      <c r="C486" s="16"/>
      <c r="E486" s="5"/>
      <c r="G486" s="5"/>
    </row>
    <row r="487" spans="1:7" ht="12.5">
      <c r="A487" s="76"/>
      <c r="B487" s="5"/>
      <c r="C487" s="16"/>
      <c r="E487" s="5"/>
      <c r="G487" s="5"/>
    </row>
    <row r="488" spans="1:7" ht="12.5">
      <c r="A488" s="76"/>
      <c r="B488" s="5"/>
      <c r="C488" s="16"/>
      <c r="E488" s="5"/>
      <c r="G488" s="5"/>
    </row>
    <row r="489" spans="1:7" ht="12.5">
      <c r="A489" s="76"/>
      <c r="B489" s="5"/>
      <c r="C489" s="16"/>
      <c r="E489" s="5"/>
      <c r="G489" s="5"/>
    </row>
    <row r="490" spans="1:7" ht="12.5">
      <c r="A490" s="76"/>
      <c r="B490" s="5"/>
      <c r="C490" s="16"/>
      <c r="E490" s="5"/>
      <c r="G490" s="5"/>
    </row>
    <row r="491" spans="1:7" ht="12.5">
      <c r="A491" s="76"/>
      <c r="B491" s="5"/>
      <c r="C491" s="16"/>
      <c r="E491" s="5"/>
      <c r="G491" s="5"/>
    </row>
    <row r="492" spans="1:7" ht="12.5">
      <c r="A492" s="76"/>
      <c r="B492" s="5"/>
      <c r="C492" s="16"/>
      <c r="E492" s="5"/>
      <c r="G492" s="5"/>
    </row>
    <row r="493" spans="1:7" ht="12.5">
      <c r="A493" s="76"/>
      <c r="B493" s="5"/>
      <c r="C493" s="16"/>
      <c r="E493" s="5"/>
      <c r="G493" s="5"/>
    </row>
    <row r="494" spans="1:7" ht="12.5">
      <c r="A494" s="76"/>
      <c r="B494" s="5"/>
      <c r="C494" s="16"/>
      <c r="E494" s="5"/>
      <c r="G494" s="5"/>
    </row>
    <row r="495" spans="1:7" ht="12.5">
      <c r="A495" s="76"/>
      <c r="B495" s="5"/>
      <c r="C495" s="16"/>
      <c r="E495" s="5"/>
      <c r="G495" s="5"/>
    </row>
    <row r="496" spans="1:7" ht="12.5">
      <c r="A496" s="76"/>
      <c r="B496" s="5"/>
      <c r="C496" s="16"/>
      <c r="E496" s="5"/>
      <c r="G496" s="5"/>
    </row>
    <row r="497" spans="1:7" ht="12.5">
      <c r="A497" s="76"/>
      <c r="B497" s="5"/>
      <c r="C497" s="16"/>
      <c r="E497" s="5"/>
      <c r="G497" s="5"/>
    </row>
    <row r="498" spans="1:7" ht="12.5">
      <c r="A498" s="76"/>
      <c r="B498" s="5"/>
      <c r="C498" s="16"/>
      <c r="E498" s="5"/>
      <c r="G498" s="5"/>
    </row>
    <row r="499" spans="1:7" ht="12.5">
      <c r="A499" s="76"/>
      <c r="B499" s="5"/>
      <c r="C499" s="16"/>
      <c r="E499" s="5"/>
      <c r="G499" s="5"/>
    </row>
    <row r="500" spans="1:7" ht="12.5">
      <c r="A500" s="76"/>
      <c r="B500" s="5"/>
      <c r="C500" s="16"/>
      <c r="E500" s="5"/>
      <c r="G500" s="5"/>
    </row>
    <row r="501" spans="1:7" ht="12.5">
      <c r="A501" s="76"/>
      <c r="B501" s="5"/>
      <c r="C501" s="16"/>
      <c r="E501" s="5"/>
      <c r="G501" s="5"/>
    </row>
    <row r="502" spans="1:7" ht="12.5">
      <c r="A502" s="76"/>
      <c r="B502" s="5"/>
      <c r="C502" s="16"/>
      <c r="E502" s="5"/>
      <c r="G502" s="5"/>
    </row>
    <row r="503" spans="1:7" ht="12.5">
      <c r="A503" s="76"/>
      <c r="B503" s="5"/>
      <c r="C503" s="16"/>
      <c r="E503" s="5"/>
      <c r="G503" s="5"/>
    </row>
    <row r="504" spans="1:7" ht="12.5">
      <c r="A504" s="76"/>
      <c r="B504" s="5"/>
      <c r="C504" s="16"/>
      <c r="E504" s="5"/>
      <c r="G504" s="5"/>
    </row>
    <row r="505" spans="1:7" ht="12.5">
      <c r="A505" s="76"/>
      <c r="B505" s="5"/>
      <c r="C505" s="16"/>
      <c r="E505" s="5"/>
      <c r="G505" s="5"/>
    </row>
    <row r="506" spans="1:7" ht="12.5">
      <c r="A506" s="76"/>
      <c r="B506" s="5"/>
      <c r="C506" s="16"/>
      <c r="E506" s="5"/>
      <c r="G506" s="5"/>
    </row>
    <row r="507" spans="1:7" ht="12.5">
      <c r="A507" s="76"/>
      <c r="B507" s="5"/>
      <c r="C507" s="16"/>
      <c r="E507" s="5"/>
      <c r="G507" s="5"/>
    </row>
    <row r="508" spans="1:7" ht="12.5">
      <c r="A508" s="76"/>
      <c r="B508" s="5"/>
      <c r="C508" s="16"/>
      <c r="E508" s="5"/>
      <c r="G508" s="5"/>
    </row>
    <row r="509" spans="1:7" ht="12.5">
      <c r="A509" s="76"/>
      <c r="B509" s="5"/>
      <c r="C509" s="16"/>
      <c r="E509" s="5"/>
      <c r="G509" s="5"/>
    </row>
    <row r="510" spans="1:7" ht="12.5">
      <c r="A510" s="76"/>
      <c r="B510" s="5"/>
      <c r="C510" s="16"/>
      <c r="E510" s="5"/>
      <c r="G510" s="5"/>
    </row>
    <row r="511" spans="1:7" ht="12.5">
      <c r="A511" s="76"/>
      <c r="B511" s="5"/>
      <c r="C511" s="16"/>
      <c r="E511" s="5"/>
      <c r="G511" s="5"/>
    </row>
    <row r="512" spans="1:7" ht="12.5">
      <c r="A512" s="76"/>
      <c r="B512" s="5"/>
      <c r="C512" s="16"/>
      <c r="E512" s="5"/>
      <c r="G512" s="5"/>
    </row>
    <row r="513" spans="1:7" ht="12.5">
      <c r="A513" s="76"/>
      <c r="B513" s="5"/>
      <c r="C513" s="16"/>
      <c r="E513" s="5"/>
      <c r="G513" s="5"/>
    </row>
    <row r="514" spans="1:7" ht="12.5">
      <c r="A514" s="76"/>
      <c r="B514" s="5"/>
      <c r="C514" s="16"/>
      <c r="E514" s="5"/>
      <c r="G514" s="5"/>
    </row>
    <row r="515" spans="1:7" ht="12.5">
      <c r="A515" s="76"/>
      <c r="B515" s="5"/>
      <c r="C515" s="16"/>
      <c r="E515" s="5"/>
      <c r="G515" s="5"/>
    </row>
    <row r="516" spans="1:7" ht="12.5">
      <c r="A516" s="76"/>
      <c r="B516" s="5"/>
      <c r="C516" s="16"/>
      <c r="E516" s="5"/>
      <c r="G516" s="5"/>
    </row>
    <row r="517" spans="1:7" ht="12.5">
      <c r="A517" s="76"/>
      <c r="B517" s="5"/>
      <c r="C517" s="16"/>
      <c r="E517" s="5"/>
      <c r="G517" s="5"/>
    </row>
    <row r="518" spans="1:7" ht="12.5">
      <c r="A518" s="76"/>
      <c r="B518" s="5"/>
      <c r="C518" s="16"/>
      <c r="E518" s="5"/>
      <c r="G518" s="5"/>
    </row>
    <row r="519" spans="1:7" ht="12.5">
      <c r="A519" s="76"/>
      <c r="B519" s="5"/>
      <c r="C519" s="16"/>
      <c r="E519" s="5"/>
      <c r="G519" s="5"/>
    </row>
    <row r="520" spans="1:7" ht="12.5">
      <c r="A520" s="76"/>
      <c r="B520" s="5"/>
      <c r="C520" s="16"/>
      <c r="E520" s="5"/>
      <c r="G520" s="5"/>
    </row>
    <row r="521" spans="1:7" ht="12.5">
      <c r="A521" s="76"/>
      <c r="B521" s="5"/>
      <c r="C521" s="16"/>
      <c r="E521" s="5"/>
      <c r="G521" s="5"/>
    </row>
    <row r="522" spans="1:7" ht="12.5">
      <c r="A522" s="76"/>
      <c r="B522" s="5"/>
      <c r="C522" s="16"/>
      <c r="E522" s="5"/>
      <c r="G522" s="5"/>
    </row>
    <row r="523" spans="1:7" ht="12.5">
      <c r="A523" s="76"/>
      <c r="B523" s="5"/>
      <c r="C523" s="16"/>
      <c r="E523" s="5"/>
      <c r="G523" s="5"/>
    </row>
    <row r="524" spans="1:7" ht="12.5">
      <c r="A524" s="76"/>
      <c r="B524" s="5"/>
      <c r="C524" s="16"/>
      <c r="E524" s="5"/>
      <c r="G524" s="5"/>
    </row>
    <row r="525" spans="1:7" ht="12.5">
      <c r="A525" s="76"/>
      <c r="B525" s="5"/>
      <c r="C525" s="16"/>
      <c r="E525" s="5"/>
      <c r="G525" s="5"/>
    </row>
    <row r="526" spans="1:7" ht="12.5">
      <c r="A526" s="76"/>
      <c r="B526" s="5"/>
      <c r="C526" s="16"/>
      <c r="E526" s="5"/>
      <c r="G526" s="5"/>
    </row>
    <row r="527" spans="1:7" ht="12.5">
      <c r="A527" s="76"/>
      <c r="B527" s="5"/>
      <c r="C527" s="16"/>
      <c r="E527" s="5"/>
      <c r="G527" s="5"/>
    </row>
    <row r="528" spans="1:7" ht="12.5">
      <c r="A528" s="76"/>
      <c r="B528" s="5"/>
      <c r="C528" s="16"/>
      <c r="E528" s="5"/>
      <c r="G528" s="5"/>
    </row>
    <row r="529" spans="1:7" ht="12.5">
      <c r="A529" s="76"/>
      <c r="B529" s="5"/>
      <c r="C529" s="16"/>
      <c r="E529" s="5"/>
      <c r="G529" s="5"/>
    </row>
    <row r="530" spans="1:7" ht="12.5">
      <c r="A530" s="76"/>
      <c r="B530" s="5"/>
      <c r="C530" s="16"/>
      <c r="E530" s="5"/>
      <c r="G530" s="5"/>
    </row>
    <row r="531" spans="1:7" ht="12.5">
      <c r="A531" s="76"/>
      <c r="B531" s="5"/>
      <c r="C531" s="16"/>
      <c r="E531" s="5"/>
      <c r="G531" s="5"/>
    </row>
    <row r="532" spans="1:7" ht="12.5">
      <c r="A532" s="76"/>
      <c r="B532" s="5"/>
      <c r="C532" s="16"/>
      <c r="E532" s="5"/>
      <c r="G532" s="5"/>
    </row>
    <row r="533" spans="1:7" ht="12.5">
      <c r="A533" s="76"/>
      <c r="B533" s="5"/>
      <c r="C533" s="16"/>
      <c r="E533" s="5"/>
      <c r="G533" s="5"/>
    </row>
    <row r="534" spans="1:7" ht="12.5">
      <c r="A534" s="76"/>
      <c r="B534" s="5"/>
      <c r="C534" s="16"/>
      <c r="E534" s="5"/>
      <c r="G534" s="5"/>
    </row>
    <row r="535" spans="1:7" ht="12.5">
      <c r="A535" s="76"/>
      <c r="B535" s="5"/>
      <c r="C535" s="16"/>
      <c r="E535" s="5"/>
      <c r="G535" s="5"/>
    </row>
    <row r="536" spans="1:7" ht="12.5">
      <c r="A536" s="76"/>
      <c r="B536" s="5"/>
      <c r="C536" s="16"/>
      <c r="E536" s="5"/>
      <c r="G536" s="5"/>
    </row>
    <row r="537" spans="1:7" ht="12.5">
      <c r="A537" s="76"/>
      <c r="B537" s="5"/>
      <c r="C537" s="16"/>
      <c r="E537" s="5"/>
      <c r="G537" s="5"/>
    </row>
    <row r="538" spans="1:7" ht="12.5">
      <c r="A538" s="76"/>
      <c r="B538" s="5"/>
      <c r="C538" s="16"/>
      <c r="E538" s="5"/>
      <c r="G538" s="5"/>
    </row>
    <row r="539" spans="1:7" ht="12.5">
      <c r="A539" s="76"/>
      <c r="B539" s="5"/>
      <c r="C539" s="16"/>
      <c r="E539" s="5"/>
      <c r="G539" s="5"/>
    </row>
    <row r="540" spans="1:7" ht="12.5">
      <c r="A540" s="76"/>
      <c r="B540" s="5"/>
      <c r="C540" s="16"/>
      <c r="E540" s="5"/>
      <c r="G540" s="5"/>
    </row>
    <row r="541" spans="1:7" ht="12.5">
      <c r="A541" s="76"/>
      <c r="B541" s="5"/>
      <c r="C541" s="16"/>
      <c r="E541" s="5"/>
      <c r="G541" s="5"/>
    </row>
    <row r="542" spans="1:7" ht="12.5">
      <c r="A542" s="76"/>
      <c r="B542" s="5"/>
      <c r="C542" s="16"/>
      <c r="E542" s="5"/>
      <c r="G542" s="5"/>
    </row>
    <row r="543" spans="1:7" ht="12.5">
      <c r="A543" s="76"/>
      <c r="B543" s="5"/>
      <c r="C543" s="16"/>
      <c r="E543" s="5"/>
      <c r="G543" s="5"/>
    </row>
    <row r="544" spans="1:7" ht="12.5">
      <c r="A544" s="76"/>
      <c r="B544" s="5"/>
      <c r="C544" s="16"/>
      <c r="E544" s="5"/>
      <c r="G544" s="5"/>
    </row>
    <row r="545" spans="1:7" ht="12.5">
      <c r="A545" s="76"/>
      <c r="B545" s="5"/>
      <c r="C545" s="16"/>
      <c r="E545" s="5"/>
      <c r="G545" s="5"/>
    </row>
    <row r="546" spans="1:7" ht="12.5">
      <c r="A546" s="76"/>
      <c r="B546" s="5"/>
      <c r="C546" s="16"/>
      <c r="E546" s="5"/>
      <c r="G546" s="5"/>
    </row>
    <row r="547" spans="1:7" ht="12.5">
      <c r="A547" s="76"/>
      <c r="B547" s="5"/>
      <c r="C547" s="16"/>
      <c r="E547" s="5"/>
      <c r="G547" s="5"/>
    </row>
    <row r="548" spans="1:7" ht="12.5">
      <c r="A548" s="76"/>
      <c r="B548" s="5"/>
      <c r="C548" s="16"/>
      <c r="E548" s="5"/>
      <c r="G548" s="5"/>
    </row>
    <row r="549" spans="1:7" ht="12.5">
      <c r="A549" s="76"/>
      <c r="B549" s="5"/>
      <c r="C549" s="16"/>
      <c r="E549" s="5"/>
      <c r="G549" s="5"/>
    </row>
    <row r="550" spans="1:7" ht="12.5">
      <c r="A550" s="76"/>
      <c r="B550" s="5"/>
      <c r="C550" s="16"/>
      <c r="E550" s="5"/>
      <c r="G550" s="5"/>
    </row>
    <row r="551" spans="1:7" ht="12.5">
      <c r="A551" s="76"/>
      <c r="B551" s="5"/>
      <c r="C551" s="16"/>
      <c r="E551" s="5"/>
      <c r="G551" s="5"/>
    </row>
    <row r="552" spans="1:7" ht="12.5">
      <c r="A552" s="76"/>
      <c r="B552" s="5"/>
      <c r="C552" s="16"/>
      <c r="E552" s="5"/>
      <c r="G552" s="5"/>
    </row>
    <row r="553" spans="1:7" ht="12.5">
      <c r="A553" s="76"/>
      <c r="B553" s="5"/>
      <c r="C553" s="16"/>
      <c r="E553" s="5"/>
      <c r="G553" s="5"/>
    </row>
    <row r="554" spans="1:7" ht="12.5">
      <c r="A554" s="76"/>
      <c r="B554" s="5"/>
      <c r="C554" s="16"/>
      <c r="E554" s="5"/>
      <c r="G554" s="5"/>
    </row>
    <row r="555" spans="1:7" ht="12.5">
      <c r="A555" s="76"/>
      <c r="B555" s="5"/>
      <c r="C555" s="16"/>
      <c r="E555" s="5"/>
      <c r="G555" s="5"/>
    </row>
    <row r="556" spans="1:7" ht="12.5">
      <c r="A556" s="76"/>
      <c r="B556" s="5"/>
      <c r="C556" s="16"/>
      <c r="E556" s="5"/>
      <c r="G556" s="5"/>
    </row>
    <row r="557" spans="1:7" ht="12.5">
      <c r="A557" s="76"/>
      <c r="B557" s="5"/>
      <c r="C557" s="16"/>
      <c r="E557" s="5"/>
      <c r="G557" s="5"/>
    </row>
    <row r="558" spans="1:7" ht="12.5">
      <c r="A558" s="76"/>
      <c r="B558" s="5"/>
      <c r="C558" s="16"/>
      <c r="E558" s="5"/>
      <c r="G558" s="5"/>
    </row>
    <row r="559" spans="1:7" ht="12.5">
      <c r="A559" s="76"/>
      <c r="B559" s="5"/>
      <c r="C559" s="16"/>
      <c r="E559" s="5"/>
      <c r="G559" s="5"/>
    </row>
    <row r="560" spans="1:7" ht="12.5">
      <c r="A560" s="76"/>
      <c r="B560" s="5"/>
      <c r="C560" s="16"/>
      <c r="E560" s="5"/>
      <c r="G560" s="5"/>
    </row>
    <row r="561" spans="1:7" ht="12.5">
      <c r="A561" s="76"/>
      <c r="B561" s="5"/>
      <c r="C561" s="16"/>
      <c r="E561" s="5"/>
      <c r="G561" s="5"/>
    </row>
    <row r="562" spans="1:7" ht="12.5">
      <c r="A562" s="76"/>
      <c r="B562" s="5"/>
      <c r="C562" s="16"/>
      <c r="E562" s="5"/>
      <c r="G562" s="5"/>
    </row>
    <row r="563" spans="1:7" ht="12.5">
      <c r="A563" s="76"/>
      <c r="B563" s="5"/>
      <c r="C563" s="16"/>
      <c r="E563" s="5"/>
      <c r="G563" s="5"/>
    </row>
    <row r="564" spans="1:7" ht="12.5">
      <c r="A564" s="76"/>
      <c r="B564" s="5"/>
      <c r="C564" s="16"/>
      <c r="E564" s="5"/>
      <c r="G564" s="5"/>
    </row>
    <row r="565" spans="1:7" ht="12.5">
      <c r="A565" s="76"/>
      <c r="B565" s="5"/>
      <c r="C565" s="16"/>
      <c r="E565" s="5"/>
      <c r="G565" s="5"/>
    </row>
    <row r="566" spans="1:7" ht="12.5">
      <c r="A566" s="76"/>
      <c r="B566" s="5"/>
      <c r="C566" s="16"/>
      <c r="E566" s="5"/>
      <c r="G566" s="5"/>
    </row>
    <row r="567" spans="1:7" ht="12.5">
      <c r="A567" s="76"/>
      <c r="B567" s="5"/>
      <c r="C567" s="16"/>
      <c r="E567" s="5"/>
      <c r="G567" s="5"/>
    </row>
    <row r="568" spans="1:7" ht="12.5">
      <c r="A568" s="76"/>
      <c r="B568" s="5"/>
      <c r="C568" s="16"/>
      <c r="E568" s="5"/>
      <c r="G568" s="5"/>
    </row>
    <row r="569" spans="1:7" ht="12.5">
      <c r="A569" s="76"/>
      <c r="B569" s="5"/>
      <c r="C569" s="16"/>
      <c r="E569" s="5"/>
      <c r="G569" s="5"/>
    </row>
    <row r="570" spans="1:7" ht="12.5">
      <c r="A570" s="76"/>
      <c r="B570" s="5"/>
      <c r="C570" s="16"/>
      <c r="E570" s="5"/>
      <c r="G570" s="5"/>
    </row>
    <row r="571" spans="1:7" ht="12.5">
      <c r="A571" s="76"/>
      <c r="B571" s="5"/>
      <c r="C571" s="16"/>
      <c r="E571" s="5"/>
      <c r="G571" s="5"/>
    </row>
    <row r="572" spans="1:7" ht="12.5">
      <c r="A572" s="76"/>
      <c r="B572" s="5"/>
      <c r="C572" s="16"/>
      <c r="E572" s="5"/>
      <c r="G572" s="5"/>
    </row>
    <row r="573" spans="1:7" ht="12.5">
      <c r="A573" s="76"/>
      <c r="B573" s="5"/>
      <c r="C573" s="16"/>
      <c r="E573" s="5"/>
      <c r="G573" s="5"/>
    </row>
    <row r="574" spans="1:7" ht="12.5">
      <c r="A574" s="76"/>
      <c r="B574" s="5"/>
      <c r="C574" s="16"/>
      <c r="E574" s="5"/>
      <c r="G574" s="5"/>
    </row>
    <row r="575" spans="1:7" ht="12.5">
      <c r="A575" s="76"/>
      <c r="B575" s="5"/>
      <c r="C575" s="16"/>
      <c r="E575" s="5"/>
      <c r="G575" s="5"/>
    </row>
    <row r="576" spans="1:7" ht="12.5">
      <c r="A576" s="76"/>
      <c r="B576" s="5"/>
      <c r="C576" s="16"/>
      <c r="E576" s="5"/>
      <c r="G576" s="5"/>
    </row>
    <row r="577" spans="1:7" ht="12.5">
      <c r="A577" s="76"/>
      <c r="B577" s="5"/>
      <c r="C577" s="16"/>
      <c r="E577" s="5"/>
      <c r="G577" s="5"/>
    </row>
    <row r="578" spans="1:7" ht="12.5">
      <c r="A578" s="76"/>
      <c r="B578" s="5"/>
      <c r="C578" s="16"/>
      <c r="E578" s="5"/>
      <c r="G578" s="5"/>
    </row>
    <row r="579" spans="1:7" ht="12.5">
      <c r="A579" s="76"/>
      <c r="B579" s="5"/>
      <c r="C579" s="16"/>
      <c r="E579" s="5"/>
      <c r="G579" s="5"/>
    </row>
    <row r="580" spans="1:7" ht="12.5">
      <c r="A580" s="76"/>
      <c r="B580" s="5"/>
      <c r="C580" s="16"/>
      <c r="E580" s="5"/>
      <c r="G580" s="5"/>
    </row>
    <row r="581" spans="1:7" ht="12.5">
      <c r="A581" s="76"/>
      <c r="B581" s="5"/>
      <c r="C581" s="16"/>
      <c r="E581" s="5"/>
      <c r="G581" s="5"/>
    </row>
    <row r="582" spans="1:7" ht="12.5">
      <c r="A582" s="76"/>
      <c r="B582" s="5"/>
      <c r="C582" s="16"/>
      <c r="E582" s="5"/>
      <c r="G582" s="5"/>
    </row>
    <row r="583" spans="1:7" ht="12.5">
      <c r="A583" s="76"/>
      <c r="B583" s="5"/>
      <c r="C583" s="16"/>
      <c r="E583" s="5"/>
      <c r="G583" s="5"/>
    </row>
    <row r="584" spans="1:7" ht="12.5">
      <c r="A584" s="76"/>
      <c r="B584" s="5"/>
      <c r="C584" s="16"/>
      <c r="E584" s="5"/>
      <c r="G584" s="5"/>
    </row>
    <row r="585" spans="1:7" ht="12.5">
      <c r="A585" s="76"/>
      <c r="B585" s="5"/>
      <c r="C585" s="16"/>
      <c r="E585" s="5"/>
      <c r="G585" s="5"/>
    </row>
    <row r="586" spans="1:7" ht="12.5">
      <c r="A586" s="76"/>
      <c r="B586" s="5"/>
      <c r="C586" s="16"/>
      <c r="E586" s="5"/>
      <c r="G586" s="5"/>
    </row>
    <row r="587" spans="1:7" ht="12.5">
      <c r="A587" s="76"/>
      <c r="B587" s="5"/>
      <c r="C587" s="16"/>
      <c r="E587" s="5"/>
      <c r="G587" s="5"/>
    </row>
    <row r="588" spans="1:7" ht="12.5">
      <c r="A588" s="76"/>
      <c r="B588" s="5"/>
      <c r="C588" s="16"/>
      <c r="E588" s="5"/>
      <c r="G588" s="5"/>
    </row>
    <row r="589" spans="1:7" ht="12.5">
      <c r="A589" s="76"/>
      <c r="B589" s="5"/>
      <c r="C589" s="16"/>
      <c r="E589" s="5"/>
      <c r="G589" s="5"/>
    </row>
    <row r="590" spans="1:7" ht="12.5">
      <c r="A590" s="76"/>
      <c r="B590" s="5"/>
      <c r="C590" s="16"/>
      <c r="E590" s="5"/>
      <c r="G590" s="5"/>
    </row>
    <row r="591" spans="1:7" ht="12.5">
      <c r="A591" s="76"/>
      <c r="B591" s="5"/>
      <c r="C591" s="16"/>
      <c r="E591" s="5"/>
      <c r="G591" s="5"/>
    </row>
    <row r="592" spans="1:7" ht="12.5">
      <c r="A592" s="76"/>
      <c r="B592" s="5"/>
      <c r="C592" s="16"/>
      <c r="E592" s="5"/>
      <c r="G592" s="5"/>
    </row>
    <row r="593" spans="1:7" ht="12.5">
      <c r="A593" s="76"/>
      <c r="B593" s="5"/>
      <c r="C593" s="16"/>
      <c r="E593" s="5"/>
      <c r="G593" s="5"/>
    </row>
    <row r="594" spans="1:7" ht="12.5">
      <c r="A594" s="76"/>
      <c r="B594" s="5"/>
      <c r="C594" s="16"/>
      <c r="E594" s="5"/>
      <c r="G594" s="5"/>
    </row>
    <row r="595" spans="1:7" ht="12.5">
      <c r="A595" s="76"/>
      <c r="B595" s="5"/>
      <c r="C595" s="16"/>
      <c r="E595" s="5"/>
      <c r="G595" s="5"/>
    </row>
    <row r="596" spans="1:7" ht="12.5">
      <c r="A596" s="76"/>
      <c r="B596" s="5"/>
      <c r="C596" s="16"/>
      <c r="E596" s="5"/>
      <c r="G596" s="5"/>
    </row>
    <row r="597" spans="1:7" ht="12.5">
      <c r="A597" s="76"/>
      <c r="B597" s="5"/>
      <c r="C597" s="16"/>
      <c r="E597" s="5"/>
      <c r="G597" s="5"/>
    </row>
    <row r="598" spans="1:7" ht="12.5">
      <c r="A598" s="76"/>
      <c r="B598" s="5"/>
      <c r="C598" s="16"/>
      <c r="E598" s="5"/>
      <c r="G598" s="5"/>
    </row>
    <row r="599" spans="1:7" ht="12.5">
      <c r="A599" s="76"/>
      <c r="B599" s="5"/>
      <c r="C599" s="16"/>
      <c r="E599" s="5"/>
      <c r="G599" s="5"/>
    </row>
    <row r="600" spans="1:7" ht="12.5">
      <c r="A600" s="76"/>
      <c r="B600" s="5"/>
      <c r="C600" s="16"/>
      <c r="E600" s="5"/>
      <c r="G600" s="5"/>
    </row>
    <row r="601" spans="1:7" ht="12.5">
      <c r="A601" s="76"/>
      <c r="B601" s="5"/>
      <c r="C601" s="16"/>
      <c r="E601" s="5"/>
      <c r="G601" s="5"/>
    </row>
    <row r="602" spans="1:7" ht="12.5">
      <c r="A602" s="76"/>
      <c r="B602" s="5"/>
      <c r="C602" s="16"/>
      <c r="E602" s="5"/>
      <c r="G602" s="5"/>
    </row>
    <row r="603" spans="1:7" ht="12.5">
      <c r="A603" s="76"/>
      <c r="B603" s="5"/>
      <c r="C603" s="16"/>
      <c r="E603" s="5"/>
      <c r="G603" s="5"/>
    </row>
    <row r="604" spans="1:7" ht="12.5">
      <c r="A604" s="76"/>
      <c r="B604" s="5"/>
      <c r="C604" s="16"/>
      <c r="E604" s="5"/>
      <c r="G604" s="5"/>
    </row>
    <row r="605" spans="1:7" ht="12.5">
      <c r="A605" s="76"/>
      <c r="B605" s="5"/>
      <c r="C605" s="16"/>
      <c r="E605" s="5"/>
      <c r="G605" s="5"/>
    </row>
    <row r="606" spans="1:7" ht="12.5">
      <c r="A606" s="76"/>
      <c r="B606" s="5"/>
      <c r="C606" s="16"/>
      <c r="E606" s="5"/>
      <c r="G606" s="5"/>
    </row>
    <row r="607" spans="1:7" ht="12.5">
      <c r="A607" s="76"/>
      <c r="B607" s="5"/>
      <c r="C607" s="16"/>
      <c r="E607" s="5"/>
      <c r="G607" s="5"/>
    </row>
    <row r="608" spans="1:7" ht="12.5">
      <c r="A608" s="76"/>
      <c r="B608" s="5"/>
      <c r="C608" s="16"/>
      <c r="E608" s="5"/>
      <c r="G608" s="5"/>
    </row>
    <row r="609" spans="1:7" ht="12.5">
      <c r="A609" s="76"/>
      <c r="B609" s="5"/>
      <c r="C609" s="16"/>
      <c r="E609" s="5"/>
      <c r="G609" s="5"/>
    </row>
    <row r="610" spans="1:7" ht="12.5">
      <c r="A610" s="76"/>
      <c r="B610" s="5"/>
      <c r="C610" s="16"/>
      <c r="E610" s="5"/>
      <c r="G610" s="5"/>
    </row>
    <row r="611" spans="1:7" ht="12.5">
      <c r="A611" s="76"/>
      <c r="B611" s="5"/>
      <c r="C611" s="16"/>
      <c r="E611" s="5"/>
      <c r="G611" s="5"/>
    </row>
    <row r="612" spans="1:7" ht="12.5">
      <c r="A612" s="76"/>
      <c r="B612" s="5"/>
      <c r="C612" s="16"/>
      <c r="E612" s="5"/>
      <c r="G612" s="5"/>
    </row>
    <row r="613" spans="1:7" ht="12.5">
      <c r="A613" s="76"/>
      <c r="B613" s="5"/>
      <c r="C613" s="16"/>
      <c r="E613" s="5"/>
      <c r="G613" s="5"/>
    </row>
    <row r="614" spans="1:7" ht="12.5">
      <c r="A614" s="76"/>
      <c r="B614" s="5"/>
      <c r="C614" s="16"/>
      <c r="E614" s="5"/>
      <c r="G614" s="5"/>
    </row>
    <row r="615" spans="1:7" ht="12.5">
      <c r="A615" s="76"/>
      <c r="B615" s="5"/>
      <c r="C615" s="16"/>
      <c r="E615" s="5"/>
      <c r="G615" s="5"/>
    </row>
    <row r="616" spans="1:7" ht="12.5">
      <c r="A616" s="76"/>
      <c r="B616" s="5"/>
      <c r="C616" s="16"/>
      <c r="E616" s="5"/>
      <c r="G616" s="5"/>
    </row>
    <row r="617" spans="1:7" ht="12.5">
      <c r="A617" s="76"/>
      <c r="B617" s="5"/>
      <c r="C617" s="16"/>
      <c r="E617" s="5"/>
      <c r="G617" s="5"/>
    </row>
    <row r="618" spans="1:7" ht="12.5">
      <c r="A618" s="76"/>
      <c r="B618" s="5"/>
      <c r="C618" s="16"/>
      <c r="E618" s="5"/>
      <c r="G618" s="5"/>
    </row>
    <row r="619" spans="1:7" ht="12.5">
      <c r="A619" s="76"/>
      <c r="B619" s="5"/>
      <c r="C619" s="16"/>
      <c r="E619" s="5"/>
      <c r="G619" s="5"/>
    </row>
    <row r="620" spans="1:7" ht="12.5">
      <c r="A620" s="76"/>
      <c r="B620" s="5"/>
      <c r="C620" s="16"/>
      <c r="E620" s="5"/>
      <c r="G620" s="5"/>
    </row>
    <row r="621" spans="1:7" ht="12.5">
      <c r="A621" s="76"/>
      <c r="B621" s="5"/>
      <c r="C621" s="16"/>
      <c r="E621" s="5"/>
      <c r="G621" s="5"/>
    </row>
    <row r="622" spans="1:7" ht="12.5">
      <c r="A622" s="76"/>
      <c r="B622" s="5"/>
      <c r="C622" s="16"/>
      <c r="E622" s="5"/>
      <c r="G622" s="5"/>
    </row>
    <row r="623" spans="1:7" ht="12.5">
      <c r="A623" s="76"/>
      <c r="B623" s="5"/>
      <c r="C623" s="16"/>
      <c r="E623" s="5"/>
      <c r="G623" s="5"/>
    </row>
    <row r="624" spans="1:7" ht="12.5">
      <c r="A624" s="76"/>
      <c r="B624" s="5"/>
      <c r="C624" s="16"/>
      <c r="E624" s="5"/>
      <c r="G624" s="5"/>
    </row>
    <row r="625" spans="1:7" ht="12.5">
      <c r="A625" s="76"/>
      <c r="B625" s="5"/>
      <c r="C625" s="16"/>
      <c r="E625" s="5"/>
      <c r="G625" s="5"/>
    </row>
    <row r="626" spans="1:7" ht="12.5">
      <c r="A626" s="76"/>
      <c r="B626" s="5"/>
      <c r="C626" s="16"/>
      <c r="E626" s="5"/>
      <c r="G626" s="5"/>
    </row>
    <row r="627" spans="1:7" ht="12.5">
      <c r="A627" s="76"/>
      <c r="B627" s="5"/>
      <c r="C627" s="16"/>
      <c r="E627" s="5"/>
      <c r="G627" s="5"/>
    </row>
    <row r="628" spans="1:7" ht="12.5">
      <c r="A628" s="76"/>
      <c r="B628" s="5"/>
      <c r="C628" s="16"/>
      <c r="E628" s="5"/>
      <c r="G628" s="5"/>
    </row>
    <row r="629" spans="1:7" ht="12.5">
      <c r="A629" s="76"/>
      <c r="B629" s="5"/>
      <c r="C629" s="16"/>
      <c r="E629" s="5"/>
      <c r="G629" s="5"/>
    </row>
    <row r="630" spans="1:7" ht="12.5">
      <c r="A630" s="76"/>
      <c r="B630" s="5"/>
      <c r="C630" s="16"/>
      <c r="E630" s="5"/>
      <c r="G630" s="5"/>
    </row>
    <row r="631" spans="1:7" ht="12.5">
      <c r="A631" s="76"/>
      <c r="B631" s="5"/>
      <c r="C631" s="16"/>
      <c r="E631" s="5"/>
      <c r="G631" s="5"/>
    </row>
    <row r="632" spans="1:7" ht="12.5">
      <c r="A632" s="76"/>
      <c r="B632" s="5"/>
      <c r="C632" s="16"/>
      <c r="E632" s="5"/>
      <c r="G632" s="5"/>
    </row>
    <row r="633" spans="1:7" ht="12.5">
      <c r="A633" s="76"/>
      <c r="B633" s="5"/>
      <c r="C633" s="16"/>
      <c r="E633" s="5"/>
      <c r="G633" s="5"/>
    </row>
    <row r="634" spans="1:7" ht="12.5">
      <c r="A634" s="76"/>
      <c r="B634" s="5"/>
      <c r="C634" s="16"/>
      <c r="E634" s="5"/>
      <c r="G634" s="5"/>
    </row>
    <row r="635" spans="1:7" ht="12.5">
      <c r="A635" s="76"/>
      <c r="B635" s="5"/>
      <c r="C635" s="16"/>
      <c r="E635" s="5"/>
      <c r="G635" s="5"/>
    </row>
    <row r="636" spans="1:7" ht="12.5">
      <c r="A636" s="76"/>
      <c r="B636" s="5"/>
      <c r="C636" s="16"/>
      <c r="E636" s="5"/>
      <c r="G636" s="5"/>
    </row>
    <row r="637" spans="1:7" ht="12.5">
      <c r="A637" s="76"/>
      <c r="B637" s="5"/>
      <c r="C637" s="16"/>
      <c r="E637" s="5"/>
      <c r="G637" s="5"/>
    </row>
    <row r="638" spans="1:7" ht="12.5">
      <c r="A638" s="76"/>
      <c r="B638" s="5"/>
      <c r="C638" s="16"/>
      <c r="E638" s="5"/>
      <c r="G638" s="5"/>
    </row>
    <row r="639" spans="1:7" ht="12.5">
      <c r="A639" s="76"/>
      <c r="B639" s="5"/>
      <c r="C639" s="16"/>
      <c r="E639" s="5"/>
      <c r="G639" s="5"/>
    </row>
    <row r="640" spans="1:7" ht="12.5">
      <c r="A640" s="76"/>
      <c r="B640" s="5"/>
      <c r="C640" s="16"/>
      <c r="E640" s="5"/>
      <c r="G640" s="5"/>
    </row>
    <row r="641" spans="1:7" ht="12.5">
      <c r="A641" s="76"/>
      <c r="B641" s="5"/>
      <c r="C641" s="16"/>
      <c r="E641" s="5"/>
      <c r="G641" s="5"/>
    </row>
    <row r="642" spans="1:7" ht="12.5">
      <c r="A642" s="76"/>
      <c r="B642" s="5"/>
      <c r="C642" s="16"/>
      <c r="E642" s="5"/>
      <c r="G642" s="5"/>
    </row>
    <row r="643" spans="1:7" ht="12.5">
      <c r="A643" s="76"/>
      <c r="B643" s="5"/>
      <c r="C643" s="16"/>
      <c r="E643" s="5"/>
      <c r="G643" s="5"/>
    </row>
    <row r="644" spans="1:7" ht="12.5">
      <c r="A644" s="76"/>
      <c r="B644" s="5"/>
      <c r="C644" s="16"/>
      <c r="E644" s="5"/>
      <c r="G644" s="5"/>
    </row>
    <row r="645" spans="1:7" ht="12.5">
      <c r="A645" s="76"/>
      <c r="B645" s="5"/>
      <c r="C645" s="16"/>
      <c r="E645" s="5"/>
      <c r="G645" s="5"/>
    </row>
    <row r="646" spans="1:7" ht="12.5">
      <c r="A646" s="76"/>
      <c r="B646" s="5"/>
      <c r="C646" s="16"/>
      <c r="E646" s="5"/>
      <c r="G646" s="5"/>
    </row>
    <row r="647" spans="1:7" ht="12.5">
      <c r="A647" s="76"/>
      <c r="B647" s="5"/>
      <c r="C647" s="16"/>
      <c r="E647" s="5"/>
      <c r="G647" s="5"/>
    </row>
    <row r="648" spans="1:7" ht="12.5">
      <c r="A648" s="76"/>
      <c r="B648" s="5"/>
      <c r="C648" s="16"/>
      <c r="E648" s="5"/>
      <c r="G648" s="5"/>
    </row>
    <row r="649" spans="1:7" ht="12.5">
      <c r="A649" s="76"/>
      <c r="B649" s="5"/>
      <c r="C649" s="16"/>
      <c r="E649" s="5"/>
      <c r="G649" s="5"/>
    </row>
    <row r="650" spans="1:7" ht="12.5">
      <c r="A650" s="76"/>
      <c r="B650" s="5"/>
      <c r="C650" s="16"/>
      <c r="E650" s="5"/>
      <c r="G650" s="5"/>
    </row>
    <row r="651" spans="1:7" ht="12.5">
      <c r="A651" s="76"/>
      <c r="B651" s="5"/>
      <c r="C651" s="16"/>
      <c r="E651" s="5"/>
      <c r="G651" s="5"/>
    </row>
    <row r="652" spans="1:7" ht="12.5">
      <c r="A652" s="76"/>
      <c r="B652" s="5"/>
      <c r="C652" s="16"/>
      <c r="E652" s="5"/>
      <c r="G652" s="5"/>
    </row>
    <row r="653" spans="1:7" ht="12.5">
      <c r="A653" s="76"/>
      <c r="B653" s="5"/>
      <c r="C653" s="16"/>
      <c r="E653" s="5"/>
      <c r="G653" s="5"/>
    </row>
    <row r="654" spans="1:7" ht="12.5">
      <c r="A654" s="76"/>
      <c r="B654" s="5"/>
      <c r="C654" s="16"/>
      <c r="E654" s="5"/>
      <c r="G654" s="5"/>
    </row>
    <row r="655" spans="1:7" ht="12.5">
      <c r="A655" s="76"/>
      <c r="B655" s="5"/>
      <c r="C655" s="16"/>
      <c r="E655" s="5"/>
      <c r="G655" s="5"/>
    </row>
    <row r="656" spans="1:7" ht="12.5">
      <c r="A656" s="76"/>
      <c r="B656" s="5"/>
      <c r="C656" s="16"/>
      <c r="E656" s="5"/>
      <c r="G656" s="5"/>
    </row>
    <row r="657" spans="1:7" ht="12.5">
      <c r="A657" s="76"/>
      <c r="B657" s="5"/>
      <c r="C657" s="16"/>
      <c r="E657" s="5"/>
      <c r="G657" s="5"/>
    </row>
    <row r="658" spans="1:7" ht="12.5">
      <c r="A658" s="76"/>
      <c r="B658" s="5"/>
      <c r="C658" s="16"/>
      <c r="E658" s="5"/>
      <c r="G658" s="5"/>
    </row>
    <row r="659" spans="1:7" ht="12.5">
      <c r="A659" s="76"/>
      <c r="B659" s="5"/>
      <c r="C659" s="16"/>
      <c r="E659" s="5"/>
      <c r="G659" s="5"/>
    </row>
    <row r="660" spans="1:7" ht="12.5">
      <c r="A660" s="76"/>
      <c r="B660" s="5"/>
      <c r="C660" s="16"/>
      <c r="E660" s="5"/>
      <c r="G660" s="5"/>
    </row>
    <row r="661" spans="1:7" ht="12.5">
      <c r="A661" s="76"/>
      <c r="B661" s="5"/>
      <c r="C661" s="16"/>
      <c r="E661" s="5"/>
      <c r="G661" s="5"/>
    </row>
    <row r="662" spans="1:7" ht="12.5">
      <c r="A662" s="76"/>
      <c r="B662" s="5"/>
      <c r="C662" s="16"/>
      <c r="E662" s="5"/>
      <c r="G662" s="5"/>
    </row>
    <row r="663" spans="1:7" ht="12.5">
      <c r="A663" s="76"/>
      <c r="B663" s="5"/>
      <c r="C663" s="16"/>
      <c r="E663" s="5"/>
      <c r="G663" s="5"/>
    </row>
    <row r="664" spans="1:7" ht="12.5">
      <c r="A664" s="76"/>
      <c r="B664" s="5"/>
      <c r="C664" s="16"/>
      <c r="E664" s="5"/>
      <c r="G664" s="5"/>
    </row>
    <row r="665" spans="1:7" ht="12.5">
      <c r="A665" s="76"/>
      <c r="B665" s="5"/>
      <c r="C665" s="16"/>
      <c r="E665" s="5"/>
      <c r="G665" s="5"/>
    </row>
    <row r="666" spans="1:7" ht="12.5">
      <c r="A666" s="76"/>
      <c r="B666" s="5"/>
      <c r="C666" s="16"/>
      <c r="E666" s="5"/>
      <c r="G666" s="5"/>
    </row>
    <row r="667" spans="1:7" ht="12.5">
      <c r="A667" s="76"/>
      <c r="B667" s="5"/>
      <c r="C667" s="16"/>
      <c r="E667" s="5"/>
      <c r="G667" s="5"/>
    </row>
    <row r="668" spans="1:7" ht="12.5">
      <c r="A668" s="76"/>
      <c r="B668" s="5"/>
      <c r="C668" s="16"/>
      <c r="E668" s="5"/>
      <c r="G668" s="5"/>
    </row>
    <row r="669" spans="1:7" ht="12.5">
      <c r="A669" s="76"/>
      <c r="B669" s="5"/>
      <c r="C669" s="16"/>
      <c r="E669" s="5"/>
      <c r="G669" s="5"/>
    </row>
    <row r="670" spans="1:7" ht="12.5">
      <c r="A670" s="76"/>
      <c r="B670" s="5"/>
      <c r="C670" s="16"/>
      <c r="E670" s="5"/>
      <c r="G670" s="5"/>
    </row>
    <row r="671" spans="1:7" ht="12.5">
      <c r="A671" s="76"/>
      <c r="B671" s="5"/>
      <c r="C671" s="16"/>
      <c r="E671" s="5"/>
      <c r="G671" s="5"/>
    </row>
    <row r="672" spans="1:7" ht="12.5">
      <c r="A672" s="76"/>
      <c r="B672" s="5"/>
      <c r="C672" s="16"/>
      <c r="E672" s="5"/>
      <c r="G672" s="5"/>
    </row>
    <row r="673" spans="1:7" ht="12.5">
      <c r="A673" s="76"/>
      <c r="B673" s="5"/>
      <c r="C673" s="16"/>
      <c r="E673" s="5"/>
      <c r="G673" s="5"/>
    </row>
    <row r="674" spans="1:7" ht="12.5">
      <c r="A674" s="76"/>
      <c r="B674" s="5"/>
      <c r="C674" s="16"/>
      <c r="E674" s="5"/>
      <c r="G674" s="5"/>
    </row>
    <row r="675" spans="1:7" ht="12.5">
      <c r="A675" s="76"/>
      <c r="B675" s="5"/>
      <c r="C675" s="16"/>
      <c r="E675" s="5"/>
      <c r="G675" s="5"/>
    </row>
    <row r="676" spans="1:7" ht="12.5">
      <c r="A676" s="76"/>
      <c r="B676" s="5"/>
      <c r="C676" s="16"/>
      <c r="E676" s="5"/>
      <c r="G676" s="5"/>
    </row>
    <row r="677" spans="1:7" ht="12.5">
      <c r="A677" s="76"/>
      <c r="B677" s="5"/>
      <c r="C677" s="16"/>
      <c r="E677" s="5"/>
      <c r="G677" s="5"/>
    </row>
    <row r="678" spans="1:7" ht="12.5">
      <c r="A678" s="76"/>
      <c r="B678" s="5"/>
      <c r="C678" s="16"/>
      <c r="E678" s="5"/>
      <c r="G678" s="5"/>
    </row>
    <row r="679" spans="1:7" ht="12.5">
      <c r="A679" s="76"/>
      <c r="B679" s="5"/>
      <c r="C679" s="16"/>
      <c r="E679" s="5"/>
      <c r="G679" s="5"/>
    </row>
    <row r="680" spans="1:7" ht="12.5">
      <c r="A680" s="76"/>
      <c r="B680" s="5"/>
      <c r="C680" s="16"/>
      <c r="E680" s="5"/>
      <c r="G680" s="5"/>
    </row>
    <row r="681" spans="1:7" ht="12.5">
      <c r="A681" s="76"/>
      <c r="B681" s="5"/>
      <c r="C681" s="16"/>
      <c r="E681" s="5"/>
      <c r="G681" s="5"/>
    </row>
    <row r="682" spans="1:7" ht="12.5">
      <c r="A682" s="76"/>
      <c r="B682" s="5"/>
      <c r="C682" s="16"/>
      <c r="E682" s="5"/>
      <c r="G682" s="5"/>
    </row>
    <row r="683" spans="1:7" ht="12.5">
      <c r="A683" s="76"/>
      <c r="B683" s="5"/>
      <c r="C683" s="16"/>
      <c r="E683" s="5"/>
      <c r="G683" s="5"/>
    </row>
    <row r="684" spans="1:7" ht="12.5">
      <c r="A684" s="76"/>
      <c r="B684" s="5"/>
      <c r="C684" s="16"/>
      <c r="E684" s="5"/>
      <c r="G684" s="5"/>
    </row>
    <row r="685" spans="1:7" ht="12.5">
      <c r="A685" s="76"/>
      <c r="B685" s="5"/>
      <c r="C685" s="16"/>
      <c r="E685" s="5"/>
      <c r="G685" s="5"/>
    </row>
    <row r="686" spans="1:7" ht="12.5">
      <c r="A686" s="76"/>
      <c r="B686" s="5"/>
      <c r="C686" s="16"/>
      <c r="E686" s="5"/>
      <c r="G686" s="5"/>
    </row>
    <row r="687" spans="1:7" ht="12.5">
      <c r="A687" s="76"/>
      <c r="B687" s="5"/>
      <c r="C687" s="16"/>
      <c r="E687" s="5"/>
      <c r="G687" s="5"/>
    </row>
    <row r="688" spans="1:7" ht="12.5">
      <c r="A688" s="76"/>
      <c r="B688" s="5"/>
      <c r="C688" s="16"/>
      <c r="E688" s="5"/>
      <c r="G688" s="5"/>
    </row>
    <row r="689" spans="1:7" ht="12.5">
      <c r="A689" s="76"/>
      <c r="B689" s="5"/>
      <c r="C689" s="16"/>
      <c r="E689" s="5"/>
      <c r="G689" s="5"/>
    </row>
    <row r="690" spans="1:7" ht="12.5">
      <c r="A690" s="76"/>
      <c r="B690" s="5"/>
      <c r="C690" s="16"/>
      <c r="E690" s="5"/>
      <c r="G690" s="5"/>
    </row>
    <row r="691" spans="1:7" ht="12.5">
      <c r="A691" s="76"/>
      <c r="B691" s="5"/>
      <c r="C691" s="16"/>
      <c r="E691" s="5"/>
      <c r="G691" s="5"/>
    </row>
    <row r="692" spans="1:7" ht="12.5">
      <c r="A692" s="76"/>
      <c r="B692" s="5"/>
      <c r="C692" s="16"/>
      <c r="E692" s="5"/>
      <c r="G692" s="5"/>
    </row>
    <row r="693" spans="1:7" ht="12.5">
      <c r="A693" s="76"/>
      <c r="B693" s="5"/>
      <c r="C693" s="16"/>
      <c r="E693" s="5"/>
      <c r="G693" s="5"/>
    </row>
    <row r="694" spans="1:7" ht="12.5">
      <c r="A694" s="76"/>
      <c r="B694" s="5"/>
      <c r="C694" s="16"/>
      <c r="E694" s="5"/>
      <c r="G694" s="5"/>
    </row>
    <row r="695" spans="1:7" ht="12.5">
      <c r="A695" s="76"/>
      <c r="B695" s="5"/>
      <c r="C695" s="16"/>
      <c r="E695" s="5"/>
      <c r="G695" s="5"/>
    </row>
    <row r="696" spans="1:7" ht="12.5">
      <c r="A696" s="76"/>
      <c r="B696" s="5"/>
      <c r="C696" s="16"/>
      <c r="E696" s="5"/>
      <c r="G696" s="5"/>
    </row>
    <row r="697" spans="1:7" ht="12.5">
      <c r="A697" s="76"/>
      <c r="B697" s="5"/>
      <c r="C697" s="16"/>
      <c r="E697" s="5"/>
      <c r="G697" s="5"/>
    </row>
    <row r="698" spans="1:7" ht="12.5">
      <c r="A698" s="76"/>
      <c r="B698" s="5"/>
      <c r="C698" s="16"/>
      <c r="E698" s="5"/>
      <c r="G698" s="5"/>
    </row>
    <row r="699" spans="1:7" ht="12.5">
      <c r="A699" s="76"/>
      <c r="B699" s="5"/>
      <c r="C699" s="16"/>
      <c r="E699" s="5"/>
      <c r="G699" s="5"/>
    </row>
    <row r="700" spans="1:7" ht="12.5">
      <c r="A700" s="76"/>
      <c r="B700" s="5"/>
      <c r="C700" s="16"/>
      <c r="E700" s="5"/>
      <c r="G700" s="5"/>
    </row>
    <row r="701" spans="1:7" ht="12.5">
      <c r="A701" s="76"/>
      <c r="B701" s="5"/>
      <c r="C701" s="16"/>
      <c r="E701" s="5"/>
      <c r="G701" s="5"/>
    </row>
    <row r="702" spans="1:7" ht="12.5">
      <c r="A702" s="76"/>
      <c r="B702" s="5"/>
      <c r="C702" s="16"/>
      <c r="E702" s="5"/>
      <c r="G702" s="5"/>
    </row>
    <row r="703" spans="1:7" ht="12.5">
      <c r="A703" s="76"/>
      <c r="B703" s="5"/>
      <c r="C703" s="16"/>
      <c r="E703" s="5"/>
      <c r="G703" s="5"/>
    </row>
    <row r="704" spans="1:7" ht="12.5">
      <c r="A704" s="76"/>
      <c r="B704" s="5"/>
      <c r="C704" s="16"/>
      <c r="E704" s="5"/>
      <c r="G704" s="5"/>
    </row>
    <row r="705" spans="1:7" ht="12.5">
      <c r="A705" s="76"/>
      <c r="B705" s="5"/>
      <c r="C705" s="16"/>
      <c r="E705" s="5"/>
      <c r="G705" s="5"/>
    </row>
    <row r="706" spans="1:7" ht="12.5">
      <c r="A706" s="76"/>
      <c r="B706" s="5"/>
      <c r="C706" s="16"/>
      <c r="E706" s="5"/>
      <c r="G706" s="5"/>
    </row>
    <row r="707" spans="1:7" ht="12.5">
      <c r="A707" s="76"/>
      <c r="B707" s="5"/>
      <c r="C707" s="16"/>
      <c r="E707" s="5"/>
      <c r="G707" s="5"/>
    </row>
    <row r="708" spans="1:7" ht="12.5">
      <c r="A708" s="76"/>
      <c r="B708" s="5"/>
      <c r="C708" s="16"/>
      <c r="E708" s="5"/>
      <c r="G708" s="5"/>
    </row>
    <row r="709" spans="1:7" ht="12.5">
      <c r="A709" s="76"/>
      <c r="B709" s="5"/>
      <c r="C709" s="16"/>
      <c r="E709" s="5"/>
      <c r="G709" s="5"/>
    </row>
    <row r="710" spans="1:7" ht="12.5">
      <c r="A710" s="76"/>
      <c r="B710" s="5"/>
      <c r="C710" s="16"/>
      <c r="E710" s="5"/>
      <c r="G710" s="5"/>
    </row>
    <row r="711" spans="1:7" ht="12.5">
      <c r="A711" s="76"/>
      <c r="B711" s="5"/>
      <c r="C711" s="16"/>
      <c r="E711" s="5"/>
      <c r="G711" s="5"/>
    </row>
    <row r="712" spans="1:7" ht="12.5">
      <c r="A712" s="76"/>
      <c r="B712" s="5"/>
      <c r="C712" s="16"/>
      <c r="E712" s="5"/>
      <c r="G712" s="5"/>
    </row>
    <row r="713" spans="1:7" ht="12.5">
      <c r="A713" s="76"/>
      <c r="B713" s="5"/>
      <c r="C713" s="16"/>
      <c r="E713" s="5"/>
      <c r="G713" s="5"/>
    </row>
    <row r="714" spans="1:7" ht="12.5">
      <c r="A714" s="76"/>
      <c r="B714" s="5"/>
      <c r="C714" s="16"/>
      <c r="E714" s="5"/>
      <c r="G714" s="5"/>
    </row>
    <row r="715" spans="1:7" ht="12.5">
      <c r="A715" s="76"/>
      <c r="B715" s="5"/>
      <c r="C715" s="16"/>
      <c r="E715" s="5"/>
      <c r="G715" s="5"/>
    </row>
    <row r="716" spans="1:7" ht="12.5">
      <c r="A716" s="76"/>
      <c r="B716" s="5"/>
      <c r="C716" s="16"/>
      <c r="E716" s="5"/>
      <c r="G716" s="5"/>
    </row>
    <row r="717" spans="1:7" ht="12.5">
      <c r="A717" s="76"/>
      <c r="B717" s="5"/>
      <c r="C717" s="16"/>
      <c r="E717" s="5"/>
      <c r="G717" s="5"/>
    </row>
    <row r="718" spans="1:7" ht="12.5">
      <c r="A718" s="76"/>
      <c r="B718" s="5"/>
      <c r="C718" s="16"/>
      <c r="E718" s="5"/>
      <c r="G718" s="5"/>
    </row>
    <row r="719" spans="1:7" ht="12.5">
      <c r="A719" s="76"/>
      <c r="B719" s="5"/>
      <c r="C719" s="16"/>
      <c r="E719" s="5"/>
      <c r="G719" s="5"/>
    </row>
    <row r="720" spans="1:7" ht="12.5">
      <c r="A720" s="76"/>
      <c r="B720" s="5"/>
      <c r="C720" s="16"/>
      <c r="E720" s="5"/>
      <c r="G720" s="5"/>
    </row>
    <row r="721" spans="1:7" ht="12.5">
      <c r="A721" s="76"/>
      <c r="B721" s="5"/>
      <c r="C721" s="16"/>
      <c r="E721" s="5"/>
      <c r="G721" s="5"/>
    </row>
    <row r="722" spans="1:7" ht="12.5">
      <c r="A722" s="76"/>
      <c r="B722" s="5"/>
      <c r="C722" s="16"/>
      <c r="E722" s="5"/>
      <c r="G722" s="5"/>
    </row>
    <row r="723" spans="1:7" ht="12.5">
      <c r="A723" s="76"/>
      <c r="B723" s="5"/>
      <c r="C723" s="16"/>
      <c r="E723" s="5"/>
      <c r="G723" s="5"/>
    </row>
    <row r="724" spans="1:7" ht="12.5">
      <c r="A724" s="76"/>
      <c r="B724" s="5"/>
      <c r="C724" s="16"/>
      <c r="E724" s="5"/>
      <c r="G724" s="5"/>
    </row>
    <row r="725" spans="1:7" ht="12.5">
      <c r="A725" s="76"/>
      <c r="B725" s="5"/>
      <c r="C725" s="16"/>
      <c r="E725" s="5"/>
      <c r="G725" s="5"/>
    </row>
    <row r="726" spans="1:7" ht="12.5">
      <c r="A726" s="76"/>
      <c r="B726" s="5"/>
      <c r="C726" s="16"/>
      <c r="E726" s="5"/>
      <c r="G726" s="5"/>
    </row>
    <row r="727" spans="1:7" ht="12.5">
      <c r="A727" s="76"/>
      <c r="B727" s="5"/>
      <c r="C727" s="16"/>
      <c r="E727" s="5"/>
      <c r="G727" s="5"/>
    </row>
    <row r="728" spans="1:7" ht="12.5">
      <c r="A728" s="76"/>
      <c r="B728" s="5"/>
      <c r="C728" s="16"/>
      <c r="E728" s="5"/>
      <c r="G728" s="5"/>
    </row>
    <row r="729" spans="1:7" ht="12.5">
      <c r="A729" s="76"/>
      <c r="B729" s="5"/>
      <c r="C729" s="16"/>
      <c r="E729" s="5"/>
      <c r="G729" s="5"/>
    </row>
    <row r="730" spans="1:7" ht="12.5">
      <c r="A730" s="76"/>
      <c r="B730" s="5"/>
      <c r="C730" s="16"/>
      <c r="E730" s="5"/>
      <c r="G730" s="5"/>
    </row>
    <row r="731" spans="1:7" ht="12.5">
      <c r="A731" s="76"/>
      <c r="B731" s="5"/>
      <c r="C731" s="16"/>
      <c r="E731" s="5"/>
      <c r="G731" s="5"/>
    </row>
    <row r="732" spans="1:7" ht="12.5">
      <c r="A732" s="76"/>
      <c r="B732" s="5"/>
      <c r="C732" s="16"/>
      <c r="E732" s="5"/>
      <c r="G732" s="5"/>
    </row>
    <row r="733" spans="1:7" ht="12.5">
      <c r="A733" s="76"/>
      <c r="B733" s="5"/>
      <c r="C733" s="16"/>
      <c r="E733" s="5"/>
      <c r="G733" s="5"/>
    </row>
    <row r="734" spans="1:7" ht="12.5">
      <c r="A734" s="76"/>
      <c r="B734" s="5"/>
      <c r="C734" s="16"/>
      <c r="E734" s="5"/>
      <c r="G734" s="5"/>
    </row>
    <row r="735" spans="1:7" ht="12.5">
      <c r="A735" s="76"/>
      <c r="B735" s="5"/>
      <c r="C735" s="16"/>
      <c r="E735" s="5"/>
      <c r="G735" s="5"/>
    </row>
    <row r="736" spans="1:7" ht="12.5">
      <c r="A736" s="76"/>
      <c r="B736" s="5"/>
      <c r="C736" s="16"/>
      <c r="E736" s="5"/>
      <c r="G736" s="5"/>
    </row>
    <row r="737" spans="1:7" ht="12.5">
      <c r="A737" s="76"/>
      <c r="B737" s="5"/>
      <c r="C737" s="16"/>
      <c r="E737" s="5"/>
      <c r="G737" s="5"/>
    </row>
    <row r="738" spans="1:7" ht="12.5">
      <c r="A738" s="76"/>
      <c r="B738" s="5"/>
      <c r="C738" s="16"/>
      <c r="E738" s="5"/>
      <c r="G738" s="5"/>
    </row>
    <row r="739" spans="1:7" ht="12.5">
      <c r="A739" s="76"/>
      <c r="B739" s="5"/>
      <c r="C739" s="16"/>
      <c r="E739" s="5"/>
      <c r="G739" s="5"/>
    </row>
    <row r="740" spans="1:7" ht="12.5">
      <c r="A740" s="76"/>
      <c r="B740" s="5"/>
      <c r="C740" s="16"/>
      <c r="E740" s="5"/>
      <c r="G740" s="5"/>
    </row>
    <row r="741" spans="1:7" ht="12.5">
      <c r="A741" s="76"/>
      <c r="B741" s="5"/>
      <c r="C741" s="16"/>
      <c r="E741" s="5"/>
      <c r="G741" s="5"/>
    </row>
    <row r="742" spans="1:7" ht="12.5">
      <c r="A742" s="76"/>
      <c r="B742" s="5"/>
      <c r="C742" s="16"/>
      <c r="E742" s="5"/>
      <c r="G742" s="5"/>
    </row>
    <row r="743" spans="1:7" ht="12.5">
      <c r="A743" s="76"/>
      <c r="B743" s="5"/>
      <c r="C743" s="16"/>
      <c r="E743" s="5"/>
      <c r="G743" s="5"/>
    </row>
    <row r="744" spans="1:7" ht="12.5">
      <c r="A744" s="76"/>
      <c r="B744" s="5"/>
      <c r="C744" s="16"/>
      <c r="E744" s="5"/>
      <c r="G744" s="5"/>
    </row>
    <row r="745" spans="1:7" ht="12.5">
      <c r="A745" s="76"/>
      <c r="B745" s="5"/>
      <c r="C745" s="16"/>
      <c r="E745" s="5"/>
      <c r="G745" s="5"/>
    </row>
    <row r="746" spans="1:7" ht="12.5">
      <c r="A746" s="76"/>
      <c r="B746" s="5"/>
      <c r="C746" s="16"/>
      <c r="E746" s="5"/>
      <c r="G746" s="5"/>
    </row>
    <row r="747" spans="1:7" ht="12.5">
      <c r="A747" s="76"/>
      <c r="B747" s="5"/>
      <c r="C747" s="16"/>
      <c r="E747" s="5"/>
      <c r="G747" s="5"/>
    </row>
    <row r="748" spans="1:7" ht="12.5">
      <c r="A748" s="76"/>
      <c r="B748" s="5"/>
      <c r="C748" s="16"/>
      <c r="E748" s="5"/>
      <c r="G748" s="5"/>
    </row>
    <row r="749" spans="1:7" ht="12.5">
      <c r="A749" s="76"/>
      <c r="B749" s="5"/>
      <c r="C749" s="16"/>
      <c r="E749" s="5"/>
      <c r="G749" s="5"/>
    </row>
    <row r="750" spans="1:7" ht="12.5">
      <c r="A750" s="76"/>
      <c r="B750" s="5"/>
      <c r="C750" s="16"/>
      <c r="E750" s="5"/>
      <c r="G750" s="5"/>
    </row>
    <row r="751" spans="1:7" ht="12.5">
      <c r="A751" s="76"/>
      <c r="B751" s="5"/>
      <c r="C751" s="16"/>
      <c r="E751" s="5"/>
      <c r="G751" s="5"/>
    </row>
    <row r="752" spans="1:7" ht="12.5">
      <c r="A752" s="76"/>
      <c r="B752" s="5"/>
      <c r="C752" s="16"/>
      <c r="E752" s="5"/>
      <c r="G752" s="5"/>
    </row>
    <row r="753" spans="1:7" ht="12.5">
      <c r="A753" s="76"/>
      <c r="B753" s="5"/>
      <c r="C753" s="16"/>
      <c r="E753" s="5"/>
      <c r="G753" s="5"/>
    </row>
    <row r="754" spans="1:7" ht="12.5">
      <c r="A754" s="76"/>
      <c r="B754" s="5"/>
      <c r="C754" s="16"/>
      <c r="E754" s="5"/>
      <c r="G754" s="5"/>
    </row>
    <row r="755" spans="1:7" ht="12.5">
      <c r="A755" s="76"/>
      <c r="B755" s="5"/>
      <c r="C755" s="16"/>
      <c r="E755" s="5"/>
      <c r="G755" s="5"/>
    </row>
    <row r="756" spans="1:7" ht="12.5">
      <c r="A756" s="76"/>
      <c r="B756" s="5"/>
      <c r="C756" s="16"/>
      <c r="E756" s="5"/>
      <c r="G756" s="5"/>
    </row>
    <row r="757" spans="1:7" ht="12.5">
      <c r="A757" s="76"/>
      <c r="B757" s="5"/>
      <c r="C757" s="16"/>
      <c r="E757" s="5"/>
      <c r="G757" s="5"/>
    </row>
    <row r="758" spans="1:7" ht="12.5">
      <c r="A758" s="76"/>
      <c r="B758" s="5"/>
      <c r="C758" s="16"/>
      <c r="E758" s="5"/>
      <c r="G758" s="5"/>
    </row>
    <row r="759" spans="1:7" ht="12.5">
      <c r="A759" s="76"/>
      <c r="B759" s="5"/>
      <c r="C759" s="16"/>
      <c r="E759" s="5"/>
      <c r="G759" s="5"/>
    </row>
    <row r="760" spans="1:7" ht="12.5">
      <c r="A760" s="76"/>
      <c r="B760" s="5"/>
      <c r="C760" s="16"/>
      <c r="E760" s="5"/>
      <c r="G760" s="5"/>
    </row>
    <row r="761" spans="1:7" ht="12.5">
      <c r="A761" s="76"/>
      <c r="B761" s="5"/>
      <c r="C761" s="16"/>
      <c r="E761" s="5"/>
      <c r="G761" s="5"/>
    </row>
    <row r="762" spans="1:7" ht="12.5">
      <c r="A762" s="76"/>
      <c r="B762" s="5"/>
      <c r="C762" s="16"/>
      <c r="E762" s="5"/>
      <c r="G762" s="5"/>
    </row>
    <row r="763" spans="1:7" ht="12.5">
      <c r="A763" s="76"/>
      <c r="B763" s="5"/>
      <c r="C763" s="16"/>
      <c r="E763" s="5"/>
      <c r="G763" s="5"/>
    </row>
    <row r="764" spans="1:7" ht="12.5">
      <c r="A764" s="76"/>
      <c r="B764" s="5"/>
      <c r="C764" s="16"/>
      <c r="E764" s="5"/>
      <c r="G764" s="5"/>
    </row>
    <row r="765" spans="1:7" ht="12.5">
      <c r="A765" s="76"/>
      <c r="B765" s="5"/>
      <c r="C765" s="16"/>
      <c r="E765" s="5"/>
      <c r="G765" s="5"/>
    </row>
    <row r="766" spans="1:7" ht="12.5">
      <c r="A766" s="76"/>
      <c r="B766" s="5"/>
      <c r="C766" s="16"/>
      <c r="E766" s="5"/>
      <c r="G766" s="5"/>
    </row>
    <row r="767" spans="1:7" ht="12.5">
      <c r="A767" s="76"/>
      <c r="B767" s="5"/>
      <c r="C767" s="16"/>
      <c r="E767" s="5"/>
      <c r="G767" s="5"/>
    </row>
    <row r="768" spans="1:7" ht="12.5">
      <c r="A768" s="76"/>
      <c r="B768" s="5"/>
      <c r="C768" s="16"/>
      <c r="E768" s="5"/>
      <c r="G768" s="5"/>
    </row>
    <row r="769" spans="1:7" ht="12.5">
      <c r="A769" s="76"/>
      <c r="B769" s="5"/>
      <c r="C769" s="16"/>
      <c r="E769" s="5"/>
      <c r="G769" s="5"/>
    </row>
    <row r="770" spans="1:7" ht="12.5">
      <c r="A770" s="76"/>
      <c r="B770" s="5"/>
      <c r="C770" s="16"/>
      <c r="E770" s="5"/>
      <c r="G770" s="5"/>
    </row>
    <row r="771" spans="1:7" ht="12.5">
      <c r="A771" s="76"/>
      <c r="B771" s="5"/>
      <c r="C771" s="16"/>
      <c r="E771" s="5"/>
      <c r="G771" s="5"/>
    </row>
    <row r="772" spans="1:7" ht="12.5">
      <c r="A772" s="76"/>
      <c r="B772" s="5"/>
      <c r="C772" s="16"/>
      <c r="E772" s="5"/>
      <c r="G772" s="5"/>
    </row>
    <row r="773" spans="1:7" ht="12.5">
      <c r="A773" s="76"/>
      <c r="B773" s="5"/>
      <c r="C773" s="16"/>
      <c r="E773" s="5"/>
      <c r="G773" s="5"/>
    </row>
    <row r="774" spans="1:7" ht="12.5">
      <c r="A774" s="76"/>
      <c r="B774" s="5"/>
      <c r="C774" s="16"/>
      <c r="E774" s="5"/>
      <c r="G774" s="5"/>
    </row>
    <row r="775" spans="1:7" ht="12.5">
      <c r="A775" s="76"/>
      <c r="B775" s="5"/>
      <c r="C775" s="16"/>
      <c r="E775" s="5"/>
      <c r="G775" s="5"/>
    </row>
    <row r="776" spans="1:7" ht="12.5">
      <c r="A776" s="76"/>
      <c r="B776" s="5"/>
      <c r="C776" s="16"/>
      <c r="E776" s="5"/>
      <c r="G776" s="5"/>
    </row>
    <row r="777" spans="1:7" ht="12.5">
      <c r="A777" s="76"/>
      <c r="B777" s="5"/>
      <c r="C777" s="16"/>
      <c r="E777" s="5"/>
      <c r="G777" s="5"/>
    </row>
    <row r="778" spans="1:7" ht="12.5">
      <c r="A778" s="76"/>
      <c r="B778" s="5"/>
      <c r="C778" s="16"/>
      <c r="E778" s="5"/>
      <c r="G778" s="5"/>
    </row>
    <row r="779" spans="1:7" ht="12.5">
      <c r="A779" s="76"/>
      <c r="B779" s="5"/>
      <c r="C779" s="16"/>
      <c r="E779" s="5"/>
      <c r="G779" s="5"/>
    </row>
    <row r="780" spans="1:7" ht="12.5">
      <c r="A780" s="76"/>
      <c r="B780" s="5"/>
      <c r="C780" s="16"/>
      <c r="E780" s="5"/>
      <c r="G780" s="5"/>
    </row>
    <row r="781" spans="1:7" ht="12.5">
      <c r="A781" s="76"/>
      <c r="B781" s="5"/>
      <c r="C781" s="16"/>
      <c r="E781" s="5"/>
      <c r="G781" s="5"/>
    </row>
    <row r="782" spans="1:7" ht="12.5">
      <c r="A782" s="76"/>
      <c r="B782" s="5"/>
      <c r="C782" s="16"/>
      <c r="E782" s="5"/>
      <c r="G782" s="5"/>
    </row>
    <row r="783" spans="1:7" ht="12.5">
      <c r="A783" s="76"/>
      <c r="B783" s="5"/>
      <c r="C783" s="16"/>
      <c r="E783" s="5"/>
      <c r="G783" s="5"/>
    </row>
    <row r="784" spans="1:7" ht="12.5">
      <c r="A784" s="76"/>
      <c r="B784" s="5"/>
      <c r="C784" s="16"/>
      <c r="E784" s="5"/>
      <c r="G784" s="5"/>
    </row>
    <row r="785" spans="1:7" ht="12.5">
      <c r="A785" s="76"/>
      <c r="B785" s="5"/>
      <c r="C785" s="16"/>
      <c r="E785" s="5"/>
      <c r="G785" s="5"/>
    </row>
    <row r="786" spans="1:7" ht="12.5">
      <c r="A786" s="76"/>
      <c r="B786" s="5"/>
      <c r="C786" s="16"/>
      <c r="E786" s="5"/>
      <c r="G786" s="5"/>
    </row>
    <row r="787" spans="1:7" ht="12.5">
      <c r="A787" s="76"/>
      <c r="B787" s="5"/>
      <c r="C787" s="16"/>
      <c r="E787" s="5"/>
      <c r="G787" s="5"/>
    </row>
    <row r="788" spans="1:7" ht="12.5">
      <c r="A788" s="76"/>
      <c r="B788" s="5"/>
      <c r="C788" s="16"/>
      <c r="E788" s="5"/>
      <c r="G788" s="5"/>
    </row>
    <row r="789" spans="1:7" ht="12.5">
      <c r="A789" s="76"/>
      <c r="B789" s="5"/>
      <c r="C789" s="16"/>
      <c r="E789" s="5"/>
      <c r="G789" s="5"/>
    </row>
    <row r="790" spans="1:7" ht="12.5">
      <c r="A790" s="76"/>
      <c r="B790" s="5"/>
      <c r="C790" s="16"/>
      <c r="E790" s="5"/>
      <c r="G790" s="5"/>
    </row>
    <row r="791" spans="1:7" ht="12.5">
      <c r="A791" s="76"/>
      <c r="B791" s="5"/>
      <c r="C791" s="16"/>
      <c r="E791" s="5"/>
      <c r="G791" s="5"/>
    </row>
    <row r="792" spans="1:7" ht="12.5">
      <c r="A792" s="76"/>
      <c r="B792" s="5"/>
      <c r="C792" s="16"/>
      <c r="E792" s="5"/>
      <c r="G792" s="5"/>
    </row>
    <row r="793" spans="1:7" ht="12.5">
      <c r="A793" s="76"/>
      <c r="B793" s="5"/>
      <c r="C793" s="16"/>
      <c r="E793" s="5"/>
      <c r="G793" s="5"/>
    </row>
    <row r="794" spans="1:7" ht="12.5">
      <c r="A794" s="76"/>
      <c r="B794" s="5"/>
      <c r="C794" s="16"/>
      <c r="E794" s="5"/>
      <c r="G794" s="5"/>
    </row>
    <row r="795" spans="1:7" ht="12.5">
      <c r="A795" s="76"/>
      <c r="B795" s="5"/>
      <c r="C795" s="16"/>
      <c r="E795" s="5"/>
      <c r="G795" s="5"/>
    </row>
    <row r="796" spans="1:7" ht="12.5">
      <c r="A796" s="76"/>
      <c r="B796" s="5"/>
      <c r="C796" s="16"/>
      <c r="E796" s="5"/>
      <c r="G796" s="5"/>
    </row>
    <row r="797" spans="1:7" ht="12.5">
      <c r="A797" s="76"/>
      <c r="B797" s="5"/>
      <c r="C797" s="16"/>
      <c r="E797" s="5"/>
      <c r="G797" s="5"/>
    </row>
    <row r="798" spans="1:7" ht="12.5">
      <c r="A798" s="76"/>
      <c r="B798" s="5"/>
      <c r="C798" s="16"/>
      <c r="E798" s="5"/>
      <c r="G798" s="5"/>
    </row>
    <row r="799" spans="1:7" ht="12.5">
      <c r="A799" s="76"/>
      <c r="B799" s="5"/>
      <c r="C799" s="16"/>
      <c r="E799" s="5"/>
      <c r="G799" s="5"/>
    </row>
    <row r="800" spans="1:7" ht="12.5">
      <c r="A800" s="76"/>
      <c r="B800" s="5"/>
      <c r="C800" s="16"/>
      <c r="E800" s="5"/>
      <c r="G800" s="5"/>
    </row>
    <row r="801" spans="1:7" ht="12.5">
      <c r="A801" s="76"/>
      <c r="B801" s="5"/>
      <c r="C801" s="16"/>
      <c r="E801" s="5"/>
      <c r="G801" s="5"/>
    </row>
    <row r="802" spans="1:7" ht="12.5">
      <c r="A802" s="76"/>
      <c r="B802" s="5"/>
      <c r="C802" s="16"/>
      <c r="E802" s="5"/>
      <c r="G802" s="5"/>
    </row>
    <row r="803" spans="1:7" ht="12.5">
      <c r="A803" s="76"/>
      <c r="B803" s="5"/>
      <c r="C803" s="16"/>
      <c r="E803" s="5"/>
      <c r="G803" s="5"/>
    </row>
    <row r="804" spans="1:7" ht="12.5">
      <c r="A804" s="76"/>
      <c r="B804" s="5"/>
      <c r="C804" s="16"/>
      <c r="E804" s="5"/>
      <c r="G804" s="5"/>
    </row>
    <row r="805" spans="1:7" ht="12.5">
      <c r="A805" s="76"/>
      <c r="B805" s="5"/>
      <c r="C805" s="16"/>
      <c r="E805" s="5"/>
      <c r="G805" s="5"/>
    </row>
    <row r="806" spans="1:7" ht="12.5">
      <c r="A806" s="76"/>
      <c r="B806" s="5"/>
      <c r="C806" s="16"/>
      <c r="E806" s="5"/>
      <c r="G806" s="5"/>
    </row>
    <row r="807" spans="1:7" ht="12.5">
      <c r="A807" s="76"/>
      <c r="B807" s="5"/>
      <c r="C807" s="16"/>
      <c r="E807" s="5"/>
      <c r="G807" s="5"/>
    </row>
    <row r="808" spans="1:7" ht="12.5">
      <c r="A808" s="76"/>
      <c r="B808" s="5"/>
      <c r="C808" s="16"/>
      <c r="E808" s="5"/>
      <c r="G808" s="5"/>
    </row>
    <row r="809" spans="1:7" ht="12.5">
      <c r="A809" s="76"/>
      <c r="B809" s="5"/>
      <c r="C809" s="16"/>
      <c r="E809" s="5"/>
      <c r="G809" s="5"/>
    </row>
    <row r="810" spans="1:7" ht="12.5">
      <c r="A810" s="76"/>
      <c r="B810" s="5"/>
      <c r="C810" s="16"/>
      <c r="E810" s="5"/>
      <c r="G810" s="5"/>
    </row>
    <row r="811" spans="1:7" ht="12.5">
      <c r="A811" s="76"/>
      <c r="B811" s="5"/>
      <c r="C811" s="16"/>
      <c r="E811" s="5"/>
      <c r="G811" s="5"/>
    </row>
    <row r="812" spans="1:7" ht="12.5">
      <c r="A812" s="76"/>
      <c r="B812" s="5"/>
      <c r="C812" s="16"/>
      <c r="E812" s="5"/>
      <c r="G812" s="5"/>
    </row>
    <row r="813" spans="1:7" ht="12.5">
      <c r="A813" s="76"/>
      <c r="B813" s="5"/>
      <c r="C813" s="16"/>
      <c r="E813" s="5"/>
      <c r="G813" s="5"/>
    </row>
    <row r="814" spans="1:7" ht="12.5">
      <c r="A814" s="76"/>
      <c r="B814" s="5"/>
      <c r="C814" s="16"/>
      <c r="E814" s="5"/>
      <c r="G814" s="5"/>
    </row>
    <row r="815" spans="1:7" ht="12.5">
      <c r="A815" s="76"/>
      <c r="B815" s="5"/>
      <c r="C815" s="16"/>
      <c r="E815" s="5"/>
      <c r="G815" s="5"/>
    </row>
    <row r="816" spans="1:7" ht="12.5">
      <c r="A816" s="76"/>
      <c r="B816" s="5"/>
      <c r="C816" s="16"/>
      <c r="E816" s="5"/>
      <c r="G816" s="5"/>
    </row>
    <row r="817" spans="1:7" ht="12.5">
      <c r="A817" s="76"/>
      <c r="B817" s="5"/>
      <c r="C817" s="16"/>
      <c r="E817" s="5"/>
      <c r="G817" s="5"/>
    </row>
    <row r="818" spans="1:7" ht="12.5">
      <c r="A818" s="76"/>
      <c r="B818" s="5"/>
      <c r="C818" s="16"/>
      <c r="E818" s="5"/>
      <c r="G818" s="5"/>
    </row>
    <row r="819" spans="1:7" ht="12.5">
      <c r="A819" s="76"/>
      <c r="B819" s="5"/>
      <c r="C819" s="16"/>
      <c r="E819" s="5"/>
      <c r="G819" s="5"/>
    </row>
    <row r="820" spans="1:7" ht="12.5">
      <c r="A820" s="76"/>
      <c r="B820" s="5"/>
      <c r="C820" s="16"/>
      <c r="E820" s="5"/>
      <c r="G820" s="5"/>
    </row>
    <row r="821" spans="1:7" ht="12.5">
      <c r="A821" s="76"/>
      <c r="B821" s="5"/>
      <c r="C821" s="16"/>
      <c r="E821" s="5"/>
      <c r="G821" s="5"/>
    </row>
    <row r="822" spans="1:7" ht="12.5">
      <c r="A822" s="76"/>
      <c r="B822" s="5"/>
      <c r="C822" s="16"/>
      <c r="E822" s="5"/>
      <c r="G822" s="5"/>
    </row>
    <row r="823" spans="1:7" ht="12.5">
      <c r="A823" s="76"/>
      <c r="B823" s="5"/>
      <c r="C823" s="16"/>
      <c r="E823" s="5"/>
      <c r="G823" s="5"/>
    </row>
    <row r="824" spans="1:7" ht="12.5">
      <c r="A824" s="76"/>
      <c r="B824" s="5"/>
      <c r="C824" s="16"/>
      <c r="E824" s="5"/>
      <c r="G824" s="5"/>
    </row>
    <row r="825" spans="1:7" ht="12.5">
      <c r="A825" s="76"/>
      <c r="B825" s="5"/>
      <c r="C825" s="16"/>
      <c r="E825" s="5"/>
      <c r="G825" s="5"/>
    </row>
    <row r="826" spans="1:7" ht="12.5">
      <c r="A826" s="76"/>
      <c r="B826" s="5"/>
      <c r="C826" s="16"/>
      <c r="E826" s="5"/>
      <c r="G826" s="5"/>
    </row>
    <row r="827" spans="1:7" ht="12.5">
      <c r="A827" s="76"/>
      <c r="B827" s="5"/>
      <c r="C827" s="16"/>
      <c r="E827" s="5"/>
      <c r="G827" s="5"/>
    </row>
    <row r="828" spans="1:7" ht="12.5">
      <c r="A828" s="76"/>
      <c r="B828" s="5"/>
      <c r="C828" s="16"/>
      <c r="E828" s="5"/>
      <c r="G828" s="5"/>
    </row>
    <row r="829" spans="1:7" ht="12.5">
      <c r="A829" s="76"/>
      <c r="B829" s="5"/>
      <c r="C829" s="16"/>
      <c r="E829" s="5"/>
      <c r="G829" s="5"/>
    </row>
    <row r="830" spans="1:7" ht="12.5">
      <c r="A830" s="76"/>
      <c r="B830" s="5"/>
      <c r="C830" s="16"/>
      <c r="E830" s="5"/>
      <c r="G830" s="5"/>
    </row>
    <row r="831" spans="1:7" ht="12.5">
      <c r="A831" s="76"/>
      <c r="B831" s="5"/>
      <c r="C831" s="16"/>
      <c r="E831" s="5"/>
      <c r="G831" s="5"/>
    </row>
    <row r="832" spans="1:7" ht="12.5">
      <c r="A832" s="76"/>
      <c r="B832" s="5"/>
      <c r="C832" s="16"/>
      <c r="E832" s="5"/>
      <c r="G832" s="5"/>
    </row>
    <row r="833" spans="1:7" ht="12.5">
      <c r="A833" s="76"/>
      <c r="B833" s="5"/>
      <c r="C833" s="16"/>
      <c r="E833" s="5"/>
      <c r="G833" s="5"/>
    </row>
    <row r="834" spans="1:7" ht="12.5">
      <c r="A834" s="76"/>
      <c r="B834" s="5"/>
      <c r="C834" s="16"/>
      <c r="E834" s="5"/>
      <c r="G834" s="5"/>
    </row>
    <row r="835" spans="1:7" ht="12.5">
      <c r="A835" s="76"/>
      <c r="B835" s="5"/>
      <c r="C835" s="16"/>
      <c r="E835" s="5"/>
      <c r="G835" s="5"/>
    </row>
    <row r="836" spans="1:7" ht="12.5">
      <c r="A836" s="76"/>
      <c r="B836" s="5"/>
      <c r="C836" s="16"/>
      <c r="E836" s="5"/>
      <c r="G836" s="5"/>
    </row>
    <row r="837" spans="1:7" ht="12.5">
      <c r="A837" s="76"/>
      <c r="B837" s="5"/>
      <c r="C837" s="16"/>
      <c r="E837" s="5"/>
      <c r="G837" s="5"/>
    </row>
    <row r="838" spans="1:7" ht="12.5">
      <c r="A838" s="76"/>
      <c r="B838" s="5"/>
      <c r="C838" s="16"/>
      <c r="E838" s="5"/>
      <c r="G838" s="5"/>
    </row>
    <row r="839" spans="1:7" ht="12.5">
      <c r="A839" s="76"/>
      <c r="B839" s="5"/>
      <c r="C839" s="16"/>
      <c r="E839" s="5"/>
      <c r="G839" s="5"/>
    </row>
    <row r="840" spans="1:7" ht="12.5">
      <c r="A840" s="76"/>
      <c r="B840" s="5"/>
      <c r="C840" s="16"/>
      <c r="E840" s="5"/>
      <c r="G840" s="5"/>
    </row>
    <row r="841" spans="1:7" ht="12.5">
      <c r="A841" s="76"/>
      <c r="B841" s="5"/>
      <c r="C841" s="16"/>
      <c r="E841" s="5"/>
      <c r="G841" s="5"/>
    </row>
    <row r="842" spans="1:7" ht="12.5">
      <c r="A842" s="76"/>
      <c r="B842" s="5"/>
      <c r="C842" s="16"/>
      <c r="E842" s="5"/>
      <c r="G842" s="5"/>
    </row>
    <row r="843" spans="1:7" ht="12.5">
      <c r="A843" s="76"/>
      <c r="B843" s="5"/>
      <c r="C843" s="16"/>
      <c r="E843" s="5"/>
      <c r="G843" s="5"/>
    </row>
    <row r="844" spans="1:7" ht="12.5">
      <c r="A844" s="76"/>
      <c r="B844" s="5"/>
      <c r="C844" s="16"/>
      <c r="E844" s="5"/>
      <c r="G844" s="5"/>
    </row>
    <row r="845" spans="1:7" ht="12.5">
      <c r="A845" s="76"/>
      <c r="B845" s="5"/>
      <c r="C845" s="16"/>
      <c r="E845" s="5"/>
      <c r="G845" s="5"/>
    </row>
    <row r="846" spans="1:7" ht="12.5">
      <c r="A846" s="76"/>
      <c r="B846" s="5"/>
      <c r="C846" s="16"/>
      <c r="E846" s="5"/>
      <c r="G846" s="5"/>
    </row>
    <row r="847" spans="1:7" ht="12.5">
      <c r="A847" s="76"/>
      <c r="B847" s="5"/>
      <c r="C847" s="16"/>
      <c r="E847" s="5"/>
      <c r="G847" s="5"/>
    </row>
    <row r="848" spans="1:7" ht="12.5">
      <c r="A848" s="76"/>
      <c r="B848" s="5"/>
      <c r="C848" s="16"/>
      <c r="E848" s="5"/>
      <c r="G848" s="5"/>
    </row>
    <row r="849" spans="1:7" ht="12.5">
      <c r="A849" s="76"/>
      <c r="B849" s="5"/>
      <c r="C849" s="16"/>
      <c r="E849" s="5"/>
      <c r="G849" s="5"/>
    </row>
    <row r="850" spans="1:7" ht="12.5">
      <c r="A850" s="76"/>
      <c r="B850" s="5"/>
      <c r="C850" s="16"/>
      <c r="E850" s="5"/>
      <c r="G850" s="5"/>
    </row>
    <row r="851" spans="1:7" ht="12.5">
      <c r="A851" s="76"/>
      <c r="B851" s="5"/>
      <c r="C851" s="16"/>
      <c r="E851" s="5"/>
      <c r="G851" s="5"/>
    </row>
    <row r="852" spans="1:7" ht="12.5">
      <c r="A852" s="76"/>
      <c r="B852" s="5"/>
      <c r="C852" s="16"/>
      <c r="E852" s="5"/>
      <c r="G852" s="5"/>
    </row>
    <row r="853" spans="1:7" ht="12.5">
      <c r="A853" s="76"/>
      <c r="B853" s="5"/>
      <c r="C853" s="16"/>
      <c r="E853" s="5"/>
      <c r="G853" s="5"/>
    </row>
    <row r="854" spans="1:7" ht="12.5">
      <c r="A854" s="76"/>
      <c r="B854" s="5"/>
      <c r="C854" s="16"/>
      <c r="E854" s="5"/>
      <c r="G854" s="5"/>
    </row>
    <row r="855" spans="1:7" ht="12.5">
      <c r="A855" s="76"/>
      <c r="B855" s="5"/>
      <c r="C855" s="16"/>
      <c r="E855" s="5"/>
      <c r="G855" s="5"/>
    </row>
    <row r="856" spans="1:7" ht="12.5">
      <c r="A856" s="76"/>
      <c r="B856" s="5"/>
      <c r="C856" s="16"/>
      <c r="E856" s="5"/>
      <c r="G856" s="5"/>
    </row>
    <row r="857" spans="1:7" ht="12.5">
      <c r="A857" s="76"/>
      <c r="B857" s="5"/>
      <c r="C857" s="16"/>
      <c r="E857" s="5"/>
      <c r="G857" s="5"/>
    </row>
    <row r="858" spans="1:7" ht="12.5">
      <c r="A858" s="76"/>
      <c r="B858" s="5"/>
      <c r="C858" s="16"/>
      <c r="E858" s="5"/>
      <c r="G858" s="5"/>
    </row>
    <row r="859" spans="1:7" ht="12.5">
      <c r="A859" s="76"/>
      <c r="B859" s="5"/>
      <c r="C859" s="16"/>
      <c r="E859" s="5"/>
      <c r="G859" s="5"/>
    </row>
    <row r="860" spans="1:7" ht="12.5">
      <c r="A860" s="76"/>
      <c r="B860" s="5"/>
      <c r="C860" s="16"/>
      <c r="E860" s="5"/>
      <c r="G860" s="5"/>
    </row>
    <row r="861" spans="1:7" ht="12.5">
      <c r="A861" s="76"/>
      <c r="B861" s="5"/>
      <c r="C861" s="16"/>
      <c r="E861" s="5"/>
      <c r="G861" s="5"/>
    </row>
    <row r="862" spans="1:7" ht="12.5">
      <c r="A862" s="76"/>
      <c r="B862" s="5"/>
      <c r="C862" s="16"/>
      <c r="E862" s="5"/>
      <c r="G862" s="5"/>
    </row>
    <row r="863" spans="1:7" ht="12.5">
      <c r="A863" s="76"/>
      <c r="B863" s="5"/>
      <c r="C863" s="16"/>
      <c r="E863" s="5"/>
      <c r="G863" s="5"/>
    </row>
    <row r="864" spans="1:7" ht="12.5">
      <c r="A864" s="76"/>
      <c r="B864" s="5"/>
      <c r="C864" s="16"/>
      <c r="E864" s="5"/>
      <c r="G864" s="5"/>
    </row>
    <row r="865" spans="1:7" ht="12.5">
      <c r="A865" s="76"/>
      <c r="B865" s="5"/>
      <c r="C865" s="16"/>
      <c r="E865" s="5"/>
      <c r="G865" s="5"/>
    </row>
    <row r="866" spans="1:7" ht="12.5">
      <c r="A866" s="76"/>
      <c r="B866" s="5"/>
      <c r="C866" s="16"/>
      <c r="E866" s="5"/>
      <c r="G866" s="5"/>
    </row>
    <row r="867" spans="1:7" ht="12.5">
      <c r="A867" s="76"/>
      <c r="B867" s="5"/>
      <c r="C867" s="16"/>
      <c r="E867" s="5"/>
      <c r="G867" s="5"/>
    </row>
    <row r="868" spans="1:7" ht="12.5">
      <c r="A868" s="76"/>
      <c r="B868" s="5"/>
      <c r="C868" s="16"/>
      <c r="E868" s="5"/>
      <c r="G868" s="5"/>
    </row>
    <row r="869" spans="1:7" ht="12.5">
      <c r="A869" s="76"/>
      <c r="B869" s="5"/>
      <c r="C869" s="16"/>
      <c r="E869" s="5"/>
      <c r="G869" s="5"/>
    </row>
    <row r="870" spans="1:7" ht="12.5">
      <c r="A870" s="76"/>
      <c r="B870" s="5"/>
      <c r="C870" s="16"/>
      <c r="E870" s="5"/>
      <c r="G870" s="5"/>
    </row>
    <row r="871" spans="1:7" ht="12.5">
      <c r="A871" s="76"/>
      <c r="B871" s="5"/>
      <c r="C871" s="16"/>
      <c r="E871" s="5"/>
      <c r="G871" s="5"/>
    </row>
    <row r="872" spans="1:7" ht="12.5">
      <c r="A872" s="76"/>
      <c r="B872" s="5"/>
      <c r="C872" s="16"/>
      <c r="E872" s="5"/>
      <c r="G872" s="5"/>
    </row>
    <row r="873" spans="1:7" ht="12.5">
      <c r="A873" s="76"/>
      <c r="B873" s="5"/>
      <c r="C873" s="16"/>
      <c r="E873" s="5"/>
      <c r="G873" s="5"/>
    </row>
    <row r="874" spans="1:7" ht="12.5">
      <c r="A874" s="76"/>
      <c r="B874" s="5"/>
      <c r="C874" s="16"/>
      <c r="E874" s="5"/>
      <c r="G874" s="5"/>
    </row>
    <row r="875" spans="1:7" ht="12.5">
      <c r="A875" s="76"/>
      <c r="B875" s="5"/>
      <c r="C875" s="16"/>
      <c r="E875" s="5"/>
      <c r="G875" s="5"/>
    </row>
    <row r="876" spans="1:7" ht="12.5">
      <c r="A876" s="76"/>
      <c r="B876" s="5"/>
      <c r="C876" s="16"/>
      <c r="E876" s="5"/>
      <c r="G876" s="5"/>
    </row>
    <row r="877" spans="1:7" ht="12.5">
      <c r="A877" s="76"/>
      <c r="B877" s="5"/>
      <c r="C877" s="16"/>
      <c r="E877" s="5"/>
      <c r="G877" s="5"/>
    </row>
    <row r="878" spans="1:7" ht="12.5">
      <c r="A878" s="76"/>
      <c r="B878" s="5"/>
      <c r="C878" s="16"/>
      <c r="E878" s="5"/>
      <c r="G878" s="5"/>
    </row>
    <row r="879" spans="1:7" ht="12.5">
      <c r="A879" s="76"/>
      <c r="B879" s="5"/>
      <c r="C879" s="16"/>
      <c r="E879" s="5"/>
      <c r="G879" s="5"/>
    </row>
    <row r="880" spans="1:7" ht="12.5">
      <c r="A880" s="76"/>
      <c r="B880" s="5"/>
      <c r="C880" s="16"/>
      <c r="E880" s="5"/>
      <c r="G880" s="5"/>
    </row>
    <row r="881" spans="1:7" ht="12.5">
      <c r="A881" s="76"/>
      <c r="B881" s="5"/>
      <c r="C881" s="16"/>
      <c r="E881" s="5"/>
      <c r="G881" s="5"/>
    </row>
    <row r="882" spans="1:7" ht="12.5">
      <c r="A882" s="76"/>
      <c r="B882" s="5"/>
      <c r="C882" s="16"/>
      <c r="E882" s="5"/>
      <c r="G882" s="5"/>
    </row>
    <row r="883" spans="1:7" ht="12.5">
      <c r="A883" s="76"/>
      <c r="B883" s="5"/>
      <c r="C883" s="16"/>
      <c r="E883" s="5"/>
      <c r="G883" s="5"/>
    </row>
    <row r="884" spans="1:7" ht="12.5">
      <c r="A884" s="76"/>
      <c r="B884" s="5"/>
      <c r="C884" s="16"/>
      <c r="E884" s="5"/>
      <c r="G884" s="5"/>
    </row>
    <row r="885" spans="1:7" ht="12.5">
      <c r="A885" s="76"/>
      <c r="B885" s="5"/>
      <c r="C885" s="16"/>
      <c r="E885" s="5"/>
      <c r="G885" s="5"/>
    </row>
    <row r="886" spans="1:7" ht="12.5">
      <c r="A886" s="76"/>
      <c r="B886" s="5"/>
      <c r="C886" s="16"/>
      <c r="E886" s="5"/>
      <c r="G886" s="5"/>
    </row>
    <row r="887" spans="1:7" ht="12.5">
      <c r="A887" s="76"/>
      <c r="B887" s="5"/>
      <c r="C887" s="16"/>
      <c r="E887" s="5"/>
      <c r="G887" s="5"/>
    </row>
    <row r="888" spans="1:7" ht="12.5">
      <c r="A888" s="76"/>
      <c r="B888" s="5"/>
      <c r="C888" s="16"/>
      <c r="E888" s="5"/>
      <c r="G888" s="5"/>
    </row>
    <row r="889" spans="1:7" ht="12.5">
      <c r="A889" s="76"/>
      <c r="B889" s="5"/>
      <c r="C889" s="16"/>
      <c r="E889" s="5"/>
      <c r="G889" s="5"/>
    </row>
    <row r="890" spans="1:7" ht="12.5">
      <c r="A890" s="76"/>
      <c r="B890" s="5"/>
      <c r="C890" s="16"/>
      <c r="E890" s="5"/>
      <c r="G890" s="5"/>
    </row>
    <row r="891" spans="1:7" ht="12.5">
      <c r="A891" s="76"/>
      <c r="B891" s="5"/>
      <c r="C891" s="16"/>
      <c r="E891" s="5"/>
      <c r="G891" s="5"/>
    </row>
    <row r="892" spans="1:7" ht="12.5">
      <c r="A892" s="76"/>
      <c r="B892" s="5"/>
      <c r="C892" s="16"/>
      <c r="E892" s="5"/>
      <c r="G892" s="5"/>
    </row>
    <row r="893" spans="1:7" ht="12.5">
      <c r="A893" s="76"/>
      <c r="B893" s="5"/>
      <c r="C893" s="16"/>
      <c r="E893" s="5"/>
      <c r="G893" s="5"/>
    </row>
    <row r="894" spans="1:7" ht="12.5">
      <c r="A894" s="76"/>
      <c r="B894" s="5"/>
      <c r="C894" s="16"/>
      <c r="E894" s="5"/>
      <c r="G894" s="5"/>
    </row>
    <row r="895" spans="1:7" ht="12.5">
      <c r="A895" s="76"/>
      <c r="B895" s="5"/>
      <c r="C895" s="16"/>
      <c r="E895" s="5"/>
      <c r="G895" s="5"/>
    </row>
    <row r="896" spans="1:7" ht="12.5">
      <c r="A896" s="76"/>
      <c r="B896" s="5"/>
      <c r="C896" s="16"/>
      <c r="E896" s="5"/>
      <c r="G896" s="5"/>
    </row>
    <row r="897" spans="1:7" ht="12.5">
      <c r="A897" s="76"/>
      <c r="B897" s="5"/>
      <c r="C897" s="16"/>
      <c r="E897" s="5"/>
      <c r="G897" s="5"/>
    </row>
    <row r="898" spans="1:7" ht="12.5">
      <c r="A898" s="76"/>
      <c r="B898" s="5"/>
      <c r="C898" s="16"/>
      <c r="E898" s="5"/>
      <c r="G898" s="5"/>
    </row>
    <row r="899" spans="1:7" ht="12.5">
      <c r="A899" s="76"/>
      <c r="B899" s="5"/>
      <c r="C899" s="16"/>
      <c r="E899" s="5"/>
      <c r="G899" s="5"/>
    </row>
    <row r="900" spans="1:7" ht="12.5">
      <c r="A900" s="76"/>
      <c r="B900" s="5"/>
      <c r="C900" s="16"/>
      <c r="E900" s="5"/>
      <c r="G900" s="5"/>
    </row>
    <row r="901" spans="1:7" ht="12.5">
      <c r="A901" s="76"/>
      <c r="B901" s="5"/>
      <c r="C901" s="16"/>
      <c r="E901" s="5"/>
      <c r="G901" s="5"/>
    </row>
    <row r="902" spans="1:7" ht="12.5">
      <c r="A902" s="76"/>
      <c r="B902" s="5"/>
      <c r="C902" s="16"/>
      <c r="E902" s="5"/>
      <c r="G902" s="5"/>
    </row>
    <row r="903" spans="1:7" ht="12.5">
      <c r="A903" s="76"/>
      <c r="B903" s="5"/>
      <c r="C903" s="16"/>
      <c r="E903" s="5"/>
      <c r="G903" s="5"/>
    </row>
    <row r="904" spans="1:7" ht="12.5">
      <c r="A904" s="76"/>
      <c r="B904" s="5"/>
      <c r="C904" s="16"/>
      <c r="E904" s="5"/>
      <c r="G904" s="5"/>
    </row>
    <row r="905" spans="1:7" ht="12.5">
      <c r="A905" s="76"/>
      <c r="B905" s="5"/>
      <c r="C905" s="16"/>
      <c r="E905" s="5"/>
      <c r="G905" s="5"/>
    </row>
    <row r="906" spans="1:7" ht="12.5">
      <c r="A906" s="76"/>
      <c r="B906" s="5"/>
      <c r="C906" s="16"/>
      <c r="E906" s="5"/>
      <c r="G906" s="5"/>
    </row>
    <row r="907" spans="1:7" ht="12.5">
      <c r="A907" s="76"/>
      <c r="B907" s="5"/>
      <c r="C907" s="16"/>
      <c r="E907" s="5"/>
      <c r="G907" s="5"/>
    </row>
    <row r="908" spans="1:7" ht="12.5">
      <c r="A908" s="76"/>
      <c r="B908" s="5"/>
      <c r="C908" s="16"/>
      <c r="E908" s="5"/>
      <c r="G908" s="5"/>
    </row>
    <row r="909" spans="1:7" ht="12.5">
      <c r="A909" s="76"/>
      <c r="B909" s="5"/>
      <c r="C909" s="16"/>
      <c r="E909" s="5"/>
      <c r="G909" s="5"/>
    </row>
    <row r="910" spans="1:7" ht="12.5">
      <c r="A910" s="76"/>
      <c r="B910" s="5"/>
      <c r="C910" s="16"/>
      <c r="E910" s="5"/>
      <c r="G910" s="5"/>
    </row>
    <row r="911" spans="1:7" ht="12.5">
      <c r="A911" s="76"/>
      <c r="B911" s="5"/>
      <c r="C911" s="16"/>
      <c r="E911" s="5"/>
      <c r="G911" s="5"/>
    </row>
    <row r="912" spans="1:7" ht="12.5">
      <c r="A912" s="76"/>
      <c r="B912" s="5"/>
      <c r="C912" s="16"/>
      <c r="E912" s="5"/>
      <c r="G912" s="5"/>
    </row>
    <row r="913" spans="1:7" ht="12.5">
      <c r="A913" s="76"/>
      <c r="B913" s="5"/>
      <c r="C913" s="16"/>
      <c r="E913" s="5"/>
      <c r="G913" s="5"/>
    </row>
    <row r="914" spans="1:7" ht="12.5">
      <c r="A914" s="76"/>
      <c r="B914" s="5"/>
      <c r="C914" s="16"/>
      <c r="E914" s="5"/>
      <c r="G914" s="5"/>
    </row>
    <row r="915" spans="1:7" ht="12.5">
      <c r="A915" s="76"/>
      <c r="B915" s="5"/>
      <c r="C915" s="16"/>
      <c r="E915" s="5"/>
      <c r="G915" s="5"/>
    </row>
    <row r="916" spans="1:7" ht="12.5">
      <c r="A916" s="76"/>
      <c r="B916" s="5"/>
      <c r="C916" s="16"/>
      <c r="E916" s="5"/>
      <c r="G916" s="5"/>
    </row>
    <row r="917" spans="1:7" ht="12.5">
      <c r="A917" s="76"/>
      <c r="B917" s="5"/>
      <c r="C917" s="16"/>
      <c r="E917" s="5"/>
      <c r="G917" s="5"/>
    </row>
    <row r="918" spans="1:7" ht="12.5">
      <c r="A918" s="76"/>
      <c r="B918" s="5"/>
      <c r="C918" s="16"/>
      <c r="E918" s="5"/>
      <c r="G918" s="5"/>
    </row>
    <row r="919" spans="1:7" ht="12.5">
      <c r="A919" s="76"/>
      <c r="B919" s="5"/>
      <c r="C919" s="16"/>
      <c r="E919" s="5"/>
      <c r="G919" s="5"/>
    </row>
    <row r="920" spans="1:7" ht="12.5">
      <c r="A920" s="76"/>
      <c r="B920" s="5"/>
      <c r="C920" s="16"/>
      <c r="E920" s="5"/>
      <c r="G920" s="5"/>
    </row>
    <row r="921" spans="1:7" ht="12.5">
      <c r="A921" s="76"/>
      <c r="B921" s="5"/>
      <c r="C921" s="16"/>
      <c r="E921" s="5"/>
      <c r="G921" s="5"/>
    </row>
    <row r="922" spans="1:7" ht="12.5">
      <c r="A922" s="76"/>
      <c r="B922" s="5"/>
      <c r="C922" s="16"/>
      <c r="E922" s="5"/>
      <c r="G922" s="5"/>
    </row>
    <row r="923" spans="1:7" ht="12.5">
      <c r="A923" s="76"/>
      <c r="B923" s="5"/>
      <c r="C923" s="16"/>
      <c r="E923" s="5"/>
      <c r="G923" s="5"/>
    </row>
    <row r="924" spans="1:7" ht="12.5">
      <c r="A924" s="76"/>
      <c r="B924" s="5"/>
      <c r="C924" s="16"/>
      <c r="E924" s="5"/>
      <c r="G924" s="5"/>
    </row>
    <row r="925" spans="1:7" ht="12.5">
      <c r="A925" s="76"/>
      <c r="B925" s="5"/>
      <c r="C925" s="16"/>
      <c r="E925" s="5"/>
      <c r="G925" s="5"/>
    </row>
    <row r="926" spans="1:7" ht="12.5">
      <c r="A926" s="76"/>
      <c r="B926" s="5"/>
      <c r="C926" s="16"/>
      <c r="E926" s="5"/>
      <c r="G926" s="5"/>
    </row>
    <row r="927" spans="1:7" ht="12.5">
      <c r="A927" s="76"/>
      <c r="B927" s="5"/>
      <c r="C927" s="16"/>
      <c r="E927" s="5"/>
      <c r="G927" s="5"/>
    </row>
    <row r="928" spans="1:7" ht="12.5">
      <c r="A928" s="76"/>
      <c r="B928" s="5"/>
      <c r="C928" s="16"/>
      <c r="E928" s="5"/>
      <c r="G928" s="5"/>
    </row>
    <row r="929" spans="1:7" ht="12.5">
      <c r="A929" s="76"/>
      <c r="B929" s="5"/>
      <c r="C929" s="16"/>
      <c r="E929" s="5"/>
      <c r="G929" s="5"/>
    </row>
    <row r="930" spans="1:7" ht="12.5">
      <c r="A930" s="76"/>
      <c r="B930" s="5"/>
      <c r="C930" s="16"/>
      <c r="E930" s="5"/>
      <c r="G930" s="5"/>
    </row>
    <row r="931" spans="1:7" ht="12.5">
      <c r="A931" s="76"/>
      <c r="B931" s="5"/>
      <c r="C931" s="16"/>
      <c r="E931" s="5"/>
      <c r="G931" s="5"/>
    </row>
    <row r="932" spans="1:7" ht="12.5">
      <c r="A932" s="76"/>
      <c r="B932" s="5"/>
      <c r="C932" s="16"/>
      <c r="E932" s="5"/>
      <c r="G932" s="5"/>
    </row>
    <row r="933" spans="1:7" ht="12.5">
      <c r="A933" s="76"/>
      <c r="B933" s="5"/>
      <c r="C933" s="16"/>
      <c r="E933" s="5"/>
      <c r="G933" s="5"/>
    </row>
    <row r="934" spans="1:7" ht="12.5">
      <c r="A934" s="76"/>
      <c r="B934" s="5"/>
      <c r="C934" s="16"/>
      <c r="E934" s="5"/>
      <c r="G934" s="5"/>
    </row>
    <row r="935" spans="1:7" ht="12.5">
      <c r="A935" s="76"/>
      <c r="B935" s="5"/>
      <c r="C935" s="16"/>
      <c r="E935" s="5"/>
      <c r="G935" s="5"/>
    </row>
    <row r="936" spans="1:7" ht="12.5">
      <c r="A936" s="76"/>
      <c r="B936" s="5"/>
      <c r="C936" s="16"/>
      <c r="E936" s="5"/>
      <c r="G936" s="5"/>
    </row>
    <row r="937" spans="1:7" ht="12.5">
      <c r="A937" s="76"/>
      <c r="B937" s="5"/>
      <c r="C937" s="16"/>
      <c r="E937" s="5"/>
      <c r="G937" s="5"/>
    </row>
    <row r="938" spans="1:7" ht="12.5">
      <c r="A938" s="76"/>
      <c r="B938" s="5"/>
      <c r="C938" s="16"/>
      <c r="E938" s="5"/>
      <c r="G938" s="5"/>
    </row>
    <row r="939" spans="1:7" ht="12.5">
      <c r="A939" s="76"/>
      <c r="B939" s="5"/>
      <c r="C939" s="16"/>
      <c r="E939" s="5"/>
      <c r="G939" s="5"/>
    </row>
    <row r="940" spans="1:7" ht="12.5">
      <c r="A940" s="76"/>
      <c r="B940" s="5"/>
      <c r="C940" s="16"/>
      <c r="E940" s="5"/>
      <c r="G940" s="5"/>
    </row>
    <row r="941" spans="1:7" ht="12.5">
      <c r="A941" s="76"/>
      <c r="B941" s="5"/>
      <c r="C941" s="16"/>
      <c r="E941" s="5"/>
      <c r="G941" s="5"/>
    </row>
    <row r="942" spans="1:7" ht="12.5">
      <c r="A942" s="76"/>
      <c r="B942" s="5"/>
      <c r="C942" s="16"/>
      <c r="E942" s="5"/>
      <c r="G942" s="5"/>
    </row>
    <row r="943" spans="1:7" ht="12.5">
      <c r="A943" s="76"/>
      <c r="B943" s="5"/>
      <c r="C943" s="16"/>
      <c r="E943" s="5"/>
      <c r="G943" s="5"/>
    </row>
    <row r="944" spans="1:7" ht="12.5">
      <c r="A944" s="76"/>
      <c r="B944" s="5"/>
      <c r="C944" s="16"/>
      <c r="E944" s="5"/>
      <c r="G944" s="5"/>
    </row>
    <row r="945" spans="1:7" ht="12.5">
      <c r="A945" s="76"/>
      <c r="B945" s="5"/>
      <c r="C945" s="16"/>
      <c r="E945" s="5"/>
      <c r="G945" s="5"/>
    </row>
    <row r="946" spans="1:7" ht="12.5">
      <c r="A946" s="76"/>
      <c r="B946" s="5"/>
      <c r="C946" s="16"/>
      <c r="E946" s="5"/>
      <c r="G946" s="5"/>
    </row>
    <row r="947" spans="1:7" ht="12.5">
      <c r="A947" s="76"/>
      <c r="B947" s="5"/>
      <c r="C947" s="16"/>
      <c r="E947" s="5"/>
      <c r="G947" s="5"/>
    </row>
    <row r="948" spans="1:7" ht="12.5">
      <c r="A948" s="76"/>
      <c r="B948" s="5"/>
      <c r="C948" s="16"/>
      <c r="E948" s="5"/>
      <c r="G948" s="5"/>
    </row>
    <row r="949" spans="1:7" ht="12.5">
      <c r="A949" s="76"/>
      <c r="B949" s="5"/>
      <c r="C949" s="16"/>
      <c r="E949" s="5"/>
      <c r="G949" s="5"/>
    </row>
    <row r="950" spans="1:7" ht="12.5">
      <c r="A950" s="76"/>
      <c r="B950" s="5"/>
      <c r="C950" s="16"/>
      <c r="E950" s="5"/>
      <c r="G950" s="5"/>
    </row>
    <row r="951" spans="1:7" ht="12.5">
      <c r="A951" s="76"/>
      <c r="B951" s="5"/>
      <c r="C951" s="16"/>
      <c r="E951" s="5"/>
      <c r="G951" s="5"/>
    </row>
    <row r="952" spans="1:7" ht="12.5">
      <c r="A952" s="76"/>
      <c r="B952" s="5"/>
      <c r="C952" s="16"/>
      <c r="E952" s="5"/>
      <c r="G952" s="5"/>
    </row>
    <row r="953" spans="1:7" ht="12.5">
      <c r="A953" s="76"/>
      <c r="B953" s="5"/>
      <c r="C953" s="16"/>
      <c r="E953" s="5"/>
      <c r="G953" s="5"/>
    </row>
    <row r="954" spans="1:7" ht="12.5">
      <c r="A954" s="76"/>
      <c r="B954" s="5"/>
      <c r="C954" s="16"/>
      <c r="E954" s="5"/>
      <c r="G954" s="5"/>
    </row>
    <row r="955" spans="1:7" ht="12.5">
      <c r="A955" s="76"/>
      <c r="B955" s="5"/>
      <c r="C955" s="16"/>
      <c r="E955" s="5"/>
      <c r="G955" s="5"/>
    </row>
    <row r="956" spans="1:7" ht="12.5">
      <c r="A956" s="76"/>
      <c r="B956" s="5"/>
      <c r="C956" s="16"/>
      <c r="E956" s="5"/>
      <c r="G956" s="5"/>
    </row>
    <row r="957" spans="1:7" ht="12.5">
      <c r="A957" s="76"/>
      <c r="B957" s="5"/>
      <c r="C957" s="16"/>
      <c r="E957" s="5"/>
      <c r="G957" s="5"/>
    </row>
    <row r="958" spans="1:7" ht="12.5">
      <c r="A958" s="76"/>
      <c r="B958" s="5"/>
      <c r="C958" s="16"/>
      <c r="E958" s="5"/>
      <c r="G958" s="5"/>
    </row>
    <row r="959" spans="1:7" ht="12.5">
      <c r="A959" s="76"/>
      <c r="B959" s="5"/>
      <c r="C959" s="16"/>
      <c r="E959" s="5"/>
      <c r="G959" s="5"/>
    </row>
    <row r="960" spans="1:7" ht="12.5">
      <c r="A960" s="76"/>
      <c r="B960" s="5"/>
      <c r="C960" s="16"/>
      <c r="E960" s="5"/>
      <c r="G960" s="5"/>
    </row>
    <row r="961" spans="1:7" ht="12.5">
      <c r="A961" s="76"/>
      <c r="B961" s="5"/>
      <c r="C961" s="16"/>
      <c r="E961" s="5"/>
      <c r="G961" s="5"/>
    </row>
    <row r="962" spans="1:7" ht="12.5">
      <c r="A962" s="76"/>
      <c r="B962" s="5"/>
      <c r="C962" s="16"/>
      <c r="E962" s="5"/>
      <c r="G962" s="5"/>
    </row>
    <row r="963" spans="1:7" ht="12.5">
      <c r="A963" s="76"/>
      <c r="B963" s="5"/>
      <c r="C963" s="16"/>
      <c r="E963" s="5"/>
      <c r="G963" s="5"/>
    </row>
    <row r="964" spans="1:7" ht="12.5">
      <c r="A964" s="76"/>
      <c r="B964" s="5"/>
      <c r="C964" s="16"/>
      <c r="E964" s="5"/>
      <c r="G964" s="5"/>
    </row>
    <row r="965" spans="1:7" ht="12.5">
      <c r="A965" s="76"/>
      <c r="B965" s="5"/>
      <c r="C965" s="16"/>
      <c r="E965" s="5"/>
      <c r="G965" s="5"/>
    </row>
    <row r="966" spans="1:7" ht="12.5">
      <c r="A966" s="76"/>
      <c r="B966" s="5"/>
      <c r="C966" s="16"/>
      <c r="E966" s="5"/>
      <c r="G966" s="5"/>
    </row>
    <row r="967" spans="1:7" ht="12.5">
      <c r="A967" s="76"/>
      <c r="B967" s="5"/>
      <c r="C967" s="16"/>
      <c r="E967" s="5"/>
      <c r="G967" s="5"/>
    </row>
    <row r="968" spans="1:7" ht="12.5">
      <c r="A968" s="76"/>
      <c r="B968" s="5"/>
      <c r="C968" s="16"/>
      <c r="E968" s="5"/>
      <c r="G968" s="5"/>
    </row>
    <row r="969" spans="1:7" ht="12.5">
      <c r="A969" s="76"/>
      <c r="B969" s="5"/>
      <c r="C969" s="16"/>
      <c r="E969" s="5"/>
      <c r="G969" s="5"/>
    </row>
    <row r="970" spans="1:7" ht="12.5">
      <c r="A970" s="76"/>
      <c r="B970" s="5"/>
      <c r="C970" s="16"/>
      <c r="E970" s="5"/>
      <c r="G970" s="5"/>
    </row>
    <row r="971" spans="1:7" ht="12.5">
      <c r="A971" s="76"/>
      <c r="B971" s="5"/>
      <c r="C971" s="16"/>
      <c r="E971" s="5"/>
      <c r="G971" s="5"/>
    </row>
    <row r="972" spans="1:7" ht="12.5">
      <c r="A972" s="76"/>
      <c r="B972" s="5"/>
      <c r="C972" s="16"/>
      <c r="E972" s="5"/>
      <c r="G972" s="5"/>
    </row>
    <row r="973" spans="1:7" ht="12.5">
      <c r="A973" s="76"/>
      <c r="B973" s="15" t="s">
        <v>35</v>
      </c>
      <c r="C973" s="16"/>
      <c r="E973" s="5"/>
      <c r="G973" s="5"/>
    </row>
    <row r="974" spans="1:7" ht="12.5">
      <c r="A974" s="76"/>
      <c r="B974" s="15" t="s">
        <v>36</v>
      </c>
      <c r="C974" s="16"/>
      <c r="E974" s="5"/>
      <c r="G974" s="5"/>
    </row>
    <row r="975" spans="1:7" ht="12.5">
      <c r="A975" s="76"/>
      <c r="B975" s="15" t="s">
        <v>37</v>
      </c>
      <c r="C975" s="16"/>
      <c r="E975" s="5"/>
      <c r="G975" s="5"/>
    </row>
    <row r="976" spans="1:7" ht="12.5">
      <c r="A976" s="76"/>
      <c r="B976" s="15" t="s">
        <v>38</v>
      </c>
      <c r="C976" s="16"/>
      <c r="E976" s="5"/>
      <c r="G976" s="5"/>
    </row>
    <row r="977" spans="1:7" ht="12.5">
      <c r="A977" s="76"/>
      <c r="B977" s="15" t="s">
        <v>39</v>
      </c>
      <c r="C977" s="16"/>
      <c r="E977" s="5"/>
      <c r="G977" s="5"/>
    </row>
    <row r="978" spans="1:7" ht="12.5">
      <c r="A978" s="76"/>
      <c r="B978" s="15" t="s">
        <v>40</v>
      </c>
      <c r="C978" s="16"/>
      <c r="E978" s="5"/>
      <c r="G978" s="5"/>
    </row>
    <row r="979" spans="1:7" ht="12.5">
      <c r="A979" s="76"/>
      <c r="B979" s="15" t="s">
        <v>41</v>
      </c>
      <c r="C979" s="16"/>
      <c r="E979" s="5"/>
      <c r="G979" s="5"/>
    </row>
    <row r="980" spans="1:7" ht="12.5">
      <c r="A980" s="76"/>
      <c r="B980" s="15" t="s">
        <v>42</v>
      </c>
      <c r="C980" s="16"/>
      <c r="E980" s="5"/>
      <c r="G980" s="5"/>
    </row>
    <row r="981" spans="1:7" ht="12.5">
      <c r="A981" s="76"/>
      <c r="B981" s="15" t="s">
        <v>43</v>
      </c>
      <c r="C981" s="16"/>
      <c r="E981" s="5"/>
      <c r="G981" s="5"/>
    </row>
    <row r="982" spans="1:7" ht="12.5">
      <c r="A982" s="76"/>
      <c r="B982" s="15" t="s">
        <v>44</v>
      </c>
      <c r="C982" s="16"/>
      <c r="E982" s="5"/>
      <c r="G982" s="5"/>
    </row>
    <row r="983" spans="1:7" ht="12.5">
      <c r="A983" s="76"/>
      <c r="B983" s="15" t="s">
        <v>109</v>
      </c>
      <c r="C983" s="16"/>
      <c r="E983" s="5"/>
      <c r="G983" s="5"/>
    </row>
    <row r="984" spans="1:7" ht="12.5">
      <c r="A984" s="76"/>
      <c r="B984" s="15" t="s">
        <v>46</v>
      </c>
      <c r="C984" s="16"/>
      <c r="E984" s="5"/>
      <c r="G984" s="5"/>
    </row>
    <row r="985" spans="1:7" ht="12.5">
      <c r="A985" s="76"/>
      <c r="B985" s="15" t="s">
        <v>47</v>
      </c>
      <c r="C985" s="16"/>
      <c r="E985" s="5"/>
      <c r="G985" s="5"/>
    </row>
    <row r="986" spans="1:7" ht="12.5">
      <c r="A986" s="76"/>
      <c r="B986" s="15" t="s">
        <v>48</v>
      </c>
      <c r="C986" s="16"/>
      <c r="E986" s="5"/>
      <c r="G986" s="5"/>
    </row>
    <row r="987" spans="1:7" ht="12.5">
      <c r="A987" s="76"/>
      <c r="B987" s="15" t="s">
        <v>49</v>
      </c>
      <c r="C987" s="16"/>
      <c r="E987" s="5"/>
      <c r="G987" s="5"/>
    </row>
    <row r="988" spans="1:7" ht="12.5">
      <c r="A988" s="76"/>
      <c r="B988" s="15" t="s">
        <v>33</v>
      </c>
      <c r="C988" s="16"/>
      <c r="E988" s="5"/>
      <c r="G988" s="5"/>
    </row>
    <row r="989" spans="1:7" ht="12.5">
      <c r="A989" s="76"/>
      <c r="B989" s="15" t="s">
        <v>50</v>
      </c>
      <c r="C989" s="16"/>
      <c r="E989" s="5"/>
      <c r="G989" s="5"/>
    </row>
    <row r="990" spans="1:7" ht="12.5">
      <c r="A990" s="76"/>
      <c r="B990" s="15" t="s">
        <v>51</v>
      </c>
      <c r="C990" s="16"/>
      <c r="E990" s="5"/>
      <c r="G990" s="5"/>
    </row>
    <row r="991" spans="1:7" ht="12.5">
      <c r="A991" s="76"/>
      <c r="B991" s="5" t="s">
        <v>52</v>
      </c>
      <c r="C991" s="16"/>
      <c r="E991" s="5"/>
      <c r="G991" s="5"/>
    </row>
    <row r="992" spans="1:7" ht="12.5">
      <c r="A992" s="76"/>
      <c r="B992" s="5" t="s">
        <v>31</v>
      </c>
      <c r="C992" s="16"/>
      <c r="E992" s="5"/>
      <c r="G992" s="5"/>
    </row>
    <row r="993" spans="1:7" ht="12.5">
      <c r="A993" s="76"/>
      <c r="B993" s="5"/>
      <c r="C993" s="16"/>
      <c r="E993" s="5"/>
      <c r="G993" s="5"/>
    </row>
    <row r="994" spans="1:7" ht="12.5">
      <c r="A994" s="76"/>
      <c r="B994" s="5"/>
      <c r="C994" s="16"/>
      <c r="E994" s="5"/>
      <c r="G994" s="5"/>
    </row>
    <row r="995" spans="1:7" ht="12.5">
      <c r="A995" s="76"/>
      <c r="B995" s="5"/>
      <c r="C995" s="16"/>
      <c r="E995" s="5"/>
      <c r="G995" s="5"/>
    </row>
    <row r="996" spans="1:7" ht="12.5">
      <c r="A996" s="76"/>
      <c r="B996" s="5"/>
      <c r="C996" s="16"/>
      <c r="E996" s="5"/>
      <c r="G996" s="5"/>
    </row>
    <row r="997" spans="1:7" ht="12.5">
      <c r="A997" s="76"/>
      <c r="B997" s="5"/>
      <c r="C997" s="16"/>
      <c r="E997" s="5"/>
      <c r="G997" s="5"/>
    </row>
    <row r="998" spans="1:7" ht="12.5">
      <c r="A998" s="76"/>
      <c r="B998" s="5"/>
      <c r="C998" s="16"/>
      <c r="E998" s="5"/>
      <c r="G998" s="5"/>
    </row>
    <row r="999" spans="1:7" ht="12.5">
      <c r="A999" s="76"/>
      <c r="B999" s="5"/>
      <c r="C999" s="16"/>
      <c r="E999" s="5"/>
      <c r="G999" s="5"/>
    </row>
    <row r="1000" spans="1:7" ht="12.5">
      <c r="A1000" s="76"/>
      <c r="B1000" s="5"/>
      <c r="C1000" s="16"/>
      <c r="E1000" s="5"/>
      <c r="G1000" s="5"/>
    </row>
  </sheetData>
  <conditionalFormatting sqref="A2:J1000">
    <cfRule type="expression" dxfId="23" priority="1">
      <formula>$E2="Pessoa 2"</formula>
    </cfRule>
    <cfRule type="expression" dxfId="22" priority="2">
      <formula>$E2="Pessoa 1"</formula>
    </cfRule>
  </conditionalFormatting>
  <dataValidations count="3">
    <dataValidation type="list" allowBlank="1" showErrorMessage="1" sqref="E2:E1000" xr:uid="{00000000-0002-0000-0300-000000000000}">
      <formula1>"Pessoa 1,Pessoa 2"</formula1>
    </dataValidation>
    <dataValidation type="list" allowBlank="1" showErrorMessage="1" sqref="B2:B1000" xr:uid="{00000000-0002-0000-0300-000001000000}">
      <formula1>"Aluguel_Cond,Home Supplies,Energia_Gás_Água_Esgoto,Internet_Telefonia,Comida_Alimentação,Manutenção_Casa,Móveis_Aparelhos_Decoração,Transporte Geral &amp; Coletivo,Transporte Uber &amp; Apps,Saúde,Academia &amp; Fitness,Educação,Roupa_Acessorios,Entretenimento_&amp;_Rest"&amp;"aurantes,Viagem/Vacation,Work-related,Imposto (IPVA-IPTU-etc),Outros,Investimento (aporte),Gasto Pessoal"</formula1>
    </dataValidation>
    <dataValidation type="custom" allowBlank="1" showDropDown="1" showErrorMessage="1" sqref="A2:A1000" xr:uid="{00000000-0002-0000-0300-000002000000}">
      <formula1>OR(NOT(ISERROR(DATEVALUE(A2))), AND(ISNUMBER(A2), LEFT(CELL("format", A2))="D"))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6D9EEB"/>
    <outlinePr summaryBelow="0" summaryRight="0"/>
  </sheetPr>
  <dimension ref="A1:J100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2.6328125" defaultRowHeight="15.75" customHeight="1"/>
  <cols>
    <col min="1" max="1" width="18.08984375" customWidth="1"/>
    <col min="2" max="2" width="30.36328125" customWidth="1"/>
    <col min="3" max="3" width="22.36328125" customWidth="1"/>
    <col min="4" max="4" width="60.90625" customWidth="1"/>
    <col min="5" max="5" width="12.7265625" customWidth="1"/>
    <col min="6" max="6" width="44.90625" customWidth="1"/>
    <col min="7" max="7" width="6.90625" customWidth="1"/>
    <col min="9" max="9" width="43.08984375" customWidth="1"/>
  </cols>
  <sheetData>
    <row r="1" spans="1:10">
      <c r="A1" s="77" t="s">
        <v>131</v>
      </c>
      <c r="B1" s="14" t="s">
        <v>103</v>
      </c>
      <c r="C1" s="72" t="s">
        <v>104</v>
      </c>
      <c r="D1" s="14" t="s">
        <v>105</v>
      </c>
      <c r="E1" s="14" t="s">
        <v>106</v>
      </c>
      <c r="F1" s="12"/>
      <c r="H1" s="12"/>
      <c r="I1" s="12"/>
    </row>
    <row r="2" spans="1:10" ht="15.75" customHeight="1">
      <c r="A2" s="78" t="s">
        <v>132</v>
      </c>
      <c r="B2" s="38" t="s">
        <v>44</v>
      </c>
      <c r="C2" s="75">
        <v>517.33774939606326</v>
      </c>
      <c r="D2" s="32" t="s">
        <v>133</v>
      </c>
      <c r="E2" s="32" t="s">
        <v>64</v>
      </c>
      <c r="F2" s="5"/>
      <c r="G2" s="5"/>
      <c r="H2" s="15"/>
      <c r="I2" s="5"/>
      <c r="J2" s="5"/>
    </row>
    <row r="3" spans="1:10" ht="15.75" customHeight="1">
      <c r="A3" s="78" t="s">
        <v>134</v>
      </c>
      <c r="B3" s="38" t="s">
        <v>36</v>
      </c>
      <c r="C3" s="75">
        <v>88.58520517804233</v>
      </c>
      <c r="D3" s="32" t="s">
        <v>135</v>
      </c>
      <c r="E3" s="32" t="s">
        <v>64</v>
      </c>
      <c r="F3" s="5"/>
      <c r="G3" s="5"/>
      <c r="H3" s="15"/>
      <c r="I3" s="5"/>
      <c r="J3" s="5"/>
    </row>
    <row r="4" spans="1:10" ht="15.75" customHeight="1">
      <c r="A4" s="78" t="s">
        <v>134</v>
      </c>
      <c r="B4" s="38" t="s">
        <v>48</v>
      </c>
      <c r="C4" s="75">
        <v>119.39556133303167</v>
      </c>
      <c r="D4" s="32" t="s">
        <v>136</v>
      </c>
      <c r="E4" s="32" t="s">
        <v>64</v>
      </c>
      <c r="F4" s="5"/>
      <c r="G4" s="5"/>
      <c r="H4" s="15"/>
      <c r="I4" s="5"/>
      <c r="J4" s="5"/>
    </row>
    <row r="5" spans="1:10" ht="15.75" customHeight="1">
      <c r="A5" s="78" t="s">
        <v>137</v>
      </c>
      <c r="B5" s="38" t="s">
        <v>46</v>
      </c>
      <c r="C5" s="75">
        <v>588.68212064829993</v>
      </c>
      <c r="D5" s="32" t="s">
        <v>138</v>
      </c>
      <c r="E5" s="32" t="s">
        <v>65</v>
      </c>
      <c r="F5" s="5"/>
      <c r="G5" s="5"/>
      <c r="H5" s="15"/>
      <c r="I5" s="5"/>
      <c r="J5" s="5"/>
    </row>
    <row r="6" spans="1:10" ht="15.75" customHeight="1">
      <c r="A6" s="78" t="s">
        <v>139</v>
      </c>
      <c r="B6" s="38" t="s">
        <v>33</v>
      </c>
      <c r="C6" s="75">
        <v>435.98691658291665</v>
      </c>
      <c r="D6" s="32" t="s">
        <v>140</v>
      </c>
      <c r="E6" s="32" t="s">
        <v>65</v>
      </c>
      <c r="F6" s="5"/>
      <c r="G6" s="5"/>
      <c r="H6" s="15"/>
      <c r="I6" s="5"/>
      <c r="J6" s="5"/>
    </row>
    <row r="7" spans="1:10" ht="15.75" customHeight="1">
      <c r="A7" s="78" t="s">
        <v>141</v>
      </c>
      <c r="B7" s="38" t="s">
        <v>109</v>
      </c>
      <c r="C7" s="75">
        <v>88.980883727796325</v>
      </c>
      <c r="D7" s="32" t="s">
        <v>142</v>
      </c>
      <c r="E7" s="32" t="s">
        <v>65</v>
      </c>
      <c r="F7" s="5"/>
      <c r="G7" s="5"/>
      <c r="H7" s="15"/>
      <c r="I7" s="5"/>
      <c r="J7" s="5"/>
    </row>
    <row r="8" spans="1:10" ht="15.75" customHeight="1">
      <c r="A8" s="78" t="s">
        <v>134</v>
      </c>
      <c r="B8" s="38" t="s">
        <v>49</v>
      </c>
      <c r="C8" s="75">
        <v>197.67507010982067</v>
      </c>
      <c r="D8" s="32" t="s">
        <v>143</v>
      </c>
      <c r="E8" s="32" t="s">
        <v>65</v>
      </c>
      <c r="F8" s="5"/>
      <c r="G8" s="5"/>
      <c r="H8" s="15"/>
      <c r="I8" s="5"/>
      <c r="J8" s="5"/>
    </row>
    <row r="9" spans="1:10" ht="15.75" customHeight="1">
      <c r="A9" s="78" t="s">
        <v>141</v>
      </c>
      <c r="B9" s="38" t="s">
        <v>35</v>
      </c>
      <c r="C9" s="75">
        <v>64.234156261037668</v>
      </c>
      <c r="D9" s="32" t="s">
        <v>144</v>
      </c>
      <c r="E9" s="32" t="s">
        <v>65</v>
      </c>
      <c r="F9" s="5"/>
      <c r="G9" s="5"/>
      <c r="H9" s="15"/>
      <c r="I9" s="5"/>
      <c r="J9" s="5"/>
    </row>
    <row r="10" spans="1:10" ht="15.75" customHeight="1">
      <c r="A10" s="78" t="s">
        <v>145</v>
      </c>
      <c r="B10" s="38" t="s">
        <v>52</v>
      </c>
      <c r="C10" s="75">
        <v>95.773252154124009</v>
      </c>
      <c r="D10" s="32" t="s">
        <v>146</v>
      </c>
      <c r="E10" s="32" t="s">
        <v>65</v>
      </c>
      <c r="F10" s="5"/>
      <c r="G10" s="5"/>
      <c r="H10" s="15"/>
      <c r="I10" s="5"/>
      <c r="J10" s="5"/>
    </row>
    <row r="11" spans="1:10" ht="15.75" customHeight="1">
      <c r="A11" s="78" t="s">
        <v>132</v>
      </c>
      <c r="B11" s="38" t="s">
        <v>39</v>
      </c>
      <c r="C11" s="75">
        <v>176.78294594383965</v>
      </c>
      <c r="D11" s="32" t="s">
        <v>147</v>
      </c>
      <c r="E11" s="32" t="s">
        <v>65</v>
      </c>
      <c r="F11" s="5"/>
      <c r="G11" s="5"/>
      <c r="H11" s="15"/>
      <c r="I11" s="5"/>
      <c r="J11" s="5"/>
    </row>
    <row r="12" spans="1:10" ht="15.75" customHeight="1">
      <c r="A12" s="78" t="s">
        <v>148</v>
      </c>
      <c r="B12" s="38" t="s">
        <v>40</v>
      </c>
      <c r="C12" s="75">
        <v>181.71852467324666</v>
      </c>
      <c r="D12" s="32" t="s">
        <v>149</v>
      </c>
      <c r="E12" s="32" t="s">
        <v>64</v>
      </c>
      <c r="F12" s="5"/>
      <c r="G12" s="5"/>
      <c r="H12" s="15"/>
      <c r="I12" s="5"/>
      <c r="J12" s="5"/>
    </row>
    <row r="13" spans="1:10" ht="15.75" customHeight="1">
      <c r="A13" s="78" t="s">
        <v>150</v>
      </c>
      <c r="B13" s="38" t="s">
        <v>109</v>
      </c>
      <c r="C13" s="75">
        <v>106.38560511432367</v>
      </c>
      <c r="D13" s="32" t="s">
        <v>151</v>
      </c>
      <c r="E13" s="32" t="s">
        <v>64</v>
      </c>
      <c r="F13" s="5"/>
      <c r="G13" s="5"/>
      <c r="H13" s="15"/>
      <c r="I13" s="5"/>
      <c r="J13" s="5"/>
    </row>
    <row r="14" spans="1:10" ht="15.75" customHeight="1">
      <c r="A14" s="78" t="s">
        <v>152</v>
      </c>
      <c r="B14" s="38" t="s">
        <v>40</v>
      </c>
      <c r="C14" s="75">
        <v>451.49509096425999</v>
      </c>
      <c r="D14" s="32" t="s">
        <v>153</v>
      </c>
      <c r="E14" s="32" t="s">
        <v>64</v>
      </c>
      <c r="F14" s="5"/>
      <c r="G14" s="5"/>
      <c r="H14" s="15"/>
      <c r="I14" s="5"/>
      <c r="J14" s="5"/>
    </row>
    <row r="15" spans="1:10" ht="15.75" customHeight="1">
      <c r="A15" s="78" t="s">
        <v>141</v>
      </c>
      <c r="B15" s="38" t="s">
        <v>50</v>
      </c>
      <c r="C15" s="75">
        <v>91.637465663821999</v>
      </c>
      <c r="D15" s="32" t="s">
        <v>154</v>
      </c>
      <c r="E15" s="32" t="s">
        <v>65</v>
      </c>
      <c r="F15" s="5"/>
      <c r="G15" s="5"/>
      <c r="H15" s="15"/>
      <c r="I15" s="5"/>
      <c r="J15" s="5"/>
    </row>
    <row r="16" spans="1:10" ht="15.75" customHeight="1">
      <c r="A16" s="78" t="s">
        <v>155</v>
      </c>
      <c r="B16" s="38" t="s">
        <v>109</v>
      </c>
      <c r="C16" s="75">
        <v>519.27186028196002</v>
      </c>
      <c r="D16" s="32" t="s">
        <v>156</v>
      </c>
      <c r="E16" s="32" t="s">
        <v>64</v>
      </c>
      <c r="F16" s="5"/>
      <c r="G16" s="5"/>
      <c r="H16" s="15"/>
      <c r="I16" s="5"/>
      <c r="J16" s="5"/>
    </row>
    <row r="17" spans="1:10" ht="15.75" customHeight="1">
      <c r="A17" s="78" t="s">
        <v>134</v>
      </c>
      <c r="B17" s="38" t="s">
        <v>43</v>
      </c>
      <c r="C17" s="75">
        <v>488.02341213212338</v>
      </c>
      <c r="D17" s="32" t="s">
        <v>157</v>
      </c>
      <c r="E17" s="32" t="s">
        <v>64</v>
      </c>
      <c r="F17" s="5"/>
      <c r="G17" s="5"/>
      <c r="H17" s="15"/>
      <c r="I17" s="5"/>
      <c r="J17" s="5"/>
    </row>
    <row r="18" spans="1:10" ht="15.75" customHeight="1">
      <c r="A18" s="78" t="s">
        <v>158</v>
      </c>
      <c r="B18" s="38" t="s">
        <v>31</v>
      </c>
      <c r="C18" s="75">
        <v>15.400659066236434</v>
      </c>
      <c r="D18" s="32" t="s">
        <v>159</v>
      </c>
      <c r="E18" s="32" t="s">
        <v>65</v>
      </c>
      <c r="F18" s="5"/>
      <c r="G18" s="5"/>
      <c r="H18" s="15"/>
      <c r="I18" s="5"/>
      <c r="J18" s="5"/>
    </row>
    <row r="19" spans="1:10" ht="15.75" customHeight="1">
      <c r="A19" s="78" t="s">
        <v>160</v>
      </c>
      <c r="B19" s="38" t="s">
        <v>52</v>
      </c>
      <c r="C19" s="75">
        <v>567.83614400444333</v>
      </c>
      <c r="D19" s="32" t="s">
        <v>161</v>
      </c>
      <c r="E19" s="32" t="s">
        <v>64</v>
      </c>
      <c r="F19" s="5"/>
      <c r="G19" s="5"/>
      <c r="H19" s="15"/>
      <c r="I19" s="5"/>
      <c r="J19" s="5"/>
    </row>
    <row r="20" spans="1:10" ht="15.75" customHeight="1">
      <c r="A20" s="78" t="s">
        <v>137</v>
      </c>
      <c r="B20" s="38" t="s">
        <v>36</v>
      </c>
      <c r="C20" s="75">
        <v>419.78049848550336</v>
      </c>
      <c r="D20" s="32" t="s">
        <v>162</v>
      </c>
      <c r="E20" s="32" t="s">
        <v>64</v>
      </c>
      <c r="F20" s="5"/>
      <c r="G20" s="5"/>
      <c r="H20" s="15"/>
      <c r="I20" s="5"/>
      <c r="J20" s="5"/>
    </row>
    <row r="21" spans="1:10" ht="15.75" customHeight="1">
      <c r="A21" s="78" t="s">
        <v>163</v>
      </c>
      <c r="B21" s="38" t="s">
        <v>47</v>
      </c>
      <c r="C21" s="75">
        <v>624.04242911442998</v>
      </c>
      <c r="D21" s="32" t="s">
        <v>164</v>
      </c>
      <c r="E21" s="32" t="s">
        <v>65</v>
      </c>
      <c r="F21" s="5"/>
      <c r="G21" s="5"/>
      <c r="H21" s="15"/>
      <c r="I21" s="5"/>
      <c r="J21" s="5"/>
    </row>
    <row r="22" spans="1:10" ht="15.75" customHeight="1">
      <c r="A22" s="78" t="s">
        <v>158</v>
      </c>
      <c r="B22" s="38" t="s">
        <v>38</v>
      </c>
      <c r="C22" s="75">
        <v>169.02116306598234</v>
      </c>
      <c r="D22" s="32" t="s">
        <v>165</v>
      </c>
      <c r="E22" s="32" t="s">
        <v>64</v>
      </c>
      <c r="F22" s="5"/>
      <c r="G22" s="5"/>
      <c r="H22" s="15"/>
      <c r="I22" s="5"/>
      <c r="J22" s="5"/>
    </row>
    <row r="23" spans="1:10" ht="15.75" customHeight="1">
      <c r="A23" s="78" t="s">
        <v>137</v>
      </c>
      <c r="B23" s="38" t="s">
        <v>41</v>
      </c>
      <c r="C23" s="75">
        <v>554.31079562569664</v>
      </c>
      <c r="D23" s="32" t="s">
        <v>166</v>
      </c>
      <c r="E23" s="32" t="s">
        <v>64</v>
      </c>
      <c r="F23" s="5"/>
      <c r="G23" s="5"/>
      <c r="H23" s="15"/>
      <c r="I23" s="5"/>
      <c r="J23" s="5"/>
    </row>
    <row r="24" spans="1:10" ht="15.75" customHeight="1">
      <c r="A24" s="78" t="s">
        <v>167</v>
      </c>
      <c r="B24" s="38" t="s">
        <v>42</v>
      </c>
      <c r="C24" s="75">
        <v>103.35528170019568</v>
      </c>
      <c r="D24" s="32" t="s">
        <v>168</v>
      </c>
      <c r="E24" s="32" t="s">
        <v>65</v>
      </c>
      <c r="F24" s="5"/>
      <c r="G24" s="5"/>
      <c r="H24" s="15"/>
      <c r="I24" s="5"/>
      <c r="J24" s="5"/>
    </row>
    <row r="25" spans="1:10" ht="15.75" customHeight="1">
      <c r="A25" s="78" t="s">
        <v>169</v>
      </c>
      <c r="B25" s="38" t="s">
        <v>31</v>
      </c>
      <c r="C25" s="75">
        <v>46.201977198709301</v>
      </c>
      <c r="D25" s="32" t="s">
        <v>170</v>
      </c>
      <c r="E25" s="32" t="s">
        <v>64</v>
      </c>
      <c r="F25" s="5"/>
      <c r="G25" s="5"/>
      <c r="H25" s="15"/>
      <c r="I25" s="5"/>
      <c r="J25" s="5"/>
    </row>
    <row r="26" spans="1:10" ht="15.75" customHeight="1">
      <c r="A26" s="78" t="s">
        <v>171</v>
      </c>
      <c r="B26" s="38" t="s">
        <v>36</v>
      </c>
      <c r="C26" s="75">
        <v>588.68212064829993</v>
      </c>
      <c r="D26" s="32" t="s">
        <v>172</v>
      </c>
      <c r="E26" s="32" t="s">
        <v>64</v>
      </c>
      <c r="F26" s="5"/>
      <c r="G26" s="5"/>
      <c r="H26" s="15"/>
      <c r="I26" s="5"/>
      <c r="J26" s="5"/>
    </row>
    <row r="27" spans="1:10" ht="15.75" customHeight="1">
      <c r="A27" s="78" t="s">
        <v>152</v>
      </c>
      <c r="B27" s="38" t="s">
        <v>109</v>
      </c>
      <c r="C27" s="75">
        <v>435.98691658291665</v>
      </c>
      <c r="D27" s="32" t="s">
        <v>173</v>
      </c>
      <c r="E27" s="32" t="s">
        <v>64</v>
      </c>
      <c r="F27" s="5"/>
      <c r="G27" s="5"/>
      <c r="H27" s="15"/>
      <c r="I27" s="5"/>
      <c r="J27" s="5"/>
    </row>
    <row r="28" spans="1:10" ht="15.75" customHeight="1">
      <c r="A28" s="78" t="s">
        <v>174</v>
      </c>
      <c r="B28" s="38" t="s">
        <v>42</v>
      </c>
      <c r="C28" s="75">
        <v>88.980883727796325</v>
      </c>
      <c r="D28" s="32" t="s">
        <v>175</v>
      </c>
      <c r="E28" s="32" t="s">
        <v>65</v>
      </c>
      <c r="F28" s="5"/>
      <c r="G28" s="5"/>
      <c r="H28" s="15"/>
      <c r="I28" s="5"/>
      <c r="J28" s="5"/>
    </row>
    <row r="29" spans="1:10" ht="15.75" customHeight="1">
      <c r="A29" s="78" t="s">
        <v>132</v>
      </c>
      <c r="B29" s="38" t="s">
        <v>43</v>
      </c>
      <c r="C29" s="75">
        <v>197.67507010982067</v>
      </c>
      <c r="D29" s="32" t="s">
        <v>176</v>
      </c>
      <c r="E29" s="32" t="s">
        <v>65</v>
      </c>
      <c r="F29" s="5"/>
      <c r="G29" s="5"/>
      <c r="H29" s="15"/>
      <c r="I29" s="5"/>
      <c r="J29" s="5"/>
    </row>
    <row r="30" spans="1:10" ht="15.75" customHeight="1">
      <c r="A30" s="78" t="s">
        <v>177</v>
      </c>
      <c r="B30" s="38" t="s">
        <v>41</v>
      </c>
      <c r="C30" s="75">
        <v>1662.93238687709</v>
      </c>
      <c r="D30" s="32" t="s">
        <v>178</v>
      </c>
      <c r="E30" s="32" t="s">
        <v>64</v>
      </c>
      <c r="F30" s="5"/>
      <c r="G30" s="5"/>
      <c r="H30" s="15"/>
      <c r="I30" s="5"/>
      <c r="J30" s="5"/>
    </row>
    <row r="31" spans="1:10" ht="15.75" customHeight="1">
      <c r="A31" s="78" t="s">
        <v>145</v>
      </c>
      <c r="B31" s="38" t="s">
        <v>52</v>
      </c>
      <c r="C31" s="75">
        <v>310.06584510058701</v>
      </c>
      <c r="D31" s="32" t="s">
        <v>179</v>
      </c>
      <c r="E31" s="32" t="s">
        <v>65</v>
      </c>
      <c r="F31" s="5"/>
      <c r="G31" s="5"/>
      <c r="H31" s="15"/>
      <c r="I31" s="5"/>
      <c r="J31" s="5"/>
    </row>
    <row r="32" spans="1:10" ht="15.75" customHeight="1">
      <c r="A32" s="76"/>
      <c r="B32" s="15"/>
      <c r="C32" s="16"/>
      <c r="E32" s="5"/>
      <c r="H32" s="15"/>
    </row>
    <row r="33" spans="1:9" ht="15.75" customHeight="1">
      <c r="A33" s="76"/>
      <c r="B33" s="15"/>
      <c r="C33" s="16"/>
      <c r="E33" s="5"/>
      <c r="H33" s="15"/>
    </row>
    <row r="34" spans="1:9" ht="15.75" customHeight="1">
      <c r="A34" s="76"/>
      <c r="B34" s="15"/>
      <c r="C34" s="16"/>
      <c r="E34" s="5"/>
      <c r="H34" s="15"/>
    </row>
    <row r="35" spans="1:9" ht="15.75" customHeight="1">
      <c r="A35" s="76"/>
      <c r="B35" s="15"/>
      <c r="C35" s="16"/>
      <c r="E35" s="5"/>
      <c r="H35" s="15"/>
    </row>
    <row r="36" spans="1:9" ht="15.75" customHeight="1">
      <c r="A36" s="76"/>
      <c r="B36" s="15"/>
      <c r="C36" s="16"/>
      <c r="E36" s="5"/>
      <c r="H36" s="15"/>
    </row>
    <row r="37" spans="1:9" ht="15.75" customHeight="1">
      <c r="A37" s="76"/>
      <c r="B37" s="15"/>
      <c r="C37" s="16"/>
      <c r="E37" s="5"/>
      <c r="H37" s="15"/>
    </row>
    <row r="38" spans="1:9" ht="15.75" customHeight="1">
      <c r="A38" s="76"/>
      <c r="B38" s="15"/>
      <c r="C38" s="16"/>
      <c r="E38" s="5"/>
      <c r="H38" s="15"/>
    </row>
    <row r="39" spans="1:9" ht="15.75" customHeight="1">
      <c r="A39" s="76"/>
      <c r="B39" s="15"/>
      <c r="C39" s="16"/>
      <c r="E39" s="5"/>
      <c r="H39" s="15"/>
    </row>
    <row r="40" spans="1:9" ht="15.75" customHeight="1">
      <c r="A40" s="76"/>
      <c r="B40" s="15"/>
      <c r="C40" s="16"/>
      <c r="E40" s="5"/>
      <c r="H40" s="15"/>
    </row>
    <row r="41" spans="1:9" ht="15.75" customHeight="1">
      <c r="A41" s="76"/>
      <c r="B41" s="15"/>
      <c r="C41" s="16"/>
      <c r="E41" s="5"/>
      <c r="H41" s="15"/>
    </row>
    <row r="42" spans="1:9" ht="15.75" customHeight="1">
      <c r="A42" s="76"/>
      <c r="B42" s="15"/>
      <c r="C42" s="16"/>
      <c r="E42" s="5"/>
      <c r="H42" s="15"/>
    </row>
    <row r="43" spans="1:9" ht="15.75" customHeight="1">
      <c r="A43" s="76"/>
      <c r="B43" s="15"/>
      <c r="C43" s="16"/>
      <c r="E43" s="5"/>
      <c r="H43" s="15"/>
    </row>
    <row r="44" spans="1:9" ht="15.75" customHeight="1">
      <c r="A44" s="76"/>
      <c r="B44" s="15"/>
      <c r="C44" s="16"/>
      <c r="E44" s="5"/>
      <c r="F44" s="32"/>
      <c r="H44" s="15"/>
      <c r="I44" s="5"/>
    </row>
    <row r="45" spans="1:9" ht="15.75" customHeight="1">
      <c r="A45" s="76"/>
      <c r="B45" s="15"/>
      <c r="C45" s="16"/>
      <c r="E45" s="5"/>
      <c r="F45" s="32"/>
      <c r="H45" s="15"/>
      <c r="I45" s="5"/>
    </row>
    <row r="46" spans="1:9" ht="15.75" customHeight="1">
      <c r="A46" s="76"/>
      <c r="B46" s="15"/>
      <c r="C46" s="16"/>
      <c r="E46" s="5"/>
      <c r="F46" s="32"/>
      <c r="H46" s="15"/>
    </row>
    <row r="47" spans="1:9" ht="15.75" customHeight="1">
      <c r="A47" s="76"/>
      <c r="B47" s="15"/>
      <c r="C47" s="16"/>
      <c r="E47" s="5"/>
      <c r="H47" s="15"/>
    </row>
    <row r="48" spans="1:9" ht="15.75" customHeight="1">
      <c r="A48" s="76"/>
      <c r="B48" s="15"/>
      <c r="C48" s="16"/>
      <c r="E48" s="5"/>
      <c r="H48" s="15"/>
    </row>
    <row r="49" spans="1:8" ht="15.75" customHeight="1">
      <c r="A49" s="76"/>
      <c r="B49" s="15"/>
      <c r="C49" s="16"/>
      <c r="E49" s="5"/>
      <c r="H49" s="15"/>
    </row>
    <row r="50" spans="1:8" ht="15.75" customHeight="1">
      <c r="A50" s="76"/>
      <c r="B50" s="15"/>
      <c r="C50" s="16"/>
      <c r="E50" s="5"/>
      <c r="H50" s="15"/>
    </row>
    <row r="51" spans="1:8" ht="15.75" customHeight="1">
      <c r="A51" s="76"/>
      <c r="B51" s="15"/>
      <c r="C51" s="16"/>
      <c r="E51" s="5"/>
      <c r="H51" s="15"/>
    </row>
    <row r="52" spans="1:8" ht="15.75" customHeight="1">
      <c r="A52" s="76"/>
      <c r="B52" s="15"/>
      <c r="C52" s="16"/>
      <c r="E52" s="5"/>
      <c r="H52" s="15"/>
    </row>
    <row r="53" spans="1:8" ht="15.75" customHeight="1">
      <c r="A53" s="76"/>
      <c r="B53" s="15"/>
      <c r="C53" s="16"/>
      <c r="E53" s="5"/>
      <c r="H53" s="15"/>
    </row>
    <row r="54" spans="1:8" ht="15.75" customHeight="1">
      <c r="A54" s="76"/>
      <c r="B54" s="15"/>
      <c r="C54" s="16"/>
      <c r="E54" s="5"/>
      <c r="H54" s="15"/>
    </row>
    <row r="55" spans="1:8" ht="15.75" customHeight="1">
      <c r="A55" s="76"/>
      <c r="B55" s="15"/>
      <c r="C55" s="16"/>
      <c r="E55" s="5"/>
      <c r="H55" s="15"/>
    </row>
    <row r="56" spans="1:8" ht="15.75" customHeight="1">
      <c r="A56" s="76"/>
      <c r="B56" s="15"/>
      <c r="C56" s="16"/>
      <c r="E56" s="5"/>
      <c r="H56" s="15"/>
    </row>
    <row r="57" spans="1:8" ht="12.5">
      <c r="A57" s="76"/>
      <c r="B57" s="15"/>
      <c r="C57" s="16"/>
      <c r="E57" s="5"/>
      <c r="H57" s="15"/>
    </row>
    <row r="58" spans="1:8" ht="12.5">
      <c r="A58" s="76"/>
      <c r="B58" s="15"/>
      <c r="C58" s="16"/>
      <c r="E58" s="5"/>
      <c r="H58" s="15"/>
    </row>
    <row r="59" spans="1:8" ht="12.5">
      <c r="A59" s="76"/>
      <c r="B59" s="15"/>
      <c r="C59" s="16"/>
      <c r="E59" s="5"/>
      <c r="H59" s="15"/>
    </row>
    <row r="60" spans="1:8" ht="12.5">
      <c r="A60" s="76"/>
      <c r="B60" s="15"/>
      <c r="C60" s="16"/>
      <c r="E60" s="5"/>
      <c r="H60" s="15"/>
    </row>
    <row r="61" spans="1:8" ht="12.5">
      <c r="A61" s="76"/>
      <c r="B61" s="15"/>
      <c r="C61" s="16"/>
      <c r="E61" s="5"/>
      <c r="H61" s="15"/>
    </row>
    <row r="62" spans="1:8" ht="12.5">
      <c r="A62" s="76"/>
      <c r="B62" s="15"/>
      <c r="C62" s="16"/>
      <c r="E62" s="5"/>
      <c r="H62" s="15"/>
    </row>
    <row r="63" spans="1:8" ht="12.5">
      <c r="A63" s="76"/>
      <c r="B63" s="15"/>
      <c r="C63" s="16"/>
      <c r="E63" s="5"/>
      <c r="H63" s="15"/>
    </row>
    <row r="64" spans="1:8" ht="12.5">
      <c r="A64" s="76"/>
      <c r="B64" s="15"/>
      <c r="C64" s="16"/>
      <c r="E64" s="5"/>
      <c r="H64" s="15"/>
    </row>
    <row r="65" spans="1:8" ht="12.5">
      <c r="A65" s="76"/>
      <c r="B65" s="15"/>
      <c r="C65" s="16"/>
      <c r="E65" s="5"/>
      <c r="H65" s="15"/>
    </row>
    <row r="66" spans="1:8" ht="12.5">
      <c r="A66" s="76"/>
      <c r="B66" s="15"/>
      <c r="C66" s="16"/>
      <c r="E66" s="5"/>
      <c r="H66" s="15"/>
    </row>
    <row r="67" spans="1:8" ht="12.5">
      <c r="A67" s="76"/>
      <c r="B67" s="15"/>
      <c r="C67" s="16"/>
      <c r="E67" s="5"/>
      <c r="H67" s="15"/>
    </row>
    <row r="68" spans="1:8" ht="12.5">
      <c r="A68" s="76"/>
      <c r="B68" s="15"/>
      <c r="C68" s="16"/>
      <c r="E68" s="5"/>
      <c r="H68" s="15"/>
    </row>
    <row r="69" spans="1:8" ht="12.5">
      <c r="A69" s="76"/>
      <c r="B69" s="15"/>
      <c r="C69" s="16"/>
      <c r="E69" s="5"/>
      <c r="H69" s="15"/>
    </row>
    <row r="70" spans="1:8" ht="12.5">
      <c r="A70" s="76"/>
      <c r="B70" s="15"/>
      <c r="C70" s="16"/>
      <c r="E70" s="5"/>
      <c r="H70" s="15"/>
    </row>
    <row r="71" spans="1:8" ht="12.5">
      <c r="A71" s="76"/>
      <c r="B71" s="5"/>
      <c r="C71" s="16"/>
      <c r="E71" s="5"/>
    </row>
    <row r="72" spans="1:8" ht="12.5">
      <c r="A72" s="76"/>
      <c r="B72" s="5"/>
      <c r="C72" s="16"/>
      <c r="E72" s="5"/>
    </row>
    <row r="73" spans="1:8" ht="12.5">
      <c r="A73" s="76"/>
      <c r="B73" s="5"/>
      <c r="C73" s="16"/>
      <c r="E73" s="5"/>
    </row>
    <row r="74" spans="1:8" ht="12.5">
      <c r="A74" s="76"/>
      <c r="B74" s="5"/>
      <c r="C74" s="16"/>
      <c r="E74" s="5"/>
    </row>
    <row r="75" spans="1:8" ht="12.5">
      <c r="A75" s="76"/>
      <c r="B75" s="5"/>
      <c r="C75" s="16"/>
      <c r="E75" s="5"/>
    </row>
    <row r="76" spans="1:8" ht="12.5">
      <c r="A76" s="76"/>
      <c r="B76" s="5"/>
      <c r="C76" s="16"/>
      <c r="E76" s="5"/>
    </row>
    <row r="77" spans="1:8" ht="12.5">
      <c r="A77" s="76"/>
      <c r="B77" s="5"/>
      <c r="C77" s="16"/>
      <c r="E77" s="5"/>
    </row>
    <row r="78" spans="1:8" ht="12.5">
      <c r="A78" s="76"/>
      <c r="B78" s="5"/>
      <c r="C78" s="16"/>
      <c r="E78" s="5"/>
    </row>
    <row r="79" spans="1:8" ht="12.5">
      <c r="A79" s="76"/>
      <c r="B79" s="5"/>
      <c r="C79" s="16"/>
      <c r="E79" s="5"/>
    </row>
    <row r="80" spans="1:8" ht="12.5">
      <c r="A80" s="76"/>
      <c r="B80" s="5"/>
      <c r="C80" s="16"/>
      <c r="E80" s="5"/>
    </row>
    <row r="81" spans="1:5" ht="12.5">
      <c r="A81" s="76"/>
      <c r="B81" s="5"/>
      <c r="C81" s="16"/>
      <c r="E81" s="5"/>
    </row>
    <row r="82" spans="1:5" ht="12.5">
      <c r="A82" s="76"/>
      <c r="B82" s="5"/>
      <c r="C82" s="16"/>
      <c r="E82" s="5"/>
    </row>
    <row r="83" spans="1:5" ht="12.5">
      <c r="A83" s="76"/>
      <c r="B83" s="5"/>
      <c r="C83" s="16"/>
      <c r="E83" s="5"/>
    </row>
    <row r="84" spans="1:5" ht="12.5">
      <c r="A84" s="76"/>
      <c r="B84" s="5"/>
      <c r="C84" s="16"/>
      <c r="E84" s="5"/>
    </row>
    <row r="85" spans="1:5" ht="12.5">
      <c r="A85" s="76"/>
      <c r="B85" s="5"/>
      <c r="C85" s="16"/>
      <c r="E85" s="5"/>
    </row>
    <row r="86" spans="1:5" ht="12.5">
      <c r="A86" s="76"/>
      <c r="B86" s="5"/>
      <c r="C86" s="16"/>
      <c r="E86" s="5"/>
    </row>
    <row r="87" spans="1:5" ht="12.5">
      <c r="A87" s="76"/>
      <c r="B87" s="5"/>
      <c r="C87" s="16"/>
      <c r="E87" s="5"/>
    </row>
    <row r="88" spans="1:5" ht="12.5">
      <c r="A88" s="76"/>
      <c r="B88" s="5"/>
      <c r="C88" s="16"/>
      <c r="E88" s="5"/>
    </row>
    <row r="89" spans="1:5" ht="12.5">
      <c r="A89" s="76"/>
      <c r="B89" s="5"/>
      <c r="C89" s="16"/>
      <c r="E89" s="5"/>
    </row>
    <row r="90" spans="1:5" ht="12.5">
      <c r="A90" s="76"/>
      <c r="B90" s="5"/>
      <c r="C90" s="16"/>
      <c r="E90" s="5"/>
    </row>
    <row r="91" spans="1:5" ht="12.5">
      <c r="A91" s="76"/>
      <c r="B91" s="5"/>
      <c r="C91" s="16"/>
      <c r="E91" s="5"/>
    </row>
    <row r="92" spans="1:5" ht="12.5">
      <c r="A92" s="76"/>
      <c r="B92" s="5"/>
      <c r="C92" s="16"/>
      <c r="E92" s="5"/>
    </row>
    <row r="93" spans="1:5" ht="12.5">
      <c r="A93" s="76"/>
      <c r="B93" s="5"/>
      <c r="C93" s="16"/>
      <c r="E93" s="5"/>
    </row>
    <row r="94" spans="1:5" ht="12.5">
      <c r="A94" s="76"/>
      <c r="B94" s="5"/>
      <c r="C94" s="16"/>
      <c r="E94" s="5"/>
    </row>
    <row r="95" spans="1:5" ht="12.5">
      <c r="A95" s="76"/>
      <c r="B95" s="5"/>
      <c r="C95" s="16"/>
      <c r="E95" s="5"/>
    </row>
    <row r="96" spans="1:5" ht="12.5">
      <c r="A96" s="76"/>
      <c r="B96" s="5"/>
      <c r="C96" s="16"/>
      <c r="E96" s="5"/>
    </row>
    <row r="97" spans="1:5" ht="12.5">
      <c r="A97" s="76"/>
      <c r="B97" s="5"/>
      <c r="C97" s="16"/>
      <c r="E97" s="5"/>
    </row>
    <row r="98" spans="1:5" ht="12.5">
      <c r="A98" s="76"/>
      <c r="B98" s="5"/>
      <c r="C98" s="16"/>
      <c r="E98" s="5"/>
    </row>
    <row r="99" spans="1:5" ht="12.5">
      <c r="A99" s="76"/>
      <c r="B99" s="5"/>
      <c r="C99" s="16"/>
      <c r="E99" s="5"/>
    </row>
    <row r="100" spans="1:5" ht="12.5">
      <c r="A100" s="76"/>
      <c r="B100" s="5"/>
      <c r="C100" s="16"/>
      <c r="E100" s="5"/>
    </row>
    <row r="101" spans="1:5" ht="12.5">
      <c r="A101" s="76"/>
      <c r="B101" s="5"/>
      <c r="C101" s="16"/>
      <c r="E101" s="5"/>
    </row>
    <row r="102" spans="1:5" ht="12.5">
      <c r="A102" s="76"/>
      <c r="B102" s="5"/>
      <c r="C102" s="16"/>
      <c r="E102" s="5"/>
    </row>
    <row r="103" spans="1:5" ht="12.5">
      <c r="A103" s="76"/>
      <c r="B103" s="5"/>
      <c r="C103" s="16"/>
      <c r="E103" s="5"/>
    </row>
    <row r="104" spans="1:5" ht="12.5">
      <c r="A104" s="76"/>
      <c r="B104" s="5"/>
      <c r="C104" s="16"/>
      <c r="E104" s="5"/>
    </row>
    <row r="105" spans="1:5" ht="12.5">
      <c r="A105" s="76"/>
      <c r="B105" s="5"/>
      <c r="C105" s="16"/>
      <c r="E105" s="5"/>
    </row>
    <row r="106" spans="1:5" ht="12.5">
      <c r="A106" s="76"/>
      <c r="B106" s="5"/>
      <c r="C106" s="16"/>
      <c r="E106" s="5"/>
    </row>
    <row r="107" spans="1:5" ht="12.5">
      <c r="A107" s="76"/>
      <c r="B107" s="5"/>
      <c r="C107" s="16"/>
      <c r="E107" s="5"/>
    </row>
    <row r="108" spans="1:5" ht="12.5">
      <c r="A108" s="76"/>
      <c r="B108" s="5"/>
      <c r="C108" s="16"/>
      <c r="E108" s="5"/>
    </row>
    <row r="109" spans="1:5" ht="12.5">
      <c r="A109" s="76"/>
      <c r="B109" s="5"/>
      <c r="C109" s="16"/>
      <c r="E109" s="5"/>
    </row>
    <row r="110" spans="1:5" ht="12.5">
      <c r="A110" s="76"/>
      <c r="B110" s="5"/>
      <c r="C110" s="16"/>
      <c r="E110" s="5"/>
    </row>
    <row r="111" spans="1:5" ht="12.5">
      <c r="A111" s="76"/>
      <c r="B111" s="5"/>
      <c r="C111" s="16"/>
      <c r="E111" s="5"/>
    </row>
    <row r="112" spans="1:5" ht="12.5">
      <c r="A112" s="76"/>
      <c r="B112" s="5"/>
      <c r="C112" s="16"/>
      <c r="E112" s="5"/>
    </row>
    <row r="113" spans="1:5" ht="12.5">
      <c r="A113" s="76"/>
      <c r="B113" s="5"/>
      <c r="C113" s="16"/>
      <c r="E113" s="5"/>
    </row>
    <row r="114" spans="1:5" ht="12.5">
      <c r="A114" s="76"/>
      <c r="B114" s="5"/>
      <c r="C114" s="16"/>
      <c r="E114" s="5"/>
    </row>
    <row r="115" spans="1:5" ht="12.5">
      <c r="A115" s="76"/>
      <c r="B115" s="5"/>
      <c r="C115" s="16"/>
      <c r="E115" s="5"/>
    </row>
    <row r="116" spans="1:5" ht="12.5">
      <c r="A116" s="76"/>
      <c r="B116" s="5"/>
      <c r="C116" s="16"/>
      <c r="E116" s="5"/>
    </row>
    <row r="117" spans="1:5" ht="12.5">
      <c r="A117" s="76"/>
      <c r="B117" s="5"/>
      <c r="C117" s="16"/>
      <c r="E117" s="5"/>
    </row>
    <row r="118" spans="1:5" ht="12.5">
      <c r="A118" s="76"/>
      <c r="B118" s="5"/>
      <c r="C118" s="16"/>
      <c r="E118" s="5"/>
    </row>
    <row r="119" spans="1:5" ht="12.5">
      <c r="A119" s="76"/>
      <c r="B119" s="5"/>
      <c r="C119" s="16"/>
      <c r="E119" s="5"/>
    </row>
    <row r="120" spans="1:5" ht="12.5">
      <c r="A120" s="76"/>
      <c r="B120" s="5"/>
      <c r="C120" s="16"/>
      <c r="E120" s="5"/>
    </row>
    <row r="121" spans="1:5" ht="12.5">
      <c r="A121" s="76"/>
      <c r="B121" s="5"/>
      <c r="C121" s="16"/>
      <c r="E121" s="5"/>
    </row>
    <row r="122" spans="1:5" ht="12.5">
      <c r="A122" s="76"/>
      <c r="B122" s="5"/>
      <c r="C122" s="16"/>
      <c r="E122" s="5"/>
    </row>
    <row r="123" spans="1:5" ht="12.5">
      <c r="A123" s="76"/>
      <c r="B123" s="5"/>
      <c r="C123" s="16"/>
      <c r="E123" s="5"/>
    </row>
    <row r="124" spans="1:5" ht="12.5">
      <c r="A124" s="76"/>
      <c r="B124" s="5"/>
      <c r="C124" s="16"/>
      <c r="E124" s="5"/>
    </row>
    <row r="125" spans="1:5" ht="12.5">
      <c r="A125" s="76"/>
      <c r="B125" s="5"/>
      <c r="C125" s="16"/>
      <c r="E125" s="5"/>
    </row>
    <row r="126" spans="1:5" ht="12.5">
      <c r="A126" s="76"/>
      <c r="B126" s="5"/>
      <c r="C126" s="16"/>
      <c r="E126" s="5"/>
    </row>
    <row r="127" spans="1:5" ht="12.5">
      <c r="A127" s="76"/>
      <c r="B127" s="5"/>
      <c r="C127" s="16"/>
      <c r="E127" s="5"/>
    </row>
    <row r="128" spans="1:5" ht="12.5">
      <c r="A128" s="76"/>
      <c r="B128" s="5"/>
      <c r="C128" s="16"/>
      <c r="E128" s="5"/>
    </row>
    <row r="129" spans="1:5" ht="12.5">
      <c r="A129" s="76"/>
      <c r="B129" s="5"/>
      <c r="C129" s="16"/>
      <c r="E129" s="5"/>
    </row>
    <row r="130" spans="1:5" ht="12.5">
      <c r="A130" s="76"/>
      <c r="B130" s="5"/>
      <c r="C130" s="16"/>
      <c r="E130" s="5"/>
    </row>
    <row r="131" spans="1:5" ht="12.5">
      <c r="A131" s="76"/>
      <c r="B131" s="5"/>
      <c r="C131" s="16"/>
      <c r="E131" s="5"/>
    </row>
    <row r="132" spans="1:5" ht="12.5">
      <c r="A132" s="76"/>
      <c r="B132" s="5"/>
      <c r="C132" s="16"/>
      <c r="E132" s="5"/>
    </row>
    <row r="133" spans="1:5" ht="12.5">
      <c r="A133" s="76"/>
      <c r="B133" s="5"/>
      <c r="C133" s="16"/>
      <c r="E133" s="5"/>
    </row>
    <row r="134" spans="1:5" ht="12.5">
      <c r="A134" s="76"/>
      <c r="B134" s="5"/>
      <c r="C134" s="16"/>
      <c r="E134" s="5"/>
    </row>
    <row r="135" spans="1:5" ht="12.5">
      <c r="A135" s="76"/>
      <c r="B135" s="5"/>
      <c r="C135" s="16"/>
      <c r="E135" s="5"/>
    </row>
    <row r="136" spans="1:5" ht="12.5">
      <c r="A136" s="76"/>
      <c r="B136" s="5"/>
      <c r="C136" s="16"/>
      <c r="E136" s="5"/>
    </row>
    <row r="137" spans="1:5" ht="12.5">
      <c r="A137" s="76"/>
      <c r="B137" s="5"/>
      <c r="C137" s="16"/>
      <c r="E137" s="5"/>
    </row>
    <row r="138" spans="1:5" ht="12.5">
      <c r="A138" s="76"/>
      <c r="B138" s="5"/>
      <c r="C138" s="16"/>
      <c r="E138" s="5"/>
    </row>
    <row r="139" spans="1:5" ht="12.5">
      <c r="A139" s="76"/>
      <c r="B139" s="5"/>
      <c r="C139" s="16"/>
      <c r="E139" s="5"/>
    </row>
    <row r="140" spans="1:5" ht="12.5">
      <c r="A140" s="76"/>
      <c r="B140" s="5"/>
      <c r="C140" s="16"/>
      <c r="E140" s="5"/>
    </row>
    <row r="141" spans="1:5" ht="12.5">
      <c r="A141" s="76"/>
      <c r="B141" s="5"/>
      <c r="C141" s="16"/>
      <c r="E141" s="5"/>
    </row>
    <row r="142" spans="1:5" ht="12.5">
      <c r="A142" s="76"/>
      <c r="B142" s="5"/>
      <c r="C142" s="16"/>
      <c r="E142" s="5"/>
    </row>
    <row r="143" spans="1:5" ht="12.5">
      <c r="A143" s="76"/>
      <c r="B143" s="5"/>
      <c r="C143" s="16"/>
      <c r="E143" s="5"/>
    </row>
    <row r="144" spans="1:5" ht="12.5">
      <c r="A144" s="76"/>
      <c r="B144" s="5"/>
      <c r="C144" s="16"/>
      <c r="E144" s="5"/>
    </row>
    <row r="145" spans="1:5" ht="12.5">
      <c r="A145" s="76"/>
      <c r="B145" s="5"/>
      <c r="C145" s="16"/>
      <c r="E145" s="5"/>
    </row>
    <row r="146" spans="1:5" ht="12.5">
      <c r="A146" s="76"/>
      <c r="B146" s="5"/>
      <c r="C146" s="16"/>
      <c r="E146" s="5"/>
    </row>
    <row r="147" spans="1:5" ht="12.5">
      <c r="A147" s="76"/>
      <c r="B147" s="5"/>
      <c r="C147" s="16"/>
      <c r="E147" s="5"/>
    </row>
    <row r="148" spans="1:5" ht="12.5">
      <c r="A148" s="76"/>
      <c r="B148" s="5"/>
      <c r="C148" s="16"/>
      <c r="E148" s="5"/>
    </row>
    <row r="149" spans="1:5" ht="12.5">
      <c r="A149" s="76"/>
      <c r="B149" s="5"/>
      <c r="C149" s="16"/>
      <c r="E149" s="5"/>
    </row>
    <row r="150" spans="1:5" ht="12.5">
      <c r="A150" s="76"/>
      <c r="B150" s="5"/>
      <c r="C150" s="16"/>
      <c r="E150" s="5"/>
    </row>
    <row r="151" spans="1:5" ht="12.5">
      <c r="A151" s="76"/>
      <c r="B151" s="5"/>
      <c r="C151" s="16"/>
      <c r="E151" s="5"/>
    </row>
    <row r="152" spans="1:5" ht="12.5">
      <c r="A152" s="76"/>
      <c r="B152" s="5"/>
      <c r="C152" s="16"/>
      <c r="E152" s="5"/>
    </row>
    <row r="153" spans="1:5" ht="12.5">
      <c r="A153" s="76"/>
      <c r="B153" s="5"/>
      <c r="C153" s="16"/>
      <c r="E153" s="5"/>
    </row>
    <row r="154" spans="1:5" ht="12.5">
      <c r="A154" s="76"/>
      <c r="B154" s="5"/>
      <c r="C154" s="16"/>
      <c r="E154" s="5"/>
    </row>
    <row r="155" spans="1:5" ht="12.5">
      <c r="A155" s="76"/>
      <c r="B155" s="5"/>
      <c r="C155" s="16"/>
      <c r="E155" s="5"/>
    </row>
    <row r="156" spans="1:5" ht="12.5">
      <c r="A156" s="76"/>
      <c r="B156" s="5"/>
      <c r="C156" s="16"/>
      <c r="E156" s="5"/>
    </row>
    <row r="157" spans="1:5" ht="12.5">
      <c r="A157" s="76"/>
      <c r="B157" s="5"/>
      <c r="C157" s="16"/>
      <c r="E157" s="5"/>
    </row>
    <row r="158" spans="1:5" ht="12.5">
      <c r="A158" s="76"/>
      <c r="B158" s="5"/>
      <c r="C158" s="16"/>
      <c r="E158" s="5"/>
    </row>
    <row r="159" spans="1:5" ht="12.5">
      <c r="A159" s="76"/>
      <c r="B159" s="5"/>
      <c r="C159" s="16"/>
      <c r="E159" s="5"/>
    </row>
    <row r="160" spans="1:5" ht="12.5">
      <c r="A160" s="76"/>
      <c r="B160" s="5"/>
      <c r="C160" s="16"/>
      <c r="E160" s="5"/>
    </row>
    <row r="161" spans="1:5" ht="12.5">
      <c r="A161" s="76"/>
      <c r="B161" s="5"/>
      <c r="C161" s="16"/>
      <c r="E161" s="5"/>
    </row>
    <row r="162" spans="1:5" ht="12.5">
      <c r="A162" s="76"/>
      <c r="B162" s="5"/>
      <c r="C162" s="16"/>
      <c r="E162" s="5"/>
    </row>
    <row r="163" spans="1:5" ht="12.5">
      <c r="A163" s="76"/>
      <c r="B163" s="5"/>
      <c r="C163" s="16"/>
      <c r="E163" s="5"/>
    </row>
    <row r="164" spans="1:5" ht="12.5">
      <c r="A164" s="76"/>
      <c r="B164" s="5"/>
      <c r="C164" s="16"/>
      <c r="E164" s="5"/>
    </row>
    <row r="165" spans="1:5" ht="12.5">
      <c r="A165" s="76"/>
      <c r="B165" s="5"/>
      <c r="C165" s="16"/>
      <c r="E165" s="5"/>
    </row>
    <row r="166" spans="1:5" ht="12.5">
      <c r="A166" s="76"/>
      <c r="B166" s="5"/>
      <c r="C166" s="16"/>
      <c r="E166" s="5"/>
    </row>
    <row r="167" spans="1:5" ht="12.5">
      <c r="A167" s="76"/>
      <c r="B167" s="5"/>
      <c r="C167" s="16"/>
      <c r="E167" s="5"/>
    </row>
    <row r="168" spans="1:5" ht="12.5">
      <c r="A168" s="76"/>
      <c r="B168" s="5"/>
      <c r="C168" s="16"/>
      <c r="E168" s="5"/>
    </row>
    <row r="169" spans="1:5" ht="12.5">
      <c r="A169" s="76"/>
      <c r="B169" s="5"/>
      <c r="C169" s="16"/>
      <c r="E169" s="5"/>
    </row>
    <row r="170" spans="1:5" ht="12.5">
      <c r="A170" s="76"/>
      <c r="B170" s="5"/>
      <c r="C170" s="16"/>
      <c r="E170" s="5"/>
    </row>
    <row r="171" spans="1:5" ht="12.5">
      <c r="A171" s="76"/>
      <c r="B171" s="5"/>
      <c r="C171" s="16"/>
      <c r="E171" s="5"/>
    </row>
    <row r="172" spans="1:5" ht="12.5">
      <c r="A172" s="76"/>
      <c r="B172" s="5"/>
      <c r="C172" s="16"/>
      <c r="E172" s="5"/>
    </row>
    <row r="173" spans="1:5" ht="12.5">
      <c r="A173" s="76"/>
      <c r="B173" s="5"/>
      <c r="C173" s="16"/>
      <c r="E173" s="5"/>
    </row>
    <row r="174" spans="1:5" ht="12.5">
      <c r="A174" s="76"/>
      <c r="B174" s="5"/>
      <c r="C174" s="16"/>
      <c r="E174" s="5"/>
    </row>
    <row r="175" spans="1:5" ht="12.5">
      <c r="A175" s="76"/>
      <c r="B175" s="5"/>
      <c r="C175" s="16"/>
      <c r="E175" s="5"/>
    </row>
    <row r="176" spans="1:5" ht="12.5">
      <c r="A176" s="76"/>
      <c r="B176" s="5"/>
      <c r="C176" s="16"/>
      <c r="E176" s="5"/>
    </row>
    <row r="177" spans="1:5" ht="12.5">
      <c r="A177" s="76"/>
      <c r="B177" s="5"/>
      <c r="C177" s="16"/>
      <c r="E177" s="5"/>
    </row>
    <row r="178" spans="1:5" ht="12.5">
      <c r="A178" s="76"/>
      <c r="B178" s="5"/>
      <c r="C178" s="16"/>
      <c r="E178" s="5"/>
    </row>
    <row r="179" spans="1:5" ht="12.5">
      <c r="A179" s="76"/>
      <c r="B179" s="5"/>
      <c r="C179" s="16"/>
      <c r="E179" s="5"/>
    </row>
    <row r="180" spans="1:5" ht="12.5">
      <c r="A180" s="76"/>
      <c r="B180" s="5"/>
      <c r="C180" s="16"/>
      <c r="E180" s="5"/>
    </row>
    <row r="181" spans="1:5" ht="12.5">
      <c r="A181" s="76"/>
      <c r="B181" s="5"/>
      <c r="C181" s="16"/>
      <c r="E181" s="5"/>
    </row>
    <row r="182" spans="1:5" ht="12.5">
      <c r="A182" s="76"/>
      <c r="B182" s="5"/>
      <c r="C182" s="16"/>
      <c r="E182" s="5"/>
    </row>
    <row r="183" spans="1:5" ht="12.5">
      <c r="A183" s="76"/>
      <c r="B183" s="5"/>
      <c r="C183" s="16"/>
      <c r="E183" s="5"/>
    </row>
    <row r="184" spans="1:5" ht="12.5">
      <c r="A184" s="76"/>
      <c r="B184" s="5"/>
      <c r="C184" s="16"/>
      <c r="E184" s="5"/>
    </row>
    <row r="185" spans="1:5" ht="12.5">
      <c r="A185" s="76"/>
      <c r="B185" s="5"/>
      <c r="C185" s="16"/>
      <c r="E185" s="5"/>
    </row>
    <row r="186" spans="1:5" ht="12.5">
      <c r="A186" s="76"/>
      <c r="B186" s="5"/>
      <c r="C186" s="16"/>
      <c r="E186" s="5"/>
    </row>
    <row r="187" spans="1:5" ht="12.5">
      <c r="A187" s="76"/>
      <c r="B187" s="5"/>
      <c r="C187" s="16"/>
      <c r="E187" s="5"/>
    </row>
    <row r="188" spans="1:5" ht="12.5">
      <c r="A188" s="76"/>
      <c r="B188" s="5"/>
      <c r="C188" s="16"/>
      <c r="E188" s="5"/>
    </row>
    <row r="189" spans="1:5" ht="12.5">
      <c r="A189" s="76"/>
      <c r="B189" s="5"/>
      <c r="C189" s="16"/>
      <c r="E189" s="5"/>
    </row>
    <row r="190" spans="1:5" ht="12.5">
      <c r="A190" s="76"/>
      <c r="B190" s="5"/>
      <c r="C190" s="16"/>
      <c r="E190" s="5"/>
    </row>
    <row r="191" spans="1:5" ht="12.5">
      <c r="A191" s="76"/>
      <c r="B191" s="5"/>
      <c r="C191" s="16"/>
      <c r="E191" s="5"/>
    </row>
    <row r="192" spans="1:5" ht="12.5">
      <c r="A192" s="76"/>
      <c r="B192" s="5"/>
      <c r="C192" s="16"/>
      <c r="E192" s="5"/>
    </row>
    <row r="193" spans="1:5" ht="12.5">
      <c r="A193" s="76"/>
      <c r="B193" s="5"/>
      <c r="C193" s="16"/>
      <c r="E193" s="5"/>
    </row>
    <row r="194" spans="1:5" ht="12.5">
      <c r="A194" s="76"/>
      <c r="B194" s="5"/>
      <c r="C194" s="16"/>
      <c r="E194" s="5"/>
    </row>
    <row r="195" spans="1:5" ht="12.5">
      <c r="A195" s="76"/>
      <c r="B195" s="5"/>
      <c r="C195" s="16"/>
      <c r="E195" s="5"/>
    </row>
    <row r="196" spans="1:5" ht="12.5">
      <c r="A196" s="76"/>
      <c r="B196" s="5"/>
      <c r="C196" s="16"/>
      <c r="E196" s="5"/>
    </row>
    <row r="197" spans="1:5" ht="12.5">
      <c r="A197" s="76"/>
      <c r="B197" s="5"/>
      <c r="C197" s="16"/>
      <c r="E197" s="5"/>
    </row>
    <row r="198" spans="1:5" ht="12.5">
      <c r="A198" s="76"/>
      <c r="B198" s="5"/>
      <c r="C198" s="16"/>
      <c r="E198" s="5"/>
    </row>
    <row r="199" spans="1:5" ht="12.5">
      <c r="A199" s="76"/>
      <c r="B199" s="5"/>
      <c r="C199" s="16"/>
      <c r="E199" s="5"/>
    </row>
    <row r="200" spans="1:5" ht="12.5">
      <c r="A200" s="76"/>
      <c r="B200" s="5"/>
      <c r="C200" s="16"/>
      <c r="E200" s="5"/>
    </row>
    <row r="201" spans="1:5" ht="12.5">
      <c r="A201" s="76"/>
      <c r="B201" s="5"/>
      <c r="C201" s="16"/>
      <c r="E201" s="5"/>
    </row>
    <row r="202" spans="1:5" ht="12.5">
      <c r="A202" s="76"/>
      <c r="B202" s="5"/>
      <c r="C202" s="16"/>
      <c r="E202" s="5"/>
    </row>
    <row r="203" spans="1:5" ht="12.5">
      <c r="A203" s="76"/>
      <c r="B203" s="5"/>
      <c r="C203" s="16"/>
      <c r="E203" s="5"/>
    </row>
    <row r="204" spans="1:5" ht="12.5">
      <c r="A204" s="76"/>
      <c r="B204" s="5"/>
      <c r="C204" s="16"/>
      <c r="E204" s="5"/>
    </row>
    <row r="205" spans="1:5" ht="12.5">
      <c r="A205" s="76"/>
      <c r="B205" s="5"/>
      <c r="C205" s="16"/>
      <c r="E205" s="5"/>
    </row>
    <row r="206" spans="1:5" ht="12.5">
      <c r="A206" s="76"/>
      <c r="B206" s="5"/>
      <c r="C206" s="16"/>
      <c r="E206" s="5"/>
    </row>
    <row r="207" spans="1:5" ht="12.5">
      <c r="A207" s="76"/>
      <c r="B207" s="5"/>
      <c r="C207" s="16"/>
      <c r="E207" s="5"/>
    </row>
    <row r="208" spans="1:5" ht="12.5">
      <c r="A208" s="76"/>
      <c r="B208" s="5"/>
      <c r="C208" s="16"/>
      <c r="E208" s="5"/>
    </row>
    <row r="209" spans="1:5" ht="12.5">
      <c r="A209" s="76"/>
      <c r="B209" s="5"/>
      <c r="C209" s="16"/>
      <c r="E209" s="5"/>
    </row>
    <row r="210" spans="1:5" ht="12.5">
      <c r="A210" s="76"/>
      <c r="B210" s="5"/>
      <c r="C210" s="16"/>
      <c r="E210" s="5"/>
    </row>
    <row r="211" spans="1:5" ht="12.5">
      <c r="A211" s="76"/>
      <c r="B211" s="5"/>
      <c r="C211" s="16"/>
      <c r="E211" s="5"/>
    </row>
    <row r="212" spans="1:5" ht="12.5">
      <c r="A212" s="76"/>
      <c r="B212" s="5"/>
      <c r="C212" s="16"/>
      <c r="E212" s="5"/>
    </row>
    <row r="213" spans="1:5" ht="12.5">
      <c r="A213" s="76"/>
      <c r="B213" s="5"/>
      <c r="C213" s="16"/>
      <c r="E213" s="5"/>
    </row>
    <row r="214" spans="1:5" ht="12.5">
      <c r="A214" s="76"/>
      <c r="B214" s="5"/>
      <c r="C214" s="16"/>
      <c r="E214" s="5"/>
    </row>
    <row r="215" spans="1:5" ht="12.5">
      <c r="A215" s="76"/>
      <c r="B215" s="5"/>
      <c r="C215" s="16"/>
      <c r="E215" s="5"/>
    </row>
    <row r="216" spans="1:5" ht="12.5">
      <c r="A216" s="76"/>
      <c r="B216" s="5"/>
      <c r="C216" s="16"/>
      <c r="E216" s="5"/>
    </row>
    <row r="217" spans="1:5" ht="12.5">
      <c r="A217" s="76"/>
      <c r="B217" s="5"/>
      <c r="C217" s="16"/>
      <c r="E217" s="5"/>
    </row>
    <row r="218" spans="1:5" ht="12.5">
      <c r="A218" s="76"/>
      <c r="B218" s="5"/>
      <c r="C218" s="16"/>
      <c r="E218" s="5"/>
    </row>
    <row r="219" spans="1:5" ht="12.5">
      <c r="A219" s="76"/>
      <c r="B219" s="5"/>
      <c r="C219" s="16"/>
      <c r="E219" s="5"/>
    </row>
    <row r="220" spans="1:5" ht="12.5">
      <c r="A220" s="76"/>
      <c r="B220" s="5"/>
      <c r="C220" s="16"/>
      <c r="E220" s="5"/>
    </row>
    <row r="221" spans="1:5" ht="12.5">
      <c r="A221" s="76"/>
      <c r="B221" s="5"/>
      <c r="C221" s="16"/>
      <c r="E221" s="5"/>
    </row>
    <row r="222" spans="1:5" ht="12.5">
      <c r="A222" s="76"/>
      <c r="B222" s="5"/>
      <c r="C222" s="16"/>
      <c r="E222" s="5"/>
    </row>
    <row r="223" spans="1:5" ht="12.5">
      <c r="A223" s="76"/>
      <c r="B223" s="5"/>
      <c r="C223" s="16"/>
      <c r="E223" s="5"/>
    </row>
    <row r="224" spans="1:5" ht="12.5">
      <c r="A224" s="76"/>
      <c r="B224" s="5"/>
      <c r="C224" s="16"/>
      <c r="E224" s="5"/>
    </row>
    <row r="225" spans="1:5" ht="12.5">
      <c r="A225" s="76"/>
      <c r="B225" s="5"/>
      <c r="C225" s="16"/>
      <c r="E225" s="5"/>
    </row>
    <row r="226" spans="1:5" ht="12.5">
      <c r="A226" s="76"/>
      <c r="B226" s="5"/>
      <c r="C226" s="16"/>
      <c r="E226" s="5"/>
    </row>
    <row r="227" spans="1:5" ht="12.5">
      <c r="A227" s="76"/>
      <c r="B227" s="5"/>
      <c r="C227" s="16"/>
      <c r="E227" s="5"/>
    </row>
    <row r="228" spans="1:5" ht="12.5">
      <c r="A228" s="76"/>
      <c r="B228" s="5"/>
      <c r="C228" s="16"/>
      <c r="E228" s="5"/>
    </row>
    <row r="229" spans="1:5" ht="12.5">
      <c r="A229" s="76"/>
      <c r="B229" s="5"/>
      <c r="C229" s="16"/>
      <c r="E229" s="5"/>
    </row>
    <row r="230" spans="1:5" ht="12.5">
      <c r="A230" s="76"/>
      <c r="B230" s="5"/>
      <c r="C230" s="16"/>
      <c r="E230" s="5"/>
    </row>
    <row r="231" spans="1:5" ht="12.5">
      <c r="A231" s="76"/>
      <c r="B231" s="5"/>
      <c r="C231" s="16"/>
      <c r="E231" s="5"/>
    </row>
    <row r="232" spans="1:5" ht="12.5">
      <c r="A232" s="76"/>
      <c r="B232" s="5"/>
      <c r="C232" s="16"/>
      <c r="E232" s="5"/>
    </row>
    <row r="233" spans="1:5" ht="12.5">
      <c r="A233" s="76"/>
      <c r="B233" s="5"/>
      <c r="C233" s="16"/>
      <c r="E233" s="5"/>
    </row>
    <row r="234" spans="1:5" ht="12.5">
      <c r="A234" s="76"/>
      <c r="B234" s="5"/>
      <c r="C234" s="16"/>
      <c r="E234" s="5"/>
    </row>
    <row r="235" spans="1:5" ht="12.5">
      <c r="A235" s="76"/>
      <c r="B235" s="5"/>
      <c r="C235" s="16"/>
      <c r="E235" s="5"/>
    </row>
    <row r="236" spans="1:5" ht="12.5">
      <c r="A236" s="76"/>
      <c r="B236" s="5"/>
      <c r="C236" s="16"/>
      <c r="E236" s="5"/>
    </row>
    <row r="237" spans="1:5" ht="12.5">
      <c r="A237" s="76"/>
      <c r="B237" s="5"/>
      <c r="C237" s="16"/>
      <c r="E237" s="5"/>
    </row>
    <row r="238" spans="1:5" ht="12.5">
      <c r="A238" s="76"/>
      <c r="B238" s="5"/>
      <c r="C238" s="16"/>
      <c r="E238" s="5"/>
    </row>
    <row r="239" spans="1:5" ht="12.5">
      <c r="A239" s="76"/>
      <c r="B239" s="5"/>
      <c r="C239" s="16"/>
      <c r="E239" s="5"/>
    </row>
    <row r="240" spans="1:5" ht="12.5">
      <c r="A240" s="76"/>
      <c r="B240" s="5"/>
      <c r="C240" s="16"/>
      <c r="E240" s="5"/>
    </row>
    <row r="241" spans="1:5" ht="12.5">
      <c r="A241" s="76"/>
      <c r="B241" s="5"/>
      <c r="C241" s="16"/>
      <c r="E241" s="5"/>
    </row>
    <row r="242" spans="1:5" ht="12.5">
      <c r="A242" s="76"/>
      <c r="B242" s="5"/>
      <c r="C242" s="16"/>
      <c r="E242" s="5"/>
    </row>
    <row r="243" spans="1:5" ht="12.5">
      <c r="A243" s="76"/>
      <c r="B243" s="5"/>
      <c r="C243" s="16"/>
      <c r="E243" s="5"/>
    </row>
    <row r="244" spans="1:5" ht="12.5">
      <c r="A244" s="76"/>
      <c r="B244" s="5"/>
      <c r="C244" s="16"/>
      <c r="E244" s="5"/>
    </row>
    <row r="245" spans="1:5" ht="12.5">
      <c r="A245" s="76"/>
      <c r="B245" s="5"/>
      <c r="C245" s="16"/>
      <c r="E245" s="5"/>
    </row>
    <row r="246" spans="1:5" ht="12.5">
      <c r="A246" s="76"/>
      <c r="B246" s="5"/>
      <c r="C246" s="16"/>
      <c r="E246" s="5"/>
    </row>
    <row r="247" spans="1:5" ht="12.5">
      <c r="A247" s="76"/>
      <c r="B247" s="5"/>
      <c r="C247" s="16"/>
      <c r="E247" s="5"/>
    </row>
    <row r="248" spans="1:5" ht="12.5">
      <c r="A248" s="76"/>
      <c r="B248" s="5"/>
      <c r="C248" s="16"/>
      <c r="E248" s="5"/>
    </row>
    <row r="249" spans="1:5" ht="12.5">
      <c r="A249" s="76"/>
      <c r="B249" s="5"/>
      <c r="C249" s="16"/>
      <c r="E249" s="5"/>
    </row>
    <row r="250" spans="1:5" ht="12.5">
      <c r="A250" s="76"/>
      <c r="B250" s="5"/>
      <c r="C250" s="16"/>
      <c r="E250" s="5"/>
    </row>
    <row r="251" spans="1:5" ht="12.5">
      <c r="A251" s="76"/>
      <c r="B251" s="5"/>
      <c r="C251" s="16"/>
      <c r="E251" s="5"/>
    </row>
    <row r="252" spans="1:5" ht="12.5">
      <c r="A252" s="76"/>
      <c r="B252" s="5"/>
      <c r="C252" s="16"/>
      <c r="E252" s="5"/>
    </row>
    <row r="253" spans="1:5" ht="12.5">
      <c r="A253" s="76"/>
      <c r="B253" s="5"/>
      <c r="C253" s="16"/>
      <c r="E253" s="5"/>
    </row>
    <row r="254" spans="1:5" ht="12.5">
      <c r="A254" s="76"/>
      <c r="B254" s="5"/>
      <c r="C254" s="16"/>
      <c r="E254" s="5"/>
    </row>
    <row r="255" spans="1:5" ht="12.5">
      <c r="A255" s="76"/>
      <c r="B255" s="5"/>
      <c r="C255" s="16"/>
      <c r="E255" s="5"/>
    </row>
    <row r="256" spans="1:5" ht="12.5">
      <c r="A256" s="76"/>
      <c r="B256" s="5"/>
      <c r="C256" s="16"/>
      <c r="E256" s="5"/>
    </row>
    <row r="257" spans="1:5" ht="12.5">
      <c r="A257" s="76"/>
      <c r="B257" s="5"/>
      <c r="C257" s="16"/>
      <c r="E257" s="5"/>
    </row>
    <row r="258" spans="1:5" ht="12.5">
      <c r="A258" s="76"/>
      <c r="B258" s="5"/>
      <c r="C258" s="16"/>
      <c r="E258" s="5"/>
    </row>
    <row r="259" spans="1:5" ht="12.5">
      <c r="A259" s="76"/>
      <c r="B259" s="5"/>
      <c r="C259" s="16"/>
      <c r="E259" s="5"/>
    </row>
    <row r="260" spans="1:5" ht="12.5">
      <c r="A260" s="76"/>
      <c r="B260" s="5"/>
      <c r="C260" s="16"/>
      <c r="E260" s="5"/>
    </row>
    <row r="261" spans="1:5" ht="12.5">
      <c r="A261" s="76"/>
      <c r="B261" s="5"/>
      <c r="C261" s="16"/>
      <c r="E261" s="5"/>
    </row>
    <row r="262" spans="1:5" ht="12.5">
      <c r="A262" s="76"/>
      <c r="B262" s="5"/>
      <c r="C262" s="16"/>
      <c r="E262" s="5"/>
    </row>
    <row r="263" spans="1:5" ht="12.5">
      <c r="A263" s="76"/>
      <c r="B263" s="5"/>
      <c r="C263" s="16"/>
      <c r="E263" s="5"/>
    </row>
    <row r="264" spans="1:5" ht="12.5">
      <c r="A264" s="76"/>
      <c r="B264" s="5"/>
      <c r="C264" s="16"/>
      <c r="E264" s="5"/>
    </row>
    <row r="265" spans="1:5" ht="12.5">
      <c r="A265" s="76"/>
      <c r="B265" s="5"/>
      <c r="C265" s="16"/>
      <c r="E265" s="5"/>
    </row>
    <row r="266" spans="1:5" ht="12.5">
      <c r="A266" s="76"/>
      <c r="B266" s="5"/>
      <c r="C266" s="16"/>
      <c r="E266" s="5"/>
    </row>
    <row r="267" spans="1:5" ht="12.5">
      <c r="A267" s="76"/>
      <c r="B267" s="5"/>
      <c r="C267" s="16"/>
      <c r="E267" s="5"/>
    </row>
    <row r="268" spans="1:5" ht="12.5">
      <c r="A268" s="76"/>
      <c r="B268" s="5"/>
      <c r="C268" s="16"/>
      <c r="E268" s="5"/>
    </row>
    <row r="269" spans="1:5" ht="12.5">
      <c r="A269" s="76"/>
      <c r="B269" s="5"/>
      <c r="C269" s="16"/>
      <c r="E269" s="5"/>
    </row>
    <row r="270" spans="1:5" ht="12.5">
      <c r="A270" s="76"/>
      <c r="B270" s="5"/>
      <c r="C270" s="16"/>
      <c r="E270" s="5"/>
    </row>
    <row r="271" spans="1:5" ht="12.5">
      <c r="A271" s="76"/>
      <c r="B271" s="5"/>
      <c r="C271" s="16"/>
      <c r="E271" s="5"/>
    </row>
    <row r="272" spans="1:5" ht="12.5">
      <c r="A272" s="76"/>
      <c r="B272" s="5"/>
      <c r="C272" s="16"/>
      <c r="E272" s="5"/>
    </row>
    <row r="273" spans="1:5" ht="12.5">
      <c r="A273" s="76"/>
      <c r="B273" s="5"/>
      <c r="C273" s="16"/>
      <c r="E273" s="5"/>
    </row>
    <row r="274" spans="1:5" ht="12.5">
      <c r="A274" s="76"/>
      <c r="B274" s="5"/>
      <c r="C274" s="16"/>
      <c r="E274" s="5"/>
    </row>
    <row r="275" spans="1:5" ht="12.5">
      <c r="A275" s="76"/>
      <c r="B275" s="5"/>
      <c r="C275" s="16"/>
      <c r="E275" s="5"/>
    </row>
    <row r="276" spans="1:5" ht="12.5">
      <c r="A276" s="76"/>
      <c r="B276" s="5"/>
      <c r="C276" s="16"/>
      <c r="E276" s="5"/>
    </row>
    <row r="277" spans="1:5" ht="12.5">
      <c r="A277" s="76"/>
      <c r="B277" s="5"/>
      <c r="C277" s="16"/>
      <c r="E277" s="5"/>
    </row>
    <row r="278" spans="1:5" ht="12.5">
      <c r="A278" s="76"/>
      <c r="B278" s="5"/>
      <c r="C278" s="16"/>
      <c r="E278" s="5"/>
    </row>
    <row r="279" spans="1:5" ht="12.5">
      <c r="A279" s="76"/>
      <c r="B279" s="5"/>
      <c r="C279" s="16"/>
      <c r="E279" s="5"/>
    </row>
    <row r="280" spans="1:5" ht="12.5">
      <c r="A280" s="76"/>
      <c r="B280" s="5"/>
      <c r="C280" s="16"/>
      <c r="E280" s="5"/>
    </row>
    <row r="281" spans="1:5" ht="12.5">
      <c r="A281" s="76"/>
      <c r="B281" s="5"/>
      <c r="C281" s="16"/>
      <c r="E281" s="5"/>
    </row>
    <row r="282" spans="1:5" ht="12.5">
      <c r="A282" s="76"/>
      <c r="B282" s="5"/>
      <c r="C282" s="16"/>
      <c r="E282" s="5"/>
    </row>
    <row r="283" spans="1:5" ht="12.5">
      <c r="A283" s="76"/>
      <c r="B283" s="5"/>
      <c r="C283" s="16"/>
      <c r="E283" s="5"/>
    </row>
    <row r="284" spans="1:5" ht="12.5">
      <c r="A284" s="76"/>
      <c r="B284" s="5"/>
      <c r="C284" s="16"/>
      <c r="E284" s="5"/>
    </row>
    <row r="285" spans="1:5" ht="12.5">
      <c r="A285" s="76"/>
      <c r="B285" s="5"/>
      <c r="C285" s="16"/>
      <c r="E285" s="5"/>
    </row>
    <row r="286" spans="1:5" ht="12.5">
      <c r="A286" s="76"/>
      <c r="B286" s="5"/>
      <c r="C286" s="16"/>
      <c r="E286" s="5"/>
    </row>
    <row r="287" spans="1:5" ht="12.5">
      <c r="A287" s="76"/>
      <c r="B287" s="5"/>
      <c r="C287" s="16"/>
      <c r="E287" s="5"/>
    </row>
    <row r="288" spans="1:5" ht="12.5">
      <c r="A288" s="76"/>
      <c r="B288" s="5"/>
      <c r="C288" s="16"/>
      <c r="E288" s="5"/>
    </row>
    <row r="289" spans="1:5" ht="12.5">
      <c r="A289" s="76"/>
      <c r="B289" s="5"/>
      <c r="C289" s="16"/>
      <c r="E289" s="5"/>
    </row>
    <row r="290" spans="1:5" ht="12.5">
      <c r="A290" s="76"/>
      <c r="B290" s="5"/>
      <c r="C290" s="16"/>
      <c r="E290" s="5"/>
    </row>
    <row r="291" spans="1:5" ht="12.5">
      <c r="A291" s="76"/>
      <c r="B291" s="5"/>
      <c r="C291" s="16"/>
      <c r="E291" s="5"/>
    </row>
    <row r="292" spans="1:5" ht="12.5">
      <c r="A292" s="76"/>
      <c r="B292" s="5"/>
      <c r="C292" s="16"/>
      <c r="E292" s="5"/>
    </row>
    <row r="293" spans="1:5" ht="12.5">
      <c r="A293" s="76"/>
      <c r="B293" s="5"/>
      <c r="C293" s="16"/>
      <c r="E293" s="5"/>
    </row>
    <row r="294" spans="1:5" ht="12.5">
      <c r="A294" s="76"/>
      <c r="B294" s="5"/>
      <c r="C294" s="16"/>
      <c r="E294" s="5"/>
    </row>
    <row r="295" spans="1:5" ht="12.5">
      <c r="A295" s="76"/>
      <c r="B295" s="5"/>
      <c r="C295" s="16"/>
      <c r="E295" s="5"/>
    </row>
    <row r="296" spans="1:5" ht="12.5">
      <c r="A296" s="76"/>
      <c r="B296" s="5"/>
      <c r="C296" s="16"/>
      <c r="E296" s="5"/>
    </row>
    <row r="297" spans="1:5" ht="12.5">
      <c r="A297" s="76"/>
      <c r="B297" s="5"/>
      <c r="C297" s="16"/>
      <c r="E297" s="5"/>
    </row>
    <row r="298" spans="1:5" ht="12.5">
      <c r="A298" s="76"/>
      <c r="B298" s="5"/>
      <c r="C298" s="16"/>
      <c r="E298" s="5"/>
    </row>
    <row r="299" spans="1:5" ht="12.5">
      <c r="A299" s="76"/>
      <c r="B299" s="5"/>
      <c r="C299" s="16"/>
      <c r="E299" s="5"/>
    </row>
    <row r="300" spans="1:5" ht="12.5">
      <c r="A300" s="76"/>
      <c r="B300" s="5"/>
      <c r="C300" s="16"/>
      <c r="E300" s="5"/>
    </row>
    <row r="301" spans="1:5" ht="12.5">
      <c r="A301" s="76"/>
      <c r="B301" s="5"/>
      <c r="C301" s="16"/>
      <c r="E301" s="5"/>
    </row>
    <row r="302" spans="1:5" ht="12.5">
      <c r="A302" s="76"/>
      <c r="B302" s="5"/>
      <c r="C302" s="16"/>
      <c r="E302" s="5"/>
    </row>
    <row r="303" spans="1:5" ht="12.5">
      <c r="A303" s="76"/>
      <c r="B303" s="5"/>
      <c r="C303" s="16"/>
      <c r="E303" s="5"/>
    </row>
    <row r="304" spans="1:5" ht="12.5">
      <c r="A304" s="76"/>
      <c r="B304" s="5"/>
      <c r="C304" s="16"/>
      <c r="E304" s="5"/>
    </row>
    <row r="305" spans="1:5" ht="12.5">
      <c r="A305" s="76"/>
      <c r="B305" s="5"/>
      <c r="C305" s="16"/>
      <c r="E305" s="5"/>
    </row>
    <row r="306" spans="1:5" ht="12.5">
      <c r="A306" s="76"/>
      <c r="B306" s="5"/>
      <c r="C306" s="16"/>
      <c r="E306" s="5"/>
    </row>
    <row r="307" spans="1:5" ht="12.5">
      <c r="A307" s="76"/>
      <c r="B307" s="5"/>
      <c r="C307" s="16"/>
      <c r="E307" s="5"/>
    </row>
    <row r="308" spans="1:5" ht="12.5">
      <c r="A308" s="76"/>
      <c r="B308" s="5"/>
      <c r="C308" s="16"/>
      <c r="E308" s="5"/>
    </row>
    <row r="309" spans="1:5" ht="12.5">
      <c r="A309" s="76"/>
      <c r="B309" s="5"/>
      <c r="C309" s="16"/>
      <c r="E309" s="5"/>
    </row>
    <row r="310" spans="1:5" ht="12.5">
      <c r="A310" s="76"/>
      <c r="B310" s="5"/>
      <c r="C310" s="16"/>
      <c r="E310" s="5"/>
    </row>
    <row r="311" spans="1:5" ht="12.5">
      <c r="A311" s="76"/>
      <c r="B311" s="5"/>
      <c r="C311" s="16"/>
      <c r="E311" s="5"/>
    </row>
    <row r="312" spans="1:5" ht="12.5">
      <c r="A312" s="76"/>
      <c r="B312" s="5"/>
      <c r="C312" s="16"/>
      <c r="E312" s="5"/>
    </row>
    <row r="313" spans="1:5" ht="12.5">
      <c r="A313" s="76"/>
      <c r="B313" s="5"/>
      <c r="C313" s="16"/>
      <c r="E313" s="5"/>
    </row>
    <row r="314" spans="1:5" ht="12.5">
      <c r="A314" s="76"/>
      <c r="B314" s="5"/>
      <c r="C314" s="16"/>
      <c r="E314" s="5"/>
    </row>
    <row r="315" spans="1:5" ht="12.5">
      <c r="A315" s="76"/>
      <c r="B315" s="5"/>
      <c r="C315" s="16"/>
      <c r="E315" s="5"/>
    </row>
    <row r="316" spans="1:5" ht="12.5">
      <c r="A316" s="76"/>
      <c r="B316" s="5"/>
      <c r="C316" s="16"/>
      <c r="E316" s="5"/>
    </row>
    <row r="317" spans="1:5" ht="12.5">
      <c r="A317" s="76"/>
      <c r="B317" s="5"/>
      <c r="C317" s="16"/>
      <c r="E317" s="5"/>
    </row>
    <row r="318" spans="1:5" ht="12.5">
      <c r="A318" s="76"/>
      <c r="B318" s="5"/>
      <c r="C318" s="16"/>
      <c r="E318" s="5"/>
    </row>
    <row r="319" spans="1:5" ht="12.5">
      <c r="A319" s="76"/>
      <c r="B319" s="5"/>
      <c r="C319" s="16"/>
      <c r="E319" s="5"/>
    </row>
    <row r="320" spans="1:5" ht="12.5">
      <c r="A320" s="76"/>
      <c r="B320" s="5"/>
      <c r="C320" s="16"/>
      <c r="E320" s="5"/>
    </row>
    <row r="321" spans="1:5" ht="12.5">
      <c r="A321" s="76"/>
      <c r="B321" s="5"/>
      <c r="C321" s="16"/>
      <c r="E321" s="5"/>
    </row>
    <row r="322" spans="1:5" ht="12.5">
      <c r="A322" s="76"/>
      <c r="B322" s="5"/>
      <c r="C322" s="16"/>
      <c r="E322" s="5"/>
    </row>
    <row r="323" spans="1:5" ht="12.5">
      <c r="A323" s="76"/>
      <c r="B323" s="5"/>
      <c r="C323" s="16"/>
      <c r="E323" s="5"/>
    </row>
    <row r="324" spans="1:5" ht="12.5">
      <c r="A324" s="76"/>
      <c r="B324" s="5"/>
      <c r="C324" s="16"/>
      <c r="E324" s="5"/>
    </row>
    <row r="325" spans="1:5" ht="12.5">
      <c r="A325" s="76"/>
      <c r="B325" s="5"/>
      <c r="C325" s="16"/>
      <c r="E325" s="5"/>
    </row>
    <row r="326" spans="1:5" ht="12.5">
      <c r="A326" s="76"/>
      <c r="B326" s="5"/>
      <c r="C326" s="16"/>
      <c r="E326" s="5"/>
    </row>
    <row r="327" spans="1:5" ht="12.5">
      <c r="A327" s="76"/>
      <c r="B327" s="5"/>
      <c r="C327" s="16"/>
      <c r="E327" s="5"/>
    </row>
    <row r="328" spans="1:5" ht="12.5">
      <c r="A328" s="76"/>
      <c r="B328" s="5"/>
      <c r="C328" s="16"/>
      <c r="E328" s="5"/>
    </row>
    <row r="329" spans="1:5" ht="12.5">
      <c r="A329" s="76"/>
      <c r="B329" s="5"/>
      <c r="C329" s="16"/>
      <c r="E329" s="5"/>
    </row>
    <row r="330" spans="1:5" ht="12.5">
      <c r="A330" s="76"/>
      <c r="B330" s="5"/>
      <c r="C330" s="16"/>
      <c r="E330" s="5"/>
    </row>
    <row r="331" spans="1:5" ht="12.5">
      <c r="A331" s="76"/>
      <c r="B331" s="5"/>
      <c r="C331" s="16"/>
      <c r="E331" s="5"/>
    </row>
    <row r="332" spans="1:5" ht="12.5">
      <c r="A332" s="76"/>
      <c r="B332" s="5"/>
      <c r="C332" s="16"/>
      <c r="E332" s="5"/>
    </row>
    <row r="333" spans="1:5" ht="12.5">
      <c r="A333" s="76"/>
      <c r="B333" s="5"/>
      <c r="C333" s="16"/>
      <c r="E333" s="5"/>
    </row>
    <row r="334" spans="1:5" ht="12.5">
      <c r="A334" s="76"/>
      <c r="B334" s="5"/>
      <c r="C334" s="16"/>
      <c r="E334" s="5"/>
    </row>
    <row r="335" spans="1:5" ht="12.5">
      <c r="A335" s="76"/>
      <c r="B335" s="5"/>
      <c r="C335" s="16"/>
      <c r="E335" s="5"/>
    </row>
    <row r="336" spans="1:5" ht="12.5">
      <c r="A336" s="76"/>
      <c r="B336" s="5"/>
      <c r="C336" s="16"/>
      <c r="E336" s="5"/>
    </row>
    <row r="337" spans="1:5" ht="12.5">
      <c r="A337" s="76"/>
      <c r="B337" s="5"/>
      <c r="C337" s="16"/>
      <c r="E337" s="5"/>
    </row>
    <row r="338" spans="1:5" ht="12.5">
      <c r="A338" s="76"/>
      <c r="B338" s="5"/>
      <c r="C338" s="16"/>
      <c r="E338" s="5"/>
    </row>
    <row r="339" spans="1:5" ht="12.5">
      <c r="A339" s="76"/>
      <c r="B339" s="5"/>
      <c r="C339" s="16"/>
      <c r="E339" s="5"/>
    </row>
    <row r="340" spans="1:5" ht="12.5">
      <c r="A340" s="76"/>
      <c r="B340" s="5"/>
      <c r="C340" s="16"/>
      <c r="E340" s="5"/>
    </row>
    <row r="341" spans="1:5" ht="12.5">
      <c r="A341" s="76"/>
      <c r="B341" s="5"/>
      <c r="C341" s="16"/>
      <c r="E341" s="5"/>
    </row>
    <row r="342" spans="1:5" ht="12.5">
      <c r="A342" s="76"/>
      <c r="B342" s="5"/>
      <c r="C342" s="16"/>
      <c r="E342" s="5"/>
    </row>
    <row r="343" spans="1:5" ht="12.5">
      <c r="A343" s="76"/>
      <c r="B343" s="5"/>
      <c r="C343" s="16"/>
      <c r="E343" s="5"/>
    </row>
    <row r="344" spans="1:5" ht="12.5">
      <c r="A344" s="76"/>
      <c r="B344" s="5"/>
      <c r="C344" s="16"/>
      <c r="E344" s="5"/>
    </row>
    <row r="345" spans="1:5" ht="12.5">
      <c r="A345" s="76"/>
      <c r="B345" s="5"/>
      <c r="C345" s="16"/>
      <c r="E345" s="5"/>
    </row>
    <row r="346" spans="1:5" ht="12.5">
      <c r="A346" s="76"/>
      <c r="B346" s="5"/>
      <c r="C346" s="16"/>
      <c r="E346" s="5"/>
    </row>
    <row r="347" spans="1:5" ht="12.5">
      <c r="A347" s="76"/>
      <c r="B347" s="5"/>
      <c r="C347" s="16"/>
      <c r="E347" s="5"/>
    </row>
    <row r="348" spans="1:5" ht="12.5">
      <c r="A348" s="76"/>
      <c r="B348" s="5"/>
      <c r="C348" s="16"/>
      <c r="E348" s="5"/>
    </row>
    <row r="349" spans="1:5" ht="12.5">
      <c r="A349" s="76"/>
      <c r="B349" s="5"/>
      <c r="C349" s="16"/>
      <c r="E349" s="5"/>
    </row>
    <row r="350" spans="1:5" ht="12.5">
      <c r="A350" s="76"/>
      <c r="B350" s="5"/>
      <c r="C350" s="16"/>
      <c r="E350" s="5"/>
    </row>
    <row r="351" spans="1:5" ht="12.5">
      <c r="A351" s="76"/>
      <c r="B351" s="5"/>
      <c r="C351" s="16"/>
      <c r="E351" s="5"/>
    </row>
    <row r="352" spans="1:5" ht="12.5">
      <c r="A352" s="76"/>
      <c r="B352" s="5"/>
      <c r="C352" s="16"/>
      <c r="E352" s="5"/>
    </row>
    <row r="353" spans="1:5" ht="12.5">
      <c r="A353" s="76"/>
      <c r="B353" s="5"/>
      <c r="C353" s="16"/>
      <c r="E353" s="5"/>
    </row>
    <row r="354" spans="1:5" ht="12.5">
      <c r="A354" s="76"/>
      <c r="B354" s="5"/>
      <c r="C354" s="16"/>
      <c r="E354" s="5"/>
    </row>
    <row r="355" spans="1:5" ht="12.5">
      <c r="A355" s="76"/>
      <c r="B355" s="5"/>
      <c r="C355" s="16"/>
      <c r="E355" s="5"/>
    </row>
    <row r="356" spans="1:5" ht="12.5">
      <c r="A356" s="76"/>
      <c r="B356" s="5"/>
      <c r="C356" s="16"/>
      <c r="E356" s="5"/>
    </row>
    <row r="357" spans="1:5" ht="12.5">
      <c r="A357" s="76"/>
      <c r="B357" s="5"/>
      <c r="C357" s="16"/>
      <c r="E357" s="5"/>
    </row>
    <row r="358" spans="1:5" ht="12.5">
      <c r="A358" s="76"/>
      <c r="B358" s="5"/>
      <c r="C358" s="16"/>
      <c r="E358" s="5"/>
    </row>
    <row r="359" spans="1:5" ht="12.5">
      <c r="A359" s="76"/>
      <c r="B359" s="5"/>
      <c r="C359" s="16"/>
      <c r="E359" s="5"/>
    </row>
    <row r="360" spans="1:5" ht="12.5">
      <c r="A360" s="76"/>
      <c r="B360" s="5"/>
      <c r="C360" s="16"/>
      <c r="E360" s="5"/>
    </row>
    <row r="361" spans="1:5" ht="12.5">
      <c r="A361" s="76"/>
      <c r="B361" s="5"/>
      <c r="C361" s="16"/>
      <c r="E361" s="5"/>
    </row>
    <row r="362" spans="1:5" ht="12.5">
      <c r="A362" s="76"/>
      <c r="B362" s="5"/>
      <c r="C362" s="16"/>
      <c r="E362" s="5"/>
    </row>
    <row r="363" spans="1:5" ht="12.5">
      <c r="A363" s="76"/>
      <c r="B363" s="5"/>
      <c r="C363" s="16"/>
      <c r="E363" s="5"/>
    </row>
    <row r="364" spans="1:5" ht="12.5">
      <c r="A364" s="76"/>
      <c r="B364" s="5"/>
      <c r="C364" s="16"/>
      <c r="E364" s="5"/>
    </row>
    <row r="365" spans="1:5" ht="12.5">
      <c r="A365" s="76"/>
      <c r="B365" s="5"/>
      <c r="C365" s="16"/>
      <c r="E365" s="5"/>
    </row>
    <row r="366" spans="1:5" ht="12.5">
      <c r="A366" s="76"/>
      <c r="B366" s="5"/>
      <c r="C366" s="16"/>
      <c r="E366" s="5"/>
    </row>
    <row r="367" spans="1:5" ht="12.5">
      <c r="A367" s="76"/>
      <c r="B367" s="5"/>
      <c r="C367" s="16"/>
      <c r="E367" s="5"/>
    </row>
    <row r="368" spans="1:5" ht="12.5">
      <c r="A368" s="76"/>
      <c r="B368" s="5"/>
      <c r="C368" s="16"/>
      <c r="E368" s="5"/>
    </row>
    <row r="369" spans="1:5" ht="12.5">
      <c r="A369" s="76"/>
      <c r="B369" s="5"/>
      <c r="C369" s="16"/>
      <c r="E369" s="5"/>
    </row>
    <row r="370" spans="1:5" ht="12.5">
      <c r="A370" s="76"/>
      <c r="B370" s="5"/>
      <c r="C370" s="16"/>
      <c r="E370" s="5"/>
    </row>
    <row r="371" spans="1:5" ht="12.5">
      <c r="A371" s="76"/>
      <c r="B371" s="5"/>
      <c r="C371" s="16"/>
      <c r="E371" s="5"/>
    </row>
    <row r="372" spans="1:5" ht="12.5">
      <c r="A372" s="76"/>
      <c r="B372" s="5"/>
      <c r="C372" s="16"/>
      <c r="E372" s="5"/>
    </row>
    <row r="373" spans="1:5" ht="12.5">
      <c r="A373" s="76"/>
      <c r="B373" s="5"/>
      <c r="C373" s="16"/>
      <c r="E373" s="5"/>
    </row>
    <row r="374" spans="1:5" ht="12.5">
      <c r="A374" s="76"/>
      <c r="B374" s="5"/>
      <c r="C374" s="16"/>
      <c r="E374" s="5"/>
    </row>
    <row r="375" spans="1:5" ht="12.5">
      <c r="A375" s="76"/>
      <c r="B375" s="5"/>
      <c r="C375" s="16"/>
      <c r="E375" s="5"/>
    </row>
    <row r="376" spans="1:5" ht="12.5">
      <c r="A376" s="76"/>
      <c r="B376" s="5"/>
      <c r="C376" s="16"/>
      <c r="E376" s="5"/>
    </row>
    <row r="377" spans="1:5" ht="12.5">
      <c r="A377" s="76"/>
      <c r="B377" s="5"/>
      <c r="C377" s="16"/>
      <c r="E377" s="5"/>
    </row>
    <row r="378" spans="1:5" ht="12.5">
      <c r="A378" s="76"/>
      <c r="B378" s="5"/>
      <c r="C378" s="16"/>
      <c r="E378" s="5"/>
    </row>
    <row r="379" spans="1:5" ht="12.5">
      <c r="A379" s="76"/>
      <c r="B379" s="5"/>
      <c r="C379" s="16"/>
      <c r="E379" s="5"/>
    </row>
    <row r="380" spans="1:5" ht="12.5">
      <c r="A380" s="76"/>
      <c r="B380" s="5"/>
      <c r="C380" s="16"/>
      <c r="E380" s="5"/>
    </row>
    <row r="381" spans="1:5" ht="12.5">
      <c r="A381" s="76"/>
      <c r="B381" s="5"/>
      <c r="C381" s="16"/>
      <c r="E381" s="5"/>
    </row>
    <row r="382" spans="1:5" ht="12.5">
      <c r="A382" s="76"/>
      <c r="B382" s="5"/>
      <c r="C382" s="16"/>
      <c r="E382" s="5"/>
    </row>
    <row r="383" spans="1:5" ht="12.5">
      <c r="A383" s="76"/>
      <c r="B383" s="5"/>
      <c r="C383" s="16"/>
      <c r="E383" s="5"/>
    </row>
    <row r="384" spans="1:5" ht="12.5">
      <c r="A384" s="76"/>
      <c r="B384" s="5"/>
      <c r="C384" s="16"/>
      <c r="E384" s="5"/>
    </row>
    <row r="385" spans="1:5" ht="12.5">
      <c r="A385" s="76"/>
      <c r="B385" s="5"/>
      <c r="C385" s="16"/>
      <c r="E385" s="5"/>
    </row>
    <row r="386" spans="1:5" ht="12.5">
      <c r="A386" s="76"/>
      <c r="B386" s="5"/>
      <c r="C386" s="16"/>
      <c r="E386" s="5"/>
    </row>
    <row r="387" spans="1:5" ht="12.5">
      <c r="A387" s="76"/>
      <c r="B387" s="5"/>
      <c r="C387" s="16"/>
      <c r="E387" s="5"/>
    </row>
    <row r="388" spans="1:5" ht="12.5">
      <c r="A388" s="76"/>
      <c r="B388" s="5"/>
      <c r="C388" s="16"/>
      <c r="E388" s="5"/>
    </row>
    <row r="389" spans="1:5" ht="12.5">
      <c r="A389" s="76"/>
      <c r="B389" s="5"/>
      <c r="C389" s="16"/>
      <c r="E389" s="5"/>
    </row>
    <row r="390" spans="1:5" ht="12.5">
      <c r="A390" s="76"/>
      <c r="B390" s="5"/>
      <c r="C390" s="16"/>
      <c r="E390" s="5"/>
    </row>
    <row r="391" spans="1:5" ht="12.5">
      <c r="A391" s="76"/>
      <c r="B391" s="5"/>
      <c r="C391" s="16"/>
      <c r="E391" s="5"/>
    </row>
    <row r="392" spans="1:5" ht="12.5">
      <c r="A392" s="76"/>
      <c r="B392" s="5"/>
      <c r="C392" s="16"/>
      <c r="E392" s="5"/>
    </row>
    <row r="393" spans="1:5" ht="12.5">
      <c r="A393" s="76"/>
      <c r="B393" s="5"/>
      <c r="C393" s="16"/>
      <c r="E393" s="5"/>
    </row>
    <row r="394" spans="1:5" ht="12.5">
      <c r="A394" s="76"/>
      <c r="B394" s="5"/>
      <c r="C394" s="16"/>
      <c r="E394" s="5"/>
    </row>
    <row r="395" spans="1:5" ht="12.5">
      <c r="A395" s="76"/>
      <c r="B395" s="5"/>
      <c r="C395" s="16"/>
      <c r="E395" s="5"/>
    </row>
    <row r="396" spans="1:5" ht="12.5">
      <c r="A396" s="76"/>
      <c r="B396" s="5"/>
      <c r="C396" s="16"/>
      <c r="E396" s="5"/>
    </row>
    <row r="397" spans="1:5" ht="12.5">
      <c r="A397" s="76"/>
      <c r="B397" s="5"/>
      <c r="C397" s="16"/>
      <c r="E397" s="5"/>
    </row>
    <row r="398" spans="1:5" ht="12.5">
      <c r="A398" s="76"/>
      <c r="B398" s="5"/>
      <c r="C398" s="16"/>
      <c r="E398" s="5"/>
    </row>
    <row r="399" spans="1:5" ht="12.5">
      <c r="A399" s="76"/>
      <c r="B399" s="5"/>
      <c r="C399" s="16"/>
      <c r="E399" s="5"/>
    </row>
    <row r="400" spans="1:5" ht="12.5">
      <c r="A400" s="76"/>
      <c r="B400" s="5"/>
      <c r="C400" s="16"/>
      <c r="E400" s="5"/>
    </row>
    <row r="401" spans="1:5" ht="12.5">
      <c r="A401" s="76"/>
      <c r="B401" s="5"/>
      <c r="C401" s="16"/>
      <c r="E401" s="5"/>
    </row>
    <row r="402" spans="1:5" ht="12.5">
      <c r="A402" s="76"/>
      <c r="B402" s="5"/>
      <c r="C402" s="16"/>
      <c r="E402" s="5"/>
    </row>
    <row r="403" spans="1:5" ht="12.5">
      <c r="A403" s="76"/>
      <c r="B403" s="5"/>
      <c r="C403" s="16"/>
      <c r="E403" s="5"/>
    </row>
    <row r="404" spans="1:5" ht="12.5">
      <c r="A404" s="76"/>
      <c r="B404" s="5"/>
      <c r="C404" s="16"/>
      <c r="E404" s="5"/>
    </row>
    <row r="405" spans="1:5" ht="12.5">
      <c r="A405" s="76"/>
      <c r="B405" s="5"/>
      <c r="C405" s="16"/>
      <c r="E405" s="5"/>
    </row>
    <row r="406" spans="1:5" ht="12.5">
      <c r="A406" s="76"/>
      <c r="B406" s="5"/>
      <c r="C406" s="16"/>
      <c r="E406" s="5"/>
    </row>
    <row r="407" spans="1:5" ht="12.5">
      <c r="A407" s="76"/>
      <c r="B407" s="5"/>
      <c r="C407" s="16"/>
      <c r="E407" s="5"/>
    </row>
    <row r="408" spans="1:5" ht="12.5">
      <c r="A408" s="76"/>
      <c r="B408" s="5"/>
      <c r="C408" s="16"/>
      <c r="E408" s="5"/>
    </row>
    <row r="409" spans="1:5" ht="12.5">
      <c r="A409" s="76"/>
      <c r="B409" s="5"/>
      <c r="C409" s="16"/>
      <c r="E409" s="5"/>
    </row>
    <row r="410" spans="1:5" ht="12.5">
      <c r="A410" s="76"/>
      <c r="B410" s="5"/>
      <c r="C410" s="16"/>
      <c r="E410" s="5"/>
    </row>
    <row r="411" spans="1:5" ht="12.5">
      <c r="A411" s="76"/>
      <c r="B411" s="5"/>
      <c r="C411" s="16"/>
      <c r="E411" s="5"/>
    </row>
    <row r="412" spans="1:5" ht="12.5">
      <c r="A412" s="76"/>
      <c r="B412" s="5"/>
      <c r="C412" s="16"/>
      <c r="E412" s="5"/>
    </row>
    <row r="413" spans="1:5" ht="12.5">
      <c r="A413" s="76"/>
      <c r="B413" s="5"/>
      <c r="C413" s="16"/>
      <c r="E413" s="5"/>
    </row>
    <row r="414" spans="1:5" ht="12.5">
      <c r="A414" s="76"/>
      <c r="B414" s="5"/>
      <c r="C414" s="16"/>
      <c r="E414" s="5"/>
    </row>
    <row r="415" spans="1:5" ht="12.5">
      <c r="A415" s="76"/>
      <c r="B415" s="5"/>
      <c r="C415" s="16"/>
      <c r="E415" s="5"/>
    </row>
    <row r="416" spans="1:5" ht="12.5">
      <c r="A416" s="76"/>
      <c r="B416" s="5"/>
      <c r="C416" s="16"/>
      <c r="E416" s="5"/>
    </row>
    <row r="417" spans="1:5" ht="12.5">
      <c r="A417" s="76"/>
      <c r="B417" s="5"/>
      <c r="C417" s="16"/>
      <c r="E417" s="5"/>
    </row>
    <row r="418" spans="1:5" ht="12.5">
      <c r="A418" s="76"/>
      <c r="B418" s="5"/>
      <c r="C418" s="16"/>
      <c r="E418" s="5"/>
    </row>
    <row r="419" spans="1:5" ht="12.5">
      <c r="A419" s="76"/>
      <c r="B419" s="5"/>
      <c r="C419" s="16"/>
      <c r="E419" s="5"/>
    </row>
    <row r="420" spans="1:5" ht="12.5">
      <c r="A420" s="76"/>
      <c r="B420" s="5"/>
      <c r="C420" s="16"/>
      <c r="E420" s="5"/>
    </row>
    <row r="421" spans="1:5" ht="12.5">
      <c r="A421" s="76"/>
      <c r="B421" s="5"/>
      <c r="C421" s="16"/>
      <c r="E421" s="5"/>
    </row>
    <row r="422" spans="1:5" ht="12.5">
      <c r="A422" s="76"/>
      <c r="B422" s="5"/>
      <c r="C422" s="16"/>
      <c r="E422" s="5"/>
    </row>
    <row r="423" spans="1:5" ht="12.5">
      <c r="A423" s="76"/>
      <c r="B423" s="5"/>
      <c r="C423" s="16"/>
      <c r="E423" s="5"/>
    </row>
    <row r="424" spans="1:5" ht="12.5">
      <c r="A424" s="76"/>
      <c r="B424" s="5"/>
      <c r="C424" s="16"/>
      <c r="E424" s="5"/>
    </row>
    <row r="425" spans="1:5" ht="12.5">
      <c r="A425" s="76"/>
      <c r="B425" s="5"/>
      <c r="C425" s="16"/>
      <c r="E425" s="5"/>
    </row>
    <row r="426" spans="1:5" ht="12.5">
      <c r="A426" s="76"/>
      <c r="B426" s="5"/>
      <c r="C426" s="16"/>
      <c r="E426" s="5"/>
    </row>
    <row r="427" spans="1:5" ht="12.5">
      <c r="A427" s="76"/>
      <c r="B427" s="5"/>
      <c r="C427" s="16"/>
      <c r="E427" s="5"/>
    </row>
    <row r="428" spans="1:5" ht="12.5">
      <c r="A428" s="76"/>
      <c r="B428" s="5"/>
      <c r="C428" s="16"/>
      <c r="E428" s="5"/>
    </row>
    <row r="429" spans="1:5" ht="12.5">
      <c r="A429" s="76"/>
      <c r="B429" s="5"/>
      <c r="C429" s="16"/>
      <c r="E429" s="5"/>
    </row>
    <row r="430" spans="1:5" ht="12.5">
      <c r="A430" s="76"/>
      <c r="B430" s="5"/>
      <c r="C430" s="16"/>
      <c r="E430" s="5"/>
    </row>
    <row r="431" spans="1:5" ht="12.5">
      <c r="A431" s="76"/>
      <c r="B431" s="5"/>
      <c r="C431" s="16"/>
      <c r="E431" s="5"/>
    </row>
    <row r="432" spans="1:5" ht="12.5">
      <c r="A432" s="76"/>
      <c r="B432" s="5"/>
      <c r="C432" s="16"/>
      <c r="E432" s="5"/>
    </row>
    <row r="433" spans="1:5" ht="12.5">
      <c r="A433" s="76"/>
      <c r="B433" s="5"/>
      <c r="C433" s="16"/>
      <c r="E433" s="5"/>
    </row>
    <row r="434" spans="1:5" ht="12.5">
      <c r="A434" s="76"/>
      <c r="B434" s="5"/>
      <c r="C434" s="16"/>
      <c r="E434" s="5"/>
    </row>
    <row r="435" spans="1:5" ht="12.5">
      <c r="A435" s="76"/>
      <c r="B435" s="5"/>
      <c r="C435" s="16"/>
      <c r="E435" s="5"/>
    </row>
    <row r="436" spans="1:5" ht="12.5">
      <c r="A436" s="76"/>
      <c r="B436" s="5"/>
      <c r="C436" s="16"/>
      <c r="E436" s="5"/>
    </row>
    <row r="437" spans="1:5" ht="12.5">
      <c r="A437" s="76"/>
      <c r="B437" s="5"/>
      <c r="C437" s="16"/>
      <c r="E437" s="5"/>
    </row>
    <row r="438" spans="1:5" ht="12.5">
      <c r="A438" s="76"/>
      <c r="B438" s="5"/>
      <c r="C438" s="16"/>
      <c r="E438" s="5"/>
    </row>
    <row r="439" spans="1:5" ht="12.5">
      <c r="A439" s="76"/>
      <c r="B439" s="5"/>
      <c r="C439" s="16"/>
      <c r="E439" s="5"/>
    </row>
    <row r="440" spans="1:5" ht="12.5">
      <c r="A440" s="76"/>
      <c r="B440" s="5"/>
      <c r="C440" s="16"/>
      <c r="E440" s="5"/>
    </row>
    <row r="441" spans="1:5" ht="12.5">
      <c r="A441" s="76"/>
      <c r="B441" s="5"/>
      <c r="C441" s="16"/>
      <c r="E441" s="5"/>
    </row>
    <row r="442" spans="1:5" ht="12.5">
      <c r="A442" s="76"/>
      <c r="B442" s="5"/>
      <c r="C442" s="16"/>
      <c r="E442" s="5"/>
    </row>
    <row r="443" spans="1:5" ht="12.5">
      <c r="A443" s="76"/>
      <c r="B443" s="5"/>
      <c r="C443" s="16"/>
      <c r="E443" s="5"/>
    </row>
    <row r="444" spans="1:5" ht="12.5">
      <c r="A444" s="76"/>
      <c r="B444" s="5"/>
      <c r="C444" s="16"/>
      <c r="E444" s="5"/>
    </row>
    <row r="445" spans="1:5" ht="12.5">
      <c r="A445" s="76"/>
      <c r="B445" s="5"/>
      <c r="C445" s="16"/>
      <c r="E445" s="5"/>
    </row>
    <row r="446" spans="1:5" ht="12.5">
      <c r="A446" s="76"/>
      <c r="B446" s="5"/>
      <c r="C446" s="16"/>
      <c r="E446" s="5"/>
    </row>
    <row r="447" spans="1:5" ht="12.5">
      <c r="A447" s="76"/>
      <c r="B447" s="5"/>
      <c r="C447" s="16"/>
      <c r="E447" s="5"/>
    </row>
    <row r="448" spans="1:5" ht="12.5">
      <c r="A448" s="76"/>
      <c r="B448" s="5"/>
      <c r="C448" s="16"/>
      <c r="E448" s="5"/>
    </row>
    <row r="449" spans="1:5" ht="12.5">
      <c r="A449" s="76"/>
      <c r="B449" s="5"/>
      <c r="C449" s="16"/>
      <c r="E449" s="5"/>
    </row>
    <row r="450" spans="1:5" ht="12.5">
      <c r="A450" s="76"/>
      <c r="B450" s="5"/>
      <c r="C450" s="16"/>
      <c r="E450" s="5"/>
    </row>
    <row r="451" spans="1:5" ht="12.5">
      <c r="A451" s="76"/>
      <c r="B451" s="5"/>
      <c r="C451" s="16"/>
      <c r="E451" s="5"/>
    </row>
    <row r="452" spans="1:5" ht="12.5">
      <c r="A452" s="76"/>
      <c r="B452" s="5"/>
      <c r="C452" s="16"/>
      <c r="E452" s="5"/>
    </row>
    <row r="453" spans="1:5" ht="12.5">
      <c r="A453" s="76"/>
      <c r="B453" s="5"/>
      <c r="C453" s="16"/>
      <c r="E453" s="5"/>
    </row>
    <row r="454" spans="1:5" ht="12.5">
      <c r="A454" s="76"/>
      <c r="B454" s="5"/>
      <c r="C454" s="16"/>
      <c r="E454" s="5"/>
    </row>
    <row r="455" spans="1:5" ht="12.5">
      <c r="A455" s="76"/>
      <c r="B455" s="5"/>
      <c r="C455" s="16"/>
      <c r="E455" s="5"/>
    </row>
    <row r="456" spans="1:5" ht="12.5">
      <c r="A456" s="76"/>
      <c r="B456" s="5"/>
      <c r="C456" s="16"/>
      <c r="E456" s="5"/>
    </row>
    <row r="457" spans="1:5" ht="12.5">
      <c r="A457" s="76"/>
      <c r="B457" s="5"/>
      <c r="C457" s="16"/>
      <c r="E457" s="5"/>
    </row>
    <row r="458" spans="1:5" ht="12.5">
      <c r="A458" s="76"/>
      <c r="B458" s="5"/>
      <c r="C458" s="16"/>
      <c r="E458" s="5"/>
    </row>
    <row r="459" spans="1:5" ht="12.5">
      <c r="A459" s="76"/>
      <c r="B459" s="5"/>
      <c r="C459" s="16"/>
      <c r="E459" s="5"/>
    </row>
    <row r="460" spans="1:5" ht="12.5">
      <c r="A460" s="76"/>
      <c r="B460" s="5"/>
      <c r="C460" s="16"/>
      <c r="E460" s="5"/>
    </row>
    <row r="461" spans="1:5" ht="12.5">
      <c r="A461" s="76"/>
      <c r="B461" s="5"/>
      <c r="C461" s="16"/>
      <c r="E461" s="5"/>
    </row>
    <row r="462" spans="1:5" ht="12.5">
      <c r="A462" s="76"/>
      <c r="B462" s="5"/>
      <c r="C462" s="16"/>
      <c r="E462" s="5"/>
    </row>
    <row r="463" spans="1:5" ht="12.5">
      <c r="A463" s="76"/>
      <c r="B463" s="5"/>
      <c r="C463" s="16"/>
      <c r="E463" s="5"/>
    </row>
    <row r="464" spans="1:5" ht="12.5">
      <c r="A464" s="76"/>
      <c r="B464" s="5"/>
      <c r="C464" s="16"/>
      <c r="E464" s="5"/>
    </row>
    <row r="465" spans="1:5" ht="12.5">
      <c r="A465" s="76"/>
      <c r="B465" s="5"/>
      <c r="C465" s="16"/>
      <c r="E465" s="5"/>
    </row>
    <row r="466" spans="1:5" ht="12.5">
      <c r="A466" s="76"/>
      <c r="B466" s="5"/>
      <c r="C466" s="16"/>
      <c r="E466" s="5"/>
    </row>
    <row r="467" spans="1:5" ht="12.5">
      <c r="A467" s="76"/>
      <c r="B467" s="5"/>
      <c r="C467" s="16"/>
      <c r="E467" s="5"/>
    </row>
    <row r="468" spans="1:5" ht="12.5">
      <c r="A468" s="76"/>
      <c r="B468" s="5"/>
      <c r="C468" s="16"/>
      <c r="E468" s="5"/>
    </row>
    <row r="469" spans="1:5" ht="12.5">
      <c r="A469" s="76"/>
      <c r="B469" s="5"/>
      <c r="C469" s="16"/>
      <c r="E469" s="5"/>
    </row>
    <row r="470" spans="1:5" ht="12.5">
      <c r="A470" s="76"/>
      <c r="B470" s="5"/>
      <c r="C470" s="16"/>
      <c r="E470" s="5"/>
    </row>
    <row r="471" spans="1:5" ht="12.5">
      <c r="A471" s="76"/>
      <c r="B471" s="5"/>
      <c r="C471" s="16"/>
      <c r="E471" s="5"/>
    </row>
    <row r="472" spans="1:5" ht="12.5">
      <c r="A472" s="76"/>
      <c r="B472" s="5"/>
      <c r="C472" s="16"/>
      <c r="E472" s="5"/>
    </row>
    <row r="473" spans="1:5" ht="12.5">
      <c r="A473" s="76"/>
      <c r="B473" s="5"/>
      <c r="C473" s="16"/>
      <c r="E473" s="5"/>
    </row>
    <row r="474" spans="1:5" ht="12.5">
      <c r="A474" s="76"/>
      <c r="B474" s="5"/>
      <c r="C474" s="16"/>
      <c r="E474" s="5"/>
    </row>
    <row r="475" spans="1:5" ht="12.5">
      <c r="A475" s="76"/>
      <c r="B475" s="5"/>
      <c r="C475" s="16"/>
      <c r="E475" s="5"/>
    </row>
    <row r="476" spans="1:5" ht="12.5">
      <c r="A476" s="76"/>
      <c r="B476" s="5"/>
      <c r="C476" s="16"/>
      <c r="E476" s="5"/>
    </row>
    <row r="477" spans="1:5" ht="12.5">
      <c r="A477" s="76"/>
      <c r="B477" s="5"/>
      <c r="C477" s="16"/>
      <c r="E477" s="5"/>
    </row>
    <row r="478" spans="1:5" ht="12.5">
      <c r="A478" s="76"/>
      <c r="B478" s="5"/>
      <c r="C478" s="16"/>
      <c r="E478" s="5"/>
    </row>
    <row r="479" spans="1:5" ht="12.5">
      <c r="A479" s="76"/>
      <c r="B479" s="5"/>
      <c r="C479" s="16"/>
      <c r="E479" s="5"/>
    </row>
    <row r="480" spans="1:5" ht="12.5">
      <c r="A480" s="76"/>
      <c r="B480" s="5"/>
      <c r="C480" s="16"/>
      <c r="E480" s="5"/>
    </row>
    <row r="481" spans="1:5" ht="12.5">
      <c r="A481" s="76"/>
      <c r="B481" s="5"/>
      <c r="C481" s="16"/>
      <c r="E481" s="5"/>
    </row>
    <row r="482" spans="1:5" ht="12.5">
      <c r="A482" s="76"/>
      <c r="B482" s="5"/>
      <c r="C482" s="16"/>
      <c r="E482" s="5"/>
    </row>
    <row r="483" spans="1:5" ht="12.5">
      <c r="A483" s="76"/>
      <c r="B483" s="5"/>
      <c r="C483" s="16"/>
      <c r="E483" s="5"/>
    </row>
    <row r="484" spans="1:5" ht="12.5">
      <c r="A484" s="76"/>
      <c r="B484" s="5"/>
      <c r="C484" s="16"/>
      <c r="E484" s="5"/>
    </row>
    <row r="485" spans="1:5" ht="12.5">
      <c r="A485" s="76"/>
      <c r="B485" s="5"/>
      <c r="C485" s="16"/>
      <c r="E485" s="5"/>
    </row>
    <row r="486" spans="1:5" ht="12.5">
      <c r="A486" s="76"/>
      <c r="B486" s="5"/>
      <c r="C486" s="16"/>
      <c r="E486" s="5"/>
    </row>
    <row r="487" spans="1:5" ht="12.5">
      <c r="A487" s="76"/>
      <c r="B487" s="5"/>
      <c r="C487" s="16"/>
      <c r="E487" s="5"/>
    </row>
    <row r="488" spans="1:5" ht="12.5">
      <c r="A488" s="76"/>
      <c r="B488" s="5"/>
      <c r="C488" s="16"/>
      <c r="E488" s="5"/>
    </row>
    <row r="489" spans="1:5" ht="12.5">
      <c r="A489" s="76"/>
      <c r="B489" s="5"/>
      <c r="C489" s="16"/>
      <c r="E489" s="5"/>
    </row>
    <row r="490" spans="1:5" ht="12.5">
      <c r="A490" s="76"/>
      <c r="B490" s="5"/>
      <c r="C490" s="16"/>
      <c r="E490" s="5"/>
    </row>
    <row r="491" spans="1:5" ht="12.5">
      <c r="A491" s="76"/>
      <c r="B491" s="5"/>
      <c r="C491" s="16"/>
      <c r="E491" s="5"/>
    </row>
    <row r="492" spans="1:5" ht="12.5">
      <c r="A492" s="76"/>
      <c r="B492" s="5"/>
      <c r="C492" s="16"/>
      <c r="E492" s="5"/>
    </row>
    <row r="493" spans="1:5" ht="12.5">
      <c r="A493" s="76"/>
      <c r="B493" s="5"/>
      <c r="C493" s="16"/>
      <c r="E493" s="5"/>
    </row>
    <row r="494" spans="1:5" ht="12.5">
      <c r="A494" s="76"/>
      <c r="B494" s="5"/>
      <c r="C494" s="16"/>
      <c r="E494" s="5"/>
    </row>
    <row r="495" spans="1:5" ht="12.5">
      <c r="A495" s="76"/>
      <c r="B495" s="5"/>
      <c r="C495" s="16"/>
      <c r="E495" s="5"/>
    </row>
    <row r="496" spans="1:5" ht="12.5">
      <c r="A496" s="76"/>
      <c r="B496" s="5"/>
      <c r="C496" s="16"/>
      <c r="E496" s="5"/>
    </row>
    <row r="497" spans="1:5" ht="12.5">
      <c r="A497" s="76"/>
      <c r="B497" s="5"/>
      <c r="C497" s="16"/>
      <c r="E497" s="5"/>
    </row>
    <row r="498" spans="1:5" ht="12.5">
      <c r="A498" s="76"/>
      <c r="B498" s="5"/>
      <c r="C498" s="16"/>
      <c r="E498" s="5"/>
    </row>
    <row r="499" spans="1:5" ht="12.5">
      <c r="A499" s="76"/>
      <c r="B499" s="5"/>
      <c r="C499" s="16"/>
      <c r="E499" s="5"/>
    </row>
    <row r="500" spans="1:5" ht="12.5">
      <c r="A500" s="76"/>
      <c r="B500" s="5"/>
      <c r="C500" s="16"/>
      <c r="E500" s="5"/>
    </row>
    <row r="501" spans="1:5" ht="12.5">
      <c r="A501" s="76"/>
      <c r="B501" s="5"/>
      <c r="C501" s="16"/>
      <c r="E501" s="5"/>
    </row>
    <row r="502" spans="1:5" ht="12.5">
      <c r="A502" s="76"/>
      <c r="B502" s="5"/>
      <c r="C502" s="16"/>
      <c r="E502" s="5"/>
    </row>
    <row r="503" spans="1:5" ht="12.5">
      <c r="A503" s="76"/>
      <c r="B503" s="5"/>
      <c r="C503" s="16"/>
      <c r="E503" s="5"/>
    </row>
    <row r="504" spans="1:5" ht="12.5">
      <c r="A504" s="76"/>
      <c r="B504" s="5"/>
      <c r="C504" s="16"/>
      <c r="E504" s="5"/>
    </row>
    <row r="505" spans="1:5" ht="12.5">
      <c r="A505" s="76"/>
      <c r="B505" s="5"/>
      <c r="C505" s="16"/>
      <c r="E505" s="5"/>
    </row>
    <row r="506" spans="1:5" ht="12.5">
      <c r="A506" s="76"/>
      <c r="B506" s="5"/>
      <c r="C506" s="16"/>
      <c r="E506" s="5"/>
    </row>
    <row r="507" spans="1:5" ht="12.5">
      <c r="A507" s="76"/>
      <c r="B507" s="5"/>
      <c r="C507" s="16"/>
      <c r="E507" s="5"/>
    </row>
    <row r="508" spans="1:5" ht="12.5">
      <c r="A508" s="76"/>
      <c r="B508" s="5"/>
      <c r="C508" s="16"/>
      <c r="E508" s="5"/>
    </row>
    <row r="509" spans="1:5" ht="12.5">
      <c r="A509" s="76"/>
      <c r="B509" s="5"/>
      <c r="C509" s="16"/>
      <c r="E509" s="5"/>
    </row>
    <row r="510" spans="1:5" ht="12.5">
      <c r="A510" s="76"/>
      <c r="B510" s="5"/>
      <c r="C510" s="16"/>
      <c r="E510" s="5"/>
    </row>
    <row r="511" spans="1:5" ht="12.5">
      <c r="A511" s="76"/>
      <c r="B511" s="5"/>
      <c r="C511" s="16"/>
      <c r="E511" s="5"/>
    </row>
    <row r="512" spans="1:5" ht="12.5">
      <c r="A512" s="76"/>
      <c r="B512" s="5"/>
      <c r="C512" s="16"/>
      <c r="E512" s="5"/>
    </row>
    <row r="513" spans="1:5" ht="12.5">
      <c r="A513" s="76"/>
      <c r="B513" s="5"/>
      <c r="C513" s="16"/>
      <c r="E513" s="5"/>
    </row>
    <row r="514" spans="1:5" ht="12.5">
      <c r="A514" s="76"/>
      <c r="B514" s="5"/>
      <c r="C514" s="16"/>
      <c r="E514" s="5"/>
    </row>
    <row r="515" spans="1:5" ht="12.5">
      <c r="A515" s="76"/>
      <c r="B515" s="5"/>
      <c r="C515" s="16"/>
      <c r="E515" s="5"/>
    </row>
    <row r="516" spans="1:5" ht="12.5">
      <c r="A516" s="76"/>
      <c r="B516" s="5"/>
      <c r="C516" s="16"/>
      <c r="E516" s="5"/>
    </row>
    <row r="517" spans="1:5" ht="12.5">
      <c r="A517" s="76"/>
      <c r="B517" s="5"/>
      <c r="C517" s="16"/>
      <c r="E517" s="5"/>
    </row>
    <row r="518" spans="1:5" ht="12.5">
      <c r="A518" s="76"/>
      <c r="B518" s="5"/>
      <c r="C518" s="16"/>
      <c r="E518" s="5"/>
    </row>
    <row r="519" spans="1:5" ht="12.5">
      <c r="A519" s="76"/>
      <c r="B519" s="5"/>
      <c r="C519" s="16"/>
      <c r="E519" s="5"/>
    </row>
    <row r="520" spans="1:5" ht="12.5">
      <c r="A520" s="76"/>
      <c r="B520" s="5"/>
      <c r="C520" s="16"/>
      <c r="E520" s="5"/>
    </row>
    <row r="521" spans="1:5" ht="12.5">
      <c r="A521" s="76"/>
      <c r="B521" s="5"/>
      <c r="C521" s="16"/>
      <c r="E521" s="5"/>
    </row>
    <row r="522" spans="1:5" ht="12.5">
      <c r="A522" s="76"/>
      <c r="B522" s="5"/>
      <c r="C522" s="16"/>
      <c r="E522" s="5"/>
    </row>
    <row r="523" spans="1:5" ht="12.5">
      <c r="A523" s="76"/>
      <c r="B523" s="5"/>
      <c r="C523" s="16"/>
      <c r="E523" s="5"/>
    </row>
    <row r="524" spans="1:5" ht="12.5">
      <c r="A524" s="76"/>
      <c r="B524" s="5"/>
      <c r="C524" s="16"/>
      <c r="E524" s="5"/>
    </row>
    <row r="525" spans="1:5" ht="12.5">
      <c r="A525" s="76"/>
      <c r="B525" s="5"/>
      <c r="C525" s="16"/>
      <c r="E525" s="5"/>
    </row>
    <row r="526" spans="1:5" ht="12.5">
      <c r="A526" s="76"/>
      <c r="B526" s="5"/>
      <c r="C526" s="16"/>
      <c r="E526" s="5"/>
    </row>
    <row r="527" spans="1:5" ht="12.5">
      <c r="A527" s="76"/>
      <c r="B527" s="5"/>
      <c r="C527" s="16"/>
      <c r="E527" s="5"/>
    </row>
    <row r="528" spans="1:5" ht="12.5">
      <c r="A528" s="76"/>
      <c r="B528" s="5"/>
      <c r="C528" s="16"/>
      <c r="E528" s="5"/>
    </row>
    <row r="529" spans="1:5" ht="12.5">
      <c r="A529" s="76"/>
      <c r="B529" s="5"/>
      <c r="C529" s="16"/>
      <c r="E529" s="5"/>
    </row>
    <row r="530" spans="1:5" ht="12.5">
      <c r="A530" s="76"/>
      <c r="B530" s="5"/>
      <c r="C530" s="16"/>
      <c r="E530" s="5"/>
    </row>
    <row r="531" spans="1:5" ht="12.5">
      <c r="A531" s="76"/>
      <c r="B531" s="5"/>
      <c r="C531" s="16"/>
      <c r="E531" s="5"/>
    </row>
    <row r="532" spans="1:5" ht="12.5">
      <c r="A532" s="76"/>
      <c r="B532" s="5"/>
      <c r="C532" s="16"/>
      <c r="E532" s="5"/>
    </row>
    <row r="533" spans="1:5" ht="12.5">
      <c r="A533" s="76"/>
      <c r="B533" s="5"/>
      <c r="C533" s="16"/>
      <c r="E533" s="5"/>
    </row>
    <row r="534" spans="1:5" ht="12.5">
      <c r="A534" s="76"/>
      <c r="B534" s="5"/>
      <c r="C534" s="16"/>
      <c r="E534" s="5"/>
    </row>
    <row r="535" spans="1:5" ht="12.5">
      <c r="A535" s="76"/>
      <c r="B535" s="5"/>
      <c r="C535" s="16"/>
      <c r="E535" s="5"/>
    </row>
    <row r="536" spans="1:5" ht="12.5">
      <c r="A536" s="76"/>
      <c r="B536" s="5"/>
      <c r="C536" s="16"/>
      <c r="E536" s="5"/>
    </row>
    <row r="537" spans="1:5" ht="12.5">
      <c r="A537" s="76"/>
      <c r="B537" s="5"/>
      <c r="C537" s="16"/>
      <c r="E537" s="5"/>
    </row>
    <row r="538" spans="1:5" ht="12.5">
      <c r="A538" s="76"/>
      <c r="B538" s="5"/>
      <c r="C538" s="16"/>
      <c r="E538" s="5"/>
    </row>
    <row r="539" spans="1:5" ht="12.5">
      <c r="A539" s="76"/>
      <c r="B539" s="5"/>
      <c r="C539" s="16"/>
      <c r="E539" s="5"/>
    </row>
    <row r="540" spans="1:5" ht="12.5">
      <c r="A540" s="76"/>
      <c r="B540" s="5"/>
      <c r="C540" s="16"/>
      <c r="E540" s="5"/>
    </row>
    <row r="541" spans="1:5" ht="12.5">
      <c r="A541" s="76"/>
      <c r="B541" s="5"/>
      <c r="C541" s="16"/>
      <c r="E541" s="5"/>
    </row>
    <row r="542" spans="1:5" ht="12.5">
      <c r="A542" s="76"/>
      <c r="B542" s="5"/>
      <c r="C542" s="16"/>
      <c r="E542" s="5"/>
    </row>
    <row r="543" spans="1:5" ht="12.5">
      <c r="A543" s="76"/>
      <c r="B543" s="5"/>
      <c r="C543" s="16"/>
      <c r="E543" s="5"/>
    </row>
    <row r="544" spans="1:5" ht="12.5">
      <c r="A544" s="76"/>
      <c r="B544" s="5"/>
      <c r="C544" s="16"/>
      <c r="E544" s="5"/>
    </row>
    <row r="545" spans="1:5" ht="12.5">
      <c r="A545" s="76"/>
      <c r="B545" s="5"/>
      <c r="C545" s="16"/>
      <c r="E545" s="5"/>
    </row>
    <row r="546" spans="1:5" ht="12.5">
      <c r="A546" s="76"/>
      <c r="B546" s="5"/>
      <c r="C546" s="16"/>
      <c r="E546" s="5"/>
    </row>
    <row r="547" spans="1:5" ht="12.5">
      <c r="A547" s="76"/>
      <c r="B547" s="5"/>
      <c r="C547" s="16"/>
      <c r="E547" s="5"/>
    </row>
    <row r="548" spans="1:5" ht="12.5">
      <c r="A548" s="76"/>
      <c r="B548" s="5"/>
      <c r="C548" s="16"/>
      <c r="E548" s="5"/>
    </row>
    <row r="549" spans="1:5" ht="12.5">
      <c r="A549" s="76"/>
      <c r="B549" s="5"/>
      <c r="C549" s="16"/>
      <c r="E549" s="5"/>
    </row>
    <row r="550" spans="1:5" ht="12.5">
      <c r="A550" s="76"/>
      <c r="B550" s="5"/>
      <c r="C550" s="16"/>
      <c r="E550" s="5"/>
    </row>
    <row r="551" spans="1:5" ht="12.5">
      <c r="A551" s="76"/>
      <c r="B551" s="5"/>
      <c r="C551" s="16"/>
      <c r="E551" s="5"/>
    </row>
    <row r="552" spans="1:5" ht="12.5">
      <c r="A552" s="76"/>
      <c r="B552" s="5"/>
      <c r="C552" s="16"/>
      <c r="E552" s="5"/>
    </row>
    <row r="553" spans="1:5" ht="12.5">
      <c r="A553" s="76"/>
      <c r="B553" s="5"/>
      <c r="C553" s="16"/>
      <c r="E553" s="5"/>
    </row>
    <row r="554" spans="1:5" ht="12.5">
      <c r="A554" s="76"/>
      <c r="B554" s="5"/>
      <c r="C554" s="16"/>
      <c r="E554" s="5"/>
    </row>
    <row r="555" spans="1:5" ht="12.5">
      <c r="A555" s="76"/>
      <c r="B555" s="5"/>
      <c r="C555" s="16"/>
      <c r="E555" s="5"/>
    </row>
    <row r="556" spans="1:5" ht="12.5">
      <c r="A556" s="76"/>
      <c r="B556" s="5"/>
      <c r="C556" s="16"/>
      <c r="E556" s="5"/>
    </row>
    <row r="557" spans="1:5" ht="12.5">
      <c r="A557" s="76"/>
      <c r="B557" s="5"/>
      <c r="C557" s="16"/>
      <c r="E557" s="5"/>
    </row>
    <row r="558" spans="1:5" ht="12.5">
      <c r="A558" s="76"/>
      <c r="B558" s="5"/>
      <c r="C558" s="16"/>
      <c r="E558" s="5"/>
    </row>
    <row r="559" spans="1:5" ht="12.5">
      <c r="A559" s="76"/>
      <c r="B559" s="5"/>
      <c r="C559" s="16"/>
      <c r="E559" s="5"/>
    </row>
    <row r="560" spans="1:5" ht="12.5">
      <c r="A560" s="76"/>
      <c r="B560" s="5"/>
      <c r="C560" s="16"/>
      <c r="E560" s="5"/>
    </row>
    <row r="561" spans="1:5" ht="12.5">
      <c r="A561" s="76"/>
      <c r="B561" s="5"/>
      <c r="C561" s="16"/>
      <c r="E561" s="5"/>
    </row>
    <row r="562" spans="1:5" ht="12.5">
      <c r="A562" s="76"/>
      <c r="B562" s="5"/>
      <c r="C562" s="16"/>
      <c r="E562" s="5"/>
    </row>
    <row r="563" spans="1:5" ht="12.5">
      <c r="A563" s="76"/>
      <c r="B563" s="5"/>
      <c r="C563" s="16"/>
      <c r="E563" s="5"/>
    </row>
    <row r="564" spans="1:5" ht="12.5">
      <c r="A564" s="76"/>
      <c r="B564" s="5"/>
      <c r="C564" s="16"/>
      <c r="E564" s="5"/>
    </row>
    <row r="565" spans="1:5" ht="12.5">
      <c r="A565" s="76"/>
      <c r="B565" s="5"/>
      <c r="C565" s="16"/>
      <c r="E565" s="5"/>
    </row>
    <row r="566" spans="1:5" ht="12.5">
      <c r="A566" s="76"/>
      <c r="B566" s="5"/>
      <c r="C566" s="16"/>
      <c r="E566" s="5"/>
    </row>
    <row r="567" spans="1:5" ht="12.5">
      <c r="A567" s="76"/>
      <c r="B567" s="5"/>
      <c r="C567" s="16"/>
      <c r="E567" s="5"/>
    </row>
    <row r="568" spans="1:5" ht="12.5">
      <c r="A568" s="76"/>
      <c r="B568" s="5"/>
      <c r="C568" s="16"/>
      <c r="E568" s="5"/>
    </row>
    <row r="569" spans="1:5" ht="12.5">
      <c r="A569" s="76"/>
      <c r="B569" s="5"/>
      <c r="C569" s="16"/>
      <c r="E569" s="5"/>
    </row>
    <row r="570" spans="1:5" ht="12.5">
      <c r="A570" s="76"/>
      <c r="B570" s="5"/>
      <c r="C570" s="16"/>
      <c r="E570" s="5"/>
    </row>
    <row r="571" spans="1:5" ht="12.5">
      <c r="A571" s="76"/>
      <c r="B571" s="5"/>
      <c r="C571" s="16"/>
      <c r="E571" s="5"/>
    </row>
    <row r="572" spans="1:5" ht="12.5">
      <c r="A572" s="76"/>
      <c r="B572" s="5"/>
      <c r="C572" s="16"/>
      <c r="E572" s="5"/>
    </row>
    <row r="573" spans="1:5" ht="12.5">
      <c r="A573" s="76"/>
      <c r="B573" s="5"/>
      <c r="C573" s="16"/>
      <c r="E573" s="5"/>
    </row>
    <row r="574" spans="1:5" ht="12.5">
      <c r="A574" s="76"/>
      <c r="B574" s="5"/>
      <c r="C574" s="16"/>
      <c r="E574" s="5"/>
    </row>
    <row r="575" spans="1:5" ht="12.5">
      <c r="A575" s="76"/>
      <c r="B575" s="5"/>
      <c r="C575" s="16"/>
      <c r="E575" s="5"/>
    </row>
    <row r="576" spans="1:5" ht="12.5">
      <c r="A576" s="76"/>
      <c r="B576" s="5"/>
      <c r="C576" s="16"/>
      <c r="E576" s="5"/>
    </row>
    <row r="577" spans="1:5" ht="12.5">
      <c r="A577" s="76"/>
      <c r="B577" s="5"/>
      <c r="C577" s="16"/>
      <c r="E577" s="5"/>
    </row>
    <row r="578" spans="1:5" ht="12.5">
      <c r="A578" s="76"/>
      <c r="B578" s="5"/>
      <c r="C578" s="16"/>
      <c r="E578" s="5"/>
    </row>
    <row r="579" spans="1:5" ht="12.5">
      <c r="A579" s="76"/>
      <c r="B579" s="5"/>
      <c r="C579" s="16"/>
      <c r="E579" s="5"/>
    </row>
    <row r="580" spans="1:5" ht="12.5">
      <c r="A580" s="76"/>
      <c r="B580" s="5"/>
      <c r="C580" s="16"/>
      <c r="E580" s="5"/>
    </row>
    <row r="581" spans="1:5" ht="12.5">
      <c r="A581" s="76"/>
      <c r="B581" s="5"/>
      <c r="C581" s="16"/>
      <c r="E581" s="5"/>
    </row>
    <row r="582" spans="1:5" ht="12.5">
      <c r="A582" s="76"/>
      <c r="B582" s="5"/>
      <c r="C582" s="16"/>
      <c r="E582" s="5"/>
    </row>
    <row r="583" spans="1:5" ht="12.5">
      <c r="A583" s="76"/>
      <c r="B583" s="5"/>
      <c r="C583" s="16"/>
      <c r="E583" s="5"/>
    </row>
    <row r="584" spans="1:5" ht="12.5">
      <c r="A584" s="76"/>
      <c r="B584" s="5"/>
      <c r="C584" s="16"/>
      <c r="E584" s="5"/>
    </row>
    <row r="585" spans="1:5" ht="12.5">
      <c r="A585" s="76"/>
      <c r="B585" s="5"/>
      <c r="C585" s="16"/>
      <c r="E585" s="5"/>
    </row>
    <row r="586" spans="1:5" ht="12.5">
      <c r="A586" s="76"/>
      <c r="B586" s="5"/>
      <c r="C586" s="16"/>
      <c r="E586" s="5"/>
    </row>
    <row r="587" spans="1:5" ht="12.5">
      <c r="A587" s="76"/>
      <c r="B587" s="5"/>
      <c r="C587" s="16"/>
      <c r="E587" s="5"/>
    </row>
    <row r="588" spans="1:5" ht="12.5">
      <c r="A588" s="76"/>
      <c r="B588" s="5"/>
      <c r="C588" s="16"/>
      <c r="E588" s="5"/>
    </row>
    <row r="589" spans="1:5" ht="12.5">
      <c r="A589" s="76"/>
      <c r="B589" s="5"/>
      <c r="C589" s="16"/>
      <c r="E589" s="5"/>
    </row>
    <row r="590" spans="1:5" ht="12.5">
      <c r="A590" s="76"/>
      <c r="B590" s="5"/>
      <c r="C590" s="16"/>
      <c r="E590" s="5"/>
    </row>
    <row r="591" spans="1:5" ht="12.5">
      <c r="A591" s="76"/>
      <c r="B591" s="5"/>
      <c r="C591" s="16"/>
      <c r="E591" s="5"/>
    </row>
    <row r="592" spans="1:5" ht="12.5">
      <c r="A592" s="76"/>
      <c r="B592" s="5"/>
      <c r="C592" s="16"/>
      <c r="E592" s="5"/>
    </row>
    <row r="593" spans="1:5" ht="12.5">
      <c r="A593" s="76"/>
      <c r="B593" s="5"/>
      <c r="C593" s="16"/>
      <c r="E593" s="5"/>
    </row>
    <row r="594" spans="1:5" ht="12.5">
      <c r="A594" s="76"/>
      <c r="B594" s="5"/>
      <c r="C594" s="16"/>
      <c r="E594" s="5"/>
    </row>
    <row r="595" spans="1:5" ht="12.5">
      <c r="A595" s="76"/>
      <c r="B595" s="5"/>
      <c r="C595" s="16"/>
      <c r="E595" s="5"/>
    </row>
    <row r="596" spans="1:5" ht="12.5">
      <c r="A596" s="76"/>
      <c r="B596" s="5"/>
      <c r="C596" s="16"/>
      <c r="E596" s="5"/>
    </row>
    <row r="597" spans="1:5" ht="12.5">
      <c r="A597" s="76"/>
      <c r="B597" s="5"/>
      <c r="C597" s="16"/>
      <c r="E597" s="5"/>
    </row>
    <row r="598" spans="1:5" ht="12.5">
      <c r="A598" s="76"/>
      <c r="B598" s="5"/>
      <c r="C598" s="16"/>
      <c r="E598" s="5"/>
    </row>
    <row r="599" spans="1:5" ht="12.5">
      <c r="A599" s="76"/>
      <c r="B599" s="5"/>
      <c r="C599" s="16"/>
      <c r="E599" s="5"/>
    </row>
    <row r="600" spans="1:5" ht="12.5">
      <c r="A600" s="76"/>
      <c r="B600" s="5"/>
      <c r="C600" s="16"/>
      <c r="E600" s="5"/>
    </row>
    <row r="601" spans="1:5" ht="12.5">
      <c r="A601" s="76"/>
      <c r="B601" s="5"/>
      <c r="C601" s="16"/>
      <c r="E601" s="5"/>
    </row>
    <row r="602" spans="1:5" ht="12.5">
      <c r="A602" s="76"/>
      <c r="B602" s="5"/>
      <c r="C602" s="16"/>
      <c r="E602" s="5"/>
    </row>
    <row r="603" spans="1:5" ht="12.5">
      <c r="A603" s="76"/>
      <c r="B603" s="5"/>
      <c r="C603" s="16"/>
      <c r="E603" s="5"/>
    </row>
    <row r="604" spans="1:5" ht="12.5">
      <c r="A604" s="76"/>
      <c r="B604" s="5"/>
      <c r="C604" s="16"/>
      <c r="E604" s="5"/>
    </row>
    <row r="605" spans="1:5" ht="12.5">
      <c r="A605" s="76"/>
      <c r="B605" s="5"/>
      <c r="C605" s="16"/>
      <c r="E605" s="5"/>
    </row>
    <row r="606" spans="1:5" ht="12.5">
      <c r="A606" s="76"/>
      <c r="B606" s="5"/>
      <c r="C606" s="16"/>
      <c r="E606" s="5"/>
    </row>
    <row r="607" spans="1:5" ht="12.5">
      <c r="A607" s="76"/>
      <c r="B607" s="5"/>
      <c r="C607" s="16"/>
      <c r="E607" s="5"/>
    </row>
    <row r="608" spans="1:5" ht="12.5">
      <c r="A608" s="76"/>
      <c r="B608" s="5"/>
      <c r="C608" s="16"/>
      <c r="E608" s="5"/>
    </row>
    <row r="609" spans="1:5" ht="12.5">
      <c r="A609" s="76"/>
      <c r="B609" s="5"/>
      <c r="C609" s="16"/>
      <c r="E609" s="5"/>
    </row>
    <row r="610" spans="1:5" ht="12.5">
      <c r="A610" s="76"/>
      <c r="B610" s="5"/>
      <c r="C610" s="16"/>
      <c r="E610" s="5"/>
    </row>
    <row r="611" spans="1:5" ht="12.5">
      <c r="A611" s="76"/>
      <c r="B611" s="5"/>
      <c r="C611" s="16"/>
      <c r="E611" s="5"/>
    </row>
    <row r="612" spans="1:5" ht="12.5">
      <c r="A612" s="76"/>
      <c r="B612" s="5"/>
      <c r="C612" s="16"/>
      <c r="E612" s="5"/>
    </row>
    <row r="613" spans="1:5" ht="12.5">
      <c r="A613" s="76"/>
      <c r="B613" s="5"/>
      <c r="C613" s="16"/>
      <c r="E613" s="5"/>
    </row>
    <row r="614" spans="1:5" ht="12.5">
      <c r="A614" s="76"/>
      <c r="B614" s="5"/>
      <c r="C614" s="16"/>
      <c r="E614" s="5"/>
    </row>
    <row r="615" spans="1:5" ht="12.5">
      <c r="A615" s="76"/>
      <c r="B615" s="5"/>
      <c r="C615" s="16"/>
      <c r="E615" s="5"/>
    </row>
    <row r="616" spans="1:5" ht="12.5">
      <c r="A616" s="76"/>
      <c r="B616" s="5"/>
      <c r="C616" s="16"/>
      <c r="E616" s="5"/>
    </row>
    <row r="617" spans="1:5" ht="12.5">
      <c r="A617" s="76"/>
      <c r="B617" s="5"/>
      <c r="C617" s="16"/>
      <c r="E617" s="5"/>
    </row>
    <row r="618" spans="1:5" ht="12.5">
      <c r="A618" s="76"/>
      <c r="B618" s="5"/>
      <c r="C618" s="16"/>
      <c r="E618" s="5"/>
    </row>
    <row r="619" spans="1:5" ht="12.5">
      <c r="A619" s="76"/>
      <c r="B619" s="5"/>
      <c r="C619" s="16"/>
      <c r="E619" s="5"/>
    </row>
    <row r="620" spans="1:5" ht="12.5">
      <c r="A620" s="76"/>
      <c r="B620" s="5"/>
      <c r="C620" s="16"/>
      <c r="E620" s="5"/>
    </row>
    <row r="621" spans="1:5" ht="12.5">
      <c r="A621" s="76"/>
      <c r="B621" s="5"/>
      <c r="C621" s="16"/>
      <c r="E621" s="5"/>
    </row>
    <row r="622" spans="1:5" ht="12.5">
      <c r="A622" s="76"/>
      <c r="B622" s="5"/>
      <c r="C622" s="16"/>
      <c r="E622" s="5"/>
    </row>
    <row r="623" spans="1:5" ht="12.5">
      <c r="A623" s="76"/>
      <c r="B623" s="5"/>
      <c r="C623" s="16"/>
      <c r="E623" s="5"/>
    </row>
    <row r="624" spans="1:5" ht="12.5">
      <c r="A624" s="76"/>
      <c r="B624" s="5"/>
      <c r="C624" s="16"/>
      <c r="E624" s="5"/>
    </row>
    <row r="625" spans="1:5" ht="12.5">
      <c r="A625" s="76"/>
      <c r="B625" s="5"/>
      <c r="C625" s="16"/>
      <c r="E625" s="5"/>
    </row>
    <row r="626" spans="1:5" ht="12.5">
      <c r="A626" s="76"/>
      <c r="B626" s="5"/>
      <c r="C626" s="16"/>
      <c r="E626" s="5"/>
    </row>
    <row r="627" spans="1:5" ht="12.5">
      <c r="A627" s="76"/>
      <c r="B627" s="5"/>
      <c r="C627" s="16"/>
      <c r="E627" s="5"/>
    </row>
    <row r="628" spans="1:5" ht="12.5">
      <c r="A628" s="76"/>
      <c r="B628" s="5"/>
      <c r="C628" s="16"/>
      <c r="E628" s="5"/>
    </row>
    <row r="629" spans="1:5" ht="12.5">
      <c r="A629" s="76"/>
      <c r="B629" s="5"/>
      <c r="C629" s="16"/>
      <c r="E629" s="5"/>
    </row>
    <row r="630" spans="1:5" ht="12.5">
      <c r="A630" s="76"/>
      <c r="B630" s="5"/>
      <c r="C630" s="16"/>
      <c r="E630" s="5"/>
    </row>
    <row r="631" spans="1:5" ht="12.5">
      <c r="A631" s="76"/>
      <c r="B631" s="5"/>
      <c r="C631" s="16"/>
      <c r="E631" s="5"/>
    </row>
    <row r="632" spans="1:5" ht="12.5">
      <c r="A632" s="76"/>
      <c r="B632" s="5"/>
      <c r="C632" s="16"/>
      <c r="E632" s="5"/>
    </row>
    <row r="633" spans="1:5" ht="12.5">
      <c r="A633" s="76"/>
      <c r="B633" s="5"/>
      <c r="C633" s="16"/>
      <c r="E633" s="5"/>
    </row>
    <row r="634" spans="1:5" ht="12.5">
      <c r="A634" s="76"/>
      <c r="B634" s="5"/>
      <c r="C634" s="16"/>
      <c r="E634" s="5"/>
    </row>
    <row r="635" spans="1:5" ht="12.5">
      <c r="A635" s="76"/>
      <c r="B635" s="5"/>
      <c r="C635" s="16"/>
      <c r="E635" s="5"/>
    </row>
    <row r="636" spans="1:5" ht="12.5">
      <c r="A636" s="76"/>
      <c r="B636" s="5"/>
      <c r="C636" s="16"/>
      <c r="E636" s="5"/>
    </row>
    <row r="637" spans="1:5" ht="12.5">
      <c r="A637" s="76"/>
      <c r="B637" s="5"/>
      <c r="C637" s="16"/>
      <c r="E637" s="5"/>
    </row>
    <row r="638" spans="1:5" ht="12.5">
      <c r="A638" s="76"/>
      <c r="B638" s="5"/>
      <c r="C638" s="16"/>
      <c r="E638" s="5"/>
    </row>
    <row r="639" spans="1:5" ht="12.5">
      <c r="A639" s="76"/>
      <c r="B639" s="5"/>
      <c r="C639" s="16"/>
      <c r="E639" s="5"/>
    </row>
    <row r="640" spans="1:5" ht="12.5">
      <c r="A640" s="76"/>
      <c r="B640" s="5"/>
      <c r="C640" s="16"/>
      <c r="E640" s="5"/>
    </row>
    <row r="641" spans="1:5" ht="12.5">
      <c r="A641" s="76"/>
      <c r="B641" s="5"/>
      <c r="C641" s="16"/>
      <c r="E641" s="5"/>
    </row>
    <row r="642" spans="1:5" ht="12.5">
      <c r="A642" s="76"/>
      <c r="B642" s="5"/>
      <c r="C642" s="16"/>
      <c r="E642" s="5"/>
    </row>
    <row r="643" spans="1:5" ht="12.5">
      <c r="A643" s="76"/>
      <c r="B643" s="5"/>
      <c r="C643" s="16"/>
      <c r="E643" s="5"/>
    </row>
    <row r="644" spans="1:5" ht="12.5">
      <c r="A644" s="76"/>
      <c r="B644" s="5"/>
      <c r="C644" s="16"/>
      <c r="E644" s="5"/>
    </row>
    <row r="645" spans="1:5" ht="12.5">
      <c r="A645" s="76"/>
      <c r="B645" s="5"/>
      <c r="C645" s="16"/>
      <c r="E645" s="5"/>
    </row>
    <row r="646" spans="1:5" ht="12.5">
      <c r="A646" s="76"/>
      <c r="B646" s="5"/>
      <c r="C646" s="16"/>
      <c r="E646" s="5"/>
    </row>
    <row r="647" spans="1:5" ht="12.5">
      <c r="A647" s="76"/>
      <c r="B647" s="5"/>
      <c r="C647" s="16"/>
      <c r="E647" s="5"/>
    </row>
    <row r="648" spans="1:5" ht="12.5">
      <c r="A648" s="76"/>
      <c r="B648" s="5"/>
      <c r="C648" s="16"/>
      <c r="E648" s="5"/>
    </row>
    <row r="649" spans="1:5" ht="12.5">
      <c r="A649" s="76"/>
      <c r="B649" s="5"/>
      <c r="C649" s="16"/>
      <c r="E649" s="5"/>
    </row>
    <row r="650" spans="1:5" ht="12.5">
      <c r="A650" s="76"/>
      <c r="B650" s="5"/>
      <c r="C650" s="16"/>
      <c r="E650" s="5"/>
    </row>
    <row r="651" spans="1:5" ht="12.5">
      <c r="A651" s="76"/>
      <c r="B651" s="5"/>
      <c r="C651" s="16"/>
      <c r="E651" s="5"/>
    </row>
    <row r="652" spans="1:5" ht="12.5">
      <c r="A652" s="76"/>
      <c r="B652" s="5"/>
      <c r="C652" s="16"/>
      <c r="E652" s="5"/>
    </row>
    <row r="653" spans="1:5" ht="12.5">
      <c r="A653" s="76"/>
      <c r="B653" s="5"/>
      <c r="C653" s="16"/>
      <c r="E653" s="5"/>
    </row>
    <row r="654" spans="1:5" ht="12.5">
      <c r="A654" s="76"/>
      <c r="B654" s="5"/>
      <c r="C654" s="16"/>
      <c r="E654" s="5"/>
    </row>
    <row r="655" spans="1:5" ht="12.5">
      <c r="A655" s="76"/>
      <c r="B655" s="5"/>
      <c r="C655" s="16"/>
      <c r="E655" s="5"/>
    </row>
    <row r="656" spans="1:5" ht="12.5">
      <c r="A656" s="76"/>
      <c r="B656" s="5"/>
      <c r="C656" s="16"/>
      <c r="E656" s="5"/>
    </row>
    <row r="657" spans="1:5" ht="12.5">
      <c r="A657" s="76"/>
      <c r="B657" s="5"/>
      <c r="C657" s="16"/>
      <c r="E657" s="5"/>
    </row>
    <row r="658" spans="1:5" ht="12.5">
      <c r="A658" s="76"/>
      <c r="B658" s="5"/>
      <c r="C658" s="16"/>
      <c r="E658" s="5"/>
    </row>
    <row r="659" spans="1:5" ht="12.5">
      <c r="A659" s="76"/>
      <c r="B659" s="5"/>
      <c r="C659" s="16"/>
      <c r="E659" s="5"/>
    </row>
    <row r="660" spans="1:5" ht="12.5">
      <c r="A660" s="76"/>
      <c r="B660" s="5"/>
      <c r="C660" s="16"/>
      <c r="E660" s="5"/>
    </row>
    <row r="661" spans="1:5" ht="12.5">
      <c r="A661" s="76"/>
      <c r="B661" s="5"/>
      <c r="C661" s="16"/>
      <c r="E661" s="5"/>
    </row>
    <row r="662" spans="1:5" ht="12.5">
      <c r="A662" s="76"/>
      <c r="B662" s="5"/>
      <c r="C662" s="16"/>
      <c r="E662" s="5"/>
    </row>
    <row r="663" spans="1:5" ht="12.5">
      <c r="A663" s="76"/>
      <c r="B663" s="5"/>
      <c r="C663" s="16"/>
      <c r="E663" s="5"/>
    </row>
    <row r="664" spans="1:5" ht="12.5">
      <c r="A664" s="76"/>
      <c r="B664" s="5"/>
      <c r="C664" s="16"/>
      <c r="E664" s="5"/>
    </row>
    <row r="665" spans="1:5" ht="12.5">
      <c r="A665" s="76"/>
      <c r="B665" s="5"/>
      <c r="C665" s="16"/>
      <c r="E665" s="5"/>
    </row>
    <row r="666" spans="1:5" ht="12.5">
      <c r="A666" s="76"/>
      <c r="B666" s="5"/>
      <c r="C666" s="16"/>
      <c r="E666" s="5"/>
    </row>
    <row r="667" spans="1:5" ht="12.5">
      <c r="A667" s="76"/>
      <c r="B667" s="5"/>
      <c r="C667" s="16"/>
      <c r="E667" s="5"/>
    </row>
    <row r="668" spans="1:5" ht="12.5">
      <c r="A668" s="76"/>
      <c r="B668" s="5"/>
      <c r="C668" s="16"/>
      <c r="E668" s="5"/>
    </row>
    <row r="669" spans="1:5" ht="12.5">
      <c r="A669" s="76"/>
      <c r="B669" s="5"/>
      <c r="C669" s="16"/>
      <c r="E669" s="5"/>
    </row>
    <row r="670" spans="1:5" ht="12.5">
      <c r="A670" s="76"/>
      <c r="B670" s="5"/>
      <c r="C670" s="16"/>
      <c r="E670" s="5"/>
    </row>
    <row r="671" spans="1:5" ht="12.5">
      <c r="A671" s="76"/>
      <c r="B671" s="5"/>
      <c r="C671" s="16"/>
      <c r="E671" s="5"/>
    </row>
    <row r="672" spans="1:5" ht="12.5">
      <c r="A672" s="76"/>
      <c r="B672" s="5"/>
      <c r="C672" s="16"/>
      <c r="E672" s="5"/>
    </row>
    <row r="673" spans="1:5" ht="12.5">
      <c r="A673" s="76"/>
      <c r="B673" s="5"/>
      <c r="C673" s="16"/>
      <c r="E673" s="5"/>
    </row>
    <row r="674" spans="1:5" ht="12.5">
      <c r="A674" s="76"/>
      <c r="B674" s="5"/>
      <c r="C674" s="16"/>
      <c r="E674" s="5"/>
    </row>
    <row r="675" spans="1:5" ht="12.5">
      <c r="A675" s="76"/>
      <c r="B675" s="5"/>
      <c r="C675" s="16"/>
      <c r="E675" s="5"/>
    </row>
    <row r="676" spans="1:5" ht="12.5">
      <c r="A676" s="76"/>
      <c r="B676" s="5"/>
      <c r="C676" s="16"/>
      <c r="E676" s="5"/>
    </row>
    <row r="677" spans="1:5" ht="12.5">
      <c r="A677" s="76"/>
      <c r="B677" s="5"/>
      <c r="C677" s="16"/>
      <c r="E677" s="5"/>
    </row>
    <row r="678" spans="1:5" ht="12.5">
      <c r="A678" s="76"/>
      <c r="B678" s="5"/>
      <c r="C678" s="16"/>
      <c r="E678" s="5"/>
    </row>
    <row r="679" spans="1:5" ht="12.5">
      <c r="A679" s="76"/>
      <c r="B679" s="5"/>
      <c r="C679" s="16"/>
      <c r="E679" s="5"/>
    </row>
    <row r="680" spans="1:5" ht="12.5">
      <c r="A680" s="76"/>
      <c r="B680" s="5"/>
      <c r="C680" s="16"/>
      <c r="E680" s="5"/>
    </row>
    <row r="681" spans="1:5" ht="12.5">
      <c r="A681" s="76"/>
      <c r="B681" s="5"/>
      <c r="C681" s="16"/>
      <c r="E681" s="5"/>
    </row>
    <row r="682" spans="1:5" ht="12.5">
      <c r="A682" s="76"/>
      <c r="B682" s="5"/>
      <c r="C682" s="16"/>
      <c r="E682" s="5"/>
    </row>
    <row r="683" spans="1:5" ht="12.5">
      <c r="A683" s="76"/>
      <c r="B683" s="5"/>
      <c r="C683" s="16"/>
      <c r="E683" s="5"/>
    </row>
    <row r="684" spans="1:5" ht="12.5">
      <c r="A684" s="76"/>
      <c r="B684" s="5"/>
      <c r="C684" s="16"/>
      <c r="E684" s="5"/>
    </row>
    <row r="685" spans="1:5" ht="12.5">
      <c r="A685" s="76"/>
      <c r="B685" s="5"/>
      <c r="C685" s="16"/>
      <c r="E685" s="5"/>
    </row>
    <row r="686" spans="1:5" ht="12.5">
      <c r="A686" s="76"/>
      <c r="B686" s="5"/>
      <c r="C686" s="16"/>
      <c r="E686" s="5"/>
    </row>
    <row r="687" spans="1:5" ht="12.5">
      <c r="A687" s="76"/>
      <c r="B687" s="5"/>
      <c r="C687" s="16"/>
      <c r="E687" s="5"/>
    </row>
    <row r="688" spans="1:5" ht="12.5">
      <c r="A688" s="76"/>
      <c r="B688" s="5"/>
      <c r="C688" s="16"/>
      <c r="E688" s="5"/>
    </row>
    <row r="689" spans="1:5" ht="12.5">
      <c r="A689" s="76"/>
      <c r="B689" s="5"/>
      <c r="C689" s="16"/>
      <c r="E689" s="5"/>
    </row>
    <row r="690" spans="1:5" ht="12.5">
      <c r="A690" s="76"/>
      <c r="B690" s="5"/>
      <c r="C690" s="16"/>
      <c r="E690" s="5"/>
    </row>
    <row r="691" spans="1:5" ht="12.5">
      <c r="A691" s="76"/>
      <c r="B691" s="5"/>
      <c r="C691" s="16"/>
      <c r="E691" s="5"/>
    </row>
    <row r="692" spans="1:5" ht="12.5">
      <c r="A692" s="76"/>
      <c r="B692" s="5"/>
      <c r="C692" s="16"/>
      <c r="E692" s="5"/>
    </row>
    <row r="693" spans="1:5" ht="12.5">
      <c r="A693" s="76"/>
      <c r="B693" s="5"/>
      <c r="C693" s="16"/>
      <c r="E693" s="5"/>
    </row>
    <row r="694" spans="1:5" ht="12.5">
      <c r="A694" s="76"/>
      <c r="B694" s="5"/>
      <c r="C694" s="16"/>
      <c r="E694" s="5"/>
    </row>
    <row r="695" spans="1:5" ht="12.5">
      <c r="A695" s="76"/>
      <c r="B695" s="5"/>
      <c r="C695" s="16"/>
      <c r="E695" s="5"/>
    </row>
    <row r="696" spans="1:5" ht="12.5">
      <c r="A696" s="76"/>
      <c r="B696" s="5"/>
      <c r="C696" s="16"/>
      <c r="E696" s="5"/>
    </row>
    <row r="697" spans="1:5" ht="12.5">
      <c r="A697" s="76"/>
      <c r="B697" s="5"/>
      <c r="C697" s="16"/>
      <c r="E697" s="5"/>
    </row>
    <row r="698" spans="1:5" ht="12.5">
      <c r="A698" s="76"/>
      <c r="B698" s="5"/>
      <c r="C698" s="16"/>
      <c r="E698" s="5"/>
    </row>
    <row r="699" spans="1:5" ht="12.5">
      <c r="A699" s="76"/>
      <c r="B699" s="5"/>
      <c r="C699" s="16"/>
      <c r="E699" s="5"/>
    </row>
    <row r="700" spans="1:5" ht="12.5">
      <c r="A700" s="76"/>
      <c r="B700" s="5"/>
      <c r="C700" s="16"/>
      <c r="E700" s="5"/>
    </row>
    <row r="701" spans="1:5" ht="12.5">
      <c r="A701" s="76"/>
      <c r="B701" s="5"/>
      <c r="C701" s="16"/>
      <c r="E701" s="5"/>
    </row>
    <row r="702" spans="1:5" ht="12.5">
      <c r="A702" s="76"/>
      <c r="B702" s="5"/>
      <c r="C702" s="16"/>
      <c r="E702" s="5"/>
    </row>
    <row r="703" spans="1:5" ht="12.5">
      <c r="A703" s="76"/>
      <c r="B703" s="5"/>
      <c r="C703" s="16"/>
      <c r="E703" s="5"/>
    </row>
    <row r="704" spans="1:5" ht="12.5">
      <c r="A704" s="76"/>
      <c r="B704" s="5"/>
      <c r="C704" s="16"/>
      <c r="E704" s="5"/>
    </row>
    <row r="705" spans="1:5" ht="12.5">
      <c r="A705" s="76"/>
      <c r="B705" s="5"/>
      <c r="C705" s="16"/>
      <c r="E705" s="5"/>
    </row>
    <row r="706" spans="1:5" ht="12.5">
      <c r="A706" s="76"/>
      <c r="B706" s="5"/>
      <c r="C706" s="16"/>
      <c r="E706" s="5"/>
    </row>
    <row r="707" spans="1:5" ht="12.5">
      <c r="A707" s="76"/>
      <c r="B707" s="5"/>
      <c r="C707" s="16"/>
      <c r="E707" s="5"/>
    </row>
    <row r="708" spans="1:5" ht="12.5">
      <c r="A708" s="76"/>
      <c r="B708" s="5"/>
      <c r="C708" s="16"/>
      <c r="E708" s="5"/>
    </row>
    <row r="709" spans="1:5" ht="12.5">
      <c r="A709" s="76"/>
      <c r="B709" s="5"/>
      <c r="C709" s="16"/>
      <c r="E709" s="5"/>
    </row>
    <row r="710" spans="1:5" ht="12.5">
      <c r="A710" s="76"/>
      <c r="B710" s="5"/>
      <c r="C710" s="16"/>
      <c r="E710" s="5"/>
    </row>
    <row r="711" spans="1:5" ht="12.5">
      <c r="A711" s="76"/>
      <c r="B711" s="5"/>
      <c r="C711" s="16"/>
      <c r="E711" s="5"/>
    </row>
    <row r="712" spans="1:5" ht="12.5">
      <c r="A712" s="76"/>
      <c r="B712" s="5"/>
      <c r="C712" s="16"/>
      <c r="E712" s="5"/>
    </row>
    <row r="713" spans="1:5" ht="12.5">
      <c r="A713" s="76"/>
      <c r="B713" s="5"/>
      <c r="C713" s="16"/>
      <c r="E713" s="5"/>
    </row>
    <row r="714" spans="1:5" ht="12.5">
      <c r="A714" s="76"/>
      <c r="B714" s="5"/>
      <c r="C714" s="16"/>
      <c r="E714" s="5"/>
    </row>
    <row r="715" spans="1:5" ht="12.5">
      <c r="A715" s="76"/>
      <c r="B715" s="5"/>
      <c r="C715" s="16"/>
      <c r="E715" s="5"/>
    </row>
    <row r="716" spans="1:5" ht="12.5">
      <c r="A716" s="76"/>
      <c r="B716" s="5"/>
      <c r="C716" s="16"/>
      <c r="E716" s="5"/>
    </row>
    <row r="717" spans="1:5" ht="12.5">
      <c r="A717" s="76"/>
      <c r="B717" s="5"/>
      <c r="C717" s="16"/>
      <c r="E717" s="5"/>
    </row>
    <row r="718" spans="1:5" ht="12.5">
      <c r="A718" s="76"/>
      <c r="B718" s="5"/>
      <c r="C718" s="16"/>
      <c r="E718" s="5"/>
    </row>
    <row r="719" spans="1:5" ht="12.5">
      <c r="A719" s="76"/>
      <c r="B719" s="5"/>
      <c r="C719" s="16"/>
      <c r="E719" s="5"/>
    </row>
    <row r="720" spans="1:5" ht="12.5">
      <c r="A720" s="76"/>
      <c r="B720" s="5"/>
      <c r="C720" s="16"/>
      <c r="E720" s="5"/>
    </row>
    <row r="721" spans="1:5" ht="12.5">
      <c r="A721" s="76"/>
      <c r="B721" s="5"/>
      <c r="C721" s="16"/>
      <c r="E721" s="5"/>
    </row>
    <row r="722" spans="1:5" ht="12.5">
      <c r="A722" s="76"/>
      <c r="B722" s="5"/>
      <c r="C722" s="16"/>
      <c r="E722" s="5"/>
    </row>
    <row r="723" spans="1:5" ht="12.5">
      <c r="A723" s="76"/>
      <c r="B723" s="5"/>
      <c r="C723" s="16"/>
      <c r="E723" s="5"/>
    </row>
    <row r="724" spans="1:5" ht="12.5">
      <c r="A724" s="76"/>
      <c r="B724" s="5"/>
      <c r="C724" s="16"/>
      <c r="E724" s="5"/>
    </row>
    <row r="725" spans="1:5" ht="12.5">
      <c r="A725" s="76"/>
      <c r="B725" s="5"/>
      <c r="C725" s="16"/>
      <c r="E725" s="5"/>
    </row>
    <row r="726" spans="1:5" ht="12.5">
      <c r="A726" s="76"/>
      <c r="B726" s="5"/>
      <c r="C726" s="16"/>
      <c r="E726" s="5"/>
    </row>
    <row r="727" spans="1:5" ht="12.5">
      <c r="A727" s="76"/>
      <c r="B727" s="5"/>
      <c r="C727" s="16"/>
      <c r="E727" s="5"/>
    </row>
    <row r="728" spans="1:5" ht="12.5">
      <c r="A728" s="76"/>
      <c r="B728" s="5"/>
      <c r="C728" s="16"/>
      <c r="E728" s="5"/>
    </row>
    <row r="729" spans="1:5" ht="12.5">
      <c r="A729" s="76"/>
      <c r="B729" s="5"/>
      <c r="C729" s="16"/>
      <c r="E729" s="5"/>
    </row>
    <row r="730" spans="1:5" ht="12.5">
      <c r="A730" s="76"/>
      <c r="B730" s="5"/>
      <c r="C730" s="16"/>
      <c r="E730" s="5"/>
    </row>
    <row r="731" spans="1:5" ht="12.5">
      <c r="A731" s="76"/>
      <c r="B731" s="5"/>
      <c r="C731" s="16"/>
      <c r="E731" s="5"/>
    </row>
    <row r="732" spans="1:5" ht="12.5">
      <c r="A732" s="76"/>
      <c r="B732" s="5"/>
      <c r="C732" s="16"/>
      <c r="E732" s="5"/>
    </row>
    <row r="733" spans="1:5" ht="12.5">
      <c r="A733" s="76"/>
      <c r="B733" s="5"/>
      <c r="C733" s="16"/>
      <c r="E733" s="5"/>
    </row>
    <row r="734" spans="1:5" ht="12.5">
      <c r="A734" s="76"/>
      <c r="B734" s="5"/>
      <c r="C734" s="16"/>
      <c r="E734" s="5"/>
    </row>
    <row r="735" spans="1:5" ht="12.5">
      <c r="A735" s="76"/>
      <c r="B735" s="5"/>
      <c r="C735" s="16"/>
      <c r="E735" s="5"/>
    </row>
    <row r="736" spans="1:5" ht="12.5">
      <c r="A736" s="76"/>
      <c r="B736" s="5"/>
      <c r="C736" s="16"/>
      <c r="E736" s="5"/>
    </row>
    <row r="737" spans="1:5" ht="12.5">
      <c r="A737" s="76"/>
      <c r="B737" s="5"/>
      <c r="C737" s="16"/>
      <c r="E737" s="5"/>
    </row>
    <row r="738" spans="1:5" ht="12.5">
      <c r="A738" s="76"/>
      <c r="B738" s="5"/>
      <c r="C738" s="16"/>
      <c r="E738" s="5"/>
    </row>
    <row r="739" spans="1:5" ht="12.5">
      <c r="A739" s="76"/>
      <c r="B739" s="5"/>
      <c r="C739" s="16"/>
      <c r="E739" s="5"/>
    </row>
    <row r="740" spans="1:5" ht="12.5">
      <c r="A740" s="76"/>
      <c r="B740" s="5"/>
      <c r="C740" s="16"/>
      <c r="E740" s="5"/>
    </row>
    <row r="741" spans="1:5" ht="12.5">
      <c r="A741" s="76"/>
      <c r="B741" s="5"/>
      <c r="C741" s="16"/>
      <c r="E741" s="5"/>
    </row>
    <row r="742" spans="1:5" ht="12.5">
      <c r="A742" s="76"/>
      <c r="B742" s="5"/>
      <c r="C742" s="16"/>
      <c r="E742" s="5"/>
    </row>
    <row r="743" spans="1:5" ht="12.5">
      <c r="A743" s="76"/>
      <c r="B743" s="5"/>
      <c r="C743" s="16"/>
      <c r="E743" s="5"/>
    </row>
    <row r="744" spans="1:5" ht="12.5">
      <c r="A744" s="76"/>
      <c r="B744" s="5"/>
      <c r="C744" s="16"/>
      <c r="E744" s="5"/>
    </row>
    <row r="745" spans="1:5" ht="12.5">
      <c r="A745" s="76"/>
      <c r="B745" s="5"/>
      <c r="C745" s="16"/>
      <c r="E745" s="5"/>
    </row>
    <row r="746" spans="1:5" ht="12.5">
      <c r="A746" s="76"/>
      <c r="B746" s="5"/>
      <c r="C746" s="16"/>
      <c r="E746" s="5"/>
    </row>
    <row r="747" spans="1:5" ht="12.5">
      <c r="A747" s="76"/>
      <c r="B747" s="5"/>
      <c r="C747" s="16"/>
      <c r="E747" s="5"/>
    </row>
    <row r="748" spans="1:5" ht="12.5">
      <c r="A748" s="76"/>
      <c r="B748" s="5"/>
      <c r="C748" s="16"/>
      <c r="E748" s="5"/>
    </row>
    <row r="749" spans="1:5" ht="12.5">
      <c r="A749" s="76"/>
      <c r="B749" s="5"/>
      <c r="C749" s="16"/>
      <c r="E749" s="5"/>
    </row>
    <row r="750" spans="1:5" ht="12.5">
      <c r="A750" s="76"/>
      <c r="B750" s="5"/>
      <c r="C750" s="16"/>
      <c r="E750" s="5"/>
    </row>
    <row r="751" spans="1:5" ht="12.5">
      <c r="A751" s="76"/>
      <c r="B751" s="5"/>
      <c r="C751" s="16"/>
      <c r="E751" s="5"/>
    </row>
    <row r="752" spans="1:5" ht="12.5">
      <c r="A752" s="76"/>
      <c r="B752" s="5"/>
      <c r="C752" s="16"/>
      <c r="E752" s="5"/>
    </row>
    <row r="753" spans="1:5" ht="12.5">
      <c r="A753" s="76"/>
      <c r="B753" s="5"/>
      <c r="C753" s="16"/>
      <c r="E753" s="5"/>
    </row>
    <row r="754" spans="1:5" ht="12.5">
      <c r="A754" s="76"/>
      <c r="B754" s="5"/>
      <c r="C754" s="16"/>
      <c r="E754" s="5"/>
    </row>
    <row r="755" spans="1:5" ht="12.5">
      <c r="A755" s="76"/>
      <c r="B755" s="5"/>
      <c r="C755" s="16"/>
      <c r="E755" s="5"/>
    </row>
    <row r="756" spans="1:5" ht="12.5">
      <c r="A756" s="76"/>
      <c r="B756" s="5"/>
      <c r="C756" s="16"/>
      <c r="E756" s="5"/>
    </row>
    <row r="757" spans="1:5" ht="12.5">
      <c r="A757" s="76"/>
      <c r="B757" s="5"/>
      <c r="C757" s="16"/>
      <c r="E757" s="5"/>
    </row>
    <row r="758" spans="1:5" ht="12.5">
      <c r="A758" s="76"/>
      <c r="B758" s="5"/>
      <c r="C758" s="16"/>
      <c r="E758" s="5"/>
    </row>
    <row r="759" spans="1:5" ht="12.5">
      <c r="A759" s="76"/>
      <c r="B759" s="5"/>
      <c r="C759" s="16"/>
      <c r="E759" s="5"/>
    </row>
    <row r="760" spans="1:5" ht="12.5">
      <c r="A760" s="76"/>
      <c r="B760" s="5"/>
      <c r="C760" s="16"/>
      <c r="E760" s="5"/>
    </row>
    <row r="761" spans="1:5" ht="12.5">
      <c r="A761" s="76"/>
      <c r="B761" s="5"/>
      <c r="C761" s="16"/>
      <c r="E761" s="5"/>
    </row>
    <row r="762" spans="1:5" ht="12.5">
      <c r="A762" s="76"/>
      <c r="B762" s="5"/>
      <c r="C762" s="16"/>
      <c r="E762" s="5"/>
    </row>
    <row r="763" spans="1:5" ht="12.5">
      <c r="A763" s="76"/>
      <c r="B763" s="5"/>
      <c r="C763" s="16"/>
      <c r="E763" s="5"/>
    </row>
    <row r="764" spans="1:5" ht="12.5">
      <c r="A764" s="76"/>
      <c r="B764" s="5"/>
      <c r="C764" s="16"/>
      <c r="E764" s="5"/>
    </row>
    <row r="765" spans="1:5" ht="12.5">
      <c r="A765" s="76"/>
      <c r="B765" s="5"/>
      <c r="C765" s="16"/>
      <c r="E765" s="5"/>
    </row>
    <row r="766" spans="1:5" ht="12.5">
      <c r="A766" s="76"/>
      <c r="B766" s="5"/>
      <c r="C766" s="16"/>
      <c r="E766" s="5"/>
    </row>
    <row r="767" spans="1:5" ht="12.5">
      <c r="A767" s="76"/>
      <c r="B767" s="5"/>
      <c r="C767" s="16"/>
      <c r="E767" s="5"/>
    </row>
    <row r="768" spans="1:5" ht="12.5">
      <c r="A768" s="76"/>
      <c r="B768" s="5"/>
      <c r="C768" s="16"/>
      <c r="E768" s="5"/>
    </row>
    <row r="769" spans="1:5" ht="12.5">
      <c r="A769" s="76"/>
      <c r="B769" s="5"/>
      <c r="C769" s="16"/>
      <c r="E769" s="5"/>
    </row>
    <row r="770" spans="1:5" ht="12.5">
      <c r="A770" s="76"/>
      <c r="B770" s="5"/>
      <c r="C770" s="16"/>
      <c r="E770" s="5"/>
    </row>
    <row r="771" spans="1:5" ht="12.5">
      <c r="A771" s="76"/>
      <c r="B771" s="5"/>
      <c r="C771" s="16"/>
      <c r="E771" s="5"/>
    </row>
    <row r="772" spans="1:5" ht="12.5">
      <c r="A772" s="76"/>
      <c r="B772" s="5"/>
      <c r="C772" s="16"/>
      <c r="E772" s="5"/>
    </row>
    <row r="773" spans="1:5" ht="12.5">
      <c r="A773" s="76"/>
      <c r="B773" s="5"/>
      <c r="C773" s="16"/>
      <c r="E773" s="5"/>
    </row>
    <row r="774" spans="1:5" ht="12.5">
      <c r="A774" s="76"/>
      <c r="B774" s="5"/>
      <c r="C774" s="16"/>
      <c r="E774" s="5"/>
    </row>
    <row r="775" spans="1:5" ht="12.5">
      <c r="A775" s="76"/>
      <c r="B775" s="5"/>
      <c r="C775" s="16"/>
      <c r="E775" s="5"/>
    </row>
    <row r="776" spans="1:5" ht="12.5">
      <c r="A776" s="76"/>
      <c r="B776" s="5"/>
      <c r="C776" s="16"/>
      <c r="E776" s="5"/>
    </row>
    <row r="777" spans="1:5" ht="12.5">
      <c r="A777" s="76"/>
      <c r="B777" s="5"/>
      <c r="C777" s="16"/>
      <c r="E777" s="5"/>
    </row>
    <row r="778" spans="1:5" ht="12.5">
      <c r="A778" s="76"/>
      <c r="B778" s="5"/>
      <c r="C778" s="16"/>
      <c r="E778" s="5"/>
    </row>
    <row r="779" spans="1:5" ht="12.5">
      <c r="A779" s="76"/>
      <c r="B779" s="5"/>
      <c r="C779" s="16"/>
      <c r="E779" s="5"/>
    </row>
    <row r="780" spans="1:5" ht="12.5">
      <c r="A780" s="76"/>
      <c r="B780" s="5"/>
      <c r="C780" s="16"/>
      <c r="E780" s="5"/>
    </row>
    <row r="781" spans="1:5" ht="12.5">
      <c r="A781" s="76"/>
      <c r="B781" s="5"/>
      <c r="C781" s="16"/>
      <c r="E781" s="5"/>
    </row>
    <row r="782" spans="1:5" ht="12.5">
      <c r="A782" s="76"/>
      <c r="B782" s="5"/>
      <c r="C782" s="16"/>
      <c r="E782" s="5"/>
    </row>
    <row r="783" spans="1:5" ht="12.5">
      <c r="A783" s="76"/>
      <c r="B783" s="5"/>
      <c r="C783" s="16"/>
      <c r="E783" s="5"/>
    </row>
    <row r="784" spans="1:5" ht="12.5">
      <c r="A784" s="76"/>
      <c r="B784" s="5"/>
      <c r="C784" s="16"/>
      <c r="E784" s="5"/>
    </row>
    <row r="785" spans="1:5" ht="12.5">
      <c r="A785" s="76"/>
      <c r="B785" s="5"/>
      <c r="C785" s="16"/>
      <c r="E785" s="5"/>
    </row>
    <row r="786" spans="1:5" ht="12.5">
      <c r="A786" s="76"/>
      <c r="B786" s="5"/>
      <c r="C786" s="16"/>
      <c r="E786" s="5"/>
    </row>
    <row r="787" spans="1:5" ht="12.5">
      <c r="A787" s="76"/>
      <c r="B787" s="5"/>
      <c r="C787" s="16"/>
      <c r="E787" s="5"/>
    </row>
    <row r="788" spans="1:5" ht="12.5">
      <c r="A788" s="76"/>
      <c r="B788" s="5"/>
      <c r="C788" s="16"/>
      <c r="E788" s="5"/>
    </row>
    <row r="789" spans="1:5" ht="12.5">
      <c r="A789" s="76"/>
      <c r="B789" s="5"/>
      <c r="C789" s="16"/>
      <c r="E789" s="5"/>
    </row>
    <row r="790" spans="1:5" ht="12.5">
      <c r="A790" s="76"/>
      <c r="B790" s="5"/>
      <c r="C790" s="16"/>
      <c r="E790" s="5"/>
    </row>
    <row r="791" spans="1:5" ht="12.5">
      <c r="A791" s="76"/>
      <c r="B791" s="5"/>
      <c r="C791" s="16"/>
      <c r="E791" s="5"/>
    </row>
    <row r="792" spans="1:5" ht="12.5">
      <c r="A792" s="76"/>
      <c r="B792" s="5"/>
      <c r="C792" s="16"/>
      <c r="E792" s="5"/>
    </row>
    <row r="793" spans="1:5" ht="12.5">
      <c r="A793" s="76"/>
      <c r="B793" s="5"/>
      <c r="C793" s="16"/>
      <c r="E793" s="5"/>
    </row>
    <row r="794" spans="1:5" ht="12.5">
      <c r="A794" s="76"/>
      <c r="B794" s="5"/>
      <c r="C794" s="16"/>
      <c r="E794" s="5"/>
    </row>
    <row r="795" spans="1:5" ht="12.5">
      <c r="A795" s="76"/>
      <c r="B795" s="5"/>
      <c r="C795" s="16"/>
      <c r="E795" s="5"/>
    </row>
    <row r="796" spans="1:5" ht="12.5">
      <c r="A796" s="76"/>
      <c r="B796" s="5"/>
      <c r="C796" s="16"/>
      <c r="E796" s="5"/>
    </row>
    <row r="797" spans="1:5" ht="12.5">
      <c r="A797" s="76"/>
      <c r="B797" s="5"/>
      <c r="C797" s="16"/>
      <c r="E797" s="5"/>
    </row>
    <row r="798" spans="1:5" ht="12.5">
      <c r="A798" s="76"/>
      <c r="B798" s="5"/>
      <c r="C798" s="16"/>
      <c r="E798" s="5"/>
    </row>
    <row r="799" spans="1:5" ht="12.5">
      <c r="A799" s="76"/>
      <c r="B799" s="5"/>
      <c r="C799" s="16"/>
      <c r="E799" s="5"/>
    </row>
    <row r="800" spans="1:5" ht="12.5">
      <c r="A800" s="76"/>
      <c r="B800" s="5"/>
      <c r="C800" s="16"/>
      <c r="E800" s="5"/>
    </row>
    <row r="801" spans="1:5" ht="12.5">
      <c r="A801" s="76"/>
      <c r="B801" s="5"/>
      <c r="C801" s="16"/>
      <c r="E801" s="5"/>
    </row>
    <row r="802" spans="1:5" ht="12.5">
      <c r="A802" s="76"/>
      <c r="B802" s="5"/>
      <c r="C802" s="16"/>
      <c r="E802" s="5"/>
    </row>
    <row r="803" spans="1:5" ht="12.5">
      <c r="A803" s="76"/>
      <c r="B803" s="5"/>
      <c r="C803" s="16"/>
      <c r="E803" s="5"/>
    </row>
    <row r="804" spans="1:5" ht="12.5">
      <c r="A804" s="76"/>
      <c r="B804" s="5"/>
      <c r="C804" s="16"/>
      <c r="E804" s="5"/>
    </row>
    <row r="805" spans="1:5" ht="12.5">
      <c r="A805" s="76"/>
      <c r="B805" s="5"/>
      <c r="C805" s="16"/>
      <c r="E805" s="5"/>
    </row>
    <row r="806" spans="1:5" ht="12.5">
      <c r="A806" s="76"/>
      <c r="B806" s="5"/>
      <c r="C806" s="16"/>
      <c r="E806" s="5"/>
    </row>
    <row r="807" spans="1:5" ht="12.5">
      <c r="A807" s="76"/>
      <c r="B807" s="5"/>
      <c r="C807" s="16"/>
      <c r="E807" s="5"/>
    </row>
    <row r="808" spans="1:5" ht="12.5">
      <c r="A808" s="76"/>
      <c r="B808" s="5"/>
      <c r="C808" s="16"/>
      <c r="E808" s="5"/>
    </row>
    <row r="809" spans="1:5" ht="12.5">
      <c r="A809" s="76"/>
      <c r="B809" s="5"/>
      <c r="C809" s="16"/>
      <c r="E809" s="5"/>
    </row>
    <row r="810" spans="1:5" ht="12.5">
      <c r="A810" s="76"/>
      <c r="B810" s="5"/>
      <c r="C810" s="16"/>
      <c r="E810" s="5"/>
    </row>
    <row r="811" spans="1:5" ht="12.5">
      <c r="A811" s="76"/>
      <c r="B811" s="5"/>
      <c r="C811" s="16"/>
      <c r="E811" s="5"/>
    </row>
    <row r="812" spans="1:5" ht="12.5">
      <c r="A812" s="76"/>
      <c r="B812" s="5"/>
      <c r="C812" s="16"/>
      <c r="E812" s="5"/>
    </row>
    <row r="813" spans="1:5" ht="12.5">
      <c r="A813" s="76"/>
      <c r="B813" s="5"/>
      <c r="C813" s="16"/>
      <c r="E813" s="5"/>
    </row>
    <row r="814" spans="1:5" ht="12.5">
      <c r="A814" s="76"/>
      <c r="B814" s="5"/>
      <c r="C814" s="16"/>
      <c r="E814" s="5"/>
    </row>
    <row r="815" spans="1:5" ht="12.5">
      <c r="A815" s="76"/>
      <c r="B815" s="5"/>
      <c r="C815" s="16"/>
      <c r="E815" s="5"/>
    </row>
    <row r="816" spans="1:5" ht="12.5">
      <c r="A816" s="76"/>
      <c r="B816" s="5"/>
      <c r="C816" s="16"/>
      <c r="E816" s="5"/>
    </row>
    <row r="817" spans="1:5" ht="12.5">
      <c r="A817" s="76"/>
      <c r="B817" s="5"/>
      <c r="C817" s="16"/>
      <c r="E817" s="5"/>
    </row>
    <row r="818" spans="1:5" ht="12.5">
      <c r="A818" s="76"/>
      <c r="B818" s="5"/>
      <c r="C818" s="16"/>
      <c r="E818" s="5"/>
    </row>
    <row r="819" spans="1:5" ht="12.5">
      <c r="A819" s="76"/>
      <c r="B819" s="5"/>
      <c r="C819" s="16"/>
      <c r="E819" s="5"/>
    </row>
    <row r="820" spans="1:5" ht="12.5">
      <c r="A820" s="76"/>
      <c r="B820" s="5"/>
      <c r="C820" s="16"/>
      <c r="E820" s="5"/>
    </row>
    <row r="821" spans="1:5" ht="12.5">
      <c r="A821" s="76"/>
      <c r="B821" s="5"/>
      <c r="C821" s="16"/>
      <c r="E821" s="5"/>
    </row>
    <row r="822" spans="1:5" ht="12.5">
      <c r="A822" s="76"/>
      <c r="B822" s="5"/>
      <c r="C822" s="16"/>
      <c r="E822" s="5"/>
    </row>
    <row r="823" spans="1:5" ht="12.5">
      <c r="A823" s="76"/>
      <c r="B823" s="5"/>
      <c r="C823" s="16"/>
      <c r="E823" s="5"/>
    </row>
    <row r="824" spans="1:5" ht="12.5">
      <c r="A824" s="76"/>
      <c r="B824" s="5"/>
      <c r="C824" s="16"/>
      <c r="E824" s="5"/>
    </row>
    <row r="825" spans="1:5" ht="12.5">
      <c r="A825" s="76"/>
      <c r="B825" s="5"/>
      <c r="C825" s="16"/>
      <c r="E825" s="5"/>
    </row>
    <row r="826" spans="1:5" ht="12.5">
      <c r="A826" s="76"/>
      <c r="B826" s="5"/>
      <c r="C826" s="16"/>
      <c r="E826" s="5"/>
    </row>
    <row r="827" spans="1:5" ht="12.5">
      <c r="A827" s="76"/>
      <c r="B827" s="5"/>
      <c r="C827" s="16"/>
      <c r="E827" s="5"/>
    </row>
    <row r="828" spans="1:5" ht="12.5">
      <c r="A828" s="76"/>
      <c r="B828" s="5"/>
      <c r="C828" s="16"/>
      <c r="E828" s="5"/>
    </row>
    <row r="829" spans="1:5" ht="12.5">
      <c r="A829" s="76"/>
      <c r="B829" s="5"/>
      <c r="C829" s="16"/>
      <c r="E829" s="5"/>
    </row>
    <row r="830" spans="1:5" ht="12.5">
      <c r="A830" s="76"/>
      <c r="B830" s="5"/>
      <c r="C830" s="16"/>
      <c r="E830" s="5"/>
    </row>
    <row r="831" spans="1:5" ht="12.5">
      <c r="A831" s="76"/>
      <c r="B831" s="5"/>
      <c r="C831" s="16"/>
      <c r="E831" s="5"/>
    </row>
    <row r="832" spans="1:5" ht="12.5">
      <c r="A832" s="76"/>
      <c r="B832" s="5"/>
      <c r="C832" s="16"/>
      <c r="E832" s="5"/>
    </row>
    <row r="833" spans="1:5" ht="12.5">
      <c r="A833" s="76"/>
      <c r="B833" s="5"/>
      <c r="C833" s="16"/>
      <c r="E833" s="5"/>
    </row>
    <row r="834" spans="1:5" ht="12.5">
      <c r="A834" s="76"/>
      <c r="B834" s="5"/>
      <c r="C834" s="16"/>
      <c r="E834" s="5"/>
    </row>
    <row r="835" spans="1:5" ht="12.5">
      <c r="A835" s="76"/>
      <c r="B835" s="5"/>
      <c r="C835" s="16"/>
      <c r="E835" s="5"/>
    </row>
    <row r="836" spans="1:5" ht="12.5">
      <c r="A836" s="76"/>
      <c r="B836" s="5"/>
      <c r="C836" s="16"/>
      <c r="E836" s="5"/>
    </row>
    <row r="837" spans="1:5" ht="12.5">
      <c r="A837" s="76"/>
      <c r="B837" s="5"/>
      <c r="C837" s="16"/>
      <c r="E837" s="5"/>
    </row>
    <row r="838" spans="1:5" ht="12.5">
      <c r="A838" s="76"/>
      <c r="B838" s="5"/>
      <c r="C838" s="16"/>
      <c r="E838" s="5"/>
    </row>
    <row r="839" spans="1:5" ht="12.5">
      <c r="A839" s="76"/>
      <c r="B839" s="5"/>
      <c r="C839" s="16"/>
      <c r="E839" s="5"/>
    </row>
    <row r="840" spans="1:5" ht="12.5">
      <c r="A840" s="76"/>
      <c r="B840" s="5"/>
      <c r="C840" s="16"/>
      <c r="E840" s="5"/>
    </row>
    <row r="841" spans="1:5" ht="12.5">
      <c r="A841" s="76"/>
      <c r="B841" s="5"/>
      <c r="C841" s="16"/>
      <c r="E841" s="5"/>
    </row>
    <row r="842" spans="1:5" ht="12.5">
      <c r="A842" s="76"/>
      <c r="B842" s="5"/>
      <c r="C842" s="16"/>
      <c r="E842" s="5"/>
    </row>
    <row r="843" spans="1:5" ht="12.5">
      <c r="A843" s="76"/>
      <c r="B843" s="5"/>
      <c r="C843" s="16"/>
      <c r="E843" s="5"/>
    </row>
    <row r="844" spans="1:5" ht="12.5">
      <c r="A844" s="76"/>
      <c r="B844" s="5"/>
      <c r="C844" s="16"/>
      <c r="E844" s="5"/>
    </row>
    <row r="845" spans="1:5" ht="12.5">
      <c r="A845" s="76"/>
      <c r="B845" s="5"/>
      <c r="C845" s="16"/>
      <c r="E845" s="5"/>
    </row>
    <row r="846" spans="1:5" ht="12.5">
      <c r="A846" s="76"/>
      <c r="B846" s="5"/>
      <c r="C846" s="16"/>
      <c r="E846" s="5"/>
    </row>
    <row r="847" spans="1:5" ht="12.5">
      <c r="A847" s="76"/>
      <c r="B847" s="5"/>
      <c r="C847" s="16"/>
      <c r="E847" s="5"/>
    </row>
    <row r="848" spans="1:5" ht="12.5">
      <c r="A848" s="76"/>
      <c r="B848" s="5"/>
      <c r="C848" s="16"/>
      <c r="E848" s="5"/>
    </row>
    <row r="849" spans="1:5" ht="12.5">
      <c r="A849" s="76"/>
      <c r="B849" s="5"/>
      <c r="C849" s="16"/>
      <c r="E849" s="5"/>
    </row>
    <row r="850" spans="1:5" ht="12.5">
      <c r="A850" s="76"/>
      <c r="B850" s="5"/>
      <c r="C850" s="16"/>
      <c r="E850" s="5"/>
    </row>
    <row r="851" spans="1:5" ht="12.5">
      <c r="A851" s="76"/>
      <c r="B851" s="5"/>
      <c r="C851" s="16"/>
      <c r="E851" s="5"/>
    </row>
    <row r="852" spans="1:5" ht="12.5">
      <c r="A852" s="76"/>
      <c r="B852" s="5"/>
      <c r="C852" s="16"/>
      <c r="E852" s="5"/>
    </row>
    <row r="853" spans="1:5" ht="12.5">
      <c r="A853" s="76"/>
      <c r="B853" s="5"/>
      <c r="C853" s="16"/>
      <c r="E853" s="5"/>
    </row>
    <row r="854" spans="1:5" ht="12.5">
      <c r="A854" s="76"/>
      <c r="B854" s="5"/>
      <c r="C854" s="16"/>
      <c r="E854" s="5"/>
    </row>
    <row r="855" spans="1:5" ht="12.5">
      <c r="A855" s="76"/>
      <c r="B855" s="5"/>
      <c r="C855" s="16"/>
      <c r="E855" s="5"/>
    </row>
    <row r="856" spans="1:5" ht="12.5">
      <c r="A856" s="76"/>
      <c r="B856" s="5"/>
      <c r="C856" s="16"/>
      <c r="E856" s="5"/>
    </row>
    <row r="857" spans="1:5" ht="12.5">
      <c r="A857" s="76"/>
      <c r="B857" s="5"/>
      <c r="C857" s="16"/>
      <c r="E857" s="5"/>
    </row>
    <row r="858" spans="1:5" ht="12.5">
      <c r="A858" s="76"/>
      <c r="B858" s="5"/>
      <c r="C858" s="16"/>
      <c r="E858" s="5"/>
    </row>
    <row r="859" spans="1:5" ht="12.5">
      <c r="A859" s="76"/>
      <c r="B859" s="5"/>
      <c r="C859" s="16"/>
      <c r="E859" s="5"/>
    </row>
    <row r="860" spans="1:5" ht="12.5">
      <c r="A860" s="76"/>
      <c r="B860" s="5"/>
      <c r="C860" s="16"/>
      <c r="E860" s="5"/>
    </row>
    <row r="861" spans="1:5" ht="12.5">
      <c r="A861" s="76"/>
      <c r="B861" s="5"/>
      <c r="C861" s="16"/>
      <c r="E861" s="5"/>
    </row>
    <row r="862" spans="1:5" ht="12.5">
      <c r="A862" s="76"/>
      <c r="B862" s="5"/>
      <c r="C862" s="16"/>
      <c r="E862" s="5"/>
    </row>
    <row r="863" spans="1:5" ht="12.5">
      <c r="A863" s="76"/>
      <c r="B863" s="5"/>
      <c r="C863" s="16"/>
      <c r="E863" s="5"/>
    </row>
    <row r="864" spans="1:5" ht="12.5">
      <c r="A864" s="76"/>
      <c r="B864" s="5"/>
      <c r="C864" s="16"/>
      <c r="E864" s="5"/>
    </row>
    <row r="865" spans="1:5" ht="12.5">
      <c r="A865" s="76"/>
      <c r="B865" s="5"/>
      <c r="C865" s="16"/>
      <c r="E865" s="5"/>
    </row>
    <row r="866" spans="1:5" ht="12.5">
      <c r="A866" s="76"/>
      <c r="B866" s="5"/>
      <c r="C866" s="16"/>
      <c r="E866" s="5"/>
    </row>
    <row r="867" spans="1:5" ht="12.5">
      <c r="A867" s="76"/>
      <c r="B867" s="5"/>
      <c r="C867" s="16"/>
      <c r="E867" s="5"/>
    </row>
    <row r="868" spans="1:5" ht="12.5">
      <c r="A868" s="76"/>
      <c r="B868" s="5"/>
      <c r="C868" s="16"/>
      <c r="E868" s="5"/>
    </row>
    <row r="869" spans="1:5" ht="12.5">
      <c r="A869" s="76"/>
      <c r="B869" s="5"/>
      <c r="C869" s="16"/>
      <c r="E869" s="5"/>
    </row>
    <row r="870" spans="1:5" ht="12.5">
      <c r="A870" s="76"/>
      <c r="B870" s="5"/>
      <c r="C870" s="16"/>
      <c r="E870" s="5"/>
    </row>
    <row r="871" spans="1:5" ht="12.5">
      <c r="A871" s="76"/>
      <c r="B871" s="5"/>
      <c r="C871" s="16"/>
      <c r="E871" s="5"/>
    </row>
    <row r="872" spans="1:5" ht="12.5">
      <c r="A872" s="76"/>
      <c r="B872" s="5"/>
      <c r="C872" s="16"/>
      <c r="E872" s="5"/>
    </row>
    <row r="873" spans="1:5" ht="12.5">
      <c r="A873" s="76"/>
      <c r="B873" s="5"/>
      <c r="C873" s="16"/>
      <c r="E873" s="5"/>
    </row>
    <row r="874" spans="1:5" ht="12.5">
      <c r="A874" s="76"/>
      <c r="B874" s="5"/>
      <c r="C874" s="16"/>
      <c r="E874" s="5"/>
    </row>
    <row r="875" spans="1:5" ht="12.5">
      <c r="A875" s="76"/>
      <c r="B875" s="5"/>
      <c r="C875" s="16"/>
      <c r="E875" s="5"/>
    </row>
    <row r="876" spans="1:5" ht="12.5">
      <c r="A876" s="76"/>
      <c r="B876" s="5"/>
      <c r="C876" s="16"/>
      <c r="E876" s="5"/>
    </row>
    <row r="877" spans="1:5" ht="12.5">
      <c r="A877" s="76"/>
      <c r="B877" s="5"/>
      <c r="C877" s="16"/>
      <c r="E877" s="5"/>
    </row>
    <row r="878" spans="1:5" ht="12.5">
      <c r="A878" s="76"/>
      <c r="B878" s="5"/>
      <c r="C878" s="16"/>
      <c r="E878" s="5"/>
    </row>
    <row r="879" spans="1:5" ht="12.5">
      <c r="A879" s="76"/>
      <c r="B879" s="5"/>
      <c r="C879" s="16"/>
      <c r="E879" s="5"/>
    </row>
    <row r="880" spans="1:5" ht="12.5">
      <c r="A880" s="76"/>
      <c r="B880" s="5"/>
      <c r="C880" s="16"/>
      <c r="E880" s="5"/>
    </row>
    <row r="881" spans="1:5" ht="12.5">
      <c r="A881" s="76"/>
      <c r="B881" s="5"/>
      <c r="C881" s="16"/>
      <c r="E881" s="5"/>
    </row>
    <row r="882" spans="1:5" ht="12.5">
      <c r="A882" s="76"/>
      <c r="B882" s="5"/>
      <c r="C882" s="16"/>
      <c r="E882" s="5"/>
    </row>
    <row r="883" spans="1:5" ht="12.5">
      <c r="A883" s="76"/>
      <c r="B883" s="5"/>
      <c r="C883" s="16"/>
      <c r="E883" s="5"/>
    </row>
    <row r="884" spans="1:5" ht="12.5">
      <c r="A884" s="76"/>
      <c r="B884" s="5"/>
      <c r="C884" s="16"/>
      <c r="E884" s="5"/>
    </row>
    <row r="885" spans="1:5" ht="12.5">
      <c r="A885" s="76"/>
      <c r="B885" s="5"/>
      <c r="C885" s="16"/>
      <c r="E885" s="5"/>
    </row>
    <row r="886" spans="1:5" ht="12.5">
      <c r="A886" s="76"/>
      <c r="B886" s="5"/>
      <c r="C886" s="16"/>
      <c r="E886" s="5"/>
    </row>
    <row r="887" spans="1:5" ht="12.5">
      <c r="A887" s="76"/>
      <c r="B887" s="5"/>
      <c r="C887" s="16"/>
      <c r="E887" s="5"/>
    </row>
    <row r="888" spans="1:5" ht="12.5">
      <c r="A888" s="76"/>
      <c r="B888" s="5"/>
      <c r="C888" s="16"/>
      <c r="E888" s="5"/>
    </row>
    <row r="889" spans="1:5" ht="12.5">
      <c r="A889" s="76"/>
      <c r="B889" s="5"/>
      <c r="C889" s="16"/>
      <c r="E889" s="5"/>
    </row>
    <row r="890" spans="1:5" ht="12.5">
      <c r="A890" s="76"/>
      <c r="B890" s="5"/>
      <c r="C890" s="16"/>
      <c r="E890" s="5"/>
    </row>
    <row r="891" spans="1:5" ht="12.5">
      <c r="A891" s="76"/>
      <c r="B891" s="5"/>
      <c r="C891" s="16"/>
      <c r="E891" s="5"/>
    </row>
    <row r="892" spans="1:5" ht="12.5">
      <c r="A892" s="76"/>
      <c r="B892" s="5"/>
      <c r="C892" s="16"/>
      <c r="E892" s="5"/>
    </row>
    <row r="893" spans="1:5" ht="12.5">
      <c r="A893" s="76"/>
      <c r="B893" s="5"/>
      <c r="C893" s="16"/>
      <c r="E893" s="5"/>
    </row>
    <row r="894" spans="1:5" ht="12.5">
      <c r="A894" s="76"/>
      <c r="B894" s="5"/>
      <c r="C894" s="16"/>
      <c r="E894" s="5"/>
    </row>
    <row r="895" spans="1:5" ht="12.5">
      <c r="A895" s="76"/>
      <c r="B895" s="5"/>
      <c r="C895" s="16"/>
      <c r="E895" s="5"/>
    </row>
    <row r="896" spans="1:5" ht="12.5">
      <c r="A896" s="76"/>
      <c r="B896" s="5"/>
      <c r="C896" s="16"/>
      <c r="E896" s="5"/>
    </row>
    <row r="897" spans="1:5" ht="12.5">
      <c r="A897" s="76"/>
      <c r="B897" s="5"/>
      <c r="C897" s="16"/>
      <c r="E897" s="5"/>
    </row>
    <row r="898" spans="1:5" ht="12.5">
      <c r="A898" s="76"/>
      <c r="B898" s="5"/>
      <c r="C898" s="16"/>
      <c r="E898" s="5"/>
    </row>
    <row r="899" spans="1:5" ht="12.5">
      <c r="A899" s="76"/>
      <c r="B899" s="5"/>
      <c r="C899" s="16"/>
      <c r="E899" s="5"/>
    </row>
    <row r="900" spans="1:5" ht="12.5">
      <c r="A900" s="76"/>
      <c r="B900" s="5"/>
      <c r="C900" s="16"/>
      <c r="E900" s="5"/>
    </row>
    <row r="901" spans="1:5" ht="12.5">
      <c r="A901" s="76"/>
      <c r="B901" s="5"/>
      <c r="C901" s="16"/>
      <c r="E901" s="5"/>
    </row>
    <row r="902" spans="1:5" ht="12.5">
      <c r="A902" s="76"/>
      <c r="B902" s="5"/>
      <c r="C902" s="16"/>
      <c r="E902" s="5"/>
    </row>
    <row r="903" spans="1:5" ht="12.5">
      <c r="A903" s="76"/>
      <c r="B903" s="5"/>
      <c r="C903" s="16"/>
      <c r="E903" s="5"/>
    </row>
    <row r="904" spans="1:5" ht="12.5">
      <c r="A904" s="76"/>
      <c r="B904" s="5"/>
      <c r="C904" s="16"/>
      <c r="E904" s="5"/>
    </row>
    <row r="905" spans="1:5" ht="12.5">
      <c r="A905" s="76"/>
      <c r="B905" s="5"/>
      <c r="C905" s="16"/>
      <c r="E905" s="5"/>
    </row>
    <row r="906" spans="1:5" ht="12.5">
      <c r="A906" s="76"/>
      <c r="B906" s="5"/>
      <c r="C906" s="16"/>
      <c r="E906" s="5"/>
    </row>
    <row r="907" spans="1:5" ht="12.5">
      <c r="A907" s="76"/>
      <c r="B907" s="5"/>
      <c r="C907" s="16"/>
      <c r="E907" s="5"/>
    </row>
    <row r="908" spans="1:5" ht="12.5">
      <c r="A908" s="76"/>
      <c r="B908" s="5"/>
      <c r="C908" s="16"/>
      <c r="E908" s="5"/>
    </row>
    <row r="909" spans="1:5" ht="12.5">
      <c r="A909" s="76"/>
      <c r="B909" s="5"/>
      <c r="C909" s="16"/>
      <c r="E909" s="5"/>
    </row>
    <row r="910" spans="1:5" ht="12.5">
      <c r="A910" s="76"/>
      <c r="B910" s="5"/>
      <c r="C910" s="16"/>
      <c r="E910" s="5"/>
    </row>
    <row r="911" spans="1:5" ht="12.5">
      <c r="A911" s="76"/>
      <c r="B911" s="5"/>
      <c r="C911" s="16"/>
      <c r="E911" s="5"/>
    </row>
    <row r="912" spans="1:5" ht="12.5">
      <c r="A912" s="76"/>
      <c r="B912" s="5"/>
      <c r="C912" s="16"/>
      <c r="E912" s="5"/>
    </row>
    <row r="913" spans="1:5" ht="12.5">
      <c r="A913" s="76"/>
      <c r="B913" s="5"/>
      <c r="C913" s="16"/>
      <c r="E913" s="5"/>
    </row>
    <row r="914" spans="1:5" ht="12.5">
      <c r="A914" s="76"/>
      <c r="B914" s="5"/>
      <c r="C914" s="16"/>
      <c r="E914" s="5"/>
    </row>
    <row r="915" spans="1:5" ht="12.5">
      <c r="A915" s="76"/>
      <c r="B915" s="5"/>
      <c r="C915" s="16"/>
      <c r="E915" s="5"/>
    </row>
    <row r="916" spans="1:5" ht="12.5">
      <c r="A916" s="76"/>
      <c r="B916" s="5"/>
      <c r="C916" s="16"/>
      <c r="E916" s="5"/>
    </row>
    <row r="917" spans="1:5" ht="12.5">
      <c r="A917" s="76"/>
      <c r="B917" s="5"/>
      <c r="C917" s="16"/>
      <c r="E917" s="5"/>
    </row>
    <row r="918" spans="1:5" ht="12.5">
      <c r="A918" s="76"/>
      <c r="B918" s="5"/>
      <c r="C918" s="16"/>
      <c r="E918" s="5"/>
    </row>
    <row r="919" spans="1:5" ht="12.5">
      <c r="A919" s="76"/>
      <c r="B919" s="5"/>
      <c r="C919" s="16"/>
      <c r="E919" s="5"/>
    </row>
    <row r="920" spans="1:5" ht="12.5">
      <c r="A920" s="76"/>
      <c r="B920" s="5"/>
      <c r="C920" s="16"/>
      <c r="E920" s="5"/>
    </row>
    <row r="921" spans="1:5" ht="12.5">
      <c r="A921" s="76"/>
      <c r="B921" s="5"/>
      <c r="C921" s="16"/>
      <c r="E921" s="5"/>
    </row>
    <row r="922" spans="1:5" ht="12.5">
      <c r="A922" s="76"/>
      <c r="B922" s="5"/>
      <c r="C922" s="16"/>
      <c r="E922" s="5"/>
    </row>
    <row r="923" spans="1:5" ht="12.5">
      <c r="A923" s="76"/>
      <c r="B923" s="5"/>
      <c r="C923" s="16"/>
      <c r="E923" s="5"/>
    </row>
    <row r="924" spans="1:5" ht="12.5">
      <c r="A924" s="76"/>
      <c r="B924" s="5"/>
      <c r="C924" s="16"/>
      <c r="E924" s="5"/>
    </row>
    <row r="925" spans="1:5" ht="12.5">
      <c r="A925" s="76"/>
      <c r="B925" s="5"/>
      <c r="C925" s="16"/>
      <c r="E925" s="5"/>
    </row>
    <row r="926" spans="1:5" ht="12.5">
      <c r="A926" s="76"/>
      <c r="B926" s="5"/>
      <c r="C926" s="16"/>
      <c r="E926" s="5"/>
    </row>
    <row r="927" spans="1:5" ht="12.5">
      <c r="A927" s="76"/>
      <c r="B927" s="5"/>
      <c r="C927" s="16"/>
      <c r="E927" s="5"/>
    </row>
    <row r="928" spans="1:5" ht="12.5">
      <c r="A928" s="76"/>
      <c r="B928" s="5"/>
      <c r="C928" s="16"/>
      <c r="E928" s="5"/>
    </row>
    <row r="929" spans="1:5" ht="12.5">
      <c r="A929" s="76"/>
      <c r="B929" s="5"/>
      <c r="C929" s="16"/>
      <c r="E929" s="5"/>
    </row>
    <row r="930" spans="1:5" ht="12.5">
      <c r="A930" s="76"/>
      <c r="B930" s="5"/>
      <c r="C930" s="16"/>
      <c r="E930" s="5"/>
    </row>
    <row r="931" spans="1:5" ht="12.5">
      <c r="A931" s="76"/>
      <c r="B931" s="5"/>
      <c r="C931" s="16"/>
      <c r="E931" s="5"/>
    </row>
    <row r="932" spans="1:5" ht="12.5">
      <c r="A932" s="76"/>
      <c r="B932" s="5"/>
      <c r="C932" s="16"/>
      <c r="E932" s="5"/>
    </row>
    <row r="933" spans="1:5" ht="12.5">
      <c r="A933" s="76"/>
      <c r="B933" s="5"/>
      <c r="C933" s="16"/>
      <c r="E933" s="5"/>
    </row>
    <row r="934" spans="1:5" ht="12.5">
      <c r="A934" s="76"/>
      <c r="B934" s="5"/>
      <c r="C934" s="16"/>
      <c r="E934" s="5"/>
    </row>
    <row r="935" spans="1:5" ht="12.5">
      <c r="A935" s="76"/>
      <c r="B935" s="5"/>
      <c r="C935" s="16"/>
      <c r="E935" s="5"/>
    </row>
    <row r="936" spans="1:5" ht="12.5">
      <c r="A936" s="76"/>
      <c r="B936" s="5"/>
      <c r="C936" s="16"/>
      <c r="E936" s="5"/>
    </row>
    <row r="937" spans="1:5" ht="12.5">
      <c r="A937" s="76"/>
      <c r="B937" s="5"/>
      <c r="C937" s="16"/>
      <c r="E937" s="5"/>
    </row>
    <row r="938" spans="1:5" ht="12.5">
      <c r="A938" s="76"/>
      <c r="B938" s="5"/>
      <c r="C938" s="16"/>
      <c r="E938" s="5"/>
    </row>
    <row r="939" spans="1:5" ht="12.5">
      <c r="A939" s="76"/>
      <c r="B939" s="5"/>
      <c r="C939" s="16"/>
      <c r="E939" s="5"/>
    </row>
    <row r="940" spans="1:5" ht="12.5">
      <c r="A940" s="76"/>
      <c r="B940" s="5"/>
      <c r="C940" s="16"/>
      <c r="E940" s="5"/>
    </row>
    <row r="941" spans="1:5" ht="12.5">
      <c r="A941" s="76"/>
      <c r="B941" s="5"/>
      <c r="C941" s="16"/>
      <c r="E941" s="5"/>
    </row>
    <row r="942" spans="1:5" ht="12.5">
      <c r="A942" s="76"/>
      <c r="B942" s="5"/>
      <c r="C942" s="16"/>
      <c r="E942" s="5"/>
    </row>
    <row r="943" spans="1:5" ht="12.5">
      <c r="A943" s="76"/>
      <c r="B943" s="5"/>
      <c r="C943" s="16"/>
      <c r="E943" s="5"/>
    </row>
    <row r="944" spans="1:5" ht="12.5">
      <c r="A944" s="76"/>
      <c r="B944" s="5"/>
      <c r="C944" s="16"/>
      <c r="E944" s="5"/>
    </row>
    <row r="945" spans="1:5" ht="12.5">
      <c r="A945" s="76"/>
      <c r="B945" s="5"/>
      <c r="C945" s="16"/>
      <c r="E945" s="5"/>
    </row>
    <row r="946" spans="1:5" ht="12.5">
      <c r="A946" s="76"/>
      <c r="B946" s="5"/>
      <c r="C946" s="16"/>
      <c r="E946" s="5"/>
    </row>
    <row r="947" spans="1:5" ht="12.5">
      <c r="A947" s="76"/>
      <c r="B947" s="5"/>
      <c r="C947" s="16"/>
      <c r="E947" s="5"/>
    </row>
    <row r="948" spans="1:5" ht="12.5">
      <c r="A948" s="76"/>
      <c r="B948" s="5"/>
      <c r="C948" s="16"/>
      <c r="E948" s="5"/>
    </row>
    <row r="949" spans="1:5" ht="12.5">
      <c r="A949" s="76"/>
      <c r="B949" s="5"/>
      <c r="C949" s="16"/>
      <c r="E949" s="5"/>
    </row>
    <row r="950" spans="1:5" ht="12.5">
      <c r="A950" s="76"/>
      <c r="B950" s="5"/>
      <c r="C950" s="16"/>
      <c r="E950" s="5"/>
    </row>
    <row r="951" spans="1:5" ht="12.5">
      <c r="A951" s="76"/>
      <c r="B951" s="5"/>
      <c r="C951" s="16"/>
      <c r="E951" s="5"/>
    </row>
    <row r="952" spans="1:5" ht="12.5">
      <c r="A952" s="76"/>
      <c r="B952" s="5"/>
      <c r="C952" s="16"/>
      <c r="E952" s="5"/>
    </row>
    <row r="953" spans="1:5" ht="12.5">
      <c r="A953" s="76"/>
      <c r="B953" s="5"/>
      <c r="C953" s="16"/>
      <c r="E953" s="5"/>
    </row>
    <row r="954" spans="1:5" ht="12.5">
      <c r="A954" s="76"/>
      <c r="B954" s="5"/>
      <c r="C954" s="16"/>
      <c r="E954" s="5"/>
    </row>
    <row r="955" spans="1:5" ht="12.5">
      <c r="A955" s="76"/>
      <c r="B955" s="5"/>
      <c r="C955" s="16"/>
      <c r="E955" s="5"/>
    </row>
    <row r="956" spans="1:5" ht="12.5">
      <c r="A956" s="76"/>
      <c r="B956" s="5"/>
      <c r="C956" s="16"/>
      <c r="E956" s="5"/>
    </row>
    <row r="957" spans="1:5" ht="12.5">
      <c r="A957" s="76"/>
      <c r="B957" s="5"/>
      <c r="C957" s="16"/>
      <c r="E957" s="5"/>
    </row>
    <row r="958" spans="1:5" ht="12.5">
      <c r="A958" s="76"/>
      <c r="B958" s="5"/>
      <c r="C958" s="16"/>
      <c r="E958" s="5"/>
    </row>
    <row r="959" spans="1:5" ht="12.5">
      <c r="A959" s="76"/>
      <c r="B959" s="5"/>
      <c r="C959" s="16"/>
      <c r="E959" s="5"/>
    </row>
    <row r="960" spans="1:5" ht="12.5">
      <c r="A960" s="76"/>
      <c r="B960" s="5"/>
      <c r="C960" s="16"/>
      <c r="E960" s="5"/>
    </row>
    <row r="961" spans="1:5" ht="12.5">
      <c r="A961" s="76"/>
      <c r="B961" s="5"/>
      <c r="C961" s="16"/>
      <c r="E961" s="5"/>
    </row>
    <row r="962" spans="1:5" ht="12.5">
      <c r="A962" s="76"/>
      <c r="B962" s="5"/>
      <c r="C962" s="16"/>
      <c r="E962" s="5"/>
    </row>
    <row r="963" spans="1:5" ht="12.5">
      <c r="A963" s="76"/>
      <c r="B963" s="5"/>
      <c r="C963" s="16"/>
      <c r="E963" s="5"/>
    </row>
    <row r="964" spans="1:5" ht="12.5">
      <c r="A964" s="76"/>
      <c r="B964" s="5"/>
      <c r="C964" s="16"/>
      <c r="E964" s="5"/>
    </row>
    <row r="965" spans="1:5" ht="12.5">
      <c r="A965" s="76"/>
      <c r="B965" s="5"/>
      <c r="C965" s="16"/>
      <c r="E965" s="5"/>
    </row>
    <row r="966" spans="1:5" ht="12.5">
      <c r="A966" s="76"/>
      <c r="B966" s="5"/>
      <c r="C966" s="16"/>
      <c r="E966" s="5"/>
    </row>
    <row r="967" spans="1:5" ht="12.5">
      <c r="A967" s="76"/>
      <c r="B967" s="5"/>
      <c r="C967" s="16"/>
      <c r="E967" s="5"/>
    </row>
    <row r="968" spans="1:5" ht="12.5">
      <c r="A968" s="76"/>
      <c r="B968" s="5"/>
      <c r="C968" s="16"/>
      <c r="E968" s="5"/>
    </row>
    <row r="969" spans="1:5" ht="12.5">
      <c r="A969" s="76"/>
      <c r="B969" s="5"/>
      <c r="C969" s="16"/>
      <c r="E969" s="5"/>
    </row>
    <row r="970" spans="1:5" ht="12.5">
      <c r="A970" s="76"/>
      <c r="B970" s="5"/>
      <c r="C970" s="16"/>
      <c r="E970" s="5"/>
    </row>
    <row r="971" spans="1:5" ht="12.5">
      <c r="A971" s="76"/>
      <c r="B971" s="5"/>
      <c r="C971" s="16"/>
      <c r="E971" s="5"/>
    </row>
    <row r="972" spans="1:5" ht="12.5">
      <c r="A972" s="76"/>
      <c r="B972" s="5"/>
      <c r="C972" s="16"/>
      <c r="E972" s="5"/>
    </row>
    <row r="973" spans="1:5" ht="12.5">
      <c r="A973" s="76"/>
      <c r="B973" s="5"/>
      <c r="C973" s="16"/>
      <c r="E973" s="5"/>
    </row>
    <row r="974" spans="1:5" ht="12.5">
      <c r="A974" s="76"/>
      <c r="B974" s="5"/>
      <c r="C974" s="16"/>
      <c r="E974" s="5"/>
    </row>
    <row r="975" spans="1:5" ht="12.5">
      <c r="A975" s="76"/>
      <c r="B975" s="5"/>
      <c r="C975" s="16"/>
      <c r="E975" s="5"/>
    </row>
    <row r="976" spans="1:5" ht="12.5">
      <c r="A976" s="76"/>
      <c r="B976" s="5"/>
      <c r="C976" s="16"/>
      <c r="E976" s="5"/>
    </row>
    <row r="977" spans="1:5" ht="12.5">
      <c r="A977" s="76"/>
      <c r="B977" s="5"/>
      <c r="C977" s="16"/>
      <c r="E977" s="5"/>
    </row>
    <row r="978" spans="1:5" ht="12.5">
      <c r="A978" s="76"/>
      <c r="B978" s="5"/>
      <c r="C978" s="16"/>
      <c r="E978" s="5"/>
    </row>
    <row r="979" spans="1:5" ht="12.5">
      <c r="A979" s="76"/>
      <c r="B979" s="5"/>
      <c r="C979" s="16"/>
      <c r="E979" s="5"/>
    </row>
    <row r="980" spans="1:5" ht="12.5">
      <c r="A980" s="76"/>
      <c r="B980" s="5"/>
      <c r="C980" s="16"/>
      <c r="E980" s="5"/>
    </row>
    <row r="981" spans="1:5" ht="12.5">
      <c r="A981" s="76"/>
      <c r="B981" s="5"/>
      <c r="C981" s="16"/>
      <c r="E981" s="5"/>
    </row>
    <row r="982" spans="1:5" ht="12.5">
      <c r="A982" s="76"/>
      <c r="B982" s="5"/>
      <c r="C982" s="16"/>
      <c r="E982" s="5"/>
    </row>
    <row r="983" spans="1:5" ht="12.5">
      <c r="A983" s="76"/>
      <c r="B983" s="5"/>
      <c r="C983" s="16"/>
      <c r="E983" s="5"/>
    </row>
    <row r="984" spans="1:5" ht="12.5">
      <c r="A984" s="76"/>
      <c r="B984" s="5"/>
      <c r="C984" s="16"/>
      <c r="E984" s="5"/>
    </row>
    <row r="985" spans="1:5" ht="12.5">
      <c r="A985" s="76"/>
      <c r="B985" s="5"/>
      <c r="C985" s="16"/>
      <c r="E985" s="5"/>
    </row>
    <row r="986" spans="1:5" ht="12.5">
      <c r="A986" s="76"/>
      <c r="B986" s="5"/>
      <c r="C986" s="16"/>
      <c r="E986" s="5"/>
    </row>
    <row r="987" spans="1:5" ht="12.5">
      <c r="A987" s="76"/>
      <c r="B987" s="5"/>
      <c r="C987" s="16"/>
      <c r="E987" s="5"/>
    </row>
    <row r="988" spans="1:5" ht="12.5">
      <c r="A988" s="76"/>
      <c r="B988" s="5"/>
      <c r="C988" s="16"/>
      <c r="E988" s="5"/>
    </row>
    <row r="989" spans="1:5" ht="12.5">
      <c r="A989" s="76"/>
      <c r="B989" s="5"/>
      <c r="C989" s="16"/>
      <c r="E989" s="5"/>
    </row>
    <row r="990" spans="1:5" ht="12.5">
      <c r="A990" s="76"/>
      <c r="B990" s="5"/>
      <c r="C990" s="16"/>
      <c r="E990" s="5"/>
    </row>
    <row r="991" spans="1:5" ht="12.5">
      <c r="A991" s="76"/>
      <c r="B991" s="5"/>
      <c r="C991" s="16"/>
      <c r="E991" s="5"/>
    </row>
    <row r="992" spans="1:5" ht="12.5">
      <c r="A992" s="76"/>
      <c r="B992" s="5"/>
      <c r="C992" s="16"/>
      <c r="E992" s="5"/>
    </row>
    <row r="993" spans="1:5" ht="12.5">
      <c r="A993" s="76"/>
      <c r="B993" s="5"/>
      <c r="C993" s="16"/>
      <c r="E993" s="5"/>
    </row>
    <row r="994" spans="1:5" ht="12.5">
      <c r="A994" s="76"/>
      <c r="B994" s="5"/>
      <c r="C994" s="16"/>
      <c r="E994" s="5"/>
    </row>
    <row r="995" spans="1:5" ht="12.5">
      <c r="A995" s="76"/>
      <c r="B995" s="5"/>
      <c r="C995" s="16"/>
      <c r="E995" s="5"/>
    </row>
    <row r="996" spans="1:5" ht="12.5">
      <c r="A996" s="76"/>
      <c r="B996" s="5"/>
      <c r="C996" s="16"/>
      <c r="E996" s="5"/>
    </row>
    <row r="997" spans="1:5" ht="12.5">
      <c r="A997" s="76"/>
      <c r="B997" s="5"/>
      <c r="C997" s="16"/>
      <c r="E997" s="5"/>
    </row>
    <row r="998" spans="1:5" ht="12.5">
      <c r="A998" s="76"/>
      <c r="B998" s="5"/>
      <c r="C998" s="16"/>
      <c r="E998" s="5"/>
    </row>
    <row r="999" spans="1:5" ht="12.5">
      <c r="A999" s="76"/>
      <c r="B999" s="5"/>
      <c r="C999" s="16"/>
      <c r="E999" s="5"/>
    </row>
    <row r="1000" spans="1:5" ht="12.5">
      <c r="A1000" s="76"/>
      <c r="B1000" s="5"/>
      <c r="C1000" s="16"/>
      <c r="E1000" s="5"/>
    </row>
  </sheetData>
  <conditionalFormatting sqref="A2:J1000">
    <cfRule type="expression" dxfId="21" priority="1">
      <formula>$E2="Pessoa 2"</formula>
    </cfRule>
    <cfRule type="expression" dxfId="20" priority="2">
      <formula>$E2="Pessoa 1"</formula>
    </cfRule>
  </conditionalFormatting>
  <dataValidations count="3">
    <dataValidation type="list" allowBlank="1" showErrorMessage="1" sqref="E2:E1000" xr:uid="{00000000-0002-0000-0400-000000000000}">
      <formula1>"Pessoa 1,Pessoa 2"</formula1>
    </dataValidation>
    <dataValidation type="list" allowBlank="1" showErrorMessage="1" sqref="B2:B1000" xr:uid="{00000000-0002-0000-0400-000001000000}">
      <formula1>"Aluguel_Cond,Home Supplies,Energia_Gás_Água_Esgoto,Internet_Telefonia,Comida_Alimentação,Manutenção_Casa,Móveis_Aparelhos_Decoração,Transporte Geral &amp; Coletivo,Transporte Uber &amp; Apps,Saúde,Academia &amp; Fitness,Educação,Roupa_Acessorios,Entretenimento_&amp;_Rest"&amp;"aurantes,Viagem/Vacation,Work-related,Imposto (IPVA-IPTU-etc),Outros,Investimento (aporte),Gasto Pessoal"</formula1>
    </dataValidation>
    <dataValidation type="custom" allowBlank="1" showDropDown="1" showErrorMessage="1" sqref="A2:A1000" xr:uid="{00000000-0002-0000-0400-000002000000}">
      <formula1>OR(NOT(ISERROR(DATEVALUE(A2))), AND(ISNUMBER(A2), LEFT(CELL("format", A2))="D"))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6D9EEB"/>
    <outlinePr summaryBelow="0" summaryRight="0"/>
  </sheetPr>
  <dimension ref="A1:J100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2.6328125" defaultRowHeight="15.75" customHeight="1"/>
  <cols>
    <col min="1" max="1" width="18.08984375" customWidth="1"/>
    <col min="2" max="2" width="30.36328125" customWidth="1"/>
    <col min="3" max="3" width="22.36328125" customWidth="1"/>
    <col min="4" max="4" width="60.90625" customWidth="1"/>
    <col min="5" max="5" width="12.7265625" customWidth="1"/>
    <col min="6" max="6" width="44.90625" customWidth="1"/>
    <col min="7" max="7" width="6.90625" customWidth="1"/>
    <col min="9" max="9" width="43.08984375" customWidth="1"/>
  </cols>
  <sheetData>
    <row r="1" spans="1:10">
      <c r="A1" s="77" t="s">
        <v>180</v>
      </c>
      <c r="B1" s="14" t="s">
        <v>103</v>
      </c>
      <c r="C1" s="72" t="s">
        <v>104</v>
      </c>
      <c r="D1" s="14" t="s">
        <v>105</v>
      </c>
      <c r="E1" s="14" t="s">
        <v>106</v>
      </c>
      <c r="F1" s="12"/>
      <c r="H1" s="12"/>
      <c r="I1" s="12"/>
    </row>
    <row r="2" spans="1:10" ht="15.75" customHeight="1">
      <c r="A2" s="74">
        <v>44999</v>
      </c>
      <c r="B2" s="38" t="s">
        <v>51</v>
      </c>
      <c r="C2" s="75">
        <v>412.19390641912429</v>
      </c>
      <c r="D2" s="32" t="s">
        <v>181</v>
      </c>
      <c r="E2" s="32" t="s">
        <v>64</v>
      </c>
      <c r="F2" s="32"/>
      <c r="G2" s="5"/>
      <c r="H2" s="15"/>
      <c r="I2" s="5"/>
      <c r="J2" s="5"/>
    </row>
    <row r="3" spans="1:10" ht="15.75" customHeight="1">
      <c r="A3" s="74">
        <v>45004</v>
      </c>
      <c r="B3" s="38" t="s">
        <v>51</v>
      </c>
      <c r="C3" s="75">
        <v>579.89608096850611</v>
      </c>
      <c r="D3" s="32" t="s">
        <v>182</v>
      </c>
      <c r="E3" s="32" t="s">
        <v>65</v>
      </c>
      <c r="F3" s="5"/>
      <c r="G3" s="5"/>
      <c r="H3" s="15"/>
      <c r="I3" s="5"/>
      <c r="J3" s="5"/>
    </row>
    <row r="4" spans="1:10" ht="15.75" customHeight="1">
      <c r="A4" s="74">
        <v>45009</v>
      </c>
      <c r="B4" s="38" t="s">
        <v>43</v>
      </c>
      <c r="C4" s="75">
        <v>385.55892347003942</v>
      </c>
      <c r="D4" s="32" t="s">
        <v>183</v>
      </c>
      <c r="E4" s="32" t="s">
        <v>64</v>
      </c>
      <c r="F4" s="32"/>
      <c r="G4" s="5"/>
      <c r="H4" s="15"/>
      <c r="I4" s="5"/>
      <c r="J4" s="5"/>
    </row>
    <row r="5" spans="1:10" ht="15.75" customHeight="1">
      <c r="A5" s="74">
        <v>45010</v>
      </c>
      <c r="B5" s="38" t="s">
        <v>36</v>
      </c>
      <c r="C5" s="75">
        <v>594.9573421217849</v>
      </c>
      <c r="D5" s="32" t="s">
        <v>184</v>
      </c>
      <c r="E5" s="32" t="s">
        <v>64</v>
      </c>
      <c r="F5" s="5"/>
      <c r="G5" s="5"/>
      <c r="H5" s="15"/>
      <c r="I5" s="5"/>
      <c r="J5" s="5"/>
    </row>
    <row r="6" spans="1:10" ht="15.75" customHeight="1">
      <c r="A6" s="74">
        <v>45013</v>
      </c>
      <c r="B6" s="38" t="s">
        <v>49</v>
      </c>
      <c r="C6" s="75">
        <v>5.3207311654163032</v>
      </c>
      <c r="D6" s="32" t="s">
        <v>185</v>
      </c>
      <c r="E6" s="32" t="s">
        <v>64</v>
      </c>
      <c r="F6" s="5"/>
      <c r="G6" s="5"/>
      <c r="H6" s="15"/>
      <c r="I6" s="5"/>
      <c r="J6" s="5"/>
    </row>
    <row r="7" spans="1:10" ht="15.75" customHeight="1">
      <c r="A7" s="74">
        <v>45005</v>
      </c>
      <c r="B7" s="38" t="s">
        <v>44</v>
      </c>
      <c r="C7" s="75">
        <v>159.21092239099457</v>
      </c>
      <c r="D7" s="32" t="s">
        <v>186</v>
      </c>
      <c r="E7" s="32" t="s">
        <v>65</v>
      </c>
      <c r="F7" s="5"/>
      <c r="G7" s="5"/>
      <c r="H7" s="15"/>
      <c r="I7" s="5"/>
      <c r="J7" s="5"/>
    </row>
    <row r="8" spans="1:10" ht="15.75" customHeight="1">
      <c r="A8" s="74">
        <v>45000</v>
      </c>
      <c r="B8" s="38" t="s">
        <v>38</v>
      </c>
      <c r="C8" s="75">
        <v>190.05589488356395</v>
      </c>
      <c r="D8" s="32" t="s">
        <v>187</v>
      </c>
      <c r="E8" s="32" t="s">
        <v>65</v>
      </c>
      <c r="F8" s="5"/>
      <c r="G8" s="5"/>
      <c r="H8" s="15"/>
      <c r="I8" s="5"/>
      <c r="J8" s="5"/>
    </row>
    <row r="9" spans="1:10" ht="15.75" customHeight="1">
      <c r="A9" s="74">
        <v>45009</v>
      </c>
      <c r="B9" s="38" t="s">
        <v>39</v>
      </c>
      <c r="C9" s="75">
        <v>490.11274242369399</v>
      </c>
      <c r="D9" s="32" t="s">
        <v>188</v>
      </c>
      <c r="E9" s="32" t="s">
        <v>65</v>
      </c>
      <c r="F9" s="5"/>
      <c r="G9" s="5"/>
      <c r="H9" s="15"/>
      <c r="I9" s="5"/>
      <c r="J9" s="5"/>
    </row>
    <row r="10" spans="1:10" ht="15.75" customHeight="1">
      <c r="A10" s="74">
        <v>44992</v>
      </c>
      <c r="B10" s="38" t="s">
        <v>33</v>
      </c>
      <c r="C10" s="75">
        <v>187.46358011777758</v>
      </c>
      <c r="D10" s="32" t="s">
        <v>189</v>
      </c>
      <c r="E10" s="32" t="s">
        <v>65</v>
      </c>
      <c r="F10" s="5"/>
      <c r="G10" s="5"/>
      <c r="H10" s="15"/>
      <c r="I10" s="5"/>
      <c r="J10" s="5"/>
    </row>
    <row r="11" spans="1:10" ht="15.75" customHeight="1">
      <c r="A11" s="74">
        <v>45000</v>
      </c>
      <c r="B11" s="38" t="s">
        <v>46</v>
      </c>
      <c r="C11" s="75">
        <v>320.96081141595153</v>
      </c>
      <c r="D11" s="32" t="s">
        <v>190</v>
      </c>
      <c r="E11" s="32" t="s">
        <v>65</v>
      </c>
      <c r="F11" s="5"/>
      <c r="G11" s="5"/>
      <c r="H11" s="15"/>
      <c r="I11" s="5"/>
      <c r="J11" s="5"/>
    </row>
    <row r="12" spans="1:10" ht="15.75" customHeight="1">
      <c r="A12" s="74">
        <v>45006</v>
      </c>
      <c r="B12" s="38" t="s">
        <v>35</v>
      </c>
      <c r="C12" s="75">
        <v>183.28491826797818</v>
      </c>
      <c r="D12" s="32" t="s">
        <v>191</v>
      </c>
      <c r="E12" s="32" t="s">
        <v>65</v>
      </c>
      <c r="F12" s="5"/>
      <c r="G12" s="5"/>
      <c r="H12" s="15"/>
      <c r="I12" s="5"/>
      <c r="J12" s="5"/>
    </row>
    <row r="13" spans="1:10" ht="15.75" customHeight="1">
      <c r="A13" s="74">
        <v>44997</v>
      </c>
      <c r="B13" s="38" t="s">
        <v>39</v>
      </c>
      <c r="C13" s="75">
        <v>190.71575472047789</v>
      </c>
      <c r="D13" s="32" t="s">
        <v>192</v>
      </c>
      <c r="E13" s="32" t="s">
        <v>65</v>
      </c>
      <c r="F13" s="5"/>
      <c r="G13" s="5"/>
      <c r="H13" s="15"/>
      <c r="I13" s="5"/>
      <c r="J13" s="5"/>
    </row>
    <row r="14" spans="1:10" ht="15.75" customHeight="1">
      <c r="A14" s="74">
        <v>45010</v>
      </c>
      <c r="B14" s="38" t="s">
        <v>43</v>
      </c>
      <c r="C14" s="75">
        <v>342.9484759361394</v>
      </c>
      <c r="D14" s="32" t="s">
        <v>193</v>
      </c>
      <c r="E14" s="32" t="s">
        <v>65</v>
      </c>
      <c r="F14" s="5"/>
      <c r="G14" s="5"/>
      <c r="H14" s="15"/>
      <c r="I14" s="5"/>
      <c r="J14" s="5"/>
    </row>
    <row r="15" spans="1:10" ht="15.75" customHeight="1">
      <c r="A15" s="74">
        <v>45001</v>
      </c>
      <c r="B15" s="38" t="s">
        <v>40</v>
      </c>
      <c r="C15" s="75">
        <v>45.68512828753213</v>
      </c>
      <c r="D15" s="32" t="s">
        <v>194</v>
      </c>
      <c r="E15" s="32" t="s">
        <v>65</v>
      </c>
      <c r="F15" s="5"/>
      <c r="G15" s="5"/>
      <c r="H15" s="15"/>
      <c r="I15" s="5"/>
      <c r="J15" s="5"/>
    </row>
    <row r="16" spans="1:10" ht="15.75" customHeight="1">
      <c r="A16" s="74">
        <v>44999</v>
      </c>
      <c r="B16" s="38" t="s">
        <v>42</v>
      </c>
      <c r="C16" s="75">
        <v>527.5040216741121</v>
      </c>
      <c r="D16" s="32" t="s">
        <v>195</v>
      </c>
      <c r="E16" s="32" t="s">
        <v>64</v>
      </c>
      <c r="F16" s="5"/>
      <c r="G16" s="5"/>
      <c r="H16" s="15"/>
      <c r="I16" s="5"/>
      <c r="J16" s="5"/>
    </row>
    <row r="17" spans="1:10" ht="15.75" customHeight="1">
      <c r="A17" s="74">
        <v>45004</v>
      </c>
      <c r="B17" s="38" t="s">
        <v>42</v>
      </c>
      <c r="C17" s="75">
        <v>495.50844397013634</v>
      </c>
      <c r="D17" s="32" t="s">
        <v>196</v>
      </c>
      <c r="E17" s="32" t="s">
        <v>65</v>
      </c>
      <c r="F17" s="5"/>
      <c r="G17" s="5"/>
      <c r="H17" s="15"/>
      <c r="I17" s="5"/>
      <c r="J17" s="5"/>
    </row>
    <row r="18" spans="1:10" ht="15.75" customHeight="1">
      <c r="A18" s="74">
        <v>44996</v>
      </c>
      <c r="B18" s="38" t="s">
        <v>52</v>
      </c>
      <c r="C18" s="75">
        <v>279.2148250033282</v>
      </c>
      <c r="D18" s="32" t="s">
        <v>197</v>
      </c>
      <c r="E18" s="32" t="s">
        <v>65</v>
      </c>
      <c r="F18" s="5"/>
      <c r="G18" s="5"/>
      <c r="H18" s="15"/>
      <c r="I18" s="5"/>
      <c r="J18" s="5"/>
    </row>
    <row r="19" spans="1:10" ht="15.75" customHeight="1">
      <c r="A19" s="76"/>
      <c r="B19" s="15"/>
      <c r="C19" s="16"/>
      <c r="E19" s="5"/>
      <c r="H19" s="15"/>
    </row>
    <row r="20" spans="1:10" ht="15.75" customHeight="1">
      <c r="A20" s="76"/>
      <c r="B20" s="15"/>
      <c r="C20" s="16"/>
      <c r="E20" s="5"/>
      <c r="H20" s="15"/>
    </row>
    <row r="21" spans="1:10" ht="15.75" customHeight="1">
      <c r="A21" s="76"/>
      <c r="B21" s="15"/>
      <c r="C21" s="16"/>
      <c r="E21" s="5"/>
      <c r="H21" s="15"/>
    </row>
    <row r="22" spans="1:10" ht="15.75" customHeight="1">
      <c r="A22" s="76"/>
      <c r="B22" s="15"/>
      <c r="C22" s="16"/>
      <c r="E22" s="5"/>
      <c r="H22" s="15"/>
    </row>
    <row r="23" spans="1:10" ht="15.75" customHeight="1">
      <c r="A23" s="76"/>
      <c r="B23" s="15"/>
      <c r="C23" s="16"/>
      <c r="E23" s="5"/>
      <c r="H23" s="15"/>
    </row>
    <row r="24" spans="1:10" ht="15.75" customHeight="1">
      <c r="A24" s="76"/>
      <c r="B24" s="15"/>
      <c r="C24" s="16"/>
      <c r="E24" s="5"/>
      <c r="H24" s="15"/>
    </row>
    <row r="25" spans="1:10" ht="15.75" customHeight="1">
      <c r="A25" s="76"/>
      <c r="B25" s="15"/>
      <c r="C25" s="16"/>
      <c r="E25" s="5"/>
      <c r="H25" s="15"/>
    </row>
    <row r="26" spans="1:10" ht="15.75" customHeight="1">
      <c r="A26" s="76"/>
      <c r="B26" s="15"/>
      <c r="C26" s="16"/>
      <c r="E26" s="5"/>
      <c r="H26" s="15"/>
    </row>
    <row r="27" spans="1:10" ht="15.75" customHeight="1">
      <c r="A27" s="76"/>
      <c r="B27" s="15"/>
      <c r="C27" s="16"/>
      <c r="E27" s="5"/>
      <c r="H27" s="15"/>
    </row>
    <row r="28" spans="1:10" ht="15.75" customHeight="1">
      <c r="A28" s="76"/>
      <c r="B28" s="15"/>
      <c r="C28" s="16"/>
      <c r="E28" s="5"/>
      <c r="H28" s="15"/>
    </row>
    <row r="29" spans="1:10" ht="15.75" customHeight="1">
      <c r="A29" s="76"/>
      <c r="B29" s="15"/>
      <c r="C29" s="16"/>
      <c r="E29" s="5"/>
      <c r="H29" s="15"/>
    </row>
    <row r="30" spans="1:10" ht="15.75" customHeight="1">
      <c r="A30" s="76"/>
      <c r="B30" s="15"/>
      <c r="C30" s="16"/>
      <c r="E30" s="5"/>
      <c r="H30" s="15"/>
    </row>
    <row r="31" spans="1:10" ht="15.75" customHeight="1">
      <c r="A31" s="76"/>
      <c r="B31" s="15"/>
      <c r="C31" s="16"/>
      <c r="E31" s="5"/>
      <c r="H31" s="15"/>
    </row>
    <row r="32" spans="1:10" ht="15.75" customHeight="1">
      <c r="A32" s="76"/>
      <c r="B32" s="15"/>
      <c r="C32" s="16"/>
      <c r="E32" s="5"/>
      <c r="H32" s="15"/>
    </row>
    <row r="33" spans="1:9" ht="15.75" customHeight="1">
      <c r="A33" s="76"/>
      <c r="B33" s="15"/>
      <c r="C33" s="16"/>
      <c r="E33" s="5"/>
      <c r="H33" s="15"/>
    </row>
    <row r="34" spans="1:9" ht="15.75" customHeight="1">
      <c r="A34" s="76"/>
      <c r="B34" s="15"/>
      <c r="C34" s="16"/>
      <c r="E34" s="5"/>
      <c r="H34" s="15"/>
    </row>
    <row r="35" spans="1:9" ht="15.75" customHeight="1">
      <c r="A35" s="76"/>
      <c r="B35" s="15"/>
      <c r="C35" s="16"/>
      <c r="E35" s="5"/>
      <c r="H35" s="15"/>
    </row>
    <row r="36" spans="1:9" ht="15.75" customHeight="1">
      <c r="A36" s="76"/>
      <c r="B36" s="15"/>
      <c r="C36" s="16"/>
      <c r="E36" s="5"/>
      <c r="H36" s="15"/>
    </row>
    <row r="37" spans="1:9" ht="15.75" customHeight="1">
      <c r="A37" s="76"/>
      <c r="B37" s="15"/>
      <c r="C37" s="16"/>
      <c r="E37" s="5"/>
      <c r="H37" s="15"/>
    </row>
    <row r="38" spans="1:9" ht="15.75" customHeight="1">
      <c r="A38" s="76"/>
      <c r="B38" s="15"/>
      <c r="C38" s="16"/>
      <c r="E38" s="5"/>
      <c r="H38" s="15"/>
    </row>
    <row r="39" spans="1:9" ht="15.75" customHeight="1">
      <c r="A39" s="76"/>
      <c r="B39" s="15"/>
      <c r="C39" s="16"/>
      <c r="E39" s="5"/>
      <c r="H39" s="15"/>
    </row>
    <row r="40" spans="1:9" ht="15.75" customHeight="1">
      <c r="A40" s="76"/>
      <c r="B40" s="15"/>
      <c r="C40" s="16"/>
      <c r="E40" s="5"/>
      <c r="H40" s="15"/>
    </row>
    <row r="41" spans="1:9" ht="15.75" customHeight="1">
      <c r="A41" s="76"/>
      <c r="B41" s="15"/>
      <c r="C41" s="16"/>
      <c r="E41" s="5"/>
      <c r="H41" s="15"/>
    </row>
    <row r="42" spans="1:9" ht="15.75" customHeight="1">
      <c r="A42" s="76"/>
      <c r="B42" s="15"/>
      <c r="C42" s="16"/>
      <c r="E42" s="5"/>
      <c r="H42" s="15"/>
    </row>
    <row r="43" spans="1:9" ht="15.75" customHeight="1">
      <c r="A43" s="76"/>
      <c r="B43" s="15"/>
      <c r="C43" s="16"/>
      <c r="E43" s="5"/>
      <c r="H43" s="15"/>
    </row>
    <row r="44" spans="1:9" ht="15.75" customHeight="1">
      <c r="A44" s="76"/>
      <c r="B44" s="15"/>
      <c r="C44" s="16"/>
      <c r="E44" s="5"/>
      <c r="F44" s="32"/>
      <c r="H44" s="15"/>
      <c r="I44" s="5"/>
    </row>
    <row r="45" spans="1:9" ht="15.75" customHeight="1">
      <c r="A45" s="76"/>
      <c r="B45" s="15"/>
      <c r="C45" s="16"/>
      <c r="E45" s="5"/>
      <c r="F45" s="32"/>
      <c r="H45" s="15"/>
      <c r="I45" s="5"/>
    </row>
    <row r="46" spans="1:9" ht="15.75" customHeight="1">
      <c r="A46" s="76"/>
      <c r="B46" s="15"/>
      <c r="C46" s="16"/>
      <c r="E46" s="5"/>
      <c r="F46" s="32"/>
      <c r="H46" s="15"/>
    </row>
    <row r="47" spans="1:9" ht="15.75" customHeight="1">
      <c r="A47" s="76"/>
      <c r="B47" s="15"/>
      <c r="C47" s="16"/>
      <c r="E47" s="5"/>
      <c r="H47" s="15"/>
    </row>
    <row r="48" spans="1:9" ht="15.75" customHeight="1">
      <c r="A48" s="76"/>
      <c r="B48" s="15"/>
      <c r="C48" s="16"/>
      <c r="E48" s="5"/>
      <c r="H48" s="15"/>
    </row>
    <row r="49" spans="1:8" ht="15.75" customHeight="1">
      <c r="A49" s="76"/>
      <c r="B49" s="15"/>
      <c r="C49" s="16"/>
      <c r="E49" s="5"/>
      <c r="H49" s="15"/>
    </row>
    <row r="50" spans="1:8" ht="15.75" customHeight="1">
      <c r="A50" s="76"/>
      <c r="B50" s="15"/>
      <c r="C50" s="16"/>
      <c r="E50" s="5"/>
      <c r="H50" s="15"/>
    </row>
    <row r="51" spans="1:8" ht="15.75" customHeight="1">
      <c r="A51" s="76"/>
      <c r="B51" s="15"/>
      <c r="C51" s="16"/>
      <c r="E51" s="5"/>
      <c r="H51" s="15"/>
    </row>
    <row r="52" spans="1:8" ht="15.75" customHeight="1">
      <c r="A52" s="76"/>
      <c r="B52" s="15"/>
      <c r="C52" s="16"/>
      <c r="E52" s="5"/>
      <c r="H52" s="15"/>
    </row>
    <row r="53" spans="1:8" ht="15.75" customHeight="1">
      <c r="A53" s="76"/>
      <c r="B53" s="15"/>
      <c r="C53" s="16"/>
      <c r="E53" s="5"/>
      <c r="H53" s="15"/>
    </row>
    <row r="54" spans="1:8" ht="15.75" customHeight="1">
      <c r="A54" s="76"/>
      <c r="B54" s="15"/>
      <c r="C54" s="16"/>
      <c r="E54" s="5"/>
      <c r="H54" s="15"/>
    </row>
    <row r="55" spans="1:8" ht="15.75" customHeight="1">
      <c r="A55" s="76"/>
      <c r="B55" s="15"/>
      <c r="C55" s="16"/>
      <c r="E55" s="5"/>
      <c r="H55" s="15"/>
    </row>
    <row r="56" spans="1:8" ht="15.75" customHeight="1">
      <c r="A56" s="76"/>
      <c r="B56" s="15"/>
      <c r="C56" s="16"/>
      <c r="E56" s="5"/>
      <c r="H56" s="15"/>
    </row>
    <row r="57" spans="1:8" ht="12.5">
      <c r="A57" s="76"/>
      <c r="B57" s="15"/>
      <c r="C57" s="16"/>
      <c r="E57" s="5"/>
      <c r="H57" s="15"/>
    </row>
    <row r="58" spans="1:8" ht="12.5">
      <c r="A58" s="76"/>
      <c r="B58" s="15"/>
      <c r="C58" s="16"/>
      <c r="E58" s="5"/>
      <c r="H58" s="15"/>
    </row>
    <row r="59" spans="1:8" ht="12.5">
      <c r="A59" s="76"/>
      <c r="B59" s="15"/>
      <c r="C59" s="16"/>
      <c r="E59" s="5"/>
      <c r="H59" s="15"/>
    </row>
    <row r="60" spans="1:8" ht="12.5">
      <c r="A60" s="76"/>
      <c r="B60" s="15"/>
      <c r="C60" s="16"/>
      <c r="E60" s="5"/>
      <c r="H60" s="15"/>
    </row>
    <row r="61" spans="1:8" ht="12.5">
      <c r="A61" s="76"/>
      <c r="B61" s="15"/>
      <c r="C61" s="16"/>
      <c r="E61" s="5"/>
      <c r="H61" s="15"/>
    </row>
    <row r="62" spans="1:8" ht="12.5">
      <c r="A62" s="76"/>
      <c r="B62" s="15"/>
      <c r="C62" s="16"/>
      <c r="E62" s="5"/>
      <c r="H62" s="15"/>
    </row>
    <row r="63" spans="1:8" ht="12.5">
      <c r="A63" s="76"/>
      <c r="B63" s="15"/>
      <c r="C63" s="16"/>
      <c r="E63" s="5"/>
      <c r="H63" s="15"/>
    </row>
    <row r="64" spans="1:8" ht="12.5">
      <c r="A64" s="76"/>
      <c r="B64" s="15"/>
      <c r="C64" s="16"/>
      <c r="E64" s="5"/>
      <c r="H64" s="15"/>
    </row>
    <row r="65" spans="1:8" ht="12.5">
      <c r="A65" s="76"/>
      <c r="B65" s="15"/>
      <c r="C65" s="16"/>
      <c r="E65" s="5"/>
      <c r="H65" s="15"/>
    </row>
    <row r="66" spans="1:8" ht="12.5">
      <c r="A66" s="76"/>
      <c r="B66" s="15"/>
      <c r="C66" s="16"/>
      <c r="E66" s="5"/>
      <c r="H66" s="15"/>
    </row>
    <row r="67" spans="1:8" ht="12.5">
      <c r="A67" s="76"/>
      <c r="B67" s="15"/>
      <c r="C67" s="16"/>
      <c r="E67" s="5"/>
      <c r="H67" s="15"/>
    </row>
    <row r="68" spans="1:8" ht="12.5">
      <c r="A68" s="76"/>
      <c r="B68" s="15"/>
      <c r="C68" s="16"/>
      <c r="E68" s="5"/>
      <c r="H68" s="15"/>
    </row>
    <row r="69" spans="1:8" ht="12.5">
      <c r="A69" s="76"/>
      <c r="B69" s="15"/>
      <c r="C69" s="16"/>
      <c r="E69" s="5"/>
      <c r="H69" s="15"/>
    </row>
    <row r="70" spans="1:8" ht="12.5">
      <c r="A70" s="76"/>
      <c r="B70" s="15"/>
      <c r="C70" s="16"/>
      <c r="E70" s="5"/>
      <c r="H70" s="15"/>
    </row>
    <row r="71" spans="1:8" ht="12.5">
      <c r="A71" s="76"/>
      <c r="B71" s="5"/>
      <c r="C71" s="16"/>
      <c r="E71" s="5"/>
    </row>
    <row r="72" spans="1:8" ht="12.5">
      <c r="A72" s="76"/>
      <c r="B72" s="5"/>
      <c r="C72" s="16"/>
      <c r="E72" s="5"/>
    </row>
    <row r="73" spans="1:8" ht="12.5">
      <c r="A73" s="76"/>
      <c r="B73" s="5"/>
      <c r="C73" s="16"/>
      <c r="E73" s="5"/>
    </row>
    <row r="74" spans="1:8" ht="12.5">
      <c r="A74" s="76"/>
      <c r="B74" s="5"/>
      <c r="C74" s="16"/>
      <c r="E74" s="5"/>
    </row>
    <row r="75" spans="1:8" ht="12.5">
      <c r="A75" s="76"/>
      <c r="B75" s="5"/>
      <c r="C75" s="16"/>
      <c r="E75" s="5"/>
    </row>
    <row r="76" spans="1:8" ht="12.5">
      <c r="A76" s="76"/>
      <c r="B76" s="5"/>
      <c r="C76" s="16"/>
      <c r="E76" s="5"/>
    </row>
    <row r="77" spans="1:8" ht="12.5">
      <c r="A77" s="76"/>
      <c r="B77" s="5"/>
      <c r="C77" s="16"/>
      <c r="E77" s="5"/>
    </row>
    <row r="78" spans="1:8" ht="12.5">
      <c r="A78" s="76"/>
      <c r="B78" s="5"/>
      <c r="C78" s="16"/>
      <c r="E78" s="5"/>
    </row>
    <row r="79" spans="1:8" ht="12.5">
      <c r="A79" s="76"/>
      <c r="B79" s="5"/>
      <c r="C79" s="16"/>
      <c r="E79" s="5"/>
    </row>
    <row r="80" spans="1:8" ht="12.5">
      <c r="A80" s="76"/>
      <c r="B80" s="5"/>
      <c r="C80" s="16"/>
      <c r="E80" s="5"/>
    </row>
    <row r="81" spans="1:5" ht="12.5">
      <c r="A81" s="76"/>
      <c r="B81" s="5"/>
      <c r="C81" s="16"/>
      <c r="E81" s="5"/>
    </row>
    <row r="82" spans="1:5" ht="12.5">
      <c r="A82" s="76"/>
      <c r="B82" s="5"/>
      <c r="C82" s="16"/>
      <c r="E82" s="5"/>
    </row>
    <row r="83" spans="1:5" ht="12.5">
      <c r="A83" s="76"/>
      <c r="B83" s="5"/>
      <c r="C83" s="16"/>
      <c r="E83" s="5"/>
    </row>
    <row r="84" spans="1:5" ht="12.5">
      <c r="A84" s="76"/>
      <c r="B84" s="5"/>
      <c r="C84" s="16"/>
      <c r="E84" s="5"/>
    </row>
    <row r="85" spans="1:5" ht="12.5">
      <c r="A85" s="76"/>
      <c r="B85" s="5"/>
      <c r="C85" s="16"/>
      <c r="E85" s="5"/>
    </row>
    <row r="86" spans="1:5" ht="12.5">
      <c r="A86" s="76"/>
      <c r="B86" s="5"/>
      <c r="C86" s="16"/>
      <c r="E86" s="5"/>
    </row>
    <row r="87" spans="1:5" ht="12.5">
      <c r="A87" s="76"/>
      <c r="B87" s="5"/>
      <c r="C87" s="16"/>
      <c r="E87" s="5"/>
    </row>
    <row r="88" spans="1:5" ht="12.5">
      <c r="A88" s="76"/>
      <c r="B88" s="5"/>
      <c r="C88" s="16"/>
      <c r="E88" s="5"/>
    </row>
    <row r="89" spans="1:5" ht="12.5">
      <c r="A89" s="76"/>
      <c r="B89" s="5"/>
      <c r="C89" s="16"/>
      <c r="E89" s="5"/>
    </row>
    <row r="90" spans="1:5" ht="12.5">
      <c r="A90" s="76"/>
      <c r="B90" s="5"/>
      <c r="C90" s="16"/>
      <c r="E90" s="5"/>
    </row>
    <row r="91" spans="1:5" ht="12.5">
      <c r="A91" s="76"/>
      <c r="B91" s="5"/>
      <c r="C91" s="16"/>
      <c r="E91" s="5"/>
    </row>
    <row r="92" spans="1:5" ht="12.5">
      <c r="A92" s="76"/>
      <c r="B92" s="5"/>
      <c r="C92" s="16"/>
      <c r="E92" s="5"/>
    </row>
    <row r="93" spans="1:5" ht="12.5">
      <c r="A93" s="76"/>
      <c r="B93" s="5"/>
      <c r="C93" s="16"/>
      <c r="E93" s="5"/>
    </row>
    <row r="94" spans="1:5" ht="12.5">
      <c r="A94" s="76"/>
      <c r="B94" s="5"/>
      <c r="C94" s="16"/>
      <c r="E94" s="5"/>
    </row>
    <row r="95" spans="1:5" ht="12.5">
      <c r="A95" s="76"/>
      <c r="B95" s="5"/>
      <c r="C95" s="16"/>
      <c r="E95" s="5"/>
    </row>
    <row r="96" spans="1:5" ht="12.5">
      <c r="A96" s="76"/>
      <c r="B96" s="5"/>
      <c r="C96" s="16"/>
      <c r="E96" s="5"/>
    </row>
    <row r="97" spans="1:5" ht="12.5">
      <c r="A97" s="76"/>
      <c r="B97" s="5"/>
      <c r="C97" s="16"/>
      <c r="E97" s="5"/>
    </row>
    <row r="98" spans="1:5" ht="12.5">
      <c r="A98" s="76"/>
      <c r="B98" s="5"/>
      <c r="C98" s="16"/>
      <c r="E98" s="5"/>
    </row>
    <row r="99" spans="1:5" ht="12.5">
      <c r="A99" s="76"/>
      <c r="B99" s="5"/>
      <c r="C99" s="16"/>
      <c r="E99" s="5"/>
    </row>
    <row r="100" spans="1:5" ht="12.5">
      <c r="A100" s="76"/>
      <c r="B100" s="5"/>
      <c r="C100" s="16"/>
      <c r="E100" s="5"/>
    </row>
    <row r="101" spans="1:5" ht="12.5">
      <c r="A101" s="76"/>
      <c r="B101" s="5"/>
      <c r="C101" s="16"/>
      <c r="E101" s="5"/>
    </row>
    <row r="102" spans="1:5" ht="12.5">
      <c r="A102" s="76"/>
      <c r="B102" s="5"/>
      <c r="C102" s="16"/>
      <c r="E102" s="5"/>
    </row>
    <row r="103" spans="1:5" ht="12.5">
      <c r="A103" s="76"/>
      <c r="B103" s="5"/>
      <c r="C103" s="16"/>
      <c r="E103" s="5"/>
    </row>
    <row r="104" spans="1:5" ht="12.5">
      <c r="A104" s="76"/>
      <c r="B104" s="5"/>
      <c r="C104" s="16"/>
      <c r="E104" s="5"/>
    </row>
    <row r="105" spans="1:5" ht="12.5">
      <c r="A105" s="76"/>
      <c r="B105" s="5"/>
      <c r="C105" s="16"/>
      <c r="E105" s="5"/>
    </row>
    <row r="106" spans="1:5" ht="12.5">
      <c r="A106" s="76"/>
      <c r="B106" s="5"/>
      <c r="C106" s="16"/>
      <c r="E106" s="5"/>
    </row>
    <row r="107" spans="1:5" ht="12.5">
      <c r="A107" s="76"/>
      <c r="B107" s="5"/>
      <c r="C107" s="16"/>
      <c r="E107" s="5"/>
    </row>
    <row r="108" spans="1:5" ht="12.5">
      <c r="A108" s="76"/>
      <c r="B108" s="5"/>
      <c r="C108" s="16"/>
      <c r="E108" s="5"/>
    </row>
    <row r="109" spans="1:5" ht="12.5">
      <c r="A109" s="76"/>
      <c r="B109" s="5"/>
      <c r="C109" s="16"/>
      <c r="E109" s="5"/>
    </row>
    <row r="110" spans="1:5" ht="12.5">
      <c r="A110" s="76"/>
      <c r="B110" s="5"/>
      <c r="C110" s="16"/>
      <c r="E110" s="5"/>
    </row>
    <row r="111" spans="1:5" ht="12.5">
      <c r="A111" s="76"/>
      <c r="B111" s="5"/>
      <c r="C111" s="16"/>
      <c r="E111" s="5"/>
    </row>
    <row r="112" spans="1:5" ht="12.5">
      <c r="A112" s="76"/>
      <c r="B112" s="5"/>
      <c r="C112" s="16"/>
      <c r="E112" s="5"/>
    </row>
    <row r="113" spans="1:5" ht="12.5">
      <c r="A113" s="76"/>
      <c r="B113" s="5"/>
      <c r="C113" s="16"/>
      <c r="E113" s="5"/>
    </row>
    <row r="114" spans="1:5" ht="12.5">
      <c r="A114" s="76"/>
      <c r="B114" s="5"/>
      <c r="C114" s="16"/>
      <c r="E114" s="5"/>
    </row>
    <row r="115" spans="1:5" ht="12.5">
      <c r="A115" s="76"/>
      <c r="B115" s="5"/>
      <c r="C115" s="16"/>
      <c r="E115" s="5"/>
    </row>
    <row r="116" spans="1:5" ht="12.5">
      <c r="A116" s="76"/>
      <c r="B116" s="5"/>
      <c r="C116" s="16"/>
      <c r="E116" s="5"/>
    </row>
    <row r="117" spans="1:5" ht="12.5">
      <c r="A117" s="76"/>
      <c r="B117" s="5"/>
      <c r="C117" s="16"/>
      <c r="E117" s="5"/>
    </row>
    <row r="118" spans="1:5" ht="12.5">
      <c r="A118" s="76"/>
      <c r="B118" s="5"/>
      <c r="C118" s="16"/>
      <c r="E118" s="5"/>
    </row>
    <row r="119" spans="1:5" ht="12.5">
      <c r="A119" s="76"/>
      <c r="B119" s="5"/>
      <c r="C119" s="16"/>
      <c r="E119" s="5"/>
    </row>
    <row r="120" spans="1:5" ht="12.5">
      <c r="A120" s="76"/>
      <c r="B120" s="5"/>
      <c r="C120" s="16"/>
      <c r="E120" s="5"/>
    </row>
    <row r="121" spans="1:5" ht="12.5">
      <c r="A121" s="76"/>
      <c r="B121" s="5"/>
      <c r="C121" s="16"/>
      <c r="E121" s="5"/>
    </row>
    <row r="122" spans="1:5" ht="12.5">
      <c r="A122" s="76"/>
      <c r="B122" s="5"/>
      <c r="C122" s="16"/>
      <c r="E122" s="5"/>
    </row>
    <row r="123" spans="1:5" ht="12.5">
      <c r="A123" s="76"/>
      <c r="B123" s="5"/>
      <c r="C123" s="16"/>
      <c r="E123" s="5"/>
    </row>
    <row r="124" spans="1:5" ht="12.5">
      <c r="A124" s="76"/>
      <c r="B124" s="5"/>
      <c r="C124" s="16"/>
      <c r="E124" s="5"/>
    </row>
    <row r="125" spans="1:5" ht="12.5">
      <c r="A125" s="76"/>
      <c r="B125" s="5"/>
      <c r="C125" s="16"/>
      <c r="E125" s="5"/>
    </row>
    <row r="126" spans="1:5" ht="12.5">
      <c r="A126" s="76"/>
      <c r="B126" s="5"/>
      <c r="C126" s="16"/>
      <c r="E126" s="5"/>
    </row>
    <row r="127" spans="1:5" ht="12.5">
      <c r="A127" s="76"/>
      <c r="B127" s="5"/>
      <c r="C127" s="16"/>
      <c r="E127" s="5"/>
    </row>
    <row r="128" spans="1:5" ht="12.5">
      <c r="A128" s="76"/>
      <c r="B128" s="5"/>
      <c r="C128" s="16"/>
      <c r="E128" s="5"/>
    </row>
    <row r="129" spans="1:5" ht="12.5">
      <c r="A129" s="76"/>
      <c r="B129" s="5"/>
      <c r="C129" s="16"/>
      <c r="E129" s="5"/>
    </row>
    <row r="130" spans="1:5" ht="12.5">
      <c r="A130" s="76"/>
      <c r="B130" s="5"/>
      <c r="C130" s="16"/>
      <c r="E130" s="5"/>
    </row>
    <row r="131" spans="1:5" ht="12.5">
      <c r="A131" s="76"/>
      <c r="B131" s="5"/>
      <c r="C131" s="16"/>
      <c r="E131" s="5"/>
    </row>
    <row r="132" spans="1:5" ht="12.5">
      <c r="A132" s="76"/>
      <c r="B132" s="5"/>
      <c r="C132" s="16"/>
      <c r="E132" s="5"/>
    </row>
    <row r="133" spans="1:5" ht="12.5">
      <c r="A133" s="76"/>
      <c r="B133" s="5"/>
      <c r="C133" s="16"/>
      <c r="E133" s="5"/>
    </row>
    <row r="134" spans="1:5" ht="12.5">
      <c r="A134" s="76"/>
      <c r="B134" s="5"/>
      <c r="C134" s="16"/>
      <c r="E134" s="5"/>
    </row>
    <row r="135" spans="1:5" ht="12.5">
      <c r="A135" s="76"/>
      <c r="B135" s="5"/>
      <c r="C135" s="16"/>
      <c r="E135" s="5"/>
    </row>
    <row r="136" spans="1:5" ht="12.5">
      <c r="A136" s="76"/>
      <c r="B136" s="5"/>
      <c r="C136" s="16"/>
      <c r="E136" s="5"/>
    </row>
    <row r="137" spans="1:5" ht="12.5">
      <c r="A137" s="76"/>
      <c r="B137" s="5"/>
      <c r="C137" s="16"/>
      <c r="E137" s="5"/>
    </row>
    <row r="138" spans="1:5" ht="12.5">
      <c r="A138" s="76"/>
      <c r="B138" s="5"/>
      <c r="C138" s="16"/>
      <c r="E138" s="5"/>
    </row>
    <row r="139" spans="1:5" ht="12.5">
      <c r="A139" s="76"/>
      <c r="B139" s="5"/>
      <c r="C139" s="16"/>
      <c r="E139" s="5"/>
    </row>
    <row r="140" spans="1:5" ht="12.5">
      <c r="A140" s="76"/>
      <c r="B140" s="5"/>
      <c r="C140" s="16"/>
      <c r="E140" s="5"/>
    </row>
    <row r="141" spans="1:5" ht="12.5">
      <c r="A141" s="76"/>
      <c r="B141" s="5"/>
      <c r="C141" s="16"/>
      <c r="E141" s="5"/>
    </row>
    <row r="142" spans="1:5" ht="12.5">
      <c r="A142" s="76"/>
      <c r="B142" s="5"/>
      <c r="C142" s="16"/>
      <c r="E142" s="5"/>
    </row>
    <row r="143" spans="1:5" ht="12.5">
      <c r="A143" s="76"/>
      <c r="B143" s="5"/>
      <c r="C143" s="16"/>
      <c r="E143" s="5"/>
    </row>
    <row r="144" spans="1:5" ht="12.5">
      <c r="A144" s="76"/>
      <c r="B144" s="5"/>
      <c r="C144" s="16"/>
      <c r="E144" s="5"/>
    </row>
    <row r="145" spans="1:5" ht="12.5">
      <c r="A145" s="76"/>
      <c r="B145" s="5"/>
      <c r="C145" s="16"/>
      <c r="E145" s="5"/>
    </row>
    <row r="146" spans="1:5" ht="12.5">
      <c r="A146" s="76"/>
      <c r="B146" s="5"/>
      <c r="C146" s="16"/>
      <c r="E146" s="5"/>
    </row>
    <row r="147" spans="1:5" ht="12.5">
      <c r="A147" s="76"/>
      <c r="B147" s="5"/>
      <c r="C147" s="16"/>
      <c r="E147" s="5"/>
    </row>
    <row r="148" spans="1:5" ht="12.5">
      <c r="A148" s="76"/>
      <c r="B148" s="5"/>
      <c r="C148" s="16"/>
      <c r="E148" s="5"/>
    </row>
    <row r="149" spans="1:5" ht="12.5">
      <c r="A149" s="76"/>
      <c r="B149" s="5"/>
      <c r="C149" s="16"/>
      <c r="E149" s="5"/>
    </row>
    <row r="150" spans="1:5" ht="12.5">
      <c r="A150" s="76"/>
      <c r="B150" s="5"/>
      <c r="C150" s="16"/>
      <c r="E150" s="5"/>
    </row>
    <row r="151" spans="1:5" ht="12.5">
      <c r="A151" s="76"/>
      <c r="B151" s="5"/>
      <c r="C151" s="16"/>
      <c r="E151" s="5"/>
    </row>
    <row r="152" spans="1:5" ht="12.5">
      <c r="A152" s="76"/>
      <c r="B152" s="5"/>
      <c r="C152" s="16"/>
      <c r="E152" s="5"/>
    </row>
    <row r="153" spans="1:5" ht="12.5">
      <c r="A153" s="76"/>
      <c r="B153" s="5"/>
      <c r="C153" s="16"/>
      <c r="E153" s="5"/>
    </row>
    <row r="154" spans="1:5" ht="12.5">
      <c r="A154" s="76"/>
      <c r="B154" s="5"/>
      <c r="C154" s="16"/>
      <c r="E154" s="5"/>
    </row>
    <row r="155" spans="1:5" ht="12.5">
      <c r="A155" s="76"/>
      <c r="B155" s="5"/>
      <c r="C155" s="16"/>
      <c r="E155" s="5"/>
    </row>
    <row r="156" spans="1:5" ht="12.5">
      <c r="A156" s="76"/>
      <c r="B156" s="5"/>
      <c r="C156" s="16"/>
      <c r="E156" s="5"/>
    </row>
    <row r="157" spans="1:5" ht="12.5">
      <c r="A157" s="76"/>
      <c r="B157" s="5"/>
      <c r="C157" s="16"/>
      <c r="E157" s="5"/>
    </row>
    <row r="158" spans="1:5" ht="12.5">
      <c r="A158" s="76"/>
      <c r="B158" s="5"/>
      <c r="C158" s="16"/>
      <c r="E158" s="5"/>
    </row>
    <row r="159" spans="1:5" ht="12.5">
      <c r="A159" s="76"/>
      <c r="B159" s="5"/>
      <c r="C159" s="16"/>
      <c r="E159" s="5"/>
    </row>
    <row r="160" spans="1:5" ht="12.5">
      <c r="A160" s="76"/>
      <c r="B160" s="5"/>
      <c r="C160" s="16"/>
      <c r="E160" s="5"/>
    </row>
    <row r="161" spans="1:5" ht="12.5">
      <c r="A161" s="76"/>
      <c r="B161" s="5"/>
      <c r="C161" s="16"/>
      <c r="E161" s="5"/>
    </row>
    <row r="162" spans="1:5" ht="12.5">
      <c r="A162" s="76"/>
      <c r="B162" s="5"/>
      <c r="C162" s="16"/>
      <c r="E162" s="5"/>
    </row>
    <row r="163" spans="1:5" ht="12.5">
      <c r="A163" s="76"/>
      <c r="B163" s="5"/>
      <c r="C163" s="16"/>
      <c r="E163" s="5"/>
    </row>
    <row r="164" spans="1:5" ht="12.5">
      <c r="A164" s="76"/>
      <c r="B164" s="5"/>
      <c r="C164" s="16"/>
      <c r="E164" s="5"/>
    </row>
    <row r="165" spans="1:5" ht="12.5">
      <c r="A165" s="76"/>
      <c r="B165" s="5"/>
      <c r="C165" s="16"/>
      <c r="E165" s="5"/>
    </row>
    <row r="166" spans="1:5" ht="12.5">
      <c r="A166" s="76"/>
      <c r="B166" s="5"/>
      <c r="C166" s="16"/>
      <c r="E166" s="5"/>
    </row>
    <row r="167" spans="1:5" ht="12.5">
      <c r="A167" s="76"/>
      <c r="B167" s="5"/>
      <c r="C167" s="16"/>
      <c r="E167" s="5"/>
    </row>
    <row r="168" spans="1:5" ht="12.5">
      <c r="A168" s="76"/>
      <c r="B168" s="5"/>
      <c r="C168" s="16"/>
      <c r="E168" s="5"/>
    </row>
    <row r="169" spans="1:5" ht="12.5">
      <c r="A169" s="76"/>
      <c r="B169" s="5"/>
      <c r="C169" s="16"/>
      <c r="E169" s="5"/>
    </row>
    <row r="170" spans="1:5" ht="12.5">
      <c r="A170" s="76"/>
      <c r="B170" s="5"/>
      <c r="C170" s="16"/>
      <c r="E170" s="5"/>
    </row>
    <row r="171" spans="1:5" ht="12.5">
      <c r="A171" s="76"/>
      <c r="B171" s="5"/>
      <c r="C171" s="16"/>
      <c r="E171" s="5"/>
    </row>
    <row r="172" spans="1:5" ht="12.5">
      <c r="A172" s="76"/>
      <c r="B172" s="5"/>
      <c r="C172" s="16"/>
      <c r="E172" s="5"/>
    </row>
    <row r="173" spans="1:5" ht="12.5">
      <c r="A173" s="76"/>
      <c r="B173" s="5"/>
      <c r="C173" s="16"/>
      <c r="E173" s="5"/>
    </row>
    <row r="174" spans="1:5" ht="12.5">
      <c r="A174" s="76"/>
      <c r="B174" s="5"/>
      <c r="C174" s="16"/>
      <c r="E174" s="5"/>
    </row>
    <row r="175" spans="1:5" ht="12.5">
      <c r="A175" s="76"/>
      <c r="B175" s="5"/>
      <c r="C175" s="16"/>
      <c r="E175" s="5"/>
    </row>
    <row r="176" spans="1:5" ht="12.5">
      <c r="A176" s="76"/>
      <c r="B176" s="5"/>
      <c r="C176" s="16"/>
      <c r="E176" s="5"/>
    </row>
    <row r="177" spans="1:5" ht="12.5">
      <c r="A177" s="76"/>
      <c r="B177" s="5"/>
      <c r="C177" s="16"/>
      <c r="E177" s="5"/>
    </row>
    <row r="178" spans="1:5" ht="12.5">
      <c r="A178" s="76"/>
      <c r="B178" s="5"/>
      <c r="C178" s="16"/>
      <c r="E178" s="5"/>
    </row>
    <row r="179" spans="1:5" ht="12.5">
      <c r="A179" s="76"/>
      <c r="B179" s="5"/>
      <c r="C179" s="16"/>
      <c r="E179" s="5"/>
    </row>
    <row r="180" spans="1:5" ht="12.5">
      <c r="A180" s="76"/>
      <c r="B180" s="5"/>
      <c r="C180" s="16"/>
      <c r="E180" s="5"/>
    </row>
    <row r="181" spans="1:5" ht="12.5">
      <c r="A181" s="76"/>
      <c r="B181" s="5"/>
      <c r="C181" s="16"/>
      <c r="E181" s="5"/>
    </row>
    <row r="182" spans="1:5" ht="12.5">
      <c r="A182" s="76"/>
      <c r="B182" s="5"/>
      <c r="C182" s="16"/>
      <c r="E182" s="5"/>
    </row>
    <row r="183" spans="1:5" ht="12.5">
      <c r="A183" s="76"/>
      <c r="B183" s="5"/>
      <c r="C183" s="16"/>
      <c r="E183" s="5"/>
    </row>
    <row r="184" spans="1:5" ht="12.5">
      <c r="A184" s="76"/>
      <c r="B184" s="5"/>
      <c r="C184" s="16"/>
      <c r="E184" s="5"/>
    </row>
    <row r="185" spans="1:5" ht="12.5">
      <c r="A185" s="76"/>
      <c r="B185" s="5"/>
      <c r="C185" s="16"/>
      <c r="E185" s="5"/>
    </row>
    <row r="186" spans="1:5" ht="12.5">
      <c r="A186" s="76"/>
      <c r="B186" s="5"/>
      <c r="C186" s="16"/>
      <c r="E186" s="5"/>
    </row>
    <row r="187" spans="1:5" ht="12.5">
      <c r="A187" s="76"/>
      <c r="B187" s="5"/>
      <c r="C187" s="16"/>
      <c r="E187" s="5"/>
    </row>
    <row r="188" spans="1:5" ht="12.5">
      <c r="A188" s="76"/>
      <c r="B188" s="5"/>
      <c r="C188" s="16"/>
      <c r="E188" s="5"/>
    </row>
    <row r="189" spans="1:5" ht="12.5">
      <c r="A189" s="76"/>
      <c r="B189" s="5"/>
      <c r="C189" s="16"/>
      <c r="E189" s="5"/>
    </row>
    <row r="190" spans="1:5" ht="12.5">
      <c r="A190" s="76"/>
      <c r="B190" s="5"/>
      <c r="C190" s="16"/>
      <c r="E190" s="5"/>
    </row>
    <row r="191" spans="1:5" ht="12.5">
      <c r="A191" s="76"/>
      <c r="B191" s="5"/>
      <c r="C191" s="16"/>
      <c r="E191" s="5"/>
    </row>
    <row r="192" spans="1:5" ht="12.5">
      <c r="A192" s="76"/>
      <c r="B192" s="5"/>
      <c r="C192" s="16"/>
      <c r="E192" s="5"/>
    </row>
    <row r="193" spans="1:5" ht="12.5">
      <c r="A193" s="76"/>
      <c r="B193" s="5"/>
      <c r="C193" s="16"/>
      <c r="E193" s="5"/>
    </row>
    <row r="194" spans="1:5" ht="12.5">
      <c r="A194" s="76"/>
      <c r="B194" s="5"/>
      <c r="C194" s="16"/>
      <c r="E194" s="5"/>
    </row>
    <row r="195" spans="1:5" ht="12.5">
      <c r="A195" s="76"/>
      <c r="B195" s="5"/>
      <c r="C195" s="16"/>
      <c r="E195" s="5"/>
    </row>
    <row r="196" spans="1:5" ht="12.5">
      <c r="A196" s="76"/>
      <c r="B196" s="5"/>
      <c r="C196" s="16"/>
      <c r="E196" s="5"/>
    </row>
    <row r="197" spans="1:5" ht="12.5">
      <c r="A197" s="76"/>
      <c r="B197" s="5"/>
      <c r="C197" s="16"/>
      <c r="E197" s="5"/>
    </row>
    <row r="198" spans="1:5" ht="12.5">
      <c r="A198" s="76"/>
      <c r="B198" s="5"/>
      <c r="C198" s="16"/>
      <c r="E198" s="5"/>
    </row>
    <row r="199" spans="1:5" ht="12.5">
      <c r="A199" s="76"/>
      <c r="B199" s="5"/>
      <c r="C199" s="16"/>
      <c r="E199" s="5"/>
    </row>
    <row r="200" spans="1:5" ht="12.5">
      <c r="A200" s="76"/>
      <c r="B200" s="5"/>
      <c r="C200" s="16"/>
      <c r="E200" s="5"/>
    </row>
    <row r="201" spans="1:5" ht="12.5">
      <c r="A201" s="76"/>
      <c r="B201" s="5"/>
      <c r="C201" s="16"/>
      <c r="E201" s="5"/>
    </row>
    <row r="202" spans="1:5" ht="12.5">
      <c r="A202" s="76"/>
      <c r="B202" s="5"/>
      <c r="C202" s="16"/>
      <c r="E202" s="5"/>
    </row>
    <row r="203" spans="1:5" ht="12.5">
      <c r="A203" s="76"/>
      <c r="B203" s="5"/>
      <c r="C203" s="16"/>
      <c r="E203" s="5"/>
    </row>
    <row r="204" spans="1:5" ht="12.5">
      <c r="A204" s="76"/>
      <c r="B204" s="5"/>
      <c r="C204" s="16"/>
      <c r="E204" s="5"/>
    </row>
    <row r="205" spans="1:5" ht="12.5">
      <c r="A205" s="76"/>
      <c r="B205" s="5"/>
      <c r="C205" s="16"/>
      <c r="E205" s="5"/>
    </row>
    <row r="206" spans="1:5" ht="12.5">
      <c r="A206" s="76"/>
      <c r="B206" s="5"/>
      <c r="C206" s="16"/>
      <c r="E206" s="5"/>
    </row>
    <row r="207" spans="1:5" ht="12.5">
      <c r="A207" s="76"/>
      <c r="B207" s="5"/>
      <c r="C207" s="16"/>
      <c r="E207" s="5"/>
    </row>
    <row r="208" spans="1:5" ht="12.5">
      <c r="A208" s="76"/>
      <c r="B208" s="5"/>
      <c r="C208" s="16"/>
      <c r="E208" s="5"/>
    </row>
    <row r="209" spans="1:5" ht="12.5">
      <c r="A209" s="76"/>
      <c r="B209" s="5"/>
      <c r="C209" s="16"/>
      <c r="E209" s="5"/>
    </row>
    <row r="210" spans="1:5" ht="12.5">
      <c r="A210" s="76"/>
      <c r="B210" s="5"/>
      <c r="C210" s="16"/>
      <c r="E210" s="5"/>
    </row>
    <row r="211" spans="1:5" ht="12.5">
      <c r="A211" s="76"/>
      <c r="B211" s="5"/>
      <c r="C211" s="16"/>
      <c r="E211" s="5"/>
    </row>
    <row r="212" spans="1:5" ht="12.5">
      <c r="A212" s="76"/>
      <c r="B212" s="5"/>
      <c r="C212" s="16"/>
      <c r="E212" s="5"/>
    </row>
    <row r="213" spans="1:5" ht="12.5">
      <c r="A213" s="76"/>
      <c r="B213" s="5"/>
      <c r="C213" s="16"/>
      <c r="E213" s="5"/>
    </row>
    <row r="214" spans="1:5" ht="12.5">
      <c r="A214" s="76"/>
      <c r="B214" s="5"/>
      <c r="C214" s="16"/>
      <c r="E214" s="5"/>
    </row>
    <row r="215" spans="1:5" ht="12.5">
      <c r="A215" s="76"/>
      <c r="B215" s="5"/>
      <c r="C215" s="16"/>
      <c r="E215" s="5"/>
    </row>
    <row r="216" spans="1:5" ht="12.5">
      <c r="A216" s="76"/>
      <c r="B216" s="5"/>
      <c r="C216" s="16"/>
      <c r="E216" s="5"/>
    </row>
    <row r="217" spans="1:5" ht="12.5">
      <c r="A217" s="76"/>
      <c r="B217" s="5"/>
      <c r="C217" s="16"/>
      <c r="E217" s="5"/>
    </row>
    <row r="218" spans="1:5" ht="12.5">
      <c r="A218" s="76"/>
      <c r="B218" s="5"/>
      <c r="C218" s="16"/>
      <c r="E218" s="5"/>
    </row>
    <row r="219" spans="1:5" ht="12.5">
      <c r="A219" s="76"/>
      <c r="B219" s="5"/>
      <c r="C219" s="16"/>
      <c r="E219" s="5"/>
    </row>
    <row r="220" spans="1:5" ht="12.5">
      <c r="A220" s="76"/>
      <c r="B220" s="5"/>
      <c r="C220" s="16"/>
      <c r="E220" s="5"/>
    </row>
    <row r="221" spans="1:5" ht="12.5">
      <c r="A221" s="76"/>
      <c r="B221" s="5"/>
      <c r="C221" s="16"/>
      <c r="E221" s="5"/>
    </row>
    <row r="222" spans="1:5" ht="12.5">
      <c r="A222" s="76"/>
      <c r="B222" s="5"/>
      <c r="C222" s="16"/>
      <c r="E222" s="5"/>
    </row>
    <row r="223" spans="1:5" ht="12.5">
      <c r="A223" s="76"/>
      <c r="B223" s="5"/>
      <c r="C223" s="16"/>
      <c r="E223" s="5"/>
    </row>
    <row r="224" spans="1:5" ht="12.5">
      <c r="A224" s="76"/>
      <c r="B224" s="5"/>
      <c r="C224" s="16"/>
      <c r="E224" s="5"/>
    </row>
    <row r="225" spans="1:5" ht="12.5">
      <c r="A225" s="76"/>
      <c r="B225" s="5"/>
      <c r="C225" s="16"/>
      <c r="E225" s="5"/>
    </row>
    <row r="226" spans="1:5" ht="12.5">
      <c r="A226" s="76"/>
      <c r="B226" s="5"/>
      <c r="C226" s="16"/>
      <c r="E226" s="5"/>
    </row>
    <row r="227" spans="1:5" ht="12.5">
      <c r="A227" s="76"/>
      <c r="B227" s="5"/>
      <c r="C227" s="16"/>
      <c r="E227" s="5"/>
    </row>
    <row r="228" spans="1:5" ht="12.5">
      <c r="A228" s="76"/>
      <c r="B228" s="5"/>
      <c r="C228" s="16"/>
      <c r="E228" s="5"/>
    </row>
    <row r="229" spans="1:5" ht="12.5">
      <c r="A229" s="76"/>
      <c r="B229" s="5"/>
      <c r="C229" s="16"/>
      <c r="E229" s="5"/>
    </row>
    <row r="230" spans="1:5" ht="12.5">
      <c r="A230" s="76"/>
      <c r="B230" s="5"/>
      <c r="C230" s="16"/>
      <c r="E230" s="5"/>
    </row>
    <row r="231" spans="1:5" ht="12.5">
      <c r="A231" s="76"/>
      <c r="B231" s="5"/>
      <c r="C231" s="16"/>
      <c r="E231" s="5"/>
    </row>
    <row r="232" spans="1:5" ht="12.5">
      <c r="A232" s="76"/>
      <c r="B232" s="5"/>
      <c r="C232" s="16"/>
      <c r="E232" s="5"/>
    </row>
    <row r="233" spans="1:5" ht="12.5">
      <c r="A233" s="76"/>
      <c r="B233" s="5"/>
      <c r="C233" s="16"/>
      <c r="E233" s="5"/>
    </row>
    <row r="234" spans="1:5" ht="12.5">
      <c r="A234" s="76"/>
      <c r="B234" s="5"/>
      <c r="C234" s="16"/>
      <c r="E234" s="5"/>
    </row>
    <row r="235" spans="1:5" ht="12.5">
      <c r="A235" s="76"/>
      <c r="B235" s="5"/>
      <c r="C235" s="16"/>
      <c r="E235" s="5"/>
    </row>
    <row r="236" spans="1:5" ht="12.5">
      <c r="A236" s="76"/>
      <c r="B236" s="5"/>
      <c r="C236" s="16"/>
      <c r="E236" s="5"/>
    </row>
    <row r="237" spans="1:5" ht="12.5">
      <c r="A237" s="76"/>
      <c r="B237" s="5"/>
      <c r="C237" s="16"/>
      <c r="E237" s="5"/>
    </row>
    <row r="238" spans="1:5" ht="12.5">
      <c r="A238" s="76"/>
      <c r="B238" s="5"/>
      <c r="C238" s="16"/>
      <c r="E238" s="5"/>
    </row>
    <row r="239" spans="1:5" ht="12.5">
      <c r="A239" s="76"/>
      <c r="B239" s="5"/>
      <c r="C239" s="16"/>
      <c r="E239" s="5"/>
    </row>
    <row r="240" spans="1:5" ht="12.5">
      <c r="A240" s="76"/>
      <c r="B240" s="5"/>
      <c r="C240" s="16"/>
      <c r="E240" s="5"/>
    </row>
    <row r="241" spans="1:5" ht="12.5">
      <c r="A241" s="76"/>
      <c r="B241" s="5"/>
      <c r="C241" s="16"/>
      <c r="E241" s="5"/>
    </row>
    <row r="242" spans="1:5" ht="12.5">
      <c r="A242" s="76"/>
      <c r="B242" s="5"/>
      <c r="C242" s="16"/>
      <c r="E242" s="5"/>
    </row>
    <row r="243" spans="1:5" ht="12.5">
      <c r="A243" s="76"/>
      <c r="B243" s="5"/>
      <c r="C243" s="16"/>
      <c r="E243" s="5"/>
    </row>
    <row r="244" spans="1:5" ht="12.5">
      <c r="A244" s="76"/>
      <c r="B244" s="5"/>
      <c r="C244" s="16"/>
      <c r="E244" s="5"/>
    </row>
    <row r="245" spans="1:5" ht="12.5">
      <c r="A245" s="76"/>
      <c r="B245" s="5"/>
      <c r="C245" s="16"/>
      <c r="E245" s="5"/>
    </row>
    <row r="246" spans="1:5" ht="12.5">
      <c r="A246" s="76"/>
      <c r="B246" s="5"/>
      <c r="C246" s="16"/>
      <c r="E246" s="5"/>
    </row>
    <row r="247" spans="1:5" ht="12.5">
      <c r="A247" s="76"/>
      <c r="B247" s="5"/>
      <c r="C247" s="16"/>
      <c r="E247" s="5"/>
    </row>
    <row r="248" spans="1:5" ht="12.5">
      <c r="A248" s="76"/>
      <c r="B248" s="5"/>
      <c r="C248" s="16"/>
      <c r="E248" s="5"/>
    </row>
    <row r="249" spans="1:5" ht="12.5">
      <c r="A249" s="76"/>
      <c r="B249" s="5"/>
      <c r="C249" s="16"/>
      <c r="E249" s="5"/>
    </row>
    <row r="250" spans="1:5" ht="12.5">
      <c r="A250" s="76"/>
      <c r="B250" s="5"/>
      <c r="C250" s="16"/>
      <c r="E250" s="5"/>
    </row>
    <row r="251" spans="1:5" ht="12.5">
      <c r="A251" s="76"/>
      <c r="B251" s="5"/>
      <c r="C251" s="16"/>
      <c r="E251" s="5"/>
    </row>
    <row r="252" spans="1:5" ht="12.5">
      <c r="A252" s="76"/>
      <c r="B252" s="5"/>
      <c r="C252" s="16"/>
      <c r="E252" s="5"/>
    </row>
    <row r="253" spans="1:5" ht="12.5">
      <c r="A253" s="76"/>
      <c r="B253" s="5"/>
      <c r="C253" s="16"/>
      <c r="E253" s="5"/>
    </row>
    <row r="254" spans="1:5" ht="12.5">
      <c r="A254" s="76"/>
      <c r="B254" s="5"/>
      <c r="C254" s="16"/>
      <c r="E254" s="5"/>
    </row>
    <row r="255" spans="1:5" ht="12.5">
      <c r="A255" s="76"/>
      <c r="B255" s="5"/>
      <c r="C255" s="16"/>
      <c r="E255" s="5"/>
    </row>
    <row r="256" spans="1:5" ht="12.5">
      <c r="A256" s="76"/>
      <c r="B256" s="5"/>
      <c r="C256" s="16"/>
      <c r="E256" s="5"/>
    </row>
    <row r="257" spans="1:5" ht="12.5">
      <c r="A257" s="76"/>
      <c r="B257" s="5"/>
      <c r="C257" s="16"/>
      <c r="E257" s="5"/>
    </row>
    <row r="258" spans="1:5" ht="12.5">
      <c r="A258" s="76"/>
      <c r="B258" s="5"/>
      <c r="C258" s="16"/>
      <c r="E258" s="5"/>
    </row>
    <row r="259" spans="1:5" ht="12.5">
      <c r="A259" s="76"/>
      <c r="B259" s="5"/>
      <c r="C259" s="16"/>
      <c r="E259" s="5"/>
    </row>
    <row r="260" spans="1:5" ht="12.5">
      <c r="A260" s="76"/>
      <c r="B260" s="5"/>
      <c r="C260" s="16"/>
      <c r="E260" s="5"/>
    </row>
    <row r="261" spans="1:5" ht="12.5">
      <c r="A261" s="76"/>
      <c r="B261" s="5"/>
      <c r="C261" s="16"/>
      <c r="E261" s="5"/>
    </row>
    <row r="262" spans="1:5" ht="12.5">
      <c r="A262" s="76"/>
      <c r="B262" s="5"/>
      <c r="C262" s="16"/>
      <c r="E262" s="5"/>
    </row>
    <row r="263" spans="1:5" ht="12.5">
      <c r="A263" s="76"/>
      <c r="B263" s="5"/>
      <c r="C263" s="16"/>
      <c r="E263" s="5"/>
    </row>
    <row r="264" spans="1:5" ht="12.5">
      <c r="A264" s="76"/>
      <c r="B264" s="5"/>
      <c r="C264" s="16"/>
      <c r="E264" s="5"/>
    </row>
    <row r="265" spans="1:5" ht="12.5">
      <c r="A265" s="76"/>
      <c r="B265" s="5"/>
      <c r="C265" s="16"/>
      <c r="E265" s="5"/>
    </row>
    <row r="266" spans="1:5" ht="12.5">
      <c r="A266" s="76"/>
      <c r="B266" s="5"/>
      <c r="C266" s="16"/>
      <c r="E266" s="5"/>
    </row>
    <row r="267" spans="1:5" ht="12.5">
      <c r="A267" s="76"/>
      <c r="B267" s="5"/>
      <c r="C267" s="16"/>
      <c r="E267" s="5"/>
    </row>
    <row r="268" spans="1:5" ht="12.5">
      <c r="A268" s="76"/>
      <c r="B268" s="5"/>
      <c r="C268" s="16"/>
      <c r="E268" s="5"/>
    </row>
    <row r="269" spans="1:5" ht="12.5">
      <c r="A269" s="76"/>
      <c r="B269" s="5"/>
      <c r="C269" s="16"/>
      <c r="E269" s="5"/>
    </row>
    <row r="270" spans="1:5" ht="12.5">
      <c r="A270" s="76"/>
      <c r="B270" s="5"/>
      <c r="C270" s="16"/>
      <c r="E270" s="5"/>
    </row>
    <row r="271" spans="1:5" ht="12.5">
      <c r="A271" s="76"/>
      <c r="B271" s="5"/>
      <c r="C271" s="16"/>
      <c r="E271" s="5"/>
    </row>
    <row r="272" spans="1:5" ht="12.5">
      <c r="A272" s="76"/>
      <c r="B272" s="5"/>
      <c r="C272" s="16"/>
      <c r="E272" s="5"/>
    </row>
    <row r="273" spans="1:5" ht="12.5">
      <c r="A273" s="76"/>
      <c r="B273" s="5"/>
      <c r="C273" s="16"/>
      <c r="E273" s="5"/>
    </row>
    <row r="274" spans="1:5" ht="12.5">
      <c r="A274" s="76"/>
      <c r="B274" s="5"/>
      <c r="C274" s="16"/>
      <c r="E274" s="5"/>
    </row>
    <row r="275" spans="1:5" ht="12.5">
      <c r="A275" s="76"/>
      <c r="B275" s="5"/>
      <c r="C275" s="16"/>
      <c r="E275" s="5"/>
    </row>
    <row r="276" spans="1:5" ht="12.5">
      <c r="A276" s="76"/>
      <c r="B276" s="5"/>
      <c r="C276" s="16"/>
      <c r="E276" s="5"/>
    </row>
    <row r="277" spans="1:5" ht="12.5">
      <c r="A277" s="76"/>
      <c r="B277" s="5"/>
      <c r="C277" s="16"/>
      <c r="E277" s="5"/>
    </row>
    <row r="278" spans="1:5" ht="12.5">
      <c r="A278" s="76"/>
      <c r="B278" s="5"/>
      <c r="C278" s="16"/>
      <c r="E278" s="5"/>
    </row>
    <row r="279" spans="1:5" ht="12.5">
      <c r="A279" s="76"/>
      <c r="B279" s="5"/>
      <c r="C279" s="16"/>
      <c r="E279" s="5"/>
    </row>
    <row r="280" spans="1:5" ht="12.5">
      <c r="A280" s="76"/>
      <c r="B280" s="5"/>
      <c r="C280" s="16"/>
      <c r="E280" s="5"/>
    </row>
    <row r="281" spans="1:5" ht="12.5">
      <c r="A281" s="76"/>
      <c r="B281" s="5"/>
      <c r="C281" s="16"/>
      <c r="E281" s="5"/>
    </row>
    <row r="282" spans="1:5" ht="12.5">
      <c r="A282" s="76"/>
      <c r="B282" s="5"/>
      <c r="C282" s="16"/>
      <c r="E282" s="5"/>
    </row>
    <row r="283" spans="1:5" ht="12.5">
      <c r="A283" s="76"/>
      <c r="B283" s="5"/>
      <c r="C283" s="16"/>
      <c r="E283" s="5"/>
    </row>
    <row r="284" spans="1:5" ht="12.5">
      <c r="A284" s="76"/>
      <c r="B284" s="5"/>
      <c r="C284" s="16"/>
      <c r="E284" s="5"/>
    </row>
    <row r="285" spans="1:5" ht="12.5">
      <c r="A285" s="76"/>
      <c r="B285" s="5"/>
      <c r="C285" s="16"/>
      <c r="E285" s="5"/>
    </row>
    <row r="286" spans="1:5" ht="12.5">
      <c r="A286" s="76"/>
      <c r="B286" s="5"/>
      <c r="C286" s="16"/>
      <c r="E286" s="5"/>
    </row>
    <row r="287" spans="1:5" ht="12.5">
      <c r="A287" s="76"/>
      <c r="B287" s="5"/>
      <c r="C287" s="16"/>
      <c r="E287" s="5"/>
    </row>
    <row r="288" spans="1:5" ht="12.5">
      <c r="A288" s="76"/>
      <c r="B288" s="5"/>
      <c r="C288" s="16"/>
      <c r="E288" s="5"/>
    </row>
    <row r="289" spans="1:5" ht="12.5">
      <c r="A289" s="76"/>
      <c r="B289" s="5"/>
      <c r="C289" s="16"/>
      <c r="E289" s="5"/>
    </row>
    <row r="290" spans="1:5" ht="12.5">
      <c r="A290" s="76"/>
      <c r="B290" s="5"/>
      <c r="C290" s="16"/>
      <c r="E290" s="5"/>
    </row>
    <row r="291" spans="1:5" ht="12.5">
      <c r="A291" s="76"/>
      <c r="B291" s="5"/>
      <c r="C291" s="16"/>
      <c r="E291" s="5"/>
    </row>
    <row r="292" spans="1:5" ht="12.5">
      <c r="A292" s="76"/>
      <c r="B292" s="5"/>
      <c r="C292" s="16"/>
      <c r="E292" s="5"/>
    </row>
    <row r="293" spans="1:5" ht="12.5">
      <c r="A293" s="76"/>
      <c r="B293" s="5"/>
      <c r="C293" s="16"/>
      <c r="E293" s="5"/>
    </row>
    <row r="294" spans="1:5" ht="12.5">
      <c r="A294" s="76"/>
      <c r="B294" s="5"/>
      <c r="C294" s="16"/>
      <c r="E294" s="5"/>
    </row>
    <row r="295" spans="1:5" ht="12.5">
      <c r="A295" s="76"/>
      <c r="B295" s="5"/>
      <c r="C295" s="16"/>
      <c r="E295" s="5"/>
    </row>
    <row r="296" spans="1:5" ht="12.5">
      <c r="A296" s="76"/>
      <c r="B296" s="5"/>
      <c r="C296" s="16"/>
      <c r="E296" s="5"/>
    </row>
    <row r="297" spans="1:5" ht="12.5">
      <c r="A297" s="76"/>
      <c r="B297" s="5"/>
      <c r="C297" s="16"/>
      <c r="E297" s="5"/>
    </row>
    <row r="298" spans="1:5" ht="12.5">
      <c r="A298" s="76"/>
      <c r="B298" s="5"/>
      <c r="C298" s="16"/>
      <c r="E298" s="5"/>
    </row>
    <row r="299" spans="1:5" ht="12.5">
      <c r="A299" s="76"/>
      <c r="B299" s="5"/>
      <c r="C299" s="16"/>
      <c r="E299" s="5"/>
    </row>
    <row r="300" spans="1:5" ht="12.5">
      <c r="A300" s="76"/>
      <c r="B300" s="5"/>
      <c r="C300" s="16"/>
      <c r="E300" s="5"/>
    </row>
    <row r="301" spans="1:5" ht="12.5">
      <c r="A301" s="76"/>
      <c r="B301" s="5"/>
      <c r="C301" s="16"/>
      <c r="E301" s="5"/>
    </row>
    <row r="302" spans="1:5" ht="12.5">
      <c r="A302" s="76"/>
      <c r="B302" s="5"/>
      <c r="C302" s="16"/>
      <c r="E302" s="5"/>
    </row>
    <row r="303" spans="1:5" ht="12.5">
      <c r="A303" s="76"/>
      <c r="B303" s="5"/>
      <c r="C303" s="16"/>
      <c r="E303" s="5"/>
    </row>
    <row r="304" spans="1:5" ht="12.5">
      <c r="A304" s="76"/>
      <c r="B304" s="5"/>
      <c r="C304" s="16"/>
      <c r="E304" s="5"/>
    </row>
    <row r="305" spans="1:5" ht="12.5">
      <c r="A305" s="76"/>
      <c r="B305" s="5"/>
      <c r="C305" s="16"/>
      <c r="E305" s="5"/>
    </row>
    <row r="306" spans="1:5" ht="12.5">
      <c r="A306" s="76"/>
      <c r="B306" s="5"/>
      <c r="C306" s="16"/>
      <c r="E306" s="5"/>
    </row>
    <row r="307" spans="1:5" ht="12.5">
      <c r="A307" s="76"/>
      <c r="B307" s="5"/>
      <c r="C307" s="16"/>
      <c r="E307" s="5"/>
    </row>
    <row r="308" spans="1:5" ht="12.5">
      <c r="A308" s="76"/>
      <c r="B308" s="5"/>
      <c r="C308" s="16"/>
      <c r="E308" s="5"/>
    </row>
    <row r="309" spans="1:5" ht="12.5">
      <c r="A309" s="76"/>
      <c r="B309" s="5"/>
      <c r="C309" s="16"/>
      <c r="E309" s="5"/>
    </row>
    <row r="310" spans="1:5" ht="12.5">
      <c r="A310" s="76"/>
      <c r="B310" s="5"/>
      <c r="C310" s="16"/>
      <c r="E310" s="5"/>
    </row>
    <row r="311" spans="1:5" ht="12.5">
      <c r="A311" s="76"/>
      <c r="B311" s="5"/>
      <c r="C311" s="16"/>
      <c r="E311" s="5"/>
    </row>
    <row r="312" spans="1:5" ht="12.5">
      <c r="A312" s="76"/>
      <c r="B312" s="5"/>
      <c r="C312" s="16"/>
      <c r="E312" s="5"/>
    </row>
    <row r="313" spans="1:5" ht="12.5">
      <c r="A313" s="76"/>
      <c r="B313" s="5"/>
      <c r="C313" s="16"/>
      <c r="E313" s="5"/>
    </row>
    <row r="314" spans="1:5" ht="12.5">
      <c r="A314" s="76"/>
      <c r="B314" s="5"/>
      <c r="C314" s="16"/>
      <c r="E314" s="5"/>
    </row>
    <row r="315" spans="1:5" ht="12.5">
      <c r="A315" s="76"/>
      <c r="B315" s="5"/>
      <c r="C315" s="16"/>
      <c r="E315" s="5"/>
    </row>
    <row r="316" spans="1:5" ht="12.5">
      <c r="A316" s="76"/>
      <c r="B316" s="5"/>
      <c r="C316" s="16"/>
      <c r="E316" s="5"/>
    </row>
    <row r="317" spans="1:5" ht="12.5">
      <c r="A317" s="76"/>
      <c r="B317" s="5"/>
      <c r="C317" s="16"/>
      <c r="E317" s="5"/>
    </row>
    <row r="318" spans="1:5" ht="12.5">
      <c r="A318" s="76"/>
      <c r="B318" s="5"/>
      <c r="C318" s="16"/>
      <c r="E318" s="5"/>
    </row>
    <row r="319" spans="1:5" ht="12.5">
      <c r="A319" s="76"/>
      <c r="B319" s="5"/>
      <c r="C319" s="16"/>
      <c r="E319" s="5"/>
    </row>
    <row r="320" spans="1:5" ht="12.5">
      <c r="A320" s="76"/>
      <c r="B320" s="5"/>
      <c r="C320" s="16"/>
      <c r="E320" s="5"/>
    </row>
    <row r="321" spans="1:5" ht="12.5">
      <c r="A321" s="76"/>
      <c r="B321" s="5"/>
      <c r="C321" s="16"/>
      <c r="E321" s="5"/>
    </row>
    <row r="322" spans="1:5" ht="12.5">
      <c r="A322" s="76"/>
      <c r="B322" s="5"/>
      <c r="C322" s="16"/>
      <c r="E322" s="5"/>
    </row>
    <row r="323" spans="1:5" ht="12.5">
      <c r="A323" s="76"/>
      <c r="B323" s="5"/>
      <c r="C323" s="16"/>
      <c r="E323" s="5"/>
    </row>
    <row r="324" spans="1:5" ht="12.5">
      <c r="A324" s="76"/>
      <c r="B324" s="5"/>
      <c r="C324" s="16"/>
      <c r="E324" s="5"/>
    </row>
    <row r="325" spans="1:5" ht="12.5">
      <c r="A325" s="76"/>
      <c r="B325" s="5"/>
      <c r="C325" s="16"/>
      <c r="E325" s="5"/>
    </row>
    <row r="326" spans="1:5" ht="12.5">
      <c r="A326" s="76"/>
      <c r="B326" s="5"/>
      <c r="C326" s="16"/>
      <c r="E326" s="5"/>
    </row>
    <row r="327" spans="1:5" ht="12.5">
      <c r="A327" s="76"/>
      <c r="B327" s="5"/>
      <c r="C327" s="16"/>
      <c r="E327" s="5"/>
    </row>
    <row r="328" spans="1:5" ht="12.5">
      <c r="A328" s="76"/>
      <c r="B328" s="5"/>
      <c r="C328" s="16"/>
      <c r="E328" s="5"/>
    </row>
    <row r="329" spans="1:5" ht="12.5">
      <c r="A329" s="76"/>
      <c r="B329" s="5"/>
      <c r="C329" s="16"/>
      <c r="E329" s="5"/>
    </row>
    <row r="330" spans="1:5" ht="12.5">
      <c r="A330" s="76"/>
      <c r="B330" s="5"/>
      <c r="C330" s="16"/>
      <c r="E330" s="5"/>
    </row>
    <row r="331" spans="1:5" ht="12.5">
      <c r="A331" s="76"/>
      <c r="B331" s="5"/>
      <c r="C331" s="16"/>
      <c r="E331" s="5"/>
    </row>
    <row r="332" spans="1:5" ht="12.5">
      <c r="A332" s="76"/>
      <c r="B332" s="5"/>
      <c r="C332" s="16"/>
      <c r="E332" s="5"/>
    </row>
    <row r="333" spans="1:5" ht="12.5">
      <c r="A333" s="76"/>
      <c r="B333" s="5"/>
      <c r="C333" s="16"/>
      <c r="E333" s="5"/>
    </row>
    <row r="334" spans="1:5" ht="12.5">
      <c r="A334" s="76"/>
      <c r="B334" s="5"/>
      <c r="C334" s="16"/>
      <c r="E334" s="5"/>
    </row>
    <row r="335" spans="1:5" ht="12.5">
      <c r="A335" s="76"/>
      <c r="B335" s="5"/>
      <c r="C335" s="16"/>
      <c r="E335" s="5"/>
    </row>
    <row r="336" spans="1:5" ht="12.5">
      <c r="A336" s="76"/>
      <c r="B336" s="5"/>
      <c r="C336" s="16"/>
      <c r="E336" s="5"/>
    </row>
    <row r="337" spans="1:5" ht="12.5">
      <c r="A337" s="76"/>
      <c r="B337" s="5"/>
      <c r="C337" s="16"/>
      <c r="E337" s="5"/>
    </row>
    <row r="338" spans="1:5" ht="12.5">
      <c r="A338" s="76"/>
      <c r="B338" s="5"/>
      <c r="C338" s="16"/>
      <c r="E338" s="5"/>
    </row>
    <row r="339" spans="1:5" ht="12.5">
      <c r="A339" s="76"/>
      <c r="B339" s="5"/>
      <c r="C339" s="16"/>
      <c r="E339" s="5"/>
    </row>
    <row r="340" spans="1:5" ht="12.5">
      <c r="A340" s="76"/>
      <c r="B340" s="5"/>
      <c r="C340" s="16"/>
      <c r="E340" s="5"/>
    </row>
    <row r="341" spans="1:5" ht="12.5">
      <c r="A341" s="76"/>
      <c r="B341" s="5"/>
      <c r="C341" s="16"/>
      <c r="E341" s="5"/>
    </row>
    <row r="342" spans="1:5" ht="12.5">
      <c r="A342" s="76"/>
      <c r="B342" s="5"/>
      <c r="C342" s="16"/>
      <c r="E342" s="5"/>
    </row>
    <row r="343" spans="1:5" ht="12.5">
      <c r="A343" s="76"/>
      <c r="B343" s="5"/>
      <c r="C343" s="16"/>
      <c r="E343" s="5"/>
    </row>
    <row r="344" spans="1:5" ht="12.5">
      <c r="A344" s="76"/>
      <c r="B344" s="5"/>
      <c r="C344" s="16"/>
      <c r="E344" s="5"/>
    </row>
    <row r="345" spans="1:5" ht="12.5">
      <c r="A345" s="76"/>
      <c r="B345" s="5"/>
      <c r="C345" s="16"/>
      <c r="E345" s="5"/>
    </row>
    <row r="346" spans="1:5" ht="12.5">
      <c r="A346" s="76"/>
      <c r="B346" s="5"/>
      <c r="C346" s="16"/>
      <c r="E346" s="5"/>
    </row>
    <row r="347" spans="1:5" ht="12.5">
      <c r="A347" s="76"/>
      <c r="B347" s="5"/>
      <c r="C347" s="16"/>
      <c r="E347" s="5"/>
    </row>
    <row r="348" spans="1:5" ht="12.5">
      <c r="A348" s="76"/>
      <c r="B348" s="5"/>
      <c r="C348" s="16"/>
      <c r="E348" s="5"/>
    </row>
    <row r="349" spans="1:5" ht="12.5">
      <c r="A349" s="76"/>
      <c r="B349" s="5"/>
      <c r="C349" s="16"/>
      <c r="E349" s="5"/>
    </row>
    <row r="350" spans="1:5" ht="12.5">
      <c r="A350" s="76"/>
      <c r="B350" s="5"/>
      <c r="C350" s="16"/>
      <c r="E350" s="5"/>
    </row>
    <row r="351" spans="1:5" ht="12.5">
      <c r="A351" s="76"/>
      <c r="B351" s="5"/>
      <c r="C351" s="16"/>
      <c r="E351" s="5"/>
    </row>
    <row r="352" spans="1:5" ht="12.5">
      <c r="A352" s="76"/>
      <c r="B352" s="5"/>
      <c r="C352" s="16"/>
      <c r="E352" s="5"/>
    </row>
    <row r="353" spans="1:5" ht="12.5">
      <c r="A353" s="76"/>
      <c r="B353" s="5"/>
      <c r="C353" s="16"/>
      <c r="E353" s="5"/>
    </row>
    <row r="354" spans="1:5" ht="12.5">
      <c r="A354" s="76"/>
      <c r="B354" s="5"/>
      <c r="C354" s="16"/>
      <c r="E354" s="5"/>
    </row>
    <row r="355" spans="1:5" ht="12.5">
      <c r="A355" s="76"/>
      <c r="B355" s="5"/>
      <c r="C355" s="16"/>
      <c r="E355" s="5"/>
    </row>
    <row r="356" spans="1:5" ht="12.5">
      <c r="A356" s="76"/>
      <c r="B356" s="5"/>
      <c r="C356" s="16"/>
      <c r="E356" s="5"/>
    </row>
    <row r="357" spans="1:5" ht="12.5">
      <c r="A357" s="76"/>
      <c r="B357" s="5"/>
      <c r="C357" s="16"/>
      <c r="E357" s="5"/>
    </row>
    <row r="358" spans="1:5" ht="12.5">
      <c r="A358" s="76"/>
      <c r="B358" s="5"/>
      <c r="C358" s="16"/>
      <c r="E358" s="5"/>
    </row>
    <row r="359" spans="1:5" ht="12.5">
      <c r="A359" s="76"/>
      <c r="B359" s="5"/>
      <c r="C359" s="16"/>
      <c r="E359" s="5"/>
    </row>
    <row r="360" spans="1:5" ht="12.5">
      <c r="A360" s="76"/>
      <c r="B360" s="5"/>
      <c r="C360" s="16"/>
      <c r="E360" s="5"/>
    </row>
    <row r="361" spans="1:5" ht="12.5">
      <c r="A361" s="76"/>
      <c r="B361" s="5"/>
      <c r="C361" s="16"/>
      <c r="E361" s="5"/>
    </row>
    <row r="362" spans="1:5" ht="12.5">
      <c r="A362" s="76"/>
      <c r="B362" s="5"/>
      <c r="C362" s="16"/>
      <c r="E362" s="5"/>
    </row>
    <row r="363" spans="1:5" ht="12.5">
      <c r="A363" s="76"/>
      <c r="B363" s="5"/>
      <c r="C363" s="16"/>
      <c r="E363" s="5"/>
    </row>
    <row r="364" spans="1:5" ht="12.5">
      <c r="A364" s="76"/>
      <c r="B364" s="5"/>
      <c r="C364" s="16"/>
      <c r="E364" s="5"/>
    </row>
    <row r="365" spans="1:5" ht="12.5">
      <c r="A365" s="76"/>
      <c r="B365" s="5"/>
      <c r="C365" s="16"/>
      <c r="E365" s="5"/>
    </row>
    <row r="366" spans="1:5" ht="12.5">
      <c r="A366" s="76"/>
      <c r="B366" s="5"/>
      <c r="C366" s="16"/>
      <c r="E366" s="5"/>
    </row>
    <row r="367" spans="1:5" ht="12.5">
      <c r="A367" s="76"/>
      <c r="B367" s="5"/>
      <c r="C367" s="16"/>
      <c r="E367" s="5"/>
    </row>
    <row r="368" spans="1:5" ht="12.5">
      <c r="A368" s="76"/>
      <c r="B368" s="5"/>
      <c r="C368" s="16"/>
      <c r="E368" s="5"/>
    </row>
    <row r="369" spans="1:5" ht="12.5">
      <c r="A369" s="76"/>
      <c r="B369" s="5"/>
      <c r="C369" s="16"/>
      <c r="E369" s="5"/>
    </row>
    <row r="370" spans="1:5" ht="12.5">
      <c r="A370" s="76"/>
      <c r="B370" s="5"/>
      <c r="C370" s="16"/>
      <c r="E370" s="5"/>
    </row>
    <row r="371" spans="1:5" ht="12.5">
      <c r="A371" s="76"/>
      <c r="B371" s="5"/>
      <c r="C371" s="16"/>
      <c r="E371" s="5"/>
    </row>
    <row r="372" spans="1:5" ht="12.5">
      <c r="A372" s="76"/>
      <c r="B372" s="5"/>
      <c r="C372" s="16"/>
      <c r="E372" s="5"/>
    </row>
    <row r="373" spans="1:5" ht="12.5">
      <c r="A373" s="76"/>
      <c r="B373" s="5"/>
      <c r="C373" s="16"/>
      <c r="E373" s="5"/>
    </row>
    <row r="374" spans="1:5" ht="12.5">
      <c r="A374" s="76"/>
      <c r="B374" s="5"/>
      <c r="C374" s="16"/>
      <c r="E374" s="5"/>
    </row>
    <row r="375" spans="1:5" ht="12.5">
      <c r="A375" s="76"/>
      <c r="B375" s="5"/>
      <c r="C375" s="16"/>
      <c r="E375" s="5"/>
    </row>
    <row r="376" spans="1:5" ht="12.5">
      <c r="A376" s="76"/>
      <c r="B376" s="5"/>
      <c r="C376" s="16"/>
      <c r="E376" s="5"/>
    </row>
    <row r="377" spans="1:5" ht="12.5">
      <c r="A377" s="76"/>
      <c r="B377" s="5"/>
      <c r="C377" s="16"/>
      <c r="E377" s="5"/>
    </row>
    <row r="378" spans="1:5" ht="12.5">
      <c r="A378" s="76"/>
      <c r="B378" s="5"/>
      <c r="C378" s="16"/>
      <c r="E378" s="5"/>
    </row>
    <row r="379" spans="1:5" ht="12.5">
      <c r="A379" s="76"/>
      <c r="B379" s="5"/>
      <c r="C379" s="16"/>
      <c r="E379" s="5"/>
    </row>
    <row r="380" spans="1:5" ht="12.5">
      <c r="A380" s="76"/>
      <c r="B380" s="5"/>
      <c r="C380" s="16"/>
      <c r="E380" s="5"/>
    </row>
    <row r="381" spans="1:5" ht="12.5">
      <c r="A381" s="76"/>
      <c r="B381" s="5"/>
      <c r="C381" s="16"/>
      <c r="E381" s="5"/>
    </row>
    <row r="382" spans="1:5" ht="12.5">
      <c r="A382" s="76"/>
      <c r="B382" s="5"/>
      <c r="C382" s="16"/>
      <c r="E382" s="5"/>
    </row>
    <row r="383" spans="1:5" ht="12.5">
      <c r="A383" s="76"/>
      <c r="B383" s="5"/>
      <c r="C383" s="16"/>
      <c r="E383" s="5"/>
    </row>
    <row r="384" spans="1:5" ht="12.5">
      <c r="A384" s="76"/>
      <c r="B384" s="5"/>
      <c r="C384" s="16"/>
      <c r="E384" s="5"/>
    </row>
    <row r="385" spans="1:5" ht="12.5">
      <c r="A385" s="76"/>
      <c r="B385" s="5"/>
      <c r="C385" s="16"/>
      <c r="E385" s="5"/>
    </row>
    <row r="386" spans="1:5" ht="12.5">
      <c r="A386" s="76"/>
      <c r="B386" s="5"/>
      <c r="C386" s="16"/>
      <c r="E386" s="5"/>
    </row>
    <row r="387" spans="1:5" ht="12.5">
      <c r="A387" s="76"/>
      <c r="B387" s="5"/>
      <c r="C387" s="16"/>
      <c r="E387" s="5"/>
    </row>
    <row r="388" spans="1:5" ht="12.5">
      <c r="A388" s="76"/>
      <c r="B388" s="5"/>
      <c r="C388" s="16"/>
      <c r="E388" s="5"/>
    </row>
    <row r="389" spans="1:5" ht="12.5">
      <c r="A389" s="76"/>
      <c r="B389" s="5"/>
      <c r="C389" s="16"/>
      <c r="E389" s="5"/>
    </row>
    <row r="390" spans="1:5" ht="12.5">
      <c r="A390" s="76"/>
      <c r="B390" s="5"/>
      <c r="C390" s="16"/>
      <c r="E390" s="5"/>
    </row>
    <row r="391" spans="1:5" ht="12.5">
      <c r="A391" s="76"/>
      <c r="B391" s="5"/>
      <c r="C391" s="16"/>
      <c r="E391" s="5"/>
    </row>
    <row r="392" spans="1:5" ht="12.5">
      <c r="A392" s="76"/>
      <c r="B392" s="5"/>
      <c r="C392" s="16"/>
      <c r="E392" s="5"/>
    </row>
    <row r="393" spans="1:5" ht="12.5">
      <c r="A393" s="76"/>
      <c r="B393" s="5"/>
      <c r="C393" s="16"/>
      <c r="E393" s="5"/>
    </row>
    <row r="394" spans="1:5" ht="12.5">
      <c r="A394" s="76"/>
      <c r="B394" s="5"/>
      <c r="C394" s="16"/>
      <c r="E394" s="5"/>
    </row>
    <row r="395" spans="1:5" ht="12.5">
      <c r="A395" s="76"/>
      <c r="B395" s="5"/>
      <c r="C395" s="16"/>
      <c r="E395" s="5"/>
    </row>
    <row r="396" spans="1:5" ht="12.5">
      <c r="A396" s="76"/>
      <c r="B396" s="5"/>
      <c r="C396" s="16"/>
      <c r="E396" s="5"/>
    </row>
    <row r="397" spans="1:5" ht="12.5">
      <c r="A397" s="76"/>
      <c r="B397" s="5"/>
      <c r="C397" s="16"/>
      <c r="E397" s="5"/>
    </row>
    <row r="398" spans="1:5" ht="12.5">
      <c r="A398" s="76"/>
      <c r="B398" s="5"/>
      <c r="C398" s="16"/>
      <c r="E398" s="5"/>
    </row>
    <row r="399" spans="1:5" ht="12.5">
      <c r="A399" s="76"/>
      <c r="B399" s="5"/>
      <c r="C399" s="16"/>
      <c r="E399" s="5"/>
    </row>
    <row r="400" spans="1:5" ht="12.5">
      <c r="A400" s="76"/>
      <c r="B400" s="5"/>
      <c r="C400" s="16"/>
      <c r="E400" s="5"/>
    </row>
    <row r="401" spans="1:5" ht="12.5">
      <c r="A401" s="76"/>
      <c r="B401" s="5"/>
      <c r="C401" s="16"/>
      <c r="E401" s="5"/>
    </row>
    <row r="402" spans="1:5" ht="12.5">
      <c r="A402" s="76"/>
      <c r="B402" s="5"/>
      <c r="C402" s="16"/>
      <c r="E402" s="5"/>
    </row>
    <row r="403" spans="1:5" ht="12.5">
      <c r="A403" s="76"/>
      <c r="B403" s="5"/>
      <c r="C403" s="16"/>
      <c r="E403" s="5"/>
    </row>
    <row r="404" spans="1:5" ht="12.5">
      <c r="A404" s="76"/>
      <c r="B404" s="5"/>
      <c r="C404" s="16"/>
      <c r="E404" s="5"/>
    </row>
    <row r="405" spans="1:5" ht="12.5">
      <c r="A405" s="76"/>
      <c r="B405" s="5"/>
      <c r="C405" s="16"/>
      <c r="E405" s="5"/>
    </row>
    <row r="406" spans="1:5" ht="12.5">
      <c r="A406" s="76"/>
      <c r="B406" s="5"/>
      <c r="C406" s="16"/>
      <c r="E406" s="5"/>
    </row>
    <row r="407" spans="1:5" ht="12.5">
      <c r="A407" s="76"/>
      <c r="B407" s="5"/>
      <c r="C407" s="16"/>
      <c r="E407" s="5"/>
    </row>
    <row r="408" spans="1:5" ht="12.5">
      <c r="A408" s="76"/>
      <c r="B408" s="5"/>
      <c r="C408" s="16"/>
      <c r="E408" s="5"/>
    </row>
    <row r="409" spans="1:5" ht="12.5">
      <c r="A409" s="76"/>
      <c r="B409" s="5"/>
      <c r="C409" s="16"/>
      <c r="E409" s="5"/>
    </row>
    <row r="410" spans="1:5" ht="12.5">
      <c r="A410" s="76"/>
      <c r="B410" s="5"/>
      <c r="C410" s="16"/>
      <c r="E410" s="5"/>
    </row>
    <row r="411" spans="1:5" ht="12.5">
      <c r="A411" s="76"/>
      <c r="B411" s="5"/>
      <c r="C411" s="16"/>
      <c r="E411" s="5"/>
    </row>
    <row r="412" spans="1:5" ht="12.5">
      <c r="A412" s="76"/>
      <c r="B412" s="5"/>
      <c r="C412" s="16"/>
      <c r="E412" s="5"/>
    </row>
    <row r="413" spans="1:5" ht="12.5">
      <c r="A413" s="76"/>
      <c r="B413" s="5"/>
      <c r="C413" s="16"/>
      <c r="E413" s="5"/>
    </row>
    <row r="414" spans="1:5" ht="12.5">
      <c r="A414" s="76"/>
      <c r="B414" s="5"/>
      <c r="C414" s="16"/>
      <c r="E414" s="5"/>
    </row>
    <row r="415" spans="1:5" ht="12.5">
      <c r="A415" s="76"/>
      <c r="B415" s="5"/>
      <c r="C415" s="16"/>
      <c r="E415" s="5"/>
    </row>
    <row r="416" spans="1:5" ht="12.5">
      <c r="A416" s="76"/>
      <c r="B416" s="5"/>
      <c r="C416" s="16"/>
      <c r="E416" s="5"/>
    </row>
    <row r="417" spans="1:5" ht="12.5">
      <c r="A417" s="76"/>
      <c r="B417" s="5"/>
      <c r="C417" s="16"/>
      <c r="E417" s="5"/>
    </row>
    <row r="418" spans="1:5" ht="12.5">
      <c r="A418" s="76"/>
      <c r="B418" s="5"/>
      <c r="C418" s="16"/>
      <c r="E418" s="5"/>
    </row>
    <row r="419" spans="1:5" ht="12.5">
      <c r="A419" s="76"/>
      <c r="B419" s="5"/>
      <c r="C419" s="16"/>
      <c r="E419" s="5"/>
    </row>
    <row r="420" spans="1:5" ht="12.5">
      <c r="A420" s="76"/>
      <c r="B420" s="5"/>
      <c r="C420" s="16"/>
      <c r="E420" s="5"/>
    </row>
    <row r="421" spans="1:5" ht="12.5">
      <c r="A421" s="76"/>
      <c r="B421" s="5"/>
      <c r="C421" s="16"/>
      <c r="E421" s="5"/>
    </row>
    <row r="422" spans="1:5" ht="12.5">
      <c r="A422" s="76"/>
      <c r="B422" s="5"/>
      <c r="C422" s="16"/>
      <c r="E422" s="5"/>
    </row>
    <row r="423" spans="1:5" ht="12.5">
      <c r="A423" s="76"/>
      <c r="B423" s="5"/>
      <c r="C423" s="16"/>
      <c r="E423" s="5"/>
    </row>
    <row r="424" spans="1:5" ht="12.5">
      <c r="A424" s="76"/>
      <c r="B424" s="5"/>
      <c r="C424" s="16"/>
      <c r="E424" s="5"/>
    </row>
    <row r="425" spans="1:5" ht="12.5">
      <c r="A425" s="76"/>
      <c r="B425" s="5"/>
      <c r="C425" s="16"/>
      <c r="E425" s="5"/>
    </row>
    <row r="426" spans="1:5" ht="12.5">
      <c r="A426" s="76"/>
      <c r="B426" s="5"/>
      <c r="C426" s="16"/>
      <c r="E426" s="5"/>
    </row>
    <row r="427" spans="1:5" ht="12.5">
      <c r="A427" s="76"/>
      <c r="B427" s="5"/>
      <c r="C427" s="16"/>
      <c r="E427" s="5"/>
    </row>
    <row r="428" spans="1:5" ht="12.5">
      <c r="A428" s="76"/>
      <c r="B428" s="5"/>
      <c r="C428" s="16"/>
      <c r="E428" s="5"/>
    </row>
    <row r="429" spans="1:5" ht="12.5">
      <c r="A429" s="76"/>
      <c r="B429" s="5"/>
      <c r="C429" s="16"/>
      <c r="E429" s="5"/>
    </row>
    <row r="430" spans="1:5" ht="12.5">
      <c r="A430" s="76"/>
      <c r="B430" s="5"/>
      <c r="C430" s="16"/>
      <c r="E430" s="5"/>
    </row>
    <row r="431" spans="1:5" ht="12.5">
      <c r="A431" s="76"/>
      <c r="B431" s="5"/>
      <c r="C431" s="16"/>
      <c r="E431" s="5"/>
    </row>
    <row r="432" spans="1:5" ht="12.5">
      <c r="A432" s="76"/>
      <c r="B432" s="5"/>
      <c r="C432" s="16"/>
      <c r="E432" s="5"/>
    </row>
    <row r="433" spans="1:5" ht="12.5">
      <c r="A433" s="76"/>
      <c r="B433" s="5"/>
      <c r="C433" s="16"/>
      <c r="E433" s="5"/>
    </row>
    <row r="434" spans="1:5" ht="12.5">
      <c r="A434" s="76"/>
      <c r="B434" s="5"/>
      <c r="C434" s="16"/>
      <c r="E434" s="5"/>
    </row>
    <row r="435" spans="1:5" ht="12.5">
      <c r="A435" s="76"/>
      <c r="B435" s="5"/>
      <c r="C435" s="16"/>
      <c r="E435" s="5"/>
    </row>
    <row r="436" spans="1:5" ht="12.5">
      <c r="A436" s="76"/>
      <c r="B436" s="5"/>
      <c r="C436" s="16"/>
      <c r="E436" s="5"/>
    </row>
    <row r="437" spans="1:5" ht="12.5">
      <c r="A437" s="76"/>
      <c r="B437" s="5"/>
      <c r="C437" s="16"/>
      <c r="E437" s="5"/>
    </row>
    <row r="438" spans="1:5" ht="12.5">
      <c r="A438" s="76"/>
      <c r="B438" s="5"/>
      <c r="C438" s="16"/>
      <c r="E438" s="5"/>
    </row>
    <row r="439" spans="1:5" ht="12.5">
      <c r="A439" s="76"/>
      <c r="B439" s="5"/>
      <c r="C439" s="16"/>
      <c r="E439" s="5"/>
    </row>
    <row r="440" spans="1:5" ht="12.5">
      <c r="A440" s="76"/>
      <c r="B440" s="5"/>
      <c r="C440" s="16"/>
      <c r="E440" s="5"/>
    </row>
    <row r="441" spans="1:5" ht="12.5">
      <c r="A441" s="76"/>
      <c r="B441" s="5"/>
      <c r="C441" s="16"/>
      <c r="E441" s="5"/>
    </row>
    <row r="442" spans="1:5" ht="12.5">
      <c r="A442" s="76"/>
      <c r="B442" s="5"/>
      <c r="C442" s="16"/>
      <c r="E442" s="5"/>
    </row>
    <row r="443" spans="1:5" ht="12.5">
      <c r="A443" s="76"/>
      <c r="B443" s="5"/>
      <c r="C443" s="16"/>
      <c r="E443" s="5"/>
    </row>
    <row r="444" spans="1:5" ht="12.5">
      <c r="A444" s="76"/>
      <c r="B444" s="5"/>
      <c r="C444" s="16"/>
      <c r="E444" s="5"/>
    </row>
    <row r="445" spans="1:5" ht="12.5">
      <c r="A445" s="76"/>
      <c r="B445" s="5"/>
      <c r="C445" s="16"/>
      <c r="E445" s="5"/>
    </row>
    <row r="446" spans="1:5" ht="12.5">
      <c r="A446" s="76"/>
      <c r="B446" s="5"/>
      <c r="C446" s="16"/>
      <c r="E446" s="5"/>
    </row>
    <row r="447" spans="1:5" ht="12.5">
      <c r="A447" s="76"/>
      <c r="B447" s="5"/>
      <c r="C447" s="16"/>
      <c r="E447" s="5"/>
    </row>
    <row r="448" spans="1:5" ht="12.5">
      <c r="A448" s="76"/>
      <c r="B448" s="5"/>
      <c r="C448" s="16"/>
      <c r="E448" s="5"/>
    </row>
    <row r="449" spans="1:5" ht="12.5">
      <c r="A449" s="76"/>
      <c r="B449" s="5"/>
      <c r="C449" s="16"/>
      <c r="E449" s="5"/>
    </row>
    <row r="450" spans="1:5" ht="12.5">
      <c r="A450" s="76"/>
      <c r="B450" s="5"/>
      <c r="C450" s="16"/>
      <c r="E450" s="5"/>
    </row>
    <row r="451" spans="1:5" ht="12.5">
      <c r="A451" s="76"/>
      <c r="B451" s="5"/>
      <c r="C451" s="16"/>
      <c r="E451" s="5"/>
    </row>
    <row r="452" spans="1:5" ht="12.5">
      <c r="A452" s="76"/>
      <c r="B452" s="5"/>
      <c r="C452" s="16"/>
      <c r="E452" s="5"/>
    </row>
    <row r="453" spans="1:5" ht="12.5">
      <c r="A453" s="76"/>
      <c r="B453" s="5"/>
      <c r="C453" s="16"/>
      <c r="E453" s="5"/>
    </row>
    <row r="454" spans="1:5" ht="12.5">
      <c r="A454" s="76"/>
      <c r="B454" s="5"/>
      <c r="C454" s="16"/>
      <c r="E454" s="5"/>
    </row>
    <row r="455" spans="1:5" ht="12.5">
      <c r="A455" s="76"/>
      <c r="B455" s="5"/>
      <c r="C455" s="16"/>
      <c r="E455" s="5"/>
    </row>
    <row r="456" spans="1:5" ht="12.5">
      <c r="A456" s="76"/>
      <c r="B456" s="5"/>
      <c r="C456" s="16"/>
      <c r="E456" s="5"/>
    </row>
    <row r="457" spans="1:5" ht="12.5">
      <c r="A457" s="76"/>
      <c r="B457" s="5"/>
      <c r="C457" s="16"/>
      <c r="E457" s="5"/>
    </row>
    <row r="458" spans="1:5" ht="12.5">
      <c r="A458" s="76"/>
      <c r="B458" s="5"/>
      <c r="C458" s="16"/>
      <c r="E458" s="5"/>
    </row>
    <row r="459" spans="1:5" ht="12.5">
      <c r="A459" s="76"/>
      <c r="B459" s="5"/>
      <c r="C459" s="16"/>
      <c r="E459" s="5"/>
    </row>
    <row r="460" spans="1:5" ht="12.5">
      <c r="A460" s="76"/>
      <c r="B460" s="5"/>
      <c r="C460" s="16"/>
      <c r="E460" s="5"/>
    </row>
    <row r="461" spans="1:5" ht="12.5">
      <c r="A461" s="76"/>
      <c r="B461" s="5"/>
      <c r="C461" s="16"/>
      <c r="E461" s="5"/>
    </row>
    <row r="462" spans="1:5" ht="12.5">
      <c r="A462" s="76"/>
      <c r="B462" s="5"/>
      <c r="C462" s="16"/>
      <c r="E462" s="5"/>
    </row>
    <row r="463" spans="1:5" ht="12.5">
      <c r="A463" s="76"/>
      <c r="B463" s="5"/>
      <c r="C463" s="16"/>
      <c r="E463" s="5"/>
    </row>
    <row r="464" spans="1:5" ht="12.5">
      <c r="A464" s="76"/>
      <c r="B464" s="5"/>
      <c r="C464" s="16"/>
      <c r="E464" s="5"/>
    </row>
    <row r="465" spans="1:5" ht="12.5">
      <c r="A465" s="76"/>
      <c r="B465" s="5"/>
      <c r="C465" s="16"/>
      <c r="E465" s="5"/>
    </row>
    <row r="466" spans="1:5" ht="12.5">
      <c r="A466" s="76"/>
      <c r="B466" s="5"/>
      <c r="C466" s="16"/>
      <c r="E466" s="5"/>
    </row>
    <row r="467" spans="1:5" ht="12.5">
      <c r="A467" s="76"/>
      <c r="B467" s="5"/>
      <c r="C467" s="16"/>
      <c r="E467" s="5"/>
    </row>
    <row r="468" spans="1:5" ht="12.5">
      <c r="A468" s="76"/>
      <c r="B468" s="5"/>
      <c r="C468" s="16"/>
      <c r="E468" s="5"/>
    </row>
    <row r="469" spans="1:5" ht="12.5">
      <c r="A469" s="76"/>
      <c r="B469" s="5"/>
      <c r="C469" s="16"/>
      <c r="E469" s="5"/>
    </row>
    <row r="470" spans="1:5" ht="12.5">
      <c r="A470" s="76"/>
      <c r="B470" s="5"/>
      <c r="C470" s="16"/>
      <c r="E470" s="5"/>
    </row>
    <row r="471" spans="1:5" ht="12.5">
      <c r="A471" s="76"/>
      <c r="B471" s="5"/>
      <c r="C471" s="16"/>
      <c r="E471" s="5"/>
    </row>
    <row r="472" spans="1:5" ht="12.5">
      <c r="A472" s="76"/>
      <c r="B472" s="5"/>
      <c r="C472" s="16"/>
      <c r="E472" s="5"/>
    </row>
    <row r="473" spans="1:5" ht="12.5">
      <c r="A473" s="76"/>
      <c r="B473" s="5"/>
      <c r="C473" s="16"/>
      <c r="E473" s="5"/>
    </row>
    <row r="474" spans="1:5" ht="12.5">
      <c r="A474" s="76"/>
      <c r="B474" s="5"/>
      <c r="C474" s="16"/>
      <c r="E474" s="5"/>
    </row>
    <row r="475" spans="1:5" ht="12.5">
      <c r="A475" s="76"/>
      <c r="B475" s="5"/>
      <c r="C475" s="16"/>
      <c r="E475" s="5"/>
    </row>
    <row r="476" spans="1:5" ht="12.5">
      <c r="A476" s="76"/>
      <c r="B476" s="5"/>
      <c r="C476" s="16"/>
      <c r="E476" s="5"/>
    </row>
    <row r="477" spans="1:5" ht="12.5">
      <c r="A477" s="76"/>
      <c r="B477" s="5"/>
      <c r="C477" s="16"/>
      <c r="E477" s="5"/>
    </row>
    <row r="478" spans="1:5" ht="12.5">
      <c r="A478" s="76"/>
      <c r="B478" s="5"/>
      <c r="C478" s="16"/>
      <c r="E478" s="5"/>
    </row>
    <row r="479" spans="1:5" ht="12.5">
      <c r="A479" s="76"/>
      <c r="B479" s="5"/>
      <c r="C479" s="16"/>
      <c r="E479" s="5"/>
    </row>
    <row r="480" spans="1:5" ht="12.5">
      <c r="A480" s="76"/>
      <c r="B480" s="5"/>
      <c r="C480" s="16"/>
      <c r="E480" s="5"/>
    </row>
    <row r="481" spans="1:5" ht="12.5">
      <c r="A481" s="76"/>
      <c r="B481" s="5"/>
      <c r="C481" s="16"/>
      <c r="E481" s="5"/>
    </row>
    <row r="482" spans="1:5" ht="12.5">
      <c r="A482" s="76"/>
      <c r="B482" s="5"/>
      <c r="C482" s="16"/>
      <c r="E482" s="5"/>
    </row>
    <row r="483" spans="1:5" ht="12.5">
      <c r="A483" s="76"/>
      <c r="B483" s="5"/>
      <c r="C483" s="16"/>
      <c r="E483" s="5"/>
    </row>
    <row r="484" spans="1:5" ht="12.5">
      <c r="A484" s="76"/>
      <c r="B484" s="5"/>
      <c r="C484" s="16"/>
      <c r="E484" s="5"/>
    </row>
    <row r="485" spans="1:5" ht="12.5">
      <c r="A485" s="76"/>
      <c r="B485" s="5"/>
      <c r="C485" s="16"/>
      <c r="E485" s="5"/>
    </row>
    <row r="486" spans="1:5" ht="12.5">
      <c r="A486" s="76"/>
      <c r="B486" s="5"/>
      <c r="C486" s="16"/>
      <c r="E486" s="5"/>
    </row>
    <row r="487" spans="1:5" ht="12.5">
      <c r="A487" s="76"/>
      <c r="B487" s="5"/>
      <c r="C487" s="16"/>
      <c r="E487" s="5"/>
    </row>
    <row r="488" spans="1:5" ht="12.5">
      <c r="A488" s="76"/>
      <c r="B488" s="5"/>
      <c r="C488" s="16"/>
      <c r="E488" s="5"/>
    </row>
    <row r="489" spans="1:5" ht="12.5">
      <c r="A489" s="76"/>
      <c r="B489" s="5"/>
      <c r="C489" s="16"/>
      <c r="E489" s="5"/>
    </row>
    <row r="490" spans="1:5" ht="12.5">
      <c r="A490" s="76"/>
      <c r="B490" s="5"/>
      <c r="C490" s="16"/>
      <c r="E490" s="5"/>
    </row>
    <row r="491" spans="1:5" ht="12.5">
      <c r="A491" s="76"/>
      <c r="B491" s="5"/>
      <c r="C491" s="16"/>
      <c r="E491" s="5"/>
    </row>
    <row r="492" spans="1:5" ht="12.5">
      <c r="A492" s="76"/>
      <c r="B492" s="5"/>
      <c r="C492" s="16"/>
      <c r="E492" s="5"/>
    </row>
    <row r="493" spans="1:5" ht="12.5">
      <c r="A493" s="76"/>
      <c r="B493" s="5"/>
      <c r="C493" s="16"/>
      <c r="E493" s="5"/>
    </row>
    <row r="494" spans="1:5" ht="12.5">
      <c r="A494" s="76"/>
      <c r="B494" s="5"/>
      <c r="C494" s="16"/>
      <c r="E494" s="5"/>
    </row>
    <row r="495" spans="1:5" ht="12.5">
      <c r="A495" s="76"/>
      <c r="B495" s="5"/>
      <c r="C495" s="16"/>
      <c r="E495" s="5"/>
    </row>
    <row r="496" spans="1:5" ht="12.5">
      <c r="A496" s="76"/>
      <c r="B496" s="5"/>
      <c r="C496" s="16"/>
      <c r="E496" s="5"/>
    </row>
    <row r="497" spans="1:5" ht="12.5">
      <c r="A497" s="76"/>
      <c r="B497" s="5"/>
      <c r="C497" s="16"/>
      <c r="E497" s="5"/>
    </row>
    <row r="498" spans="1:5" ht="12.5">
      <c r="A498" s="76"/>
      <c r="B498" s="5"/>
      <c r="C498" s="16"/>
      <c r="E498" s="5"/>
    </row>
    <row r="499" spans="1:5" ht="12.5">
      <c r="A499" s="76"/>
      <c r="B499" s="5"/>
      <c r="C499" s="16"/>
      <c r="E499" s="5"/>
    </row>
    <row r="500" spans="1:5" ht="12.5">
      <c r="A500" s="76"/>
      <c r="B500" s="5"/>
      <c r="C500" s="16"/>
      <c r="E500" s="5"/>
    </row>
    <row r="501" spans="1:5" ht="12.5">
      <c r="A501" s="76"/>
      <c r="B501" s="5"/>
      <c r="C501" s="16"/>
      <c r="E501" s="5"/>
    </row>
    <row r="502" spans="1:5" ht="12.5">
      <c r="A502" s="76"/>
      <c r="B502" s="5"/>
      <c r="C502" s="16"/>
      <c r="E502" s="5"/>
    </row>
    <row r="503" spans="1:5" ht="12.5">
      <c r="A503" s="76"/>
      <c r="B503" s="5"/>
      <c r="C503" s="16"/>
      <c r="E503" s="5"/>
    </row>
    <row r="504" spans="1:5" ht="12.5">
      <c r="A504" s="76"/>
      <c r="B504" s="5"/>
      <c r="C504" s="16"/>
      <c r="E504" s="5"/>
    </row>
    <row r="505" spans="1:5" ht="12.5">
      <c r="A505" s="76"/>
      <c r="B505" s="5"/>
      <c r="C505" s="16"/>
      <c r="E505" s="5"/>
    </row>
    <row r="506" spans="1:5" ht="12.5">
      <c r="A506" s="76"/>
      <c r="B506" s="5"/>
      <c r="C506" s="16"/>
      <c r="E506" s="5"/>
    </row>
    <row r="507" spans="1:5" ht="12.5">
      <c r="A507" s="76"/>
      <c r="B507" s="5"/>
      <c r="C507" s="16"/>
      <c r="E507" s="5"/>
    </row>
    <row r="508" spans="1:5" ht="12.5">
      <c r="A508" s="76"/>
      <c r="B508" s="5"/>
      <c r="C508" s="16"/>
      <c r="E508" s="5"/>
    </row>
    <row r="509" spans="1:5" ht="12.5">
      <c r="A509" s="76"/>
      <c r="B509" s="5"/>
      <c r="C509" s="16"/>
      <c r="E509" s="5"/>
    </row>
    <row r="510" spans="1:5" ht="12.5">
      <c r="A510" s="76"/>
      <c r="B510" s="5"/>
      <c r="C510" s="16"/>
      <c r="E510" s="5"/>
    </row>
    <row r="511" spans="1:5" ht="12.5">
      <c r="A511" s="76"/>
      <c r="B511" s="5"/>
      <c r="C511" s="16"/>
      <c r="E511" s="5"/>
    </row>
    <row r="512" spans="1:5" ht="12.5">
      <c r="A512" s="76"/>
      <c r="B512" s="5"/>
      <c r="C512" s="16"/>
      <c r="E512" s="5"/>
    </row>
    <row r="513" spans="1:5" ht="12.5">
      <c r="A513" s="76"/>
      <c r="B513" s="5"/>
      <c r="C513" s="16"/>
      <c r="E513" s="5"/>
    </row>
    <row r="514" spans="1:5" ht="12.5">
      <c r="A514" s="76"/>
      <c r="B514" s="5"/>
      <c r="C514" s="16"/>
      <c r="E514" s="5"/>
    </row>
    <row r="515" spans="1:5" ht="12.5">
      <c r="A515" s="76"/>
      <c r="B515" s="5"/>
      <c r="C515" s="16"/>
      <c r="E515" s="5"/>
    </row>
    <row r="516" spans="1:5" ht="12.5">
      <c r="A516" s="76"/>
      <c r="B516" s="5"/>
      <c r="C516" s="16"/>
      <c r="E516" s="5"/>
    </row>
    <row r="517" spans="1:5" ht="12.5">
      <c r="A517" s="76"/>
      <c r="B517" s="5"/>
      <c r="C517" s="16"/>
      <c r="E517" s="5"/>
    </row>
    <row r="518" spans="1:5" ht="12.5">
      <c r="A518" s="76"/>
      <c r="B518" s="5"/>
      <c r="C518" s="16"/>
      <c r="E518" s="5"/>
    </row>
    <row r="519" spans="1:5" ht="12.5">
      <c r="A519" s="76"/>
      <c r="B519" s="5"/>
      <c r="C519" s="16"/>
      <c r="E519" s="5"/>
    </row>
    <row r="520" spans="1:5" ht="12.5">
      <c r="A520" s="76"/>
      <c r="B520" s="5"/>
      <c r="C520" s="16"/>
      <c r="E520" s="5"/>
    </row>
    <row r="521" spans="1:5" ht="12.5">
      <c r="A521" s="76"/>
      <c r="B521" s="5"/>
      <c r="C521" s="16"/>
      <c r="E521" s="5"/>
    </row>
    <row r="522" spans="1:5" ht="12.5">
      <c r="A522" s="76"/>
      <c r="B522" s="5"/>
      <c r="C522" s="16"/>
      <c r="E522" s="5"/>
    </row>
    <row r="523" spans="1:5" ht="12.5">
      <c r="A523" s="76"/>
      <c r="B523" s="5"/>
      <c r="C523" s="16"/>
      <c r="E523" s="5"/>
    </row>
    <row r="524" spans="1:5" ht="12.5">
      <c r="A524" s="76"/>
      <c r="B524" s="5"/>
      <c r="C524" s="16"/>
      <c r="E524" s="5"/>
    </row>
    <row r="525" spans="1:5" ht="12.5">
      <c r="A525" s="76"/>
      <c r="B525" s="5"/>
      <c r="C525" s="16"/>
      <c r="E525" s="5"/>
    </row>
    <row r="526" spans="1:5" ht="12.5">
      <c r="A526" s="76"/>
      <c r="B526" s="5"/>
      <c r="C526" s="16"/>
      <c r="E526" s="5"/>
    </row>
    <row r="527" spans="1:5" ht="12.5">
      <c r="A527" s="76"/>
      <c r="B527" s="5"/>
      <c r="C527" s="16"/>
      <c r="E527" s="5"/>
    </row>
    <row r="528" spans="1:5" ht="12.5">
      <c r="A528" s="76"/>
      <c r="B528" s="5"/>
      <c r="C528" s="16"/>
      <c r="E528" s="5"/>
    </row>
    <row r="529" spans="1:5" ht="12.5">
      <c r="A529" s="76"/>
      <c r="B529" s="5"/>
      <c r="C529" s="16"/>
      <c r="E529" s="5"/>
    </row>
    <row r="530" spans="1:5" ht="12.5">
      <c r="A530" s="76"/>
      <c r="B530" s="5"/>
      <c r="C530" s="16"/>
      <c r="E530" s="5"/>
    </row>
    <row r="531" spans="1:5" ht="12.5">
      <c r="A531" s="76"/>
      <c r="B531" s="5"/>
      <c r="C531" s="16"/>
      <c r="E531" s="5"/>
    </row>
    <row r="532" spans="1:5" ht="12.5">
      <c r="A532" s="76"/>
      <c r="B532" s="5"/>
      <c r="C532" s="16"/>
      <c r="E532" s="5"/>
    </row>
    <row r="533" spans="1:5" ht="12.5">
      <c r="A533" s="76"/>
      <c r="B533" s="5"/>
      <c r="C533" s="16"/>
      <c r="E533" s="5"/>
    </row>
    <row r="534" spans="1:5" ht="12.5">
      <c r="A534" s="76"/>
      <c r="B534" s="5"/>
      <c r="C534" s="16"/>
      <c r="E534" s="5"/>
    </row>
    <row r="535" spans="1:5" ht="12.5">
      <c r="A535" s="76"/>
      <c r="B535" s="5"/>
      <c r="C535" s="16"/>
      <c r="E535" s="5"/>
    </row>
    <row r="536" spans="1:5" ht="12.5">
      <c r="A536" s="76"/>
      <c r="B536" s="5"/>
      <c r="C536" s="16"/>
      <c r="E536" s="5"/>
    </row>
    <row r="537" spans="1:5" ht="12.5">
      <c r="A537" s="76"/>
      <c r="B537" s="5"/>
      <c r="C537" s="16"/>
      <c r="E537" s="5"/>
    </row>
    <row r="538" spans="1:5" ht="12.5">
      <c r="A538" s="76"/>
      <c r="B538" s="5"/>
      <c r="C538" s="16"/>
      <c r="E538" s="5"/>
    </row>
    <row r="539" spans="1:5" ht="12.5">
      <c r="A539" s="76"/>
      <c r="B539" s="5"/>
      <c r="C539" s="16"/>
      <c r="E539" s="5"/>
    </row>
    <row r="540" spans="1:5" ht="12.5">
      <c r="A540" s="76"/>
      <c r="B540" s="5"/>
      <c r="C540" s="16"/>
      <c r="E540" s="5"/>
    </row>
    <row r="541" spans="1:5" ht="12.5">
      <c r="A541" s="76"/>
      <c r="B541" s="5"/>
      <c r="C541" s="16"/>
      <c r="E541" s="5"/>
    </row>
    <row r="542" spans="1:5" ht="12.5">
      <c r="A542" s="76"/>
      <c r="B542" s="5"/>
      <c r="C542" s="16"/>
      <c r="E542" s="5"/>
    </row>
    <row r="543" spans="1:5" ht="12.5">
      <c r="A543" s="76"/>
      <c r="B543" s="5"/>
      <c r="C543" s="16"/>
      <c r="E543" s="5"/>
    </row>
    <row r="544" spans="1:5" ht="12.5">
      <c r="A544" s="76"/>
      <c r="B544" s="5"/>
      <c r="C544" s="16"/>
      <c r="E544" s="5"/>
    </row>
    <row r="545" spans="1:5" ht="12.5">
      <c r="A545" s="76"/>
      <c r="B545" s="5"/>
      <c r="C545" s="16"/>
      <c r="E545" s="5"/>
    </row>
    <row r="546" spans="1:5" ht="12.5">
      <c r="A546" s="76"/>
      <c r="B546" s="5"/>
      <c r="C546" s="16"/>
      <c r="E546" s="5"/>
    </row>
    <row r="547" spans="1:5" ht="12.5">
      <c r="A547" s="76"/>
      <c r="B547" s="5"/>
      <c r="C547" s="16"/>
      <c r="E547" s="5"/>
    </row>
    <row r="548" spans="1:5" ht="12.5">
      <c r="A548" s="76"/>
      <c r="B548" s="5"/>
      <c r="C548" s="16"/>
      <c r="E548" s="5"/>
    </row>
    <row r="549" spans="1:5" ht="12.5">
      <c r="A549" s="76"/>
      <c r="B549" s="5"/>
      <c r="C549" s="16"/>
      <c r="E549" s="5"/>
    </row>
    <row r="550" spans="1:5" ht="12.5">
      <c r="A550" s="76"/>
      <c r="B550" s="5"/>
      <c r="C550" s="16"/>
      <c r="E550" s="5"/>
    </row>
    <row r="551" spans="1:5" ht="12.5">
      <c r="A551" s="76"/>
      <c r="B551" s="5"/>
      <c r="C551" s="16"/>
      <c r="E551" s="5"/>
    </row>
    <row r="552" spans="1:5" ht="12.5">
      <c r="A552" s="76"/>
      <c r="B552" s="5"/>
      <c r="C552" s="16"/>
      <c r="E552" s="5"/>
    </row>
    <row r="553" spans="1:5" ht="12.5">
      <c r="A553" s="76"/>
      <c r="B553" s="5"/>
      <c r="C553" s="16"/>
      <c r="E553" s="5"/>
    </row>
    <row r="554" spans="1:5" ht="12.5">
      <c r="A554" s="76"/>
      <c r="B554" s="5"/>
      <c r="C554" s="16"/>
      <c r="E554" s="5"/>
    </row>
    <row r="555" spans="1:5" ht="12.5">
      <c r="A555" s="76"/>
      <c r="B555" s="5"/>
      <c r="C555" s="16"/>
      <c r="E555" s="5"/>
    </row>
    <row r="556" spans="1:5" ht="12.5">
      <c r="A556" s="76"/>
      <c r="B556" s="5"/>
      <c r="C556" s="16"/>
      <c r="E556" s="5"/>
    </row>
    <row r="557" spans="1:5" ht="12.5">
      <c r="A557" s="76"/>
      <c r="B557" s="5"/>
      <c r="C557" s="16"/>
      <c r="E557" s="5"/>
    </row>
    <row r="558" spans="1:5" ht="12.5">
      <c r="A558" s="76"/>
      <c r="B558" s="5"/>
      <c r="C558" s="16"/>
      <c r="E558" s="5"/>
    </row>
    <row r="559" spans="1:5" ht="12.5">
      <c r="A559" s="76"/>
      <c r="B559" s="5"/>
      <c r="C559" s="16"/>
      <c r="E559" s="5"/>
    </row>
    <row r="560" spans="1:5" ht="12.5">
      <c r="A560" s="76"/>
      <c r="B560" s="5"/>
      <c r="C560" s="16"/>
      <c r="E560" s="5"/>
    </row>
    <row r="561" spans="1:5" ht="12.5">
      <c r="A561" s="76"/>
      <c r="B561" s="5"/>
      <c r="C561" s="16"/>
      <c r="E561" s="5"/>
    </row>
    <row r="562" spans="1:5" ht="12.5">
      <c r="A562" s="76"/>
      <c r="B562" s="5"/>
      <c r="C562" s="16"/>
      <c r="E562" s="5"/>
    </row>
    <row r="563" spans="1:5" ht="12.5">
      <c r="A563" s="76"/>
      <c r="B563" s="5"/>
      <c r="C563" s="16"/>
      <c r="E563" s="5"/>
    </row>
    <row r="564" spans="1:5" ht="12.5">
      <c r="A564" s="76"/>
      <c r="B564" s="5"/>
      <c r="C564" s="16"/>
      <c r="E564" s="5"/>
    </row>
    <row r="565" spans="1:5" ht="12.5">
      <c r="A565" s="76"/>
      <c r="B565" s="5"/>
      <c r="C565" s="16"/>
      <c r="E565" s="5"/>
    </row>
    <row r="566" spans="1:5" ht="12.5">
      <c r="A566" s="76"/>
      <c r="B566" s="5"/>
      <c r="C566" s="16"/>
      <c r="E566" s="5"/>
    </row>
    <row r="567" spans="1:5" ht="12.5">
      <c r="A567" s="76"/>
      <c r="B567" s="5"/>
      <c r="C567" s="16"/>
      <c r="E567" s="5"/>
    </row>
    <row r="568" spans="1:5" ht="12.5">
      <c r="A568" s="76"/>
      <c r="B568" s="5"/>
      <c r="C568" s="16"/>
      <c r="E568" s="5"/>
    </row>
    <row r="569" spans="1:5" ht="12.5">
      <c r="A569" s="76"/>
      <c r="B569" s="5"/>
      <c r="C569" s="16"/>
      <c r="E569" s="5"/>
    </row>
    <row r="570" spans="1:5" ht="12.5">
      <c r="A570" s="76"/>
      <c r="B570" s="5"/>
      <c r="C570" s="16"/>
      <c r="E570" s="5"/>
    </row>
    <row r="571" spans="1:5" ht="12.5">
      <c r="A571" s="76"/>
      <c r="B571" s="5"/>
      <c r="C571" s="16"/>
      <c r="E571" s="5"/>
    </row>
    <row r="572" spans="1:5" ht="12.5">
      <c r="A572" s="76"/>
      <c r="B572" s="5"/>
      <c r="C572" s="16"/>
      <c r="E572" s="5"/>
    </row>
    <row r="573" spans="1:5" ht="12.5">
      <c r="A573" s="76"/>
      <c r="B573" s="5"/>
      <c r="C573" s="16"/>
      <c r="E573" s="5"/>
    </row>
    <row r="574" spans="1:5" ht="12.5">
      <c r="A574" s="76"/>
      <c r="B574" s="5"/>
      <c r="C574" s="16"/>
      <c r="E574" s="5"/>
    </row>
    <row r="575" spans="1:5" ht="12.5">
      <c r="A575" s="76"/>
      <c r="B575" s="5"/>
      <c r="C575" s="16"/>
      <c r="E575" s="5"/>
    </row>
    <row r="576" spans="1:5" ht="12.5">
      <c r="A576" s="76"/>
      <c r="B576" s="5"/>
      <c r="C576" s="16"/>
      <c r="E576" s="5"/>
    </row>
    <row r="577" spans="1:5" ht="12.5">
      <c r="A577" s="76"/>
      <c r="B577" s="5"/>
      <c r="C577" s="16"/>
      <c r="E577" s="5"/>
    </row>
    <row r="578" spans="1:5" ht="12.5">
      <c r="A578" s="76"/>
      <c r="B578" s="5"/>
      <c r="C578" s="16"/>
      <c r="E578" s="5"/>
    </row>
    <row r="579" spans="1:5" ht="12.5">
      <c r="A579" s="76"/>
      <c r="B579" s="5"/>
      <c r="C579" s="16"/>
      <c r="E579" s="5"/>
    </row>
    <row r="580" spans="1:5" ht="12.5">
      <c r="A580" s="76"/>
      <c r="B580" s="5"/>
      <c r="C580" s="16"/>
      <c r="E580" s="5"/>
    </row>
    <row r="581" spans="1:5" ht="12.5">
      <c r="A581" s="76"/>
      <c r="B581" s="5"/>
      <c r="C581" s="16"/>
      <c r="E581" s="5"/>
    </row>
    <row r="582" spans="1:5" ht="12.5">
      <c r="A582" s="76"/>
      <c r="B582" s="5"/>
      <c r="C582" s="16"/>
      <c r="E582" s="5"/>
    </row>
    <row r="583" spans="1:5" ht="12.5">
      <c r="A583" s="76"/>
      <c r="B583" s="5"/>
      <c r="C583" s="16"/>
      <c r="E583" s="5"/>
    </row>
    <row r="584" spans="1:5" ht="12.5">
      <c r="A584" s="76"/>
      <c r="B584" s="5"/>
      <c r="C584" s="16"/>
      <c r="E584" s="5"/>
    </row>
    <row r="585" spans="1:5" ht="12.5">
      <c r="A585" s="76"/>
      <c r="B585" s="5"/>
      <c r="C585" s="16"/>
      <c r="E585" s="5"/>
    </row>
    <row r="586" spans="1:5" ht="12.5">
      <c r="A586" s="76"/>
      <c r="B586" s="5"/>
      <c r="C586" s="16"/>
      <c r="E586" s="5"/>
    </row>
    <row r="587" spans="1:5" ht="12.5">
      <c r="A587" s="76"/>
      <c r="B587" s="5"/>
      <c r="C587" s="16"/>
      <c r="E587" s="5"/>
    </row>
    <row r="588" spans="1:5" ht="12.5">
      <c r="A588" s="76"/>
      <c r="B588" s="5"/>
      <c r="C588" s="16"/>
      <c r="E588" s="5"/>
    </row>
    <row r="589" spans="1:5" ht="12.5">
      <c r="A589" s="76"/>
      <c r="B589" s="5"/>
      <c r="C589" s="16"/>
      <c r="E589" s="5"/>
    </row>
    <row r="590" spans="1:5" ht="12.5">
      <c r="A590" s="76"/>
      <c r="B590" s="5"/>
      <c r="C590" s="16"/>
      <c r="E590" s="5"/>
    </row>
    <row r="591" spans="1:5" ht="12.5">
      <c r="A591" s="76"/>
      <c r="B591" s="5"/>
      <c r="C591" s="16"/>
      <c r="E591" s="5"/>
    </row>
    <row r="592" spans="1:5" ht="12.5">
      <c r="A592" s="76"/>
      <c r="B592" s="5"/>
      <c r="C592" s="16"/>
      <c r="E592" s="5"/>
    </row>
    <row r="593" spans="1:5" ht="12.5">
      <c r="A593" s="76"/>
      <c r="B593" s="5"/>
      <c r="C593" s="16"/>
      <c r="E593" s="5"/>
    </row>
    <row r="594" spans="1:5" ht="12.5">
      <c r="A594" s="76"/>
      <c r="B594" s="5"/>
      <c r="C594" s="16"/>
      <c r="E594" s="5"/>
    </row>
    <row r="595" spans="1:5" ht="12.5">
      <c r="A595" s="76"/>
      <c r="B595" s="5"/>
      <c r="C595" s="16"/>
      <c r="E595" s="5"/>
    </row>
    <row r="596" spans="1:5" ht="12.5">
      <c r="A596" s="76"/>
      <c r="B596" s="5"/>
      <c r="C596" s="16"/>
      <c r="E596" s="5"/>
    </row>
    <row r="597" spans="1:5" ht="12.5">
      <c r="A597" s="76"/>
      <c r="B597" s="5"/>
      <c r="C597" s="16"/>
      <c r="E597" s="5"/>
    </row>
    <row r="598" spans="1:5" ht="12.5">
      <c r="A598" s="76"/>
      <c r="B598" s="5"/>
      <c r="C598" s="16"/>
      <c r="E598" s="5"/>
    </row>
    <row r="599" spans="1:5" ht="12.5">
      <c r="A599" s="76"/>
      <c r="B599" s="5"/>
      <c r="C599" s="16"/>
      <c r="E599" s="5"/>
    </row>
    <row r="600" spans="1:5" ht="12.5">
      <c r="A600" s="76"/>
      <c r="B600" s="5"/>
      <c r="C600" s="16"/>
      <c r="E600" s="5"/>
    </row>
    <row r="601" spans="1:5" ht="12.5">
      <c r="A601" s="76"/>
      <c r="B601" s="5"/>
      <c r="C601" s="16"/>
      <c r="E601" s="5"/>
    </row>
    <row r="602" spans="1:5" ht="12.5">
      <c r="A602" s="76"/>
      <c r="B602" s="5"/>
      <c r="C602" s="16"/>
      <c r="E602" s="5"/>
    </row>
    <row r="603" spans="1:5" ht="12.5">
      <c r="A603" s="76"/>
      <c r="B603" s="5"/>
      <c r="C603" s="16"/>
      <c r="E603" s="5"/>
    </row>
    <row r="604" spans="1:5" ht="12.5">
      <c r="A604" s="76"/>
      <c r="B604" s="5"/>
      <c r="C604" s="16"/>
      <c r="E604" s="5"/>
    </row>
    <row r="605" spans="1:5" ht="12.5">
      <c r="A605" s="76"/>
      <c r="B605" s="5"/>
      <c r="C605" s="16"/>
      <c r="E605" s="5"/>
    </row>
    <row r="606" spans="1:5" ht="12.5">
      <c r="A606" s="76"/>
      <c r="B606" s="5"/>
      <c r="C606" s="16"/>
      <c r="E606" s="5"/>
    </row>
    <row r="607" spans="1:5" ht="12.5">
      <c r="A607" s="76"/>
      <c r="B607" s="5"/>
      <c r="C607" s="16"/>
      <c r="E607" s="5"/>
    </row>
    <row r="608" spans="1:5" ht="12.5">
      <c r="A608" s="76"/>
      <c r="B608" s="5"/>
      <c r="C608" s="16"/>
      <c r="E608" s="5"/>
    </row>
    <row r="609" spans="1:5" ht="12.5">
      <c r="A609" s="76"/>
      <c r="B609" s="5"/>
      <c r="C609" s="16"/>
      <c r="E609" s="5"/>
    </row>
    <row r="610" spans="1:5" ht="12.5">
      <c r="A610" s="76"/>
      <c r="B610" s="5"/>
      <c r="C610" s="16"/>
      <c r="E610" s="5"/>
    </row>
    <row r="611" spans="1:5" ht="12.5">
      <c r="A611" s="76"/>
      <c r="B611" s="5"/>
      <c r="C611" s="16"/>
      <c r="E611" s="5"/>
    </row>
    <row r="612" spans="1:5" ht="12.5">
      <c r="A612" s="76"/>
      <c r="B612" s="5"/>
      <c r="C612" s="16"/>
      <c r="E612" s="5"/>
    </row>
    <row r="613" spans="1:5" ht="12.5">
      <c r="A613" s="76"/>
      <c r="B613" s="5"/>
      <c r="C613" s="16"/>
      <c r="E613" s="5"/>
    </row>
    <row r="614" spans="1:5" ht="12.5">
      <c r="A614" s="76"/>
      <c r="B614" s="5"/>
      <c r="C614" s="16"/>
      <c r="E614" s="5"/>
    </row>
    <row r="615" spans="1:5" ht="12.5">
      <c r="A615" s="76"/>
      <c r="B615" s="5"/>
      <c r="C615" s="16"/>
      <c r="E615" s="5"/>
    </row>
    <row r="616" spans="1:5" ht="12.5">
      <c r="A616" s="76"/>
      <c r="B616" s="5"/>
      <c r="C616" s="16"/>
      <c r="E616" s="5"/>
    </row>
    <row r="617" spans="1:5" ht="12.5">
      <c r="A617" s="76"/>
      <c r="B617" s="5"/>
      <c r="C617" s="16"/>
      <c r="E617" s="5"/>
    </row>
    <row r="618" spans="1:5" ht="12.5">
      <c r="A618" s="76"/>
      <c r="B618" s="5"/>
      <c r="C618" s="16"/>
      <c r="E618" s="5"/>
    </row>
    <row r="619" spans="1:5" ht="12.5">
      <c r="A619" s="76"/>
      <c r="B619" s="5"/>
      <c r="C619" s="16"/>
      <c r="E619" s="5"/>
    </row>
    <row r="620" spans="1:5" ht="12.5">
      <c r="A620" s="76"/>
      <c r="B620" s="5"/>
      <c r="C620" s="16"/>
      <c r="E620" s="5"/>
    </row>
    <row r="621" spans="1:5" ht="12.5">
      <c r="A621" s="76"/>
      <c r="B621" s="5"/>
      <c r="C621" s="16"/>
      <c r="E621" s="5"/>
    </row>
    <row r="622" spans="1:5" ht="12.5">
      <c r="A622" s="76"/>
      <c r="B622" s="5"/>
      <c r="C622" s="16"/>
      <c r="E622" s="5"/>
    </row>
    <row r="623" spans="1:5" ht="12.5">
      <c r="A623" s="76"/>
      <c r="B623" s="5"/>
      <c r="C623" s="16"/>
      <c r="E623" s="5"/>
    </row>
    <row r="624" spans="1:5" ht="12.5">
      <c r="A624" s="76"/>
      <c r="B624" s="5"/>
      <c r="C624" s="16"/>
      <c r="E624" s="5"/>
    </row>
    <row r="625" spans="1:5" ht="12.5">
      <c r="A625" s="76"/>
      <c r="B625" s="5"/>
      <c r="C625" s="16"/>
      <c r="E625" s="5"/>
    </row>
    <row r="626" spans="1:5" ht="12.5">
      <c r="A626" s="76"/>
      <c r="B626" s="5"/>
      <c r="C626" s="16"/>
      <c r="E626" s="5"/>
    </row>
    <row r="627" spans="1:5" ht="12.5">
      <c r="A627" s="76"/>
      <c r="B627" s="5"/>
      <c r="C627" s="16"/>
      <c r="E627" s="5"/>
    </row>
    <row r="628" spans="1:5" ht="12.5">
      <c r="A628" s="76"/>
      <c r="B628" s="5"/>
      <c r="C628" s="16"/>
      <c r="E628" s="5"/>
    </row>
    <row r="629" spans="1:5" ht="12.5">
      <c r="A629" s="76"/>
      <c r="B629" s="5"/>
      <c r="C629" s="16"/>
      <c r="E629" s="5"/>
    </row>
    <row r="630" spans="1:5" ht="12.5">
      <c r="A630" s="76"/>
      <c r="B630" s="5"/>
      <c r="C630" s="16"/>
      <c r="E630" s="5"/>
    </row>
    <row r="631" spans="1:5" ht="12.5">
      <c r="A631" s="76"/>
      <c r="B631" s="5"/>
      <c r="C631" s="16"/>
      <c r="E631" s="5"/>
    </row>
    <row r="632" spans="1:5" ht="12.5">
      <c r="A632" s="76"/>
      <c r="B632" s="5"/>
      <c r="C632" s="16"/>
      <c r="E632" s="5"/>
    </row>
    <row r="633" spans="1:5" ht="12.5">
      <c r="A633" s="76"/>
      <c r="B633" s="5"/>
      <c r="C633" s="16"/>
      <c r="E633" s="5"/>
    </row>
    <row r="634" spans="1:5" ht="12.5">
      <c r="A634" s="76"/>
      <c r="B634" s="5"/>
      <c r="C634" s="16"/>
      <c r="E634" s="5"/>
    </row>
    <row r="635" spans="1:5" ht="12.5">
      <c r="A635" s="76"/>
      <c r="B635" s="5"/>
      <c r="C635" s="16"/>
      <c r="E635" s="5"/>
    </row>
    <row r="636" spans="1:5" ht="12.5">
      <c r="A636" s="76"/>
      <c r="B636" s="5"/>
      <c r="C636" s="16"/>
      <c r="E636" s="5"/>
    </row>
    <row r="637" spans="1:5" ht="12.5">
      <c r="A637" s="76"/>
      <c r="B637" s="5"/>
      <c r="C637" s="16"/>
      <c r="E637" s="5"/>
    </row>
    <row r="638" spans="1:5" ht="12.5">
      <c r="A638" s="76"/>
      <c r="B638" s="5"/>
      <c r="C638" s="16"/>
      <c r="E638" s="5"/>
    </row>
    <row r="639" spans="1:5" ht="12.5">
      <c r="A639" s="76"/>
      <c r="B639" s="5"/>
      <c r="C639" s="16"/>
      <c r="E639" s="5"/>
    </row>
    <row r="640" spans="1:5" ht="12.5">
      <c r="A640" s="76"/>
      <c r="B640" s="5"/>
      <c r="C640" s="16"/>
      <c r="E640" s="5"/>
    </row>
    <row r="641" spans="1:5" ht="12.5">
      <c r="A641" s="76"/>
      <c r="B641" s="5"/>
      <c r="C641" s="16"/>
      <c r="E641" s="5"/>
    </row>
    <row r="642" spans="1:5" ht="12.5">
      <c r="A642" s="76"/>
      <c r="B642" s="5"/>
      <c r="C642" s="16"/>
      <c r="E642" s="5"/>
    </row>
    <row r="643" spans="1:5" ht="12.5">
      <c r="A643" s="76"/>
      <c r="B643" s="5"/>
      <c r="C643" s="16"/>
      <c r="E643" s="5"/>
    </row>
    <row r="644" spans="1:5" ht="12.5">
      <c r="A644" s="76"/>
      <c r="B644" s="5"/>
      <c r="C644" s="16"/>
      <c r="E644" s="5"/>
    </row>
    <row r="645" spans="1:5" ht="12.5">
      <c r="A645" s="76"/>
      <c r="B645" s="5"/>
      <c r="C645" s="16"/>
      <c r="E645" s="5"/>
    </row>
    <row r="646" spans="1:5" ht="12.5">
      <c r="A646" s="76"/>
      <c r="B646" s="5"/>
      <c r="C646" s="16"/>
      <c r="E646" s="5"/>
    </row>
    <row r="647" spans="1:5" ht="12.5">
      <c r="A647" s="76"/>
      <c r="B647" s="5"/>
      <c r="C647" s="16"/>
      <c r="E647" s="5"/>
    </row>
    <row r="648" spans="1:5" ht="12.5">
      <c r="A648" s="76"/>
      <c r="B648" s="5"/>
      <c r="C648" s="16"/>
      <c r="E648" s="5"/>
    </row>
    <row r="649" spans="1:5" ht="12.5">
      <c r="A649" s="76"/>
      <c r="B649" s="5"/>
      <c r="C649" s="16"/>
      <c r="E649" s="5"/>
    </row>
    <row r="650" spans="1:5" ht="12.5">
      <c r="A650" s="76"/>
      <c r="B650" s="5"/>
      <c r="C650" s="16"/>
      <c r="E650" s="5"/>
    </row>
    <row r="651" spans="1:5" ht="12.5">
      <c r="A651" s="76"/>
      <c r="B651" s="5"/>
      <c r="C651" s="16"/>
      <c r="E651" s="5"/>
    </row>
    <row r="652" spans="1:5" ht="12.5">
      <c r="A652" s="76"/>
      <c r="B652" s="5"/>
      <c r="C652" s="16"/>
      <c r="E652" s="5"/>
    </row>
    <row r="653" spans="1:5" ht="12.5">
      <c r="A653" s="76"/>
      <c r="B653" s="5"/>
      <c r="C653" s="16"/>
      <c r="E653" s="5"/>
    </row>
    <row r="654" spans="1:5" ht="12.5">
      <c r="A654" s="76"/>
      <c r="B654" s="5"/>
      <c r="C654" s="16"/>
      <c r="E654" s="5"/>
    </row>
    <row r="655" spans="1:5" ht="12.5">
      <c r="A655" s="76"/>
      <c r="B655" s="5"/>
      <c r="C655" s="16"/>
      <c r="E655" s="5"/>
    </row>
    <row r="656" spans="1:5" ht="12.5">
      <c r="A656" s="76"/>
      <c r="B656" s="5"/>
      <c r="C656" s="16"/>
      <c r="E656" s="5"/>
    </row>
    <row r="657" spans="1:5" ht="12.5">
      <c r="A657" s="76"/>
      <c r="B657" s="5"/>
      <c r="C657" s="16"/>
      <c r="E657" s="5"/>
    </row>
    <row r="658" spans="1:5" ht="12.5">
      <c r="A658" s="76"/>
      <c r="B658" s="5"/>
      <c r="C658" s="16"/>
      <c r="E658" s="5"/>
    </row>
    <row r="659" spans="1:5" ht="12.5">
      <c r="A659" s="76"/>
      <c r="B659" s="5"/>
      <c r="C659" s="16"/>
      <c r="E659" s="5"/>
    </row>
    <row r="660" spans="1:5" ht="12.5">
      <c r="A660" s="76"/>
      <c r="B660" s="5"/>
      <c r="C660" s="16"/>
      <c r="E660" s="5"/>
    </row>
    <row r="661" spans="1:5" ht="12.5">
      <c r="A661" s="76"/>
      <c r="B661" s="5"/>
      <c r="C661" s="16"/>
      <c r="E661" s="5"/>
    </row>
    <row r="662" spans="1:5" ht="12.5">
      <c r="A662" s="76"/>
      <c r="B662" s="5"/>
      <c r="C662" s="16"/>
      <c r="E662" s="5"/>
    </row>
    <row r="663" spans="1:5" ht="12.5">
      <c r="A663" s="76"/>
      <c r="B663" s="5"/>
      <c r="C663" s="16"/>
      <c r="E663" s="5"/>
    </row>
    <row r="664" spans="1:5" ht="12.5">
      <c r="A664" s="76"/>
      <c r="B664" s="5"/>
      <c r="C664" s="16"/>
      <c r="E664" s="5"/>
    </row>
    <row r="665" spans="1:5" ht="12.5">
      <c r="A665" s="76"/>
      <c r="B665" s="5"/>
      <c r="C665" s="16"/>
      <c r="E665" s="5"/>
    </row>
    <row r="666" spans="1:5" ht="12.5">
      <c r="A666" s="76"/>
      <c r="B666" s="5"/>
      <c r="C666" s="16"/>
      <c r="E666" s="5"/>
    </row>
    <row r="667" spans="1:5" ht="12.5">
      <c r="A667" s="76"/>
      <c r="B667" s="5"/>
      <c r="C667" s="16"/>
      <c r="E667" s="5"/>
    </row>
    <row r="668" spans="1:5" ht="12.5">
      <c r="A668" s="76"/>
      <c r="B668" s="5"/>
      <c r="C668" s="16"/>
      <c r="E668" s="5"/>
    </row>
    <row r="669" spans="1:5" ht="12.5">
      <c r="A669" s="76"/>
      <c r="B669" s="5"/>
      <c r="C669" s="16"/>
      <c r="E669" s="5"/>
    </row>
    <row r="670" spans="1:5" ht="12.5">
      <c r="A670" s="76"/>
      <c r="B670" s="5"/>
      <c r="C670" s="16"/>
      <c r="E670" s="5"/>
    </row>
    <row r="671" spans="1:5" ht="12.5">
      <c r="A671" s="76"/>
      <c r="B671" s="5"/>
      <c r="C671" s="16"/>
      <c r="E671" s="5"/>
    </row>
    <row r="672" spans="1:5" ht="12.5">
      <c r="A672" s="76"/>
      <c r="B672" s="5"/>
      <c r="C672" s="16"/>
      <c r="E672" s="5"/>
    </row>
    <row r="673" spans="1:5" ht="12.5">
      <c r="A673" s="76"/>
      <c r="B673" s="5"/>
      <c r="C673" s="16"/>
      <c r="E673" s="5"/>
    </row>
    <row r="674" spans="1:5" ht="12.5">
      <c r="A674" s="76"/>
      <c r="B674" s="5"/>
      <c r="C674" s="16"/>
      <c r="E674" s="5"/>
    </row>
    <row r="675" spans="1:5" ht="12.5">
      <c r="A675" s="76"/>
      <c r="B675" s="5"/>
      <c r="C675" s="16"/>
      <c r="E675" s="5"/>
    </row>
    <row r="676" spans="1:5" ht="12.5">
      <c r="A676" s="76"/>
      <c r="B676" s="5"/>
      <c r="C676" s="16"/>
      <c r="E676" s="5"/>
    </row>
    <row r="677" spans="1:5" ht="12.5">
      <c r="A677" s="76"/>
      <c r="B677" s="5"/>
      <c r="C677" s="16"/>
      <c r="E677" s="5"/>
    </row>
    <row r="678" spans="1:5" ht="12.5">
      <c r="A678" s="76"/>
      <c r="B678" s="5"/>
      <c r="C678" s="16"/>
      <c r="E678" s="5"/>
    </row>
    <row r="679" spans="1:5" ht="12.5">
      <c r="A679" s="76"/>
      <c r="B679" s="5"/>
      <c r="C679" s="16"/>
      <c r="E679" s="5"/>
    </row>
    <row r="680" spans="1:5" ht="12.5">
      <c r="A680" s="76"/>
      <c r="B680" s="5"/>
      <c r="C680" s="16"/>
      <c r="E680" s="5"/>
    </row>
    <row r="681" spans="1:5" ht="12.5">
      <c r="A681" s="76"/>
      <c r="B681" s="5"/>
      <c r="C681" s="16"/>
      <c r="E681" s="5"/>
    </row>
    <row r="682" spans="1:5" ht="12.5">
      <c r="A682" s="76"/>
      <c r="B682" s="5"/>
      <c r="C682" s="16"/>
      <c r="E682" s="5"/>
    </row>
    <row r="683" spans="1:5" ht="12.5">
      <c r="A683" s="76"/>
      <c r="B683" s="5"/>
      <c r="C683" s="16"/>
      <c r="E683" s="5"/>
    </row>
    <row r="684" spans="1:5" ht="12.5">
      <c r="A684" s="76"/>
      <c r="B684" s="5"/>
      <c r="C684" s="16"/>
      <c r="E684" s="5"/>
    </row>
    <row r="685" spans="1:5" ht="12.5">
      <c r="A685" s="76"/>
      <c r="B685" s="5"/>
      <c r="C685" s="16"/>
      <c r="E685" s="5"/>
    </row>
    <row r="686" spans="1:5" ht="12.5">
      <c r="A686" s="76"/>
      <c r="B686" s="5"/>
      <c r="C686" s="16"/>
      <c r="E686" s="5"/>
    </row>
    <row r="687" spans="1:5" ht="12.5">
      <c r="A687" s="76"/>
      <c r="B687" s="5"/>
      <c r="C687" s="16"/>
      <c r="E687" s="5"/>
    </row>
    <row r="688" spans="1:5" ht="12.5">
      <c r="A688" s="76"/>
      <c r="B688" s="5"/>
      <c r="C688" s="16"/>
      <c r="E688" s="5"/>
    </row>
    <row r="689" spans="1:5" ht="12.5">
      <c r="A689" s="76"/>
      <c r="B689" s="5"/>
      <c r="C689" s="16"/>
      <c r="E689" s="5"/>
    </row>
    <row r="690" spans="1:5" ht="12.5">
      <c r="A690" s="76"/>
      <c r="B690" s="5"/>
      <c r="C690" s="16"/>
      <c r="E690" s="5"/>
    </row>
    <row r="691" spans="1:5" ht="12.5">
      <c r="A691" s="76"/>
      <c r="B691" s="5"/>
      <c r="C691" s="16"/>
      <c r="E691" s="5"/>
    </row>
    <row r="692" spans="1:5" ht="12.5">
      <c r="A692" s="76"/>
      <c r="B692" s="5"/>
      <c r="C692" s="16"/>
      <c r="E692" s="5"/>
    </row>
    <row r="693" spans="1:5" ht="12.5">
      <c r="A693" s="76"/>
      <c r="B693" s="5"/>
      <c r="C693" s="16"/>
      <c r="E693" s="5"/>
    </row>
    <row r="694" spans="1:5" ht="12.5">
      <c r="A694" s="76"/>
      <c r="B694" s="5"/>
      <c r="C694" s="16"/>
      <c r="E694" s="5"/>
    </row>
    <row r="695" spans="1:5" ht="12.5">
      <c r="A695" s="76"/>
      <c r="B695" s="5"/>
      <c r="C695" s="16"/>
      <c r="E695" s="5"/>
    </row>
    <row r="696" spans="1:5" ht="12.5">
      <c r="A696" s="76"/>
      <c r="B696" s="5"/>
      <c r="C696" s="16"/>
      <c r="E696" s="5"/>
    </row>
    <row r="697" spans="1:5" ht="12.5">
      <c r="A697" s="76"/>
      <c r="B697" s="5"/>
      <c r="C697" s="16"/>
      <c r="E697" s="5"/>
    </row>
    <row r="698" spans="1:5" ht="12.5">
      <c r="A698" s="76"/>
      <c r="B698" s="5"/>
      <c r="C698" s="16"/>
      <c r="E698" s="5"/>
    </row>
    <row r="699" spans="1:5" ht="12.5">
      <c r="A699" s="76"/>
      <c r="B699" s="5"/>
      <c r="C699" s="16"/>
      <c r="E699" s="5"/>
    </row>
    <row r="700" spans="1:5" ht="12.5">
      <c r="A700" s="76"/>
      <c r="B700" s="5"/>
      <c r="C700" s="16"/>
      <c r="E700" s="5"/>
    </row>
    <row r="701" spans="1:5" ht="12.5">
      <c r="A701" s="76"/>
      <c r="B701" s="5"/>
      <c r="C701" s="16"/>
      <c r="E701" s="5"/>
    </row>
    <row r="702" spans="1:5" ht="12.5">
      <c r="A702" s="76"/>
      <c r="B702" s="5"/>
      <c r="C702" s="16"/>
      <c r="E702" s="5"/>
    </row>
    <row r="703" spans="1:5" ht="12.5">
      <c r="A703" s="76"/>
      <c r="B703" s="5"/>
      <c r="C703" s="16"/>
      <c r="E703" s="5"/>
    </row>
    <row r="704" spans="1:5" ht="12.5">
      <c r="A704" s="76"/>
      <c r="B704" s="5"/>
      <c r="C704" s="16"/>
      <c r="E704" s="5"/>
    </row>
    <row r="705" spans="1:5" ht="12.5">
      <c r="A705" s="76"/>
      <c r="B705" s="5"/>
      <c r="C705" s="16"/>
      <c r="E705" s="5"/>
    </row>
    <row r="706" spans="1:5" ht="12.5">
      <c r="A706" s="76"/>
      <c r="B706" s="5"/>
      <c r="C706" s="16"/>
      <c r="E706" s="5"/>
    </row>
    <row r="707" spans="1:5" ht="12.5">
      <c r="A707" s="76"/>
      <c r="B707" s="5"/>
      <c r="C707" s="16"/>
      <c r="E707" s="5"/>
    </row>
    <row r="708" spans="1:5" ht="12.5">
      <c r="A708" s="76"/>
      <c r="B708" s="5"/>
      <c r="C708" s="16"/>
      <c r="E708" s="5"/>
    </row>
    <row r="709" spans="1:5" ht="12.5">
      <c r="A709" s="76"/>
      <c r="B709" s="5"/>
      <c r="C709" s="16"/>
      <c r="E709" s="5"/>
    </row>
    <row r="710" spans="1:5" ht="12.5">
      <c r="A710" s="76"/>
      <c r="B710" s="5"/>
      <c r="C710" s="16"/>
      <c r="E710" s="5"/>
    </row>
    <row r="711" spans="1:5" ht="12.5">
      <c r="A711" s="76"/>
      <c r="B711" s="5"/>
      <c r="C711" s="16"/>
      <c r="E711" s="5"/>
    </row>
    <row r="712" spans="1:5" ht="12.5">
      <c r="A712" s="76"/>
      <c r="B712" s="5"/>
      <c r="C712" s="16"/>
      <c r="E712" s="5"/>
    </row>
    <row r="713" spans="1:5" ht="12.5">
      <c r="A713" s="76"/>
      <c r="B713" s="5"/>
      <c r="C713" s="16"/>
      <c r="E713" s="5"/>
    </row>
    <row r="714" spans="1:5" ht="12.5">
      <c r="A714" s="76"/>
      <c r="B714" s="5"/>
      <c r="C714" s="16"/>
      <c r="E714" s="5"/>
    </row>
    <row r="715" spans="1:5" ht="12.5">
      <c r="A715" s="76"/>
      <c r="B715" s="5"/>
      <c r="C715" s="16"/>
      <c r="E715" s="5"/>
    </row>
    <row r="716" spans="1:5" ht="12.5">
      <c r="A716" s="76"/>
      <c r="B716" s="5"/>
      <c r="C716" s="16"/>
      <c r="E716" s="5"/>
    </row>
    <row r="717" spans="1:5" ht="12.5">
      <c r="A717" s="76"/>
      <c r="B717" s="5"/>
      <c r="C717" s="16"/>
      <c r="E717" s="5"/>
    </row>
    <row r="718" spans="1:5" ht="12.5">
      <c r="A718" s="76"/>
      <c r="B718" s="5"/>
      <c r="C718" s="16"/>
      <c r="E718" s="5"/>
    </row>
    <row r="719" spans="1:5" ht="12.5">
      <c r="A719" s="76"/>
      <c r="B719" s="5"/>
      <c r="C719" s="16"/>
      <c r="E719" s="5"/>
    </row>
    <row r="720" spans="1:5" ht="12.5">
      <c r="A720" s="76"/>
      <c r="B720" s="5"/>
      <c r="C720" s="16"/>
      <c r="E720" s="5"/>
    </row>
    <row r="721" spans="1:5" ht="12.5">
      <c r="A721" s="76"/>
      <c r="B721" s="5"/>
      <c r="C721" s="16"/>
      <c r="E721" s="5"/>
    </row>
    <row r="722" spans="1:5" ht="12.5">
      <c r="A722" s="76"/>
      <c r="B722" s="5"/>
      <c r="C722" s="16"/>
      <c r="E722" s="5"/>
    </row>
    <row r="723" spans="1:5" ht="12.5">
      <c r="A723" s="76"/>
      <c r="B723" s="5"/>
      <c r="C723" s="16"/>
      <c r="E723" s="5"/>
    </row>
    <row r="724" spans="1:5" ht="12.5">
      <c r="A724" s="76"/>
      <c r="B724" s="5"/>
      <c r="C724" s="16"/>
      <c r="E724" s="5"/>
    </row>
    <row r="725" spans="1:5" ht="12.5">
      <c r="A725" s="76"/>
      <c r="B725" s="5"/>
      <c r="C725" s="16"/>
      <c r="E725" s="5"/>
    </row>
    <row r="726" spans="1:5" ht="12.5">
      <c r="A726" s="76"/>
      <c r="B726" s="5"/>
      <c r="C726" s="16"/>
      <c r="E726" s="5"/>
    </row>
    <row r="727" spans="1:5" ht="12.5">
      <c r="A727" s="76"/>
      <c r="B727" s="5"/>
      <c r="C727" s="16"/>
      <c r="E727" s="5"/>
    </row>
    <row r="728" spans="1:5" ht="12.5">
      <c r="A728" s="76"/>
      <c r="B728" s="5"/>
      <c r="C728" s="16"/>
      <c r="E728" s="5"/>
    </row>
    <row r="729" spans="1:5" ht="12.5">
      <c r="A729" s="76"/>
      <c r="B729" s="5"/>
      <c r="C729" s="16"/>
      <c r="E729" s="5"/>
    </row>
    <row r="730" spans="1:5" ht="12.5">
      <c r="A730" s="76"/>
      <c r="B730" s="5"/>
      <c r="C730" s="16"/>
      <c r="E730" s="5"/>
    </row>
    <row r="731" spans="1:5" ht="12.5">
      <c r="A731" s="76"/>
      <c r="B731" s="5"/>
      <c r="C731" s="16"/>
      <c r="E731" s="5"/>
    </row>
    <row r="732" spans="1:5" ht="12.5">
      <c r="A732" s="76"/>
      <c r="B732" s="5"/>
      <c r="C732" s="16"/>
      <c r="E732" s="5"/>
    </row>
    <row r="733" spans="1:5" ht="12.5">
      <c r="A733" s="76"/>
      <c r="B733" s="5"/>
      <c r="C733" s="16"/>
      <c r="E733" s="5"/>
    </row>
    <row r="734" spans="1:5" ht="12.5">
      <c r="A734" s="76"/>
      <c r="B734" s="5"/>
      <c r="C734" s="16"/>
      <c r="E734" s="5"/>
    </row>
    <row r="735" spans="1:5" ht="12.5">
      <c r="A735" s="76"/>
      <c r="B735" s="5"/>
      <c r="C735" s="16"/>
      <c r="E735" s="5"/>
    </row>
    <row r="736" spans="1:5" ht="12.5">
      <c r="A736" s="76"/>
      <c r="B736" s="5"/>
      <c r="C736" s="16"/>
      <c r="E736" s="5"/>
    </row>
    <row r="737" spans="1:5" ht="12.5">
      <c r="A737" s="76"/>
      <c r="B737" s="5"/>
      <c r="C737" s="16"/>
      <c r="E737" s="5"/>
    </row>
    <row r="738" spans="1:5" ht="12.5">
      <c r="A738" s="76"/>
      <c r="B738" s="5"/>
      <c r="C738" s="16"/>
      <c r="E738" s="5"/>
    </row>
    <row r="739" spans="1:5" ht="12.5">
      <c r="A739" s="76"/>
      <c r="B739" s="5"/>
      <c r="C739" s="16"/>
      <c r="E739" s="5"/>
    </row>
    <row r="740" spans="1:5" ht="12.5">
      <c r="A740" s="76"/>
      <c r="B740" s="5"/>
      <c r="C740" s="16"/>
      <c r="E740" s="5"/>
    </row>
    <row r="741" spans="1:5" ht="12.5">
      <c r="A741" s="76"/>
      <c r="B741" s="5"/>
      <c r="C741" s="16"/>
      <c r="E741" s="5"/>
    </row>
    <row r="742" spans="1:5" ht="12.5">
      <c r="A742" s="76"/>
      <c r="B742" s="5"/>
      <c r="C742" s="16"/>
      <c r="E742" s="5"/>
    </row>
    <row r="743" spans="1:5" ht="12.5">
      <c r="A743" s="76"/>
      <c r="B743" s="5"/>
      <c r="C743" s="16"/>
      <c r="E743" s="5"/>
    </row>
    <row r="744" spans="1:5" ht="12.5">
      <c r="A744" s="76"/>
      <c r="B744" s="5"/>
      <c r="C744" s="16"/>
      <c r="E744" s="5"/>
    </row>
    <row r="745" spans="1:5" ht="12.5">
      <c r="A745" s="76"/>
      <c r="B745" s="5"/>
      <c r="C745" s="16"/>
      <c r="E745" s="5"/>
    </row>
    <row r="746" spans="1:5" ht="12.5">
      <c r="A746" s="76"/>
      <c r="B746" s="5"/>
      <c r="C746" s="16"/>
      <c r="E746" s="5"/>
    </row>
    <row r="747" spans="1:5" ht="12.5">
      <c r="A747" s="76"/>
      <c r="B747" s="5"/>
      <c r="C747" s="16"/>
      <c r="E747" s="5"/>
    </row>
    <row r="748" spans="1:5" ht="12.5">
      <c r="A748" s="76"/>
      <c r="B748" s="5"/>
      <c r="C748" s="16"/>
      <c r="E748" s="5"/>
    </row>
    <row r="749" spans="1:5" ht="12.5">
      <c r="A749" s="76"/>
      <c r="B749" s="5"/>
      <c r="C749" s="16"/>
      <c r="E749" s="5"/>
    </row>
    <row r="750" spans="1:5" ht="12.5">
      <c r="A750" s="76"/>
      <c r="B750" s="5"/>
      <c r="C750" s="16"/>
      <c r="E750" s="5"/>
    </row>
    <row r="751" spans="1:5" ht="12.5">
      <c r="A751" s="76"/>
      <c r="B751" s="5"/>
      <c r="C751" s="16"/>
      <c r="E751" s="5"/>
    </row>
    <row r="752" spans="1:5" ht="12.5">
      <c r="A752" s="76"/>
      <c r="B752" s="5"/>
      <c r="C752" s="16"/>
      <c r="E752" s="5"/>
    </row>
    <row r="753" spans="1:5" ht="12.5">
      <c r="A753" s="76"/>
      <c r="B753" s="5"/>
      <c r="C753" s="16"/>
      <c r="E753" s="5"/>
    </row>
    <row r="754" spans="1:5" ht="12.5">
      <c r="A754" s="76"/>
      <c r="B754" s="5"/>
      <c r="C754" s="16"/>
      <c r="E754" s="5"/>
    </row>
    <row r="755" spans="1:5" ht="12.5">
      <c r="A755" s="76"/>
      <c r="B755" s="5"/>
      <c r="C755" s="16"/>
      <c r="E755" s="5"/>
    </row>
    <row r="756" spans="1:5" ht="12.5">
      <c r="A756" s="76"/>
      <c r="B756" s="5"/>
      <c r="C756" s="16"/>
      <c r="E756" s="5"/>
    </row>
    <row r="757" spans="1:5" ht="12.5">
      <c r="A757" s="76"/>
      <c r="B757" s="5"/>
      <c r="C757" s="16"/>
      <c r="E757" s="5"/>
    </row>
    <row r="758" spans="1:5" ht="12.5">
      <c r="A758" s="76"/>
      <c r="B758" s="5"/>
      <c r="C758" s="16"/>
      <c r="E758" s="5"/>
    </row>
    <row r="759" spans="1:5" ht="12.5">
      <c r="A759" s="76"/>
      <c r="B759" s="5"/>
      <c r="C759" s="16"/>
      <c r="E759" s="5"/>
    </row>
    <row r="760" spans="1:5" ht="12.5">
      <c r="A760" s="76"/>
      <c r="B760" s="5"/>
      <c r="C760" s="16"/>
      <c r="E760" s="5"/>
    </row>
    <row r="761" spans="1:5" ht="12.5">
      <c r="A761" s="76"/>
      <c r="B761" s="5"/>
      <c r="C761" s="16"/>
      <c r="E761" s="5"/>
    </row>
    <row r="762" spans="1:5" ht="12.5">
      <c r="A762" s="76"/>
      <c r="B762" s="5"/>
      <c r="C762" s="16"/>
      <c r="E762" s="5"/>
    </row>
    <row r="763" spans="1:5" ht="12.5">
      <c r="A763" s="76"/>
      <c r="B763" s="5"/>
      <c r="C763" s="16"/>
      <c r="E763" s="5"/>
    </row>
    <row r="764" spans="1:5" ht="12.5">
      <c r="A764" s="76"/>
      <c r="B764" s="5"/>
      <c r="C764" s="16"/>
      <c r="E764" s="5"/>
    </row>
    <row r="765" spans="1:5" ht="12.5">
      <c r="A765" s="76"/>
      <c r="B765" s="5"/>
      <c r="C765" s="16"/>
      <c r="E765" s="5"/>
    </row>
    <row r="766" spans="1:5" ht="12.5">
      <c r="A766" s="76"/>
      <c r="B766" s="5"/>
      <c r="C766" s="16"/>
      <c r="E766" s="5"/>
    </row>
    <row r="767" spans="1:5" ht="12.5">
      <c r="A767" s="76"/>
      <c r="B767" s="5"/>
      <c r="C767" s="16"/>
      <c r="E767" s="5"/>
    </row>
    <row r="768" spans="1:5" ht="12.5">
      <c r="A768" s="76"/>
      <c r="B768" s="5"/>
      <c r="C768" s="16"/>
      <c r="E768" s="5"/>
    </row>
    <row r="769" spans="1:5" ht="12.5">
      <c r="A769" s="76"/>
      <c r="B769" s="5"/>
      <c r="C769" s="16"/>
      <c r="E769" s="5"/>
    </row>
    <row r="770" spans="1:5" ht="12.5">
      <c r="A770" s="76"/>
      <c r="B770" s="5"/>
      <c r="C770" s="16"/>
      <c r="E770" s="5"/>
    </row>
    <row r="771" spans="1:5" ht="12.5">
      <c r="A771" s="76"/>
      <c r="B771" s="5"/>
      <c r="C771" s="16"/>
      <c r="E771" s="5"/>
    </row>
    <row r="772" spans="1:5" ht="12.5">
      <c r="A772" s="76"/>
      <c r="B772" s="5"/>
      <c r="C772" s="16"/>
      <c r="E772" s="5"/>
    </row>
    <row r="773" spans="1:5" ht="12.5">
      <c r="A773" s="76"/>
      <c r="B773" s="5"/>
      <c r="C773" s="16"/>
      <c r="E773" s="5"/>
    </row>
    <row r="774" spans="1:5" ht="12.5">
      <c r="A774" s="76"/>
      <c r="B774" s="5"/>
      <c r="C774" s="16"/>
      <c r="E774" s="5"/>
    </row>
    <row r="775" spans="1:5" ht="12.5">
      <c r="A775" s="76"/>
      <c r="B775" s="5"/>
      <c r="C775" s="16"/>
      <c r="E775" s="5"/>
    </row>
    <row r="776" spans="1:5" ht="12.5">
      <c r="A776" s="76"/>
      <c r="B776" s="5"/>
      <c r="C776" s="16"/>
      <c r="E776" s="5"/>
    </row>
    <row r="777" spans="1:5" ht="12.5">
      <c r="A777" s="76"/>
      <c r="B777" s="5"/>
      <c r="C777" s="16"/>
      <c r="E777" s="5"/>
    </row>
    <row r="778" spans="1:5" ht="12.5">
      <c r="A778" s="76"/>
      <c r="B778" s="5"/>
      <c r="C778" s="16"/>
      <c r="E778" s="5"/>
    </row>
    <row r="779" spans="1:5" ht="12.5">
      <c r="A779" s="76"/>
      <c r="B779" s="5"/>
      <c r="C779" s="16"/>
      <c r="E779" s="5"/>
    </row>
    <row r="780" spans="1:5" ht="12.5">
      <c r="A780" s="76"/>
      <c r="B780" s="5"/>
      <c r="C780" s="16"/>
      <c r="E780" s="5"/>
    </row>
    <row r="781" spans="1:5" ht="12.5">
      <c r="A781" s="76"/>
      <c r="B781" s="5"/>
      <c r="C781" s="16"/>
      <c r="E781" s="5"/>
    </row>
    <row r="782" spans="1:5" ht="12.5">
      <c r="A782" s="76"/>
      <c r="B782" s="5"/>
      <c r="C782" s="16"/>
      <c r="E782" s="5"/>
    </row>
    <row r="783" spans="1:5" ht="12.5">
      <c r="A783" s="76"/>
      <c r="B783" s="5"/>
      <c r="C783" s="16"/>
      <c r="E783" s="5"/>
    </row>
    <row r="784" spans="1:5" ht="12.5">
      <c r="A784" s="76"/>
      <c r="B784" s="5"/>
      <c r="C784" s="16"/>
      <c r="E784" s="5"/>
    </row>
    <row r="785" spans="1:5" ht="12.5">
      <c r="A785" s="76"/>
      <c r="B785" s="5"/>
      <c r="C785" s="16"/>
      <c r="E785" s="5"/>
    </row>
    <row r="786" spans="1:5" ht="12.5">
      <c r="A786" s="76"/>
      <c r="B786" s="5"/>
      <c r="C786" s="16"/>
      <c r="E786" s="5"/>
    </row>
    <row r="787" spans="1:5" ht="12.5">
      <c r="A787" s="76"/>
      <c r="B787" s="5"/>
      <c r="C787" s="16"/>
      <c r="E787" s="5"/>
    </row>
    <row r="788" spans="1:5" ht="12.5">
      <c r="A788" s="76"/>
      <c r="B788" s="5"/>
      <c r="C788" s="16"/>
      <c r="E788" s="5"/>
    </row>
    <row r="789" spans="1:5" ht="12.5">
      <c r="A789" s="76"/>
      <c r="B789" s="5"/>
      <c r="C789" s="16"/>
      <c r="E789" s="5"/>
    </row>
    <row r="790" spans="1:5" ht="12.5">
      <c r="A790" s="76"/>
      <c r="B790" s="5"/>
      <c r="C790" s="16"/>
      <c r="E790" s="5"/>
    </row>
    <row r="791" spans="1:5" ht="12.5">
      <c r="A791" s="76"/>
      <c r="B791" s="5"/>
      <c r="C791" s="16"/>
      <c r="E791" s="5"/>
    </row>
    <row r="792" spans="1:5" ht="12.5">
      <c r="A792" s="76"/>
      <c r="B792" s="5"/>
      <c r="C792" s="16"/>
      <c r="E792" s="5"/>
    </row>
    <row r="793" spans="1:5" ht="12.5">
      <c r="A793" s="76"/>
      <c r="B793" s="5"/>
      <c r="C793" s="16"/>
      <c r="E793" s="5"/>
    </row>
    <row r="794" spans="1:5" ht="12.5">
      <c r="A794" s="76"/>
      <c r="B794" s="5"/>
      <c r="C794" s="16"/>
      <c r="E794" s="5"/>
    </row>
    <row r="795" spans="1:5" ht="12.5">
      <c r="A795" s="76"/>
      <c r="B795" s="5"/>
      <c r="C795" s="16"/>
      <c r="E795" s="5"/>
    </row>
    <row r="796" spans="1:5" ht="12.5">
      <c r="A796" s="76"/>
      <c r="B796" s="5"/>
      <c r="C796" s="16"/>
      <c r="E796" s="5"/>
    </row>
    <row r="797" spans="1:5" ht="12.5">
      <c r="A797" s="76"/>
      <c r="B797" s="5"/>
      <c r="C797" s="16"/>
      <c r="E797" s="5"/>
    </row>
    <row r="798" spans="1:5" ht="12.5">
      <c r="A798" s="76"/>
      <c r="B798" s="5"/>
      <c r="C798" s="16"/>
      <c r="E798" s="5"/>
    </row>
    <row r="799" spans="1:5" ht="12.5">
      <c r="A799" s="76"/>
      <c r="B799" s="5"/>
      <c r="C799" s="16"/>
      <c r="E799" s="5"/>
    </row>
    <row r="800" spans="1:5" ht="12.5">
      <c r="A800" s="76"/>
      <c r="B800" s="5"/>
      <c r="C800" s="16"/>
      <c r="E800" s="5"/>
    </row>
    <row r="801" spans="1:5" ht="12.5">
      <c r="A801" s="76"/>
      <c r="B801" s="5"/>
      <c r="C801" s="16"/>
      <c r="E801" s="5"/>
    </row>
    <row r="802" spans="1:5" ht="12.5">
      <c r="A802" s="76"/>
      <c r="B802" s="5"/>
      <c r="C802" s="16"/>
      <c r="E802" s="5"/>
    </row>
    <row r="803" spans="1:5" ht="12.5">
      <c r="A803" s="76"/>
      <c r="B803" s="5"/>
      <c r="C803" s="16"/>
      <c r="E803" s="5"/>
    </row>
    <row r="804" spans="1:5" ht="12.5">
      <c r="A804" s="76"/>
      <c r="B804" s="5"/>
      <c r="C804" s="16"/>
      <c r="E804" s="5"/>
    </row>
    <row r="805" spans="1:5" ht="12.5">
      <c r="A805" s="76"/>
      <c r="B805" s="5"/>
      <c r="C805" s="16"/>
      <c r="E805" s="5"/>
    </row>
    <row r="806" spans="1:5" ht="12.5">
      <c r="A806" s="76"/>
      <c r="B806" s="5"/>
      <c r="C806" s="16"/>
      <c r="E806" s="5"/>
    </row>
    <row r="807" spans="1:5" ht="12.5">
      <c r="A807" s="76"/>
      <c r="B807" s="5"/>
      <c r="C807" s="16"/>
      <c r="E807" s="5"/>
    </row>
    <row r="808" spans="1:5" ht="12.5">
      <c r="A808" s="76"/>
      <c r="B808" s="5"/>
      <c r="C808" s="16"/>
      <c r="E808" s="5"/>
    </row>
    <row r="809" spans="1:5" ht="12.5">
      <c r="A809" s="76"/>
      <c r="B809" s="5"/>
      <c r="C809" s="16"/>
      <c r="E809" s="5"/>
    </row>
    <row r="810" spans="1:5" ht="12.5">
      <c r="A810" s="76"/>
      <c r="B810" s="5"/>
      <c r="C810" s="16"/>
      <c r="E810" s="5"/>
    </row>
    <row r="811" spans="1:5" ht="12.5">
      <c r="A811" s="76"/>
      <c r="B811" s="5"/>
      <c r="C811" s="16"/>
      <c r="E811" s="5"/>
    </row>
    <row r="812" spans="1:5" ht="12.5">
      <c r="A812" s="76"/>
      <c r="B812" s="5"/>
      <c r="C812" s="16"/>
      <c r="E812" s="5"/>
    </row>
    <row r="813" spans="1:5" ht="12.5">
      <c r="A813" s="76"/>
      <c r="B813" s="5"/>
      <c r="C813" s="16"/>
      <c r="E813" s="5"/>
    </row>
    <row r="814" spans="1:5" ht="12.5">
      <c r="A814" s="76"/>
      <c r="B814" s="5"/>
      <c r="C814" s="16"/>
      <c r="E814" s="5"/>
    </row>
    <row r="815" spans="1:5" ht="12.5">
      <c r="A815" s="76"/>
      <c r="B815" s="5"/>
      <c r="C815" s="16"/>
      <c r="E815" s="5"/>
    </row>
    <row r="816" spans="1:5" ht="12.5">
      <c r="A816" s="76"/>
      <c r="B816" s="5"/>
      <c r="C816" s="16"/>
      <c r="E816" s="5"/>
    </row>
    <row r="817" spans="1:5" ht="12.5">
      <c r="A817" s="76"/>
      <c r="B817" s="5"/>
      <c r="C817" s="16"/>
      <c r="E817" s="5"/>
    </row>
    <row r="818" spans="1:5" ht="12.5">
      <c r="A818" s="76"/>
      <c r="B818" s="5"/>
      <c r="C818" s="16"/>
      <c r="E818" s="5"/>
    </row>
    <row r="819" spans="1:5" ht="12.5">
      <c r="A819" s="76"/>
      <c r="B819" s="5"/>
      <c r="C819" s="16"/>
      <c r="E819" s="5"/>
    </row>
    <row r="820" spans="1:5" ht="12.5">
      <c r="A820" s="76"/>
      <c r="B820" s="5"/>
      <c r="C820" s="16"/>
      <c r="E820" s="5"/>
    </row>
    <row r="821" spans="1:5" ht="12.5">
      <c r="A821" s="76"/>
      <c r="B821" s="5"/>
      <c r="C821" s="16"/>
      <c r="E821" s="5"/>
    </row>
    <row r="822" spans="1:5" ht="12.5">
      <c r="A822" s="76"/>
      <c r="B822" s="5"/>
      <c r="C822" s="16"/>
      <c r="E822" s="5"/>
    </row>
    <row r="823" spans="1:5" ht="12.5">
      <c r="A823" s="76"/>
      <c r="B823" s="5"/>
      <c r="C823" s="16"/>
      <c r="E823" s="5"/>
    </row>
    <row r="824" spans="1:5" ht="12.5">
      <c r="A824" s="76"/>
      <c r="B824" s="5"/>
      <c r="C824" s="16"/>
      <c r="E824" s="5"/>
    </row>
    <row r="825" spans="1:5" ht="12.5">
      <c r="A825" s="76"/>
      <c r="B825" s="5"/>
      <c r="C825" s="16"/>
      <c r="E825" s="5"/>
    </row>
    <row r="826" spans="1:5" ht="12.5">
      <c r="A826" s="76"/>
      <c r="B826" s="5"/>
      <c r="C826" s="16"/>
      <c r="E826" s="5"/>
    </row>
    <row r="827" spans="1:5" ht="12.5">
      <c r="A827" s="76"/>
      <c r="B827" s="5"/>
      <c r="C827" s="16"/>
      <c r="E827" s="5"/>
    </row>
    <row r="828" spans="1:5" ht="12.5">
      <c r="A828" s="76"/>
      <c r="B828" s="5"/>
      <c r="C828" s="16"/>
      <c r="E828" s="5"/>
    </row>
    <row r="829" spans="1:5" ht="12.5">
      <c r="A829" s="76"/>
      <c r="B829" s="5"/>
      <c r="C829" s="16"/>
      <c r="E829" s="5"/>
    </row>
    <row r="830" spans="1:5" ht="12.5">
      <c r="A830" s="76"/>
      <c r="B830" s="5"/>
      <c r="C830" s="16"/>
      <c r="E830" s="5"/>
    </row>
    <row r="831" spans="1:5" ht="12.5">
      <c r="A831" s="76"/>
      <c r="B831" s="5"/>
      <c r="C831" s="16"/>
      <c r="E831" s="5"/>
    </row>
    <row r="832" spans="1:5" ht="12.5">
      <c r="A832" s="76"/>
      <c r="B832" s="5"/>
      <c r="C832" s="16"/>
      <c r="E832" s="5"/>
    </row>
    <row r="833" spans="1:5" ht="12.5">
      <c r="A833" s="76"/>
      <c r="B833" s="5"/>
      <c r="C833" s="16"/>
      <c r="E833" s="5"/>
    </row>
    <row r="834" spans="1:5" ht="12.5">
      <c r="A834" s="76"/>
      <c r="B834" s="5"/>
      <c r="C834" s="16"/>
      <c r="E834" s="5"/>
    </row>
    <row r="835" spans="1:5" ht="12.5">
      <c r="A835" s="76"/>
      <c r="B835" s="5"/>
      <c r="C835" s="16"/>
      <c r="E835" s="5"/>
    </row>
    <row r="836" spans="1:5" ht="12.5">
      <c r="A836" s="76"/>
      <c r="B836" s="5"/>
      <c r="C836" s="16"/>
      <c r="E836" s="5"/>
    </row>
    <row r="837" spans="1:5" ht="12.5">
      <c r="A837" s="76"/>
      <c r="B837" s="5"/>
      <c r="C837" s="16"/>
      <c r="E837" s="5"/>
    </row>
    <row r="838" spans="1:5" ht="12.5">
      <c r="A838" s="76"/>
      <c r="B838" s="5"/>
      <c r="C838" s="16"/>
      <c r="E838" s="5"/>
    </row>
    <row r="839" spans="1:5" ht="12.5">
      <c r="A839" s="76"/>
      <c r="B839" s="5"/>
      <c r="C839" s="16"/>
      <c r="E839" s="5"/>
    </row>
    <row r="840" spans="1:5" ht="12.5">
      <c r="A840" s="76"/>
      <c r="B840" s="5"/>
      <c r="C840" s="16"/>
      <c r="E840" s="5"/>
    </row>
    <row r="841" spans="1:5" ht="12.5">
      <c r="A841" s="76"/>
      <c r="B841" s="5"/>
      <c r="C841" s="16"/>
      <c r="E841" s="5"/>
    </row>
    <row r="842" spans="1:5" ht="12.5">
      <c r="A842" s="76"/>
      <c r="B842" s="5"/>
      <c r="C842" s="16"/>
      <c r="E842" s="5"/>
    </row>
    <row r="843" spans="1:5" ht="12.5">
      <c r="A843" s="76"/>
      <c r="B843" s="5"/>
      <c r="C843" s="16"/>
      <c r="E843" s="5"/>
    </row>
    <row r="844" spans="1:5" ht="12.5">
      <c r="A844" s="76"/>
      <c r="B844" s="5"/>
      <c r="C844" s="16"/>
      <c r="E844" s="5"/>
    </row>
    <row r="845" spans="1:5" ht="12.5">
      <c r="A845" s="76"/>
      <c r="B845" s="5"/>
      <c r="C845" s="16"/>
      <c r="E845" s="5"/>
    </row>
    <row r="846" spans="1:5" ht="12.5">
      <c r="A846" s="76"/>
      <c r="B846" s="5"/>
      <c r="C846" s="16"/>
      <c r="E846" s="5"/>
    </row>
    <row r="847" spans="1:5" ht="12.5">
      <c r="A847" s="76"/>
      <c r="B847" s="5"/>
      <c r="C847" s="16"/>
      <c r="E847" s="5"/>
    </row>
    <row r="848" spans="1:5" ht="12.5">
      <c r="A848" s="76"/>
      <c r="B848" s="5"/>
      <c r="C848" s="16"/>
      <c r="E848" s="5"/>
    </row>
    <row r="849" spans="1:5" ht="12.5">
      <c r="A849" s="76"/>
      <c r="B849" s="5"/>
      <c r="C849" s="16"/>
      <c r="E849" s="5"/>
    </row>
    <row r="850" spans="1:5" ht="12.5">
      <c r="A850" s="76"/>
      <c r="B850" s="5"/>
      <c r="C850" s="16"/>
      <c r="E850" s="5"/>
    </row>
    <row r="851" spans="1:5" ht="12.5">
      <c r="A851" s="76"/>
      <c r="B851" s="5"/>
      <c r="C851" s="16"/>
      <c r="E851" s="5"/>
    </row>
    <row r="852" spans="1:5" ht="12.5">
      <c r="A852" s="76"/>
      <c r="B852" s="5"/>
      <c r="C852" s="16"/>
      <c r="E852" s="5"/>
    </row>
    <row r="853" spans="1:5" ht="12.5">
      <c r="A853" s="76"/>
      <c r="B853" s="5"/>
      <c r="C853" s="16"/>
      <c r="E853" s="5"/>
    </row>
    <row r="854" spans="1:5" ht="12.5">
      <c r="A854" s="76"/>
      <c r="B854" s="5"/>
      <c r="C854" s="16"/>
      <c r="E854" s="5"/>
    </row>
    <row r="855" spans="1:5" ht="12.5">
      <c r="A855" s="76"/>
      <c r="B855" s="5"/>
      <c r="C855" s="16"/>
      <c r="E855" s="5"/>
    </row>
    <row r="856" spans="1:5" ht="12.5">
      <c r="A856" s="76"/>
      <c r="B856" s="5"/>
      <c r="C856" s="16"/>
      <c r="E856" s="5"/>
    </row>
    <row r="857" spans="1:5" ht="12.5">
      <c r="A857" s="76"/>
      <c r="B857" s="5"/>
      <c r="C857" s="16"/>
      <c r="E857" s="5"/>
    </row>
    <row r="858" spans="1:5" ht="12.5">
      <c r="A858" s="76"/>
      <c r="B858" s="5"/>
      <c r="C858" s="16"/>
      <c r="E858" s="5"/>
    </row>
    <row r="859" spans="1:5" ht="12.5">
      <c r="A859" s="76"/>
      <c r="B859" s="5"/>
      <c r="C859" s="16"/>
      <c r="E859" s="5"/>
    </row>
    <row r="860" spans="1:5" ht="12.5">
      <c r="A860" s="76"/>
      <c r="B860" s="5"/>
      <c r="C860" s="16"/>
      <c r="E860" s="5"/>
    </row>
    <row r="861" spans="1:5" ht="12.5">
      <c r="A861" s="76"/>
      <c r="B861" s="5"/>
      <c r="C861" s="16"/>
      <c r="E861" s="5"/>
    </row>
    <row r="862" spans="1:5" ht="12.5">
      <c r="A862" s="76"/>
      <c r="B862" s="5"/>
      <c r="C862" s="16"/>
      <c r="E862" s="5"/>
    </row>
    <row r="863" spans="1:5" ht="12.5">
      <c r="A863" s="76"/>
      <c r="B863" s="5"/>
      <c r="C863" s="16"/>
      <c r="E863" s="5"/>
    </row>
    <row r="864" spans="1:5" ht="12.5">
      <c r="A864" s="76"/>
      <c r="B864" s="5"/>
      <c r="C864" s="16"/>
      <c r="E864" s="5"/>
    </row>
    <row r="865" spans="1:5" ht="12.5">
      <c r="A865" s="76"/>
      <c r="B865" s="5"/>
      <c r="C865" s="16"/>
      <c r="E865" s="5"/>
    </row>
    <row r="866" spans="1:5" ht="12.5">
      <c r="A866" s="76"/>
      <c r="B866" s="5"/>
      <c r="C866" s="16"/>
      <c r="E866" s="5"/>
    </row>
    <row r="867" spans="1:5" ht="12.5">
      <c r="A867" s="76"/>
      <c r="B867" s="5"/>
      <c r="C867" s="16"/>
      <c r="E867" s="5"/>
    </row>
    <row r="868" spans="1:5" ht="12.5">
      <c r="A868" s="76"/>
      <c r="B868" s="5"/>
      <c r="C868" s="16"/>
      <c r="E868" s="5"/>
    </row>
    <row r="869" spans="1:5" ht="12.5">
      <c r="A869" s="76"/>
      <c r="B869" s="5"/>
      <c r="C869" s="16"/>
      <c r="E869" s="5"/>
    </row>
    <row r="870" spans="1:5" ht="12.5">
      <c r="A870" s="76"/>
      <c r="B870" s="5"/>
      <c r="C870" s="16"/>
      <c r="E870" s="5"/>
    </row>
    <row r="871" spans="1:5" ht="12.5">
      <c r="A871" s="76"/>
      <c r="B871" s="5"/>
      <c r="C871" s="16"/>
      <c r="E871" s="5"/>
    </row>
    <row r="872" spans="1:5" ht="12.5">
      <c r="A872" s="76"/>
      <c r="B872" s="5"/>
      <c r="C872" s="16"/>
      <c r="E872" s="5"/>
    </row>
    <row r="873" spans="1:5" ht="12.5">
      <c r="A873" s="76"/>
      <c r="B873" s="5"/>
      <c r="C873" s="16"/>
      <c r="E873" s="5"/>
    </row>
    <row r="874" spans="1:5" ht="12.5">
      <c r="A874" s="76"/>
      <c r="B874" s="5"/>
      <c r="C874" s="16"/>
      <c r="E874" s="5"/>
    </row>
    <row r="875" spans="1:5" ht="12.5">
      <c r="A875" s="76"/>
      <c r="B875" s="5"/>
      <c r="C875" s="16"/>
      <c r="E875" s="5"/>
    </row>
    <row r="876" spans="1:5" ht="12.5">
      <c r="A876" s="76"/>
      <c r="B876" s="5"/>
      <c r="C876" s="16"/>
      <c r="E876" s="5"/>
    </row>
    <row r="877" spans="1:5" ht="12.5">
      <c r="A877" s="76"/>
      <c r="B877" s="5"/>
      <c r="C877" s="16"/>
      <c r="E877" s="5"/>
    </row>
    <row r="878" spans="1:5" ht="12.5">
      <c r="A878" s="76"/>
      <c r="B878" s="5"/>
      <c r="C878" s="16"/>
      <c r="E878" s="5"/>
    </row>
    <row r="879" spans="1:5" ht="12.5">
      <c r="A879" s="76"/>
      <c r="B879" s="5"/>
      <c r="C879" s="16"/>
      <c r="E879" s="5"/>
    </row>
    <row r="880" spans="1:5" ht="12.5">
      <c r="A880" s="76"/>
      <c r="B880" s="5"/>
      <c r="C880" s="16"/>
      <c r="E880" s="5"/>
    </row>
    <row r="881" spans="1:5" ht="12.5">
      <c r="A881" s="76"/>
      <c r="B881" s="5"/>
      <c r="C881" s="16"/>
      <c r="E881" s="5"/>
    </row>
    <row r="882" spans="1:5" ht="12.5">
      <c r="A882" s="76"/>
      <c r="B882" s="5"/>
      <c r="C882" s="16"/>
      <c r="E882" s="5"/>
    </row>
    <row r="883" spans="1:5" ht="12.5">
      <c r="A883" s="76"/>
      <c r="B883" s="5"/>
      <c r="C883" s="16"/>
      <c r="E883" s="5"/>
    </row>
    <row r="884" spans="1:5" ht="12.5">
      <c r="A884" s="76"/>
      <c r="B884" s="5"/>
      <c r="C884" s="16"/>
      <c r="E884" s="5"/>
    </row>
    <row r="885" spans="1:5" ht="12.5">
      <c r="A885" s="76"/>
      <c r="B885" s="5"/>
      <c r="C885" s="16"/>
      <c r="E885" s="5"/>
    </row>
    <row r="886" spans="1:5" ht="12.5">
      <c r="A886" s="76"/>
      <c r="B886" s="5"/>
      <c r="C886" s="16"/>
      <c r="E886" s="5"/>
    </row>
    <row r="887" spans="1:5" ht="12.5">
      <c r="A887" s="76"/>
      <c r="B887" s="5"/>
      <c r="C887" s="16"/>
      <c r="E887" s="5"/>
    </row>
    <row r="888" spans="1:5" ht="12.5">
      <c r="A888" s="76"/>
      <c r="B888" s="5"/>
      <c r="C888" s="16"/>
      <c r="E888" s="5"/>
    </row>
    <row r="889" spans="1:5" ht="12.5">
      <c r="A889" s="76"/>
      <c r="B889" s="5"/>
      <c r="C889" s="16"/>
      <c r="E889" s="5"/>
    </row>
    <row r="890" spans="1:5" ht="12.5">
      <c r="A890" s="76"/>
      <c r="B890" s="5"/>
      <c r="C890" s="16"/>
      <c r="E890" s="5"/>
    </row>
    <row r="891" spans="1:5" ht="12.5">
      <c r="A891" s="76"/>
      <c r="B891" s="5"/>
      <c r="C891" s="16"/>
      <c r="E891" s="5"/>
    </row>
    <row r="892" spans="1:5" ht="12.5">
      <c r="A892" s="76"/>
      <c r="B892" s="5"/>
      <c r="C892" s="16"/>
      <c r="E892" s="5"/>
    </row>
    <row r="893" spans="1:5" ht="12.5">
      <c r="A893" s="76"/>
      <c r="B893" s="5"/>
      <c r="C893" s="16"/>
      <c r="E893" s="5"/>
    </row>
    <row r="894" spans="1:5" ht="12.5">
      <c r="A894" s="76"/>
      <c r="B894" s="5"/>
      <c r="C894" s="16"/>
      <c r="E894" s="5"/>
    </row>
    <row r="895" spans="1:5" ht="12.5">
      <c r="A895" s="76"/>
      <c r="B895" s="5"/>
      <c r="C895" s="16"/>
      <c r="E895" s="5"/>
    </row>
    <row r="896" spans="1:5" ht="12.5">
      <c r="A896" s="76"/>
      <c r="B896" s="5"/>
      <c r="C896" s="16"/>
      <c r="E896" s="5"/>
    </row>
    <row r="897" spans="1:5" ht="12.5">
      <c r="A897" s="76"/>
      <c r="B897" s="5"/>
      <c r="C897" s="16"/>
      <c r="E897" s="5"/>
    </row>
    <row r="898" spans="1:5" ht="12.5">
      <c r="A898" s="76"/>
      <c r="B898" s="5"/>
      <c r="C898" s="16"/>
      <c r="E898" s="5"/>
    </row>
    <row r="899" spans="1:5" ht="12.5">
      <c r="A899" s="76"/>
      <c r="B899" s="5"/>
      <c r="C899" s="16"/>
      <c r="E899" s="5"/>
    </row>
    <row r="900" spans="1:5" ht="12.5">
      <c r="A900" s="76"/>
      <c r="B900" s="5"/>
      <c r="C900" s="16"/>
      <c r="E900" s="5"/>
    </row>
    <row r="901" spans="1:5" ht="12.5">
      <c r="A901" s="76"/>
      <c r="B901" s="5"/>
      <c r="C901" s="16"/>
      <c r="E901" s="5"/>
    </row>
    <row r="902" spans="1:5" ht="12.5">
      <c r="A902" s="76"/>
      <c r="B902" s="5"/>
      <c r="C902" s="16"/>
      <c r="E902" s="5"/>
    </row>
    <row r="903" spans="1:5" ht="12.5">
      <c r="A903" s="76"/>
      <c r="B903" s="5"/>
      <c r="C903" s="16"/>
      <c r="E903" s="5"/>
    </row>
    <row r="904" spans="1:5" ht="12.5">
      <c r="A904" s="76"/>
      <c r="B904" s="5"/>
      <c r="C904" s="16"/>
      <c r="E904" s="5"/>
    </row>
    <row r="905" spans="1:5" ht="12.5">
      <c r="A905" s="76"/>
      <c r="B905" s="5"/>
      <c r="C905" s="16"/>
      <c r="E905" s="5"/>
    </row>
    <row r="906" spans="1:5" ht="12.5">
      <c r="A906" s="76"/>
      <c r="B906" s="5"/>
      <c r="C906" s="16"/>
      <c r="E906" s="5"/>
    </row>
    <row r="907" spans="1:5" ht="12.5">
      <c r="A907" s="76"/>
      <c r="B907" s="5"/>
      <c r="C907" s="16"/>
      <c r="E907" s="5"/>
    </row>
    <row r="908" spans="1:5" ht="12.5">
      <c r="A908" s="76"/>
      <c r="B908" s="5"/>
      <c r="C908" s="16"/>
      <c r="E908" s="5"/>
    </row>
    <row r="909" spans="1:5" ht="12.5">
      <c r="A909" s="76"/>
      <c r="B909" s="5"/>
      <c r="C909" s="16"/>
      <c r="E909" s="5"/>
    </row>
    <row r="910" spans="1:5" ht="12.5">
      <c r="A910" s="76"/>
      <c r="B910" s="5"/>
      <c r="C910" s="16"/>
      <c r="E910" s="5"/>
    </row>
    <row r="911" spans="1:5" ht="12.5">
      <c r="A911" s="76"/>
      <c r="B911" s="5"/>
      <c r="C911" s="16"/>
      <c r="E911" s="5"/>
    </row>
    <row r="912" spans="1:5" ht="12.5">
      <c r="A912" s="76"/>
      <c r="B912" s="5"/>
      <c r="C912" s="16"/>
      <c r="E912" s="5"/>
    </row>
    <row r="913" spans="1:5" ht="12.5">
      <c r="A913" s="76"/>
      <c r="B913" s="5"/>
      <c r="C913" s="16"/>
      <c r="E913" s="5"/>
    </row>
    <row r="914" spans="1:5" ht="12.5">
      <c r="A914" s="76"/>
      <c r="B914" s="5"/>
      <c r="C914" s="16"/>
      <c r="E914" s="5"/>
    </row>
    <row r="915" spans="1:5" ht="12.5">
      <c r="A915" s="76"/>
      <c r="B915" s="5"/>
      <c r="C915" s="16"/>
      <c r="E915" s="5"/>
    </row>
    <row r="916" spans="1:5" ht="12.5">
      <c r="A916" s="76"/>
      <c r="B916" s="5"/>
      <c r="C916" s="16"/>
      <c r="E916" s="5"/>
    </row>
    <row r="917" spans="1:5" ht="12.5">
      <c r="A917" s="76"/>
      <c r="B917" s="5"/>
      <c r="C917" s="16"/>
      <c r="E917" s="5"/>
    </row>
    <row r="918" spans="1:5" ht="12.5">
      <c r="A918" s="76"/>
      <c r="B918" s="5"/>
      <c r="C918" s="16"/>
      <c r="E918" s="5"/>
    </row>
    <row r="919" spans="1:5" ht="12.5">
      <c r="A919" s="76"/>
      <c r="B919" s="5"/>
      <c r="C919" s="16"/>
      <c r="E919" s="5"/>
    </row>
    <row r="920" spans="1:5" ht="12.5">
      <c r="A920" s="76"/>
      <c r="B920" s="5"/>
      <c r="C920" s="16"/>
      <c r="E920" s="5"/>
    </row>
    <row r="921" spans="1:5" ht="12.5">
      <c r="A921" s="76"/>
      <c r="B921" s="5"/>
      <c r="C921" s="16"/>
      <c r="E921" s="5"/>
    </row>
    <row r="922" spans="1:5" ht="12.5">
      <c r="A922" s="76"/>
      <c r="B922" s="5"/>
      <c r="C922" s="16"/>
      <c r="E922" s="5"/>
    </row>
    <row r="923" spans="1:5" ht="12.5">
      <c r="A923" s="76"/>
      <c r="B923" s="5"/>
      <c r="C923" s="16"/>
      <c r="E923" s="5"/>
    </row>
    <row r="924" spans="1:5" ht="12.5">
      <c r="A924" s="76"/>
      <c r="B924" s="5"/>
      <c r="C924" s="16"/>
      <c r="E924" s="5"/>
    </row>
    <row r="925" spans="1:5" ht="12.5">
      <c r="A925" s="76"/>
      <c r="B925" s="5"/>
      <c r="C925" s="16"/>
      <c r="E925" s="5"/>
    </row>
    <row r="926" spans="1:5" ht="12.5">
      <c r="A926" s="76"/>
      <c r="B926" s="5"/>
      <c r="C926" s="16"/>
      <c r="E926" s="5"/>
    </row>
    <row r="927" spans="1:5" ht="12.5">
      <c r="A927" s="76"/>
      <c r="B927" s="5"/>
      <c r="C927" s="16"/>
      <c r="E927" s="5"/>
    </row>
    <row r="928" spans="1:5" ht="12.5">
      <c r="A928" s="76"/>
      <c r="B928" s="5"/>
      <c r="C928" s="16"/>
      <c r="E928" s="5"/>
    </row>
    <row r="929" spans="1:5" ht="12.5">
      <c r="A929" s="76"/>
      <c r="B929" s="5"/>
      <c r="C929" s="16"/>
      <c r="E929" s="5"/>
    </row>
    <row r="930" spans="1:5" ht="12.5">
      <c r="A930" s="76"/>
      <c r="B930" s="5"/>
      <c r="C930" s="16"/>
      <c r="E930" s="5"/>
    </row>
    <row r="931" spans="1:5" ht="12.5">
      <c r="A931" s="76"/>
      <c r="B931" s="5"/>
      <c r="C931" s="16"/>
      <c r="E931" s="5"/>
    </row>
    <row r="932" spans="1:5" ht="12.5">
      <c r="A932" s="76"/>
      <c r="B932" s="5"/>
      <c r="C932" s="16"/>
      <c r="E932" s="5"/>
    </row>
    <row r="933" spans="1:5" ht="12.5">
      <c r="A933" s="76"/>
      <c r="B933" s="5"/>
      <c r="C933" s="16"/>
      <c r="E933" s="5"/>
    </row>
    <row r="934" spans="1:5" ht="12.5">
      <c r="A934" s="76"/>
      <c r="B934" s="5"/>
      <c r="C934" s="16"/>
      <c r="E934" s="5"/>
    </row>
    <row r="935" spans="1:5" ht="12.5">
      <c r="A935" s="76"/>
      <c r="B935" s="5"/>
      <c r="C935" s="16"/>
      <c r="E935" s="5"/>
    </row>
    <row r="936" spans="1:5" ht="12.5">
      <c r="A936" s="76"/>
      <c r="B936" s="5"/>
      <c r="C936" s="16"/>
      <c r="E936" s="5"/>
    </row>
    <row r="937" spans="1:5" ht="12.5">
      <c r="A937" s="76"/>
      <c r="B937" s="5"/>
      <c r="C937" s="16"/>
      <c r="E937" s="5"/>
    </row>
    <row r="938" spans="1:5" ht="12.5">
      <c r="A938" s="76"/>
      <c r="B938" s="5"/>
      <c r="C938" s="16"/>
      <c r="E938" s="5"/>
    </row>
    <row r="939" spans="1:5" ht="12.5">
      <c r="A939" s="76"/>
      <c r="B939" s="5"/>
      <c r="C939" s="16"/>
      <c r="E939" s="5"/>
    </row>
    <row r="940" spans="1:5" ht="12.5">
      <c r="A940" s="76"/>
      <c r="B940" s="5"/>
      <c r="C940" s="16"/>
      <c r="E940" s="5"/>
    </row>
    <row r="941" spans="1:5" ht="12.5">
      <c r="A941" s="76"/>
      <c r="B941" s="5"/>
      <c r="C941" s="16"/>
      <c r="E941" s="5"/>
    </row>
    <row r="942" spans="1:5" ht="12.5">
      <c r="A942" s="76"/>
      <c r="B942" s="5"/>
      <c r="C942" s="16"/>
      <c r="E942" s="5"/>
    </row>
    <row r="943" spans="1:5" ht="12.5">
      <c r="A943" s="76"/>
      <c r="B943" s="5"/>
      <c r="C943" s="16"/>
      <c r="E943" s="5"/>
    </row>
    <row r="944" spans="1:5" ht="12.5">
      <c r="A944" s="76"/>
      <c r="B944" s="5"/>
      <c r="C944" s="16"/>
      <c r="E944" s="5"/>
    </row>
    <row r="945" spans="1:5" ht="12.5">
      <c r="A945" s="76"/>
      <c r="B945" s="5"/>
      <c r="C945" s="16"/>
      <c r="E945" s="5"/>
    </row>
    <row r="946" spans="1:5" ht="12.5">
      <c r="A946" s="76"/>
      <c r="B946" s="5"/>
      <c r="C946" s="16"/>
      <c r="E946" s="5"/>
    </row>
    <row r="947" spans="1:5" ht="12.5">
      <c r="A947" s="76"/>
      <c r="B947" s="5"/>
      <c r="C947" s="16"/>
      <c r="E947" s="5"/>
    </row>
    <row r="948" spans="1:5" ht="12.5">
      <c r="A948" s="76"/>
      <c r="B948" s="5"/>
      <c r="C948" s="16"/>
      <c r="E948" s="5"/>
    </row>
    <row r="949" spans="1:5" ht="12.5">
      <c r="A949" s="76"/>
      <c r="B949" s="5"/>
      <c r="C949" s="16"/>
      <c r="E949" s="5"/>
    </row>
    <row r="950" spans="1:5" ht="12.5">
      <c r="A950" s="76"/>
      <c r="B950" s="5"/>
      <c r="C950" s="16"/>
      <c r="E950" s="5"/>
    </row>
    <row r="951" spans="1:5" ht="12.5">
      <c r="A951" s="76"/>
      <c r="B951" s="5"/>
      <c r="C951" s="16"/>
      <c r="E951" s="5"/>
    </row>
    <row r="952" spans="1:5" ht="12.5">
      <c r="A952" s="76"/>
      <c r="B952" s="5"/>
      <c r="C952" s="16"/>
      <c r="E952" s="5"/>
    </row>
    <row r="953" spans="1:5" ht="12.5">
      <c r="A953" s="76"/>
      <c r="B953" s="5"/>
      <c r="C953" s="16"/>
      <c r="E953" s="5"/>
    </row>
    <row r="954" spans="1:5" ht="12.5">
      <c r="A954" s="76"/>
      <c r="B954" s="5"/>
      <c r="C954" s="16"/>
      <c r="E954" s="5"/>
    </row>
    <row r="955" spans="1:5" ht="12.5">
      <c r="A955" s="76"/>
      <c r="B955" s="5"/>
      <c r="C955" s="16"/>
      <c r="E955" s="5"/>
    </row>
    <row r="956" spans="1:5" ht="12.5">
      <c r="A956" s="76"/>
      <c r="B956" s="5"/>
      <c r="C956" s="16"/>
      <c r="E956" s="5"/>
    </row>
    <row r="957" spans="1:5" ht="12.5">
      <c r="A957" s="76"/>
      <c r="B957" s="5"/>
      <c r="C957" s="16"/>
      <c r="E957" s="5"/>
    </row>
    <row r="958" spans="1:5" ht="12.5">
      <c r="A958" s="76"/>
      <c r="B958" s="5"/>
      <c r="C958" s="16"/>
      <c r="E958" s="5"/>
    </row>
    <row r="959" spans="1:5" ht="12.5">
      <c r="A959" s="76"/>
      <c r="B959" s="5"/>
      <c r="C959" s="16"/>
      <c r="E959" s="5"/>
    </row>
    <row r="960" spans="1:5" ht="12.5">
      <c r="A960" s="76"/>
      <c r="B960" s="5"/>
      <c r="C960" s="16"/>
      <c r="E960" s="5"/>
    </row>
    <row r="961" spans="1:5" ht="12.5">
      <c r="A961" s="76"/>
      <c r="B961" s="5"/>
      <c r="C961" s="16"/>
      <c r="E961" s="5"/>
    </row>
    <row r="962" spans="1:5" ht="12.5">
      <c r="A962" s="76"/>
      <c r="B962" s="5"/>
      <c r="C962" s="16"/>
      <c r="E962" s="5"/>
    </row>
    <row r="963" spans="1:5" ht="12.5">
      <c r="A963" s="76"/>
      <c r="B963" s="5"/>
      <c r="C963" s="16"/>
      <c r="E963" s="5"/>
    </row>
    <row r="964" spans="1:5" ht="12.5">
      <c r="A964" s="76"/>
      <c r="B964" s="5"/>
      <c r="C964" s="16"/>
      <c r="E964" s="5"/>
    </row>
    <row r="965" spans="1:5" ht="12.5">
      <c r="A965" s="76"/>
      <c r="B965" s="5"/>
      <c r="C965" s="16"/>
      <c r="E965" s="5"/>
    </row>
    <row r="966" spans="1:5" ht="12.5">
      <c r="A966" s="76"/>
      <c r="B966" s="5"/>
      <c r="C966" s="16"/>
      <c r="E966" s="5"/>
    </row>
    <row r="967" spans="1:5" ht="12.5">
      <c r="A967" s="76"/>
      <c r="B967" s="5"/>
      <c r="C967" s="16"/>
      <c r="E967" s="5"/>
    </row>
    <row r="968" spans="1:5" ht="12.5">
      <c r="A968" s="76"/>
      <c r="B968" s="5"/>
      <c r="C968" s="16"/>
      <c r="E968" s="5"/>
    </row>
    <row r="969" spans="1:5" ht="12.5">
      <c r="A969" s="76"/>
      <c r="B969" s="5"/>
      <c r="C969" s="16"/>
      <c r="E969" s="5"/>
    </row>
    <row r="970" spans="1:5" ht="12.5">
      <c r="A970" s="76"/>
      <c r="B970" s="5"/>
      <c r="C970" s="16"/>
      <c r="E970" s="5"/>
    </row>
    <row r="971" spans="1:5" ht="12.5">
      <c r="A971" s="76"/>
      <c r="B971" s="5"/>
      <c r="C971" s="16"/>
      <c r="E971" s="5"/>
    </row>
    <row r="972" spans="1:5" ht="12.5">
      <c r="A972" s="76"/>
      <c r="B972" s="5"/>
      <c r="C972" s="16"/>
      <c r="E972" s="5"/>
    </row>
    <row r="973" spans="1:5" ht="12.5">
      <c r="A973" s="76"/>
      <c r="B973" s="5"/>
      <c r="C973" s="16"/>
      <c r="E973" s="5"/>
    </row>
    <row r="974" spans="1:5" ht="12.5">
      <c r="A974" s="76"/>
      <c r="B974" s="5"/>
      <c r="C974" s="16"/>
      <c r="E974" s="5"/>
    </row>
    <row r="975" spans="1:5" ht="12.5">
      <c r="A975" s="76"/>
      <c r="B975" s="5"/>
      <c r="C975" s="16"/>
      <c r="E975" s="5"/>
    </row>
    <row r="976" spans="1:5" ht="12.5">
      <c r="A976" s="76"/>
      <c r="B976" s="5"/>
      <c r="C976" s="16"/>
      <c r="E976" s="5"/>
    </row>
    <row r="977" spans="1:5" ht="12.5">
      <c r="A977" s="76"/>
      <c r="B977" s="5"/>
      <c r="C977" s="16"/>
      <c r="E977" s="5"/>
    </row>
    <row r="978" spans="1:5" ht="12.5">
      <c r="A978" s="76"/>
      <c r="B978" s="5"/>
      <c r="C978" s="16"/>
      <c r="E978" s="5"/>
    </row>
    <row r="979" spans="1:5" ht="12.5">
      <c r="A979" s="76"/>
      <c r="B979" s="5"/>
      <c r="C979" s="16"/>
      <c r="E979" s="5"/>
    </row>
    <row r="980" spans="1:5" ht="12.5">
      <c r="A980" s="76"/>
      <c r="B980" s="5"/>
      <c r="C980" s="16"/>
      <c r="E980" s="5"/>
    </row>
    <row r="981" spans="1:5" ht="12.5">
      <c r="A981" s="76"/>
      <c r="B981" s="5"/>
      <c r="C981" s="16"/>
      <c r="E981" s="5"/>
    </row>
    <row r="982" spans="1:5" ht="12.5">
      <c r="A982" s="76"/>
      <c r="B982" s="5"/>
      <c r="C982" s="16"/>
      <c r="E982" s="5"/>
    </row>
    <row r="983" spans="1:5" ht="12.5">
      <c r="A983" s="76"/>
      <c r="B983" s="5"/>
      <c r="C983" s="16"/>
      <c r="E983" s="5"/>
    </row>
    <row r="984" spans="1:5" ht="12.5">
      <c r="A984" s="76"/>
      <c r="B984" s="5"/>
      <c r="C984" s="16"/>
      <c r="E984" s="5"/>
    </row>
    <row r="985" spans="1:5" ht="12.5">
      <c r="A985" s="76"/>
      <c r="B985" s="5"/>
      <c r="C985" s="16"/>
      <c r="E985" s="5"/>
    </row>
    <row r="986" spans="1:5" ht="12.5">
      <c r="A986" s="76"/>
      <c r="B986" s="5"/>
      <c r="C986" s="16"/>
      <c r="E986" s="5"/>
    </row>
    <row r="987" spans="1:5" ht="12.5">
      <c r="A987" s="76"/>
      <c r="B987" s="5"/>
      <c r="C987" s="16"/>
      <c r="E987" s="5"/>
    </row>
    <row r="988" spans="1:5" ht="12.5">
      <c r="A988" s="76"/>
      <c r="B988" s="5"/>
      <c r="C988" s="16"/>
      <c r="E988" s="5"/>
    </row>
    <row r="989" spans="1:5" ht="12.5">
      <c r="A989" s="76"/>
      <c r="B989" s="5"/>
      <c r="C989" s="16"/>
      <c r="E989" s="5"/>
    </row>
    <row r="990" spans="1:5" ht="12.5">
      <c r="A990" s="76"/>
      <c r="B990" s="5"/>
      <c r="C990" s="16"/>
      <c r="E990" s="5"/>
    </row>
    <row r="991" spans="1:5" ht="12.5">
      <c r="A991" s="76"/>
      <c r="B991" s="5"/>
      <c r="C991" s="16"/>
      <c r="E991" s="5"/>
    </row>
    <row r="992" spans="1:5" ht="12.5">
      <c r="A992" s="76"/>
      <c r="B992" s="5"/>
      <c r="C992" s="16"/>
      <c r="E992" s="5"/>
    </row>
    <row r="993" spans="1:5" ht="12.5">
      <c r="A993" s="76"/>
      <c r="B993" s="5"/>
      <c r="C993" s="16"/>
      <c r="E993" s="5"/>
    </row>
    <row r="994" spans="1:5" ht="12.5">
      <c r="A994" s="76"/>
      <c r="B994" s="5"/>
      <c r="C994" s="16"/>
      <c r="E994" s="5"/>
    </row>
    <row r="995" spans="1:5" ht="12.5">
      <c r="A995" s="76"/>
      <c r="B995" s="5"/>
      <c r="C995" s="16"/>
      <c r="E995" s="5"/>
    </row>
    <row r="996" spans="1:5" ht="12.5">
      <c r="A996" s="76"/>
      <c r="B996" s="5"/>
      <c r="C996" s="16"/>
      <c r="E996" s="5"/>
    </row>
    <row r="997" spans="1:5" ht="12.5">
      <c r="A997" s="76"/>
      <c r="B997" s="5"/>
      <c r="C997" s="16"/>
      <c r="E997" s="5"/>
    </row>
    <row r="998" spans="1:5" ht="12.5">
      <c r="A998" s="76"/>
      <c r="B998" s="5"/>
      <c r="C998" s="16"/>
      <c r="E998" s="5"/>
    </row>
    <row r="999" spans="1:5" ht="12.5">
      <c r="A999" s="76"/>
      <c r="B999" s="5"/>
      <c r="C999" s="16"/>
      <c r="E999" s="5"/>
    </row>
    <row r="1000" spans="1:5" ht="12.5">
      <c r="A1000" s="76"/>
      <c r="B1000" s="5"/>
      <c r="C1000" s="16"/>
      <c r="E1000" s="5"/>
    </row>
  </sheetData>
  <conditionalFormatting sqref="A2:J1000">
    <cfRule type="expression" dxfId="19" priority="1">
      <formula>$E2="Pessoa 2"</formula>
    </cfRule>
    <cfRule type="expression" dxfId="18" priority="2">
      <formula>$E2="Pessoa 1"</formula>
    </cfRule>
  </conditionalFormatting>
  <dataValidations count="3">
    <dataValidation type="list" allowBlank="1" showErrorMessage="1" sqref="E2:E1000" xr:uid="{00000000-0002-0000-0500-000000000000}">
      <formula1>"Pessoa 1,Pessoa 2"</formula1>
    </dataValidation>
    <dataValidation type="list" allowBlank="1" showErrorMessage="1" sqref="B2:B1000" xr:uid="{00000000-0002-0000-0500-000001000000}">
      <formula1>"Aluguel_Cond,Home Supplies,Energia_Gás_Água_Esgoto,Internet_Telefonia,Comida_Alimentação,Manutenção_Casa,Móveis_Aparelhos_Decoração,Transporte Geral &amp; Coletivo,Transporte Uber &amp; Apps,Saúde,Academia &amp; Fitness,Educação,Roupa_Acessorios,Entretenimento_&amp;_Rest"&amp;"aurantes,Viagem/Vacation,Work-related,Imposto (IPVA-IPTU-etc),Outros,Investimento (aporte),Gasto Pessoal"</formula1>
    </dataValidation>
    <dataValidation type="custom" allowBlank="1" showDropDown="1" showErrorMessage="1" sqref="A2:A1000" xr:uid="{00000000-0002-0000-0500-000002000000}">
      <formula1>OR(NOT(ISERROR(DATEVALUE(A2))), AND(ISNUMBER(A2), LEFT(CELL("format", A2))="D"))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6D9EEB"/>
    <outlinePr summaryBelow="0" summaryRight="0"/>
  </sheetPr>
  <dimension ref="A1:J100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2.6328125" defaultRowHeight="15.75" customHeight="1"/>
  <cols>
    <col min="1" max="1" width="18.08984375" customWidth="1"/>
    <col min="2" max="2" width="30.36328125" customWidth="1"/>
    <col min="3" max="3" width="22.36328125" customWidth="1"/>
    <col min="4" max="4" width="60.90625" customWidth="1"/>
    <col min="5" max="5" width="12.7265625" customWidth="1"/>
    <col min="6" max="6" width="44.90625" customWidth="1"/>
    <col min="7" max="7" width="6.90625" customWidth="1"/>
    <col min="9" max="9" width="43.08984375" customWidth="1"/>
  </cols>
  <sheetData>
    <row r="1" spans="1:10">
      <c r="A1" s="77" t="s">
        <v>198</v>
      </c>
      <c r="B1" s="14" t="s">
        <v>103</v>
      </c>
      <c r="C1" s="72" t="s">
        <v>104</v>
      </c>
      <c r="D1" s="14" t="s">
        <v>105</v>
      </c>
      <c r="E1" s="14" t="s">
        <v>106</v>
      </c>
      <c r="F1" s="12"/>
      <c r="H1" s="12"/>
      <c r="I1" s="12"/>
    </row>
    <row r="2" spans="1:10" ht="15.75" customHeight="1">
      <c r="A2" s="78" t="s">
        <v>199</v>
      </c>
      <c r="B2" s="38" t="s">
        <v>38</v>
      </c>
      <c r="C2" s="75">
        <v>38.421776033828486</v>
      </c>
      <c r="D2" s="32" t="s">
        <v>200</v>
      </c>
      <c r="E2" s="32" t="s">
        <v>65</v>
      </c>
      <c r="F2" s="32"/>
      <c r="G2" s="5"/>
      <c r="H2" s="15"/>
      <c r="I2" s="5"/>
      <c r="J2" s="5"/>
    </row>
    <row r="3" spans="1:10" ht="15.75" customHeight="1">
      <c r="A3" s="78" t="s">
        <v>201</v>
      </c>
      <c r="B3" s="38" t="s">
        <v>48</v>
      </c>
      <c r="C3" s="75">
        <v>383.23005347349095</v>
      </c>
      <c r="D3" s="32" t="s">
        <v>202</v>
      </c>
      <c r="E3" s="32" t="s">
        <v>65</v>
      </c>
      <c r="F3" s="32"/>
      <c r="G3" s="5"/>
      <c r="H3" s="15"/>
      <c r="I3" s="5"/>
      <c r="J3" s="5"/>
    </row>
    <row r="4" spans="1:10" ht="15.75" customHeight="1">
      <c r="A4" s="78" t="s">
        <v>203</v>
      </c>
      <c r="B4" s="38" t="s">
        <v>36</v>
      </c>
      <c r="C4" s="75">
        <v>529.03792215636975</v>
      </c>
      <c r="D4" s="32" t="s">
        <v>204</v>
      </c>
      <c r="E4" s="32" t="s">
        <v>64</v>
      </c>
      <c r="F4" s="5"/>
      <c r="G4" s="5"/>
      <c r="H4" s="15"/>
      <c r="I4" s="5"/>
      <c r="J4" s="5"/>
    </row>
    <row r="5" spans="1:10" ht="15.75" customHeight="1">
      <c r="A5" s="78" t="s">
        <v>205</v>
      </c>
      <c r="B5" s="38" t="s">
        <v>44</v>
      </c>
      <c r="C5" s="75">
        <v>259.64951893517247</v>
      </c>
      <c r="D5" s="32" t="s">
        <v>206</v>
      </c>
      <c r="E5" s="32" t="s">
        <v>65</v>
      </c>
      <c r="F5" s="5"/>
      <c r="G5" s="5"/>
      <c r="H5" s="15"/>
      <c r="I5" s="5"/>
      <c r="J5" s="5"/>
    </row>
    <row r="6" spans="1:10" ht="15.75" customHeight="1">
      <c r="A6" s="78" t="s">
        <v>207</v>
      </c>
      <c r="B6" s="38" t="s">
        <v>39</v>
      </c>
      <c r="C6" s="75">
        <v>202.29356545769878</v>
      </c>
      <c r="D6" s="32" t="s">
        <v>208</v>
      </c>
      <c r="E6" s="32" t="s">
        <v>64</v>
      </c>
      <c r="F6" s="5"/>
      <c r="G6" s="5"/>
      <c r="H6" s="15"/>
      <c r="I6" s="5"/>
      <c r="J6" s="5"/>
    </row>
    <row r="7" spans="1:10" ht="15.75" customHeight="1">
      <c r="A7" s="78" t="s">
        <v>199</v>
      </c>
      <c r="B7" s="38" t="s">
        <v>50</v>
      </c>
      <c r="C7" s="75">
        <v>146.72096171999789</v>
      </c>
      <c r="D7" s="32" t="s">
        <v>209</v>
      </c>
      <c r="E7" s="32" t="s">
        <v>65</v>
      </c>
      <c r="F7" s="5"/>
      <c r="G7" s="5"/>
      <c r="H7" s="15"/>
      <c r="I7" s="5"/>
      <c r="J7" s="5"/>
    </row>
    <row r="8" spans="1:10" ht="15.75" customHeight="1">
      <c r="A8" s="78" t="s">
        <v>210</v>
      </c>
      <c r="B8" s="38" t="s">
        <v>40</v>
      </c>
      <c r="C8" s="75">
        <v>105.48927355858666</v>
      </c>
      <c r="D8" s="32" t="s">
        <v>211</v>
      </c>
      <c r="E8" s="32" t="s">
        <v>65</v>
      </c>
      <c r="F8" s="5"/>
      <c r="G8" s="5"/>
      <c r="H8" s="15"/>
      <c r="I8" s="5"/>
      <c r="J8" s="5"/>
    </row>
    <row r="9" spans="1:10" ht="15.75" customHeight="1">
      <c r="A9" s="78" t="s">
        <v>212</v>
      </c>
      <c r="B9" s="38" t="s">
        <v>44</v>
      </c>
      <c r="C9" s="75">
        <v>369.50677491356066</v>
      </c>
      <c r="D9" s="32" t="s">
        <v>213</v>
      </c>
      <c r="E9" s="32" t="s">
        <v>65</v>
      </c>
      <c r="F9" s="5"/>
      <c r="G9" s="5"/>
      <c r="H9" s="15"/>
      <c r="I9" s="5"/>
      <c r="J9" s="5"/>
    </row>
    <row r="10" spans="1:10" ht="15.75" customHeight="1">
      <c r="A10" s="78" t="s">
        <v>214</v>
      </c>
      <c r="B10" s="38" t="s">
        <v>47</v>
      </c>
      <c r="C10" s="75">
        <v>237.21885225259732</v>
      </c>
      <c r="D10" s="32" t="s">
        <v>215</v>
      </c>
      <c r="E10" s="32" t="s">
        <v>64</v>
      </c>
      <c r="F10" s="5"/>
      <c r="G10" s="5"/>
      <c r="H10" s="15"/>
      <c r="I10" s="5"/>
      <c r="J10" s="5"/>
    </row>
    <row r="11" spans="1:10" ht="15.75" customHeight="1">
      <c r="A11" s="78" t="s">
        <v>216</v>
      </c>
      <c r="B11" s="38" t="s">
        <v>43</v>
      </c>
      <c r="C11" s="75">
        <v>356.45698596260002</v>
      </c>
      <c r="D11" s="32" t="s">
        <v>217</v>
      </c>
      <c r="E11" s="32" t="s">
        <v>64</v>
      </c>
      <c r="F11" s="5"/>
      <c r="G11" s="5"/>
      <c r="H11" s="15"/>
      <c r="I11" s="5"/>
      <c r="J11" s="5"/>
    </row>
    <row r="12" spans="1:10" ht="15.75" customHeight="1">
      <c r="A12" s="78" t="s">
        <v>218</v>
      </c>
      <c r="B12" s="38" t="s">
        <v>42</v>
      </c>
      <c r="C12" s="75">
        <v>472.61437239136666</v>
      </c>
      <c r="D12" s="32" t="s">
        <v>219</v>
      </c>
      <c r="E12" s="32" t="s">
        <v>65</v>
      </c>
      <c r="F12" s="5"/>
      <c r="G12" s="5"/>
      <c r="H12" s="15"/>
      <c r="I12" s="5"/>
      <c r="J12" s="5"/>
    </row>
    <row r="13" spans="1:10" ht="15.75" customHeight="1">
      <c r="A13" s="78" t="s">
        <v>212</v>
      </c>
      <c r="B13" s="38" t="s">
        <v>44</v>
      </c>
      <c r="C13" s="75">
        <v>51.317744733815459</v>
      </c>
      <c r="D13" s="32" t="s">
        <v>213</v>
      </c>
      <c r="E13" s="32" t="s">
        <v>65</v>
      </c>
      <c r="F13" s="5"/>
      <c r="G13" s="5"/>
      <c r="H13" s="15"/>
      <c r="I13" s="5"/>
      <c r="J13" s="5"/>
    </row>
    <row r="14" spans="1:10" ht="15.75" customHeight="1">
      <c r="A14" s="78" t="s">
        <v>220</v>
      </c>
      <c r="B14" s="38" t="s">
        <v>46</v>
      </c>
      <c r="C14" s="75">
        <v>478.72421885255153</v>
      </c>
      <c r="D14" s="32" t="s">
        <v>221</v>
      </c>
      <c r="E14" s="32" t="s">
        <v>64</v>
      </c>
      <c r="F14" s="5"/>
      <c r="G14" s="5"/>
      <c r="H14" s="15"/>
      <c r="I14" s="5"/>
      <c r="J14" s="5"/>
    </row>
    <row r="15" spans="1:10" ht="15.75" customHeight="1">
      <c r="A15" s="78" t="s">
        <v>203</v>
      </c>
      <c r="B15" s="38" t="s">
        <v>41</v>
      </c>
      <c r="C15" s="75">
        <v>529.17831371739089</v>
      </c>
      <c r="D15" s="32" t="s">
        <v>222</v>
      </c>
      <c r="E15" s="32" t="s">
        <v>64</v>
      </c>
      <c r="F15" s="5"/>
      <c r="G15" s="5"/>
      <c r="H15" s="15"/>
      <c r="I15" s="5"/>
      <c r="J15" s="5"/>
    </row>
    <row r="16" spans="1:10" ht="15.75" customHeight="1">
      <c r="A16" s="78" t="s">
        <v>223</v>
      </c>
      <c r="B16" s="38" t="s">
        <v>48</v>
      </c>
      <c r="C16" s="75">
        <v>84.149965620064847</v>
      </c>
      <c r="D16" s="32" t="s">
        <v>224</v>
      </c>
      <c r="E16" s="32" t="s">
        <v>64</v>
      </c>
      <c r="F16" s="5"/>
      <c r="G16" s="5"/>
      <c r="H16" s="15"/>
      <c r="I16" s="5"/>
      <c r="J16" s="5"/>
    </row>
    <row r="17" spans="1:10" ht="15.75" customHeight="1">
      <c r="A17" s="78" t="s">
        <v>225</v>
      </c>
      <c r="B17" s="38" t="s">
        <v>46</v>
      </c>
      <c r="C17" s="75">
        <v>464.57170723802733</v>
      </c>
      <c r="D17" s="32" t="s">
        <v>226</v>
      </c>
      <c r="E17" s="32" t="s">
        <v>64</v>
      </c>
      <c r="F17" s="5"/>
      <c r="G17" s="5"/>
      <c r="H17" s="15"/>
      <c r="I17" s="5"/>
      <c r="J17" s="5"/>
    </row>
    <row r="18" spans="1:10" ht="15.75" customHeight="1">
      <c r="A18" s="78" t="s">
        <v>227</v>
      </c>
      <c r="B18" s="38" t="s">
        <v>42</v>
      </c>
      <c r="C18" s="75">
        <v>224.81754689341153</v>
      </c>
      <c r="D18" s="32" t="s">
        <v>228</v>
      </c>
      <c r="E18" s="32" t="s">
        <v>65</v>
      </c>
      <c r="F18" s="5"/>
      <c r="G18" s="5"/>
      <c r="H18" s="15"/>
      <c r="I18" s="5"/>
      <c r="J18" s="5"/>
    </row>
    <row r="19" spans="1:10" ht="15.75" customHeight="1">
      <c r="A19" s="78" t="s">
        <v>207</v>
      </c>
      <c r="B19" s="38" t="s">
        <v>109</v>
      </c>
      <c r="C19" s="75">
        <v>568.61694539214545</v>
      </c>
      <c r="D19" s="32" t="s">
        <v>229</v>
      </c>
      <c r="E19" s="32" t="s">
        <v>64</v>
      </c>
      <c r="F19" s="5"/>
      <c r="G19" s="5"/>
      <c r="H19" s="15"/>
      <c r="I19" s="5"/>
      <c r="J19" s="5"/>
    </row>
    <row r="20" spans="1:10" ht="15.75" customHeight="1">
      <c r="A20" s="78" t="s">
        <v>205</v>
      </c>
      <c r="B20" s="38" t="s">
        <v>52</v>
      </c>
      <c r="C20" s="75">
        <v>582.52419893816068</v>
      </c>
      <c r="D20" s="32" t="s">
        <v>230</v>
      </c>
      <c r="E20" s="32" t="s">
        <v>65</v>
      </c>
      <c r="F20" s="5"/>
      <c r="G20" s="5"/>
      <c r="H20" s="15"/>
      <c r="I20" s="5"/>
      <c r="J20" s="5"/>
    </row>
    <row r="21" spans="1:10" ht="15.75" customHeight="1">
      <c r="A21" s="78" t="s">
        <v>218</v>
      </c>
      <c r="B21" s="38" t="s">
        <v>50</v>
      </c>
      <c r="C21" s="75">
        <v>76.37197443122183</v>
      </c>
      <c r="D21" s="32" t="s">
        <v>231</v>
      </c>
      <c r="E21" s="32" t="s">
        <v>64</v>
      </c>
      <c r="F21" s="5"/>
      <c r="G21" s="5"/>
      <c r="H21" s="15"/>
      <c r="I21" s="5"/>
      <c r="J21" s="5"/>
    </row>
    <row r="22" spans="1:10" ht="15.75" customHeight="1">
      <c r="A22" s="78" t="s">
        <v>210</v>
      </c>
      <c r="B22" s="38" t="s">
        <v>44</v>
      </c>
      <c r="C22" s="75">
        <v>597.81251258634245</v>
      </c>
      <c r="D22" s="32" t="s">
        <v>232</v>
      </c>
      <c r="E22" s="32" t="s">
        <v>65</v>
      </c>
      <c r="F22" s="5"/>
      <c r="G22" s="5"/>
      <c r="H22" s="15"/>
      <c r="I22" s="5"/>
      <c r="J22" s="5"/>
    </row>
    <row r="23" spans="1:10" ht="15.75" customHeight="1">
      <c r="A23" s="78" t="s">
        <v>216</v>
      </c>
      <c r="B23" s="38" t="s">
        <v>52</v>
      </c>
      <c r="C23" s="75">
        <v>97.110675318190303</v>
      </c>
      <c r="D23" s="32" t="s">
        <v>233</v>
      </c>
      <c r="E23" s="32" t="s">
        <v>65</v>
      </c>
      <c r="F23" s="5"/>
      <c r="G23" s="5"/>
      <c r="H23" s="15"/>
      <c r="I23" s="5"/>
      <c r="J23" s="5"/>
    </row>
    <row r="24" spans="1:10" ht="15.75" customHeight="1">
      <c r="A24" s="76"/>
      <c r="B24" s="15"/>
      <c r="C24" s="16"/>
      <c r="E24" s="5"/>
      <c r="H24" s="15"/>
    </row>
    <row r="25" spans="1:10" ht="15.75" customHeight="1">
      <c r="A25" s="76"/>
      <c r="B25" s="15"/>
      <c r="C25" s="16"/>
      <c r="E25" s="5"/>
      <c r="H25" s="15"/>
    </row>
    <row r="26" spans="1:10" ht="15.75" customHeight="1">
      <c r="A26" s="76"/>
      <c r="B26" s="15"/>
      <c r="C26" s="16"/>
      <c r="E26" s="5"/>
      <c r="H26" s="15"/>
    </row>
    <row r="27" spans="1:10" ht="15.75" customHeight="1">
      <c r="A27" s="76"/>
      <c r="B27" s="15"/>
      <c r="C27" s="16"/>
      <c r="E27" s="5"/>
      <c r="H27" s="15"/>
    </row>
    <row r="28" spans="1:10" ht="15.75" customHeight="1">
      <c r="A28" s="76"/>
      <c r="B28" s="15"/>
      <c r="C28" s="16"/>
      <c r="E28" s="5"/>
      <c r="H28" s="15"/>
    </row>
    <row r="29" spans="1:10" ht="15.75" customHeight="1">
      <c r="A29" s="76"/>
      <c r="B29" s="15"/>
      <c r="C29" s="16"/>
      <c r="E29" s="5"/>
      <c r="H29" s="15"/>
    </row>
    <row r="30" spans="1:10" ht="15.75" customHeight="1">
      <c r="A30" s="76"/>
      <c r="B30" s="15"/>
      <c r="C30" s="16"/>
      <c r="E30" s="5"/>
      <c r="H30" s="15"/>
    </row>
    <row r="31" spans="1:10" ht="15.75" customHeight="1">
      <c r="A31" s="76"/>
      <c r="B31" s="15"/>
      <c r="C31" s="16"/>
      <c r="E31" s="5"/>
      <c r="H31" s="15"/>
    </row>
    <row r="32" spans="1:10" ht="15.75" customHeight="1">
      <c r="A32" s="76"/>
      <c r="B32" s="15"/>
      <c r="C32" s="16"/>
      <c r="E32" s="5"/>
      <c r="H32" s="15"/>
    </row>
    <row r="33" spans="1:9" ht="15.75" customHeight="1">
      <c r="A33" s="76"/>
      <c r="B33" s="15"/>
      <c r="C33" s="16"/>
      <c r="E33" s="5"/>
      <c r="H33" s="15"/>
    </row>
    <row r="34" spans="1:9" ht="15.75" customHeight="1">
      <c r="A34" s="76"/>
      <c r="B34" s="15"/>
      <c r="C34" s="16"/>
      <c r="E34" s="5"/>
      <c r="H34" s="15"/>
    </row>
    <row r="35" spans="1:9" ht="15.75" customHeight="1">
      <c r="A35" s="76"/>
      <c r="B35" s="15"/>
      <c r="C35" s="16"/>
      <c r="E35" s="5"/>
      <c r="H35" s="15"/>
    </row>
    <row r="36" spans="1:9" ht="15.75" customHeight="1">
      <c r="A36" s="76"/>
      <c r="B36" s="15"/>
      <c r="C36" s="16"/>
      <c r="E36" s="5"/>
      <c r="H36" s="15"/>
    </row>
    <row r="37" spans="1:9" ht="15.75" customHeight="1">
      <c r="A37" s="76"/>
      <c r="B37" s="15"/>
      <c r="C37" s="16"/>
      <c r="E37" s="5"/>
      <c r="H37" s="15"/>
    </row>
    <row r="38" spans="1:9" ht="15.75" customHeight="1">
      <c r="A38" s="76"/>
      <c r="B38" s="15"/>
      <c r="C38" s="16"/>
      <c r="E38" s="5"/>
      <c r="H38" s="15"/>
    </row>
    <row r="39" spans="1:9" ht="15.75" customHeight="1">
      <c r="A39" s="76"/>
      <c r="B39" s="15"/>
      <c r="C39" s="16"/>
      <c r="E39" s="5"/>
      <c r="H39" s="15"/>
    </row>
    <row r="40" spans="1:9" ht="15.75" customHeight="1">
      <c r="A40" s="76"/>
      <c r="B40" s="15"/>
      <c r="C40" s="16"/>
      <c r="E40" s="5"/>
      <c r="H40" s="15"/>
    </row>
    <row r="41" spans="1:9" ht="15.75" customHeight="1">
      <c r="A41" s="76"/>
      <c r="B41" s="15"/>
      <c r="C41" s="16"/>
      <c r="E41" s="5"/>
      <c r="H41" s="15"/>
    </row>
    <row r="42" spans="1:9" ht="15.75" customHeight="1">
      <c r="A42" s="76"/>
      <c r="B42" s="15"/>
      <c r="C42" s="16"/>
      <c r="E42" s="5"/>
      <c r="H42" s="15"/>
    </row>
    <row r="43" spans="1:9" ht="15.75" customHeight="1">
      <c r="A43" s="76"/>
      <c r="B43" s="15"/>
      <c r="C43" s="16"/>
      <c r="E43" s="5"/>
      <c r="H43" s="15"/>
    </row>
    <row r="44" spans="1:9" ht="15.75" customHeight="1">
      <c r="A44" s="76"/>
      <c r="B44" s="15"/>
      <c r="C44" s="16"/>
      <c r="E44" s="5"/>
      <c r="F44" s="32"/>
      <c r="H44" s="15"/>
      <c r="I44" s="5"/>
    </row>
    <row r="45" spans="1:9" ht="15.75" customHeight="1">
      <c r="A45" s="76"/>
      <c r="B45" s="15"/>
      <c r="C45" s="16"/>
      <c r="E45" s="5"/>
      <c r="F45" s="32"/>
      <c r="H45" s="15"/>
      <c r="I45" s="5"/>
    </row>
    <row r="46" spans="1:9" ht="15.75" customHeight="1">
      <c r="A46" s="76"/>
      <c r="B46" s="15"/>
      <c r="C46" s="16"/>
      <c r="E46" s="5"/>
      <c r="F46" s="32"/>
      <c r="H46" s="15"/>
    </row>
    <row r="47" spans="1:9" ht="15.75" customHeight="1">
      <c r="A47" s="76"/>
      <c r="B47" s="15"/>
      <c r="C47" s="16"/>
      <c r="E47" s="5"/>
      <c r="H47" s="15"/>
    </row>
    <row r="48" spans="1:9" ht="15.75" customHeight="1">
      <c r="A48" s="76"/>
      <c r="B48" s="15"/>
      <c r="C48" s="16"/>
      <c r="E48" s="5"/>
      <c r="H48" s="15"/>
    </row>
    <row r="49" spans="1:8" ht="15.75" customHeight="1">
      <c r="A49" s="76"/>
      <c r="B49" s="15"/>
      <c r="C49" s="16"/>
      <c r="E49" s="5"/>
      <c r="H49" s="15"/>
    </row>
    <row r="50" spans="1:8" ht="15.75" customHeight="1">
      <c r="A50" s="76"/>
      <c r="B50" s="15"/>
      <c r="C50" s="16"/>
      <c r="E50" s="5"/>
      <c r="H50" s="15"/>
    </row>
    <row r="51" spans="1:8" ht="15.75" customHeight="1">
      <c r="A51" s="76"/>
      <c r="B51" s="15"/>
      <c r="C51" s="16"/>
      <c r="E51" s="5"/>
      <c r="H51" s="15"/>
    </row>
    <row r="52" spans="1:8" ht="15.75" customHeight="1">
      <c r="A52" s="76"/>
      <c r="B52" s="15"/>
      <c r="C52" s="16"/>
      <c r="E52" s="5"/>
      <c r="H52" s="15"/>
    </row>
    <row r="53" spans="1:8" ht="15.75" customHeight="1">
      <c r="A53" s="76"/>
      <c r="B53" s="15"/>
      <c r="C53" s="16"/>
      <c r="E53" s="5"/>
      <c r="H53" s="15"/>
    </row>
    <row r="54" spans="1:8" ht="15.75" customHeight="1">
      <c r="A54" s="76"/>
      <c r="B54" s="15"/>
      <c r="C54" s="16"/>
      <c r="E54" s="5"/>
      <c r="H54" s="15"/>
    </row>
    <row r="55" spans="1:8" ht="15.75" customHeight="1">
      <c r="A55" s="76"/>
      <c r="B55" s="15"/>
      <c r="C55" s="16"/>
      <c r="E55" s="5"/>
      <c r="H55" s="15"/>
    </row>
    <row r="56" spans="1:8" ht="15.75" customHeight="1">
      <c r="A56" s="76"/>
      <c r="B56" s="15"/>
      <c r="C56" s="16"/>
      <c r="E56" s="5"/>
      <c r="H56" s="15"/>
    </row>
    <row r="57" spans="1:8" ht="12.5">
      <c r="A57" s="76"/>
      <c r="B57" s="15"/>
      <c r="C57" s="16"/>
      <c r="E57" s="5"/>
      <c r="H57" s="15"/>
    </row>
    <row r="58" spans="1:8" ht="12.5">
      <c r="A58" s="76"/>
      <c r="B58" s="15"/>
      <c r="C58" s="16"/>
      <c r="E58" s="5"/>
      <c r="H58" s="15"/>
    </row>
    <row r="59" spans="1:8" ht="12.5">
      <c r="A59" s="76"/>
      <c r="B59" s="15"/>
      <c r="C59" s="16"/>
      <c r="E59" s="5"/>
      <c r="H59" s="15"/>
    </row>
    <row r="60" spans="1:8" ht="12.5">
      <c r="A60" s="76"/>
      <c r="B60" s="15"/>
      <c r="C60" s="16"/>
      <c r="E60" s="5"/>
      <c r="H60" s="15"/>
    </row>
    <row r="61" spans="1:8" ht="12.5">
      <c r="A61" s="76"/>
      <c r="B61" s="15"/>
      <c r="C61" s="16"/>
      <c r="E61" s="5"/>
      <c r="H61" s="15"/>
    </row>
    <row r="62" spans="1:8" ht="12.5">
      <c r="A62" s="76"/>
      <c r="B62" s="15"/>
      <c r="C62" s="16"/>
      <c r="E62" s="5"/>
      <c r="H62" s="15"/>
    </row>
    <row r="63" spans="1:8" ht="12.5">
      <c r="A63" s="76"/>
      <c r="B63" s="15"/>
      <c r="C63" s="16"/>
      <c r="E63" s="5"/>
      <c r="H63" s="15"/>
    </row>
    <row r="64" spans="1:8" ht="12.5">
      <c r="A64" s="76"/>
      <c r="B64" s="15"/>
      <c r="C64" s="16"/>
      <c r="E64" s="5"/>
      <c r="H64" s="15"/>
    </row>
    <row r="65" spans="1:8" ht="12.5">
      <c r="A65" s="76"/>
      <c r="B65" s="15"/>
      <c r="C65" s="16"/>
      <c r="E65" s="5"/>
      <c r="H65" s="15"/>
    </row>
    <row r="66" spans="1:8" ht="12.5">
      <c r="A66" s="76"/>
      <c r="B66" s="15"/>
      <c r="C66" s="16"/>
      <c r="E66" s="5"/>
      <c r="H66" s="15"/>
    </row>
    <row r="67" spans="1:8" ht="12.5">
      <c r="A67" s="76"/>
      <c r="B67" s="15"/>
      <c r="C67" s="16"/>
      <c r="E67" s="5"/>
      <c r="H67" s="15"/>
    </row>
    <row r="68" spans="1:8" ht="12.5">
      <c r="A68" s="76"/>
      <c r="B68" s="15"/>
      <c r="C68" s="16"/>
      <c r="E68" s="5"/>
      <c r="H68" s="15"/>
    </row>
    <row r="69" spans="1:8" ht="12.5">
      <c r="A69" s="76"/>
      <c r="B69" s="15"/>
      <c r="C69" s="16"/>
      <c r="E69" s="5"/>
      <c r="H69" s="15"/>
    </row>
    <row r="70" spans="1:8" ht="12.5">
      <c r="A70" s="76"/>
      <c r="B70" s="15"/>
      <c r="C70" s="16"/>
      <c r="E70" s="5"/>
      <c r="H70" s="15"/>
    </row>
    <row r="71" spans="1:8" ht="12.5">
      <c r="A71" s="76"/>
      <c r="B71" s="5"/>
      <c r="C71" s="16"/>
      <c r="E71" s="5"/>
    </row>
    <row r="72" spans="1:8" ht="12.5">
      <c r="A72" s="76"/>
      <c r="B72" s="5"/>
      <c r="C72" s="16"/>
      <c r="E72" s="5"/>
    </row>
    <row r="73" spans="1:8" ht="12.5">
      <c r="A73" s="76"/>
      <c r="B73" s="5"/>
      <c r="C73" s="16"/>
      <c r="E73" s="5"/>
    </row>
    <row r="74" spans="1:8" ht="12.5">
      <c r="A74" s="76"/>
      <c r="B74" s="5"/>
      <c r="C74" s="16"/>
      <c r="E74" s="5"/>
    </row>
    <row r="75" spans="1:8" ht="12.5">
      <c r="A75" s="76"/>
      <c r="B75" s="5"/>
      <c r="C75" s="16"/>
      <c r="E75" s="5"/>
    </row>
    <row r="76" spans="1:8" ht="12.5">
      <c r="A76" s="76"/>
      <c r="B76" s="5"/>
      <c r="C76" s="16"/>
      <c r="E76" s="5"/>
    </row>
    <row r="77" spans="1:8" ht="12.5">
      <c r="A77" s="76"/>
      <c r="B77" s="5"/>
      <c r="C77" s="16"/>
      <c r="E77" s="5"/>
    </row>
    <row r="78" spans="1:8" ht="12.5">
      <c r="A78" s="76"/>
      <c r="B78" s="5"/>
      <c r="C78" s="16"/>
      <c r="E78" s="5"/>
    </row>
    <row r="79" spans="1:8" ht="12.5">
      <c r="A79" s="76"/>
      <c r="B79" s="5"/>
      <c r="C79" s="16"/>
      <c r="E79" s="5"/>
    </row>
    <row r="80" spans="1:8" ht="12.5">
      <c r="A80" s="76"/>
      <c r="B80" s="5"/>
      <c r="C80" s="16"/>
      <c r="E80" s="5"/>
    </row>
    <row r="81" spans="1:5" ht="12.5">
      <c r="A81" s="76"/>
      <c r="B81" s="5"/>
      <c r="C81" s="16"/>
      <c r="E81" s="5"/>
    </row>
    <row r="82" spans="1:5" ht="12.5">
      <c r="A82" s="76"/>
      <c r="B82" s="5"/>
      <c r="C82" s="16"/>
      <c r="E82" s="5"/>
    </row>
    <row r="83" spans="1:5" ht="12.5">
      <c r="A83" s="76"/>
      <c r="B83" s="5"/>
      <c r="C83" s="16"/>
      <c r="E83" s="5"/>
    </row>
    <row r="84" spans="1:5" ht="12.5">
      <c r="A84" s="76"/>
      <c r="B84" s="5"/>
      <c r="C84" s="16"/>
      <c r="E84" s="5"/>
    </row>
    <row r="85" spans="1:5" ht="12.5">
      <c r="A85" s="76"/>
      <c r="B85" s="5"/>
      <c r="C85" s="16"/>
      <c r="E85" s="5"/>
    </row>
    <row r="86" spans="1:5" ht="12.5">
      <c r="A86" s="76"/>
      <c r="B86" s="5"/>
      <c r="C86" s="16"/>
      <c r="E86" s="5"/>
    </row>
    <row r="87" spans="1:5" ht="12.5">
      <c r="A87" s="76"/>
      <c r="B87" s="5"/>
      <c r="C87" s="16"/>
      <c r="E87" s="5"/>
    </row>
    <row r="88" spans="1:5" ht="12.5">
      <c r="A88" s="76"/>
      <c r="B88" s="5"/>
      <c r="C88" s="16"/>
      <c r="E88" s="5"/>
    </row>
    <row r="89" spans="1:5" ht="12.5">
      <c r="A89" s="76"/>
      <c r="B89" s="5"/>
      <c r="C89" s="16"/>
      <c r="E89" s="5"/>
    </row>
    <row r="90" spans="1:5" ht="12.5">
      <c r="A90" s="76"/>
      <c r="B90" s="5"/>
      <c r="C90" s="16"/>
      <c r="E90" s="5"/>
    </row>
    <row r="91" spans="1:5" ht="12.5">
      <c r="A91" s="76"/>
      <c r="B91" s="5"/>
      <c r="C91" s="16"/>
      <c r="E91" s="5"/>
    </row>
    <row r="92" spans="1:5" ht="12.5">
      <c r="A92" s="76"/>
      <c r="B92" s="5"/>
      <c r="C92" s="16"/>
      <c r="E92" s="5"/>
    </row>
    <row r="93" spans="1:5" ht="12.5">
      <c r="A93" s="76"/>
      <c r="B93" s="5"/>
      <c r="C93" s="16"/>
      <c r="E93" s="5"/>
    </row>
    <row r="94" spans="1:5" ht="12.5">
      <c r="A94" s="76"/>
      <c r="B94" s="5"/>
      <c r="C94" s="16"/>
      <c r="E94" s="5"/>
    </row>
    <row r="95" spans="1:5" ht="12.5">
      <c r="A95" s="76"/>
      <c r="B95" s="5"/>
      <c r="C95" s="16"/>
      <c r="E95" s="5"/>
    </row>
    <row r="96" spans="1:5" ht="12.5">
      <c r="A96" s="76"/>
      <c r="B96" s="5"/>
      <c r="C96" s="16"/>
      <c r="E96" s="5"/>
    </row>
    <row r="97" spans="1:5" ht="12.5">
      <c r="A97" s="76"/>
      <c r="B97" s="5"/>
      <c r="C97" s="16"/>
      <c r="E97" s="5"/>
    </row>
    <row r="98" spans="1:5" ht="12.5">
      <c r="A98" s="76"/>
      <c r="B98" s="5"/>
      <c r="C98" s="16"/>
      <c r="E98" s="5"/>
    </row>
    <row r="99" spans="1:5" ht="12.5">
      <c r="A99" s="76"/>
      <c r="B99" s="5"/>
      <c r="C99" s="16"/>
      <c r="E99" s="5"/>
    </row>
    <row r="100" spans="1:5" ht="12.5">
      <c r="A100" s="76"/>
      <c r="B100" s="5"/>
      <c r="C100" s="16"/>
      <c r="E100" s="5"/>
    </row>
    <row r="101" spans="1:5" ht="12.5">
      <c r="A101" s="76"/>
      <c r="B101" s="5"/>
      <c r="C101" s="16"/>
      <c r="E101" s="5"/>
    </row>
    <row r="102" spans="1:5" ht="12.5">
      <c r="A102" s="76"/>
      <c r="B102" s="5"/>
      <c r="C102" s="16"/>
      <c r="E102" s="5"/>
    </row>
    <row r="103" spans="1:5" ht="12.5">
      <c r="A103" s="76"/>
      <c r="B103" s="5"/>
      <c r="C103" s="16"/>
      <c r="E103" s="5"/>
    </row>
    <row r="104" spans="1:5" ht="12.5">
      <c r="A104" s="76"/>
      <c r="B104" s="5"/>
      <c r="C104" s="16"/>
      <c r="E104" s="5"/>
    </row>
    <row r="105" spans="1:5" ht="12.5">
      <c r="A105" s="76"/>
      <c r="B105" s="5"/>
      <c r="C105" s="16"/>
      <c r="E105" s="5"/>
    </row>
    <row r="106" spans="1:5" ht="12.5">
      <c r="A106" s="76"/>
      <c r="B106" s="5"/>
      <c r="C106" s="16"/>
      <c r="E106" s="5"/>
    </row>
    <row r="107" spans="1:5" ht="12.5">
      <c r="A107" s="76"/>
      <c r="B107" s="5"/>
      <c r="C107" s="16"/>
      <c r="E107" s="5"/>
    </row>
    <row r="108" spans="1:5" ht="12.5">
      <c r="A108" s="76"/>
      <c r="B108" s="5"/>
      <c r="C108" s="16"/>
      <c r="E108" s="5"/>
    </row>
    <row r="109" spans="1:5" ht="12.5">
      <c r="A109" s="76"/>
      <c r="B109" s="5"/>
      <c r="C109" s="16"/>
      <c r="E109" s="5"/>
    </row>
    <row r="110" spans="1:5" ht="12.5">
      <c r="A110" s="76"/>
      <c r="B110" s="5"/>
      <c r="C110" s="16"/>
      <c r="E110" s="5"/>
    </row>
    <row r="111" spans="1:5" ht="12.5">
      <c r="A111" s="76"/>
      <c r="B111" s="5"/>
      <c r="C111" s="16"/>
      <c r="E111" s="5"/>
    </row>
    <row r="112" spans="1:5" ht="12.5">
      <c r="A112" s="76"/>
      <c r="B112" s="5"/>
      <c r="C112" s="16"/>
      <c r="E112" s="5"/>
    </row>
    <row r="113" spans="1:5" ht="12.5">
      <c r="A113" s="76"/>
      <c r="B113" s="5"/>
      <c r="C113" s="16"/>
      <c r="E113" s="5"/>
    </row>
    <row r="114" spans="1:5" ht="12.5">
      <c r="A114" s="76"/>
      <c r="B114" s="5"/>
      <c r="C114" s="16"/>
      <c r="E114" s="5"/>
    </row>
    <row r="115" spans="1:5" ht="12.5">
      <c r="A115" s="76"/>
      <c r="B115" s="5"/>
      <c r="C115" s="16"/>
      <c r="E115" s="5"/>
    </row>
    <row r="116" spans="1:5" ht="12.5">
      <c r="A116" s="76"/>
      <c r="B116" s="5"/>
      <c r="C116" s="16"/>
      <c r="E116" s="5"/>
    </row>
    <row r="117" spans="1:5" ht="12.5">
      <c r="A117" s="76"/>
      <c r="B117" s="5"/>
      <c r="C117" s="16"/>
      <c r="E117" s="5"/>
    </row>
    <row r="118" spans="1:5" ht="12.5">
      <c r="A118" s="76"/>
      <c r="B118" s="5"/>
      <c r="C118" s="16"/>
      <c r="E118" s="5"/>
    </row>
    <row r="119" spans="1:5" ht="12.5">
      <c r="A119" s="76"/>
      <c r="B119" s="5"/>
      <c r="C119" s="16"/>
      <c r="E119" s="5"/>
    </row>
    <row r="120" spans="1:5" ht="12.5">
      <c r="A120" s="76"/>
      <c r="B120" s="5"/>
      <c r="C120" s="16"/>
      <c r="E120" s="5"/>
    </row>
    <row r="121" spans="1:5" ht="12.5">
      <c r="A121" s="76"/>
      <c r="B121" s="5"/>
      <c r="C121" s="16"/>
      <c r="E121" s="5"/>
    </row>
    <row r="122" spans="1:5" ht="12.5">
      <c r="A122" s="76"/>
      <c r="B122" s="5"/>
      <c r="C122" s="16"/>
      <c r="E122" s="5"/>
    </row>
    <row r="123" spans="1:5" ht="12.5">
      <c r="A123" s="76"/>
      <c r="B123" s="5"/>
      <c r="C123" s="16"/>
      <c r="E123" s="5"/>
    </row>
    <row r="124" spans="1:5" ht="12.5">
      <c r="A124" s="76"/>
      <c r="B124" s="5"/>
      <c r="C124" s="16"/>
      <c r="E124" s="5"/>
    </row>
    <row r="125" spans="1:5" ht="12.5">
      <c r="A125" s="76"/>
      <c r="B125" s="5"/>
      <c r="C125" s="16"/>
      <c r="E125" s="5"/>
    </row>
    <row r="126" spans="1:5" ht="12.5">
      <c r="A126" s="76"/>
      <c r="B126" s="5"/>
      <c r="C126" s="16"/>
      <c r="E126" s="5"/>
    </row>
    <row r="127" spans="1:5" ht="12.5">
      <c r="A127" s="76"/>
      <c r="B127" s="5"/>
      <c r="C127" s="16"/>
      <c r="E127" s="5"/>
    </row>
    <row r="128" spans="1:5" ht="12.5">
      <c r="A128" s="76"/>
      <c r="B128" s="5"/>
      <c r="C128" s="16"/>
      <c r="E128" s="5"/>
    </row>
    <row r="129" spans="1:5" ht="12.5">
      <c r="A129" s="76"/>
      <c r="B129" s="5"/>
      <c r="C129" s="16"/>
      <c r="E129" s="5"/>
    </row>
    <row r="130" spans="1:5" ht="12.5">
      <c r="A130" s="76"/>
      <c r="B130" s="5"/>
      <c r="C130" s="16"/>
      <c r="E130" s="5"/>
    </row>
    <row r="131" spans="1:5" ht="12.5">
      <c r="A131" s="76"/>
      <c r="B131" s="5"/>
      <c r="C131" s="16"/>
      <c r="E131" s="5"/>
    </row>
    <row r="132" spans="1:5" ht="12.5">
      <c r="A132" s="76"/>
      <c r="B132" s="5"/>
      <c r="C132" s="16"/>
      <c r="E132" s="5"/>
    </row>
    <row r="133" spans="1:5" ht="12.5">
      <c r="A133" s="76"/>
      <c r="B133" s="5"/>
      <c r="C133" s="16"/>
      <c r="E133" s="5"/>
    </row>
    <row r="134" spans="1:5" ht="12.5">
      <c r="A134" s="76"/>
      <c r="B134" s="5"/>
      <c r="C134" s="16"/>
      <c r="E134" s="5"/>
    </row>
    <row r="135" spans="1:5" ht="12.5">
      <c r="A135" s="76"/>
      <c r="B135" s="5"/>
      <c r="C135" s="16"/>
      <c r="E135" s="5"/>
    </row>
    <row r="136" spans="1:5" ht="12.5">
      <c r="A136" s="76"/>
      <c r="B136" s="5"/>
      <c r="C136" s="16"/>
      <c r="E136" s="5"/>
    </row>
    <row r="137" spans="1:5" ht="12.5">
      <c r="A137" s="76"/>
      <c r="B137" s="5"/>
      <c r="C137" s="16"/>
      <c r="E137" s="5"/>
    </row>
    <row r="138" spans="1:5" ht="12.5">
      <c r="A138" s="76"/>
      <c r="B138" s="5"/>
      <c r="C138" s="16"/>
      <c r="E138" s="5"/>
    </row>
    <row r="139" spans="1:5" ht="12.5">
      <c r="A139" s="76"/>
      <c r="B139" s="5"/>
      <c r="C139" s="16"/>
      <c r="E139" s="5"/>
    </row>
    <row r="140" spans="1:5" ht="12.5">
      <c r="A140" s="76"/>
      <c r="B140" s="5"/>
      <c r="C140" s="16"/>
      <c r="E140" s="5"/>
    </row>
    <row r="141" spans="1:5" ht="12.5">
      <c r="A141" s="76"/>
      <c r="B141" s="5"/>
      <c r="C141" s="16"/>
      <c r="E141" s="5"/>
    </row>
    <row r="142" spans="1:5" ht="12.5">
      <c r="A142" s="76"/>
      <c r="B142" s="5"/>
      <c r="C142" s="16"/>
      <c r="E142" s="5"/>
    </row>
    <row r="143" spans="1:5" ht="12.5">
      <c r="A143" s="76"/>
      <c r="B143" s="5"/>
      <c r="C143" s="16"/>
      <c r="E143" s="5"/>
    </row>
    <row r="144" spans="1:5" ht="12.5">
      <c r="A144" s="76"/>
      <c r="B144" s="5"/>
      <c r="C144" s="16"/>
      <c r="E144" s="5"/>
    </row>
    <row r="145" spans="1:5" ht="12.5">
      <c r="A145" s="76"/>
      <c r="B145" s="5"/>
      <c r="C145" s="16"/>
      <c r="E145" s="5"/>
    </row>
    <row r="146" spans="1:5" ht="12.5">
      <c r="A146" s="76"/>
      <c r="B146" s="5"/>
      <c r="C146" s="16"/>
      <c r="E146" s="5"/>
    </row>
    <row r="147" spans="1:5" ht="12.5">
      <c r="A147" s="76"/>
      <c r="B147" s="5"/>
      <c r="C147" s="16"/>
      <c r="E147" s="5"/>
    </row>
    <row r="148" spans="1:5" ht="12.5">
      <c r="A148" s="76"/>
      <c r="B148" s="5"/>
      <c r="C148" s="16"/>
      <c r="E148" s="5"/>
    </row>
    <row r="149" spans="1:5" ht="12.5">
      <c r="A149" s="76"/>
      <c r="B149" s="5"/>
      <c r="C149" s="16"/>
      <c r="E149" s="5"/>
    </row>
    <row r="150" spans="1:5" ht="12.5">
      <c r="A150" s="76"/>
      <c r="B150" s="5"/>
      <c r="C150" s="16"/>
      <c r="E150" s="5"/>
    </row>
    <row r="151" spans="1:5" ht="12.5">
      <c r="A151" s="76"/>
      <c r="B151" s="5"/>
      <c r="C151" s="16"/>
      <c r="E151" s="5"/>
    </row>
    <row r="152" spans="1:5" ht="12.5">
      <c r="A152" s="76"/>
      <c r="B152" s="5"/>
      <c r="C152" s="16"/>
      <c r="E152" s="5"/>
    </row>
    <row r="153" spans="1:5" ht="12.5">
      <c r="A153" s="76"/>
      <c r="B153" s="5"/>
      <c r="C153" s="16"/>
      <c r="E153" s="5"/>
    </row>
    <row r="154" spans="1:5" ht="12.5">
      <c r="A154" s="76"/>
      <c r="B154" s="5"/>
      <c r="C154" s="16"/>
      <c r="E154" s="5"/>
    </row>
    <row r="155" spans="1:5" ht="12.5">
      <c r="A155" s="76"/>
      <c r="B155" s="5"/>
      <c r="C155" s="16"/>
      <c r="E155" s="5"/>
    </row>
    <row r="156" spans="1:5" ht="12.5">
      <c r="A156" s="76"/>
      <c r="B156" s="5"/>
      <c r="C156" s="16"/>
      <c r="E156" s="5"/>
    </row>
    <row r="157" spans="1:5" ht="12.5">
      <c r="A157" s="76"/>
      <c r="B157" s="5"/>
      <c r="C157" s="16"/>
      <c r="E157" s="5"/>
    </row>
    <row r="158" spans="1:5" ht="12.5">
      <c r="A158" s="76"/>
      <c r="B158" s="5"/>
      <c r="C158" s="16"/>
      <c r="E158" s="5"/>
    </row>
    <row r="159" spans="1:5" ht="12.5">
      <c r="A159" s="76"/>
      <c r="B159" s="5"/>
      <c r="C159" s="16"/>
      <c r="E159" s="5"/>
    </row>
    <row r="160" spans="1:5" ht="12.5">
      <c r="A160" s="76"/>
      <c r="B160" s="5"/>
      <c r="C160" s="16"/>
      <c r="E160" s="5"/>
    </row>
    <row r="161" spans="1:5" ht="12.5">
      <c r="A161" s="76"/>
      <c r="B161" s="5"/>
      <c r="C161" s="16"/>
      <c r="E161" s="5"/>
    </row>
    <row r="162" spans="1:5" ht="12.5">
      <c r="A162" s="76"/>
      <c r="B162" s="5"/>
      <c r="C162" s="16"/>
      <c r="E162" s="5"/>
    </row>
    <row r="163" spans="1:5" ht="12.5">
      <c r="A163" s="76"/>
      <c r="B163" s="5"/>
      <c r="C163" s="16"/>
      <c r="E163" s="5"/>
    </row>
    <row r="164" spans="1:5" ht="12.5">
      <c r="A164" s="76"/>
      <c r="B164" s="5"/>
      <c r="C164" s="16"/>
      <c r="E164" s="5"/>
    </row>
    <row r="165" spans="1:5" ht="12.5">
      <c r="A165" s="76"/>
      <c r="B165" s="5"/>
      <c r="C165" s="16"/>
      <c r="E165" s="5"/>
    </row>
    <row r="166" spans="1:5" ht="12.5">
      <c r="A166" s="76"/>
      <c r="B166" s="5"/>
      <c r="C166" s="16"/>
      <c r="E166" s="5"/>
    </row>
    <row r="167" spans="1:5" ht="12.5">
      <c r="A167" s="76"/>
      <c r="B167" s="5"/>
      <c r="C167" s="16"/>
      <c r="E167" s="5"/>
    </row>
    <row r="168" spans="1:5" ht="12.5">
      <c r="A168" s="76"/>
      <c r="B168" s="5"/>
      <c r="C168" s="16"/>
      <c r="E168" s="5"/>
    </row>
    <row r="169" spans="1:5" ht="12.5">
      <c r="A169" s="76"/>
      <c r="B169" s="5"/>
      <c r="C169" s="16"/>
      <c r="E169" s="5"/>
    </row>
    <row r="170" spans="1:5" ht="12.5">
      <c r="A170" s="76"/>
      <c r="B170" s="5"/>
      <c r="C170" s="16"/>
      <c r="E170" s="5"/>
    </row>
    <row r="171" spans="1:5" ht="12.5">
      <c r="A171" s="76"/>
      <c r="B171" s="5"/>
      <c r="C171" s="16"/>
      <c r="E171" s="5"/>
    </row>
    <row r="172" spans="1:5" ht="12.5">
      <c r="A172" s="76"/>
      <c r="B172" s="5"/>
      <c r="C172" s="16"/>
      <c r="E172" s="5"/>
    </row>
    <row r="173" spans="1:5" ht="12.5">
      <c r="A173" s="76"/>
      <c r="B173" s="5"/>
      <c r="C173" s="16"/>
      <c r="E173" s="5"/>
    </row>
    <row r="174" spans="1:5" ht="12.5">
      <c r="A174" s="76"/>
      <c r="B174" s="5"/>
      <c r="C174" s="16"/>
      <c r="E174" s="5"/>
    </row>
    <row r="175" spans="1:5" ht="12.5">
      <c r="A175" s="76"/>
      <c r="B175" s="5"/>
      <c r="C175" s="16"/>
      <c r="E175" s="5"/>
    </row>
    <row r="176" spans="1:5" ht="12.5">
      <c r="A176" s="76"/>
      <c r="B176" s="5"/>
      <c r="C176" s="16"/>
      <c r="E176" s="5"/>
    </row>
    <row r="177" spans="1:5" ht="12.5">
      <c r="A177" s="76"/>
      <c r="B177" s="5"/>
      <c r="C177" s="16"/>
      <c r="E177" s="5"/>
    </row>
    <row r="178" spans="1:5" ht="12.5">
      <c r="A178" s="76"/>
      <c r="B178" s="5"/>
      <c r="C178" s="16"/>
      <c r="E178" s="5"/>
    </row>
    <row r="179" spans="1:5" ht="12.5">
      <c r="A179" s="76"/>
      <c r="B179" s="5"/>
      <c r="C179" s="16"/>
      <c r="E179" s="5"/>
    </row>
    <row r="180" spans="1:5" ht="12.5">
      <c r="A180" s="76"/>
      <c r="B180" s="5"/>
      <c r="C180" s="16"/>
      <c r="E180" s="5"/>
    </row>
    <row r="181" spans="1:5" ht="12.5">
      <c r="A181" s="76"/>
      <c r="B181" s="5"/>
      <c r="C181" s="16"/>
      <c r="E181" s="5"/>
    </row>
    <row r="182" spans="1:5" ht="12.5">
      <c r="A182" s="76"/>
      <c r="B182" s="5"/>
      <c r="C182" s="16"/>
      <c r="E182" s="5"/>
    </row>
    <row r="183" spans="1:5" ht="12.5">
      <c r="A183" s="76"/>
      <c r="B183" s="5"/>
      <c r="C183" s="16"/>
      <c r="E183" s="5"/>
    </row>
    <row r="184" spans="1:5" ht="12.5">
      <c r="A184" s="76"/>
      <c r="B184" s="5"/>
      <c r="C184" s="16"/>
      <c r="E184" s="5"/>
    </row>
    <row r="185" spans="1:5" ht="12.5">
      <c r="A185" s="76"/>
      <c r="B185" s="5"/>
      <c r="C185" s="16"/>
      <c r="E185" s="5"/>
    </row>
    <row r="186" spans="1:5" ht="12.5">
      <c r="A186" s="76"/>
      <c r="B186" s="5"/>
      <c r="C186" s="16"/>
      <c r="E186" s="5"/>
    </row>
    <row r="187" spans="1:5" ht="12.5">
      <c r="A187" s="76"/>
      <c r="B187" s="5"/>
      <c r="C187" s="16"/>
      <c r="E187" s="5"/>
    </row>
    <row r="188" spans="1:5" ht="12.5">
      <c r="A188" s="76"/>
      <c r="B188" s="5"/>
      <c r="C188" s="16"/>
      <c r="E188" s="5"/>
    </row>
    <row r="189" spans="1:5" ht="12.5">
      <c r="A189" s="76"/>
      <c r="B189" s="5"/>
      <c r="C189" s="16"/>
      <c r="E189" s="5"/>
    </row>
    <row r="190" spans="1:5" ht="12.5">
      <c r="A190" s="76"/>
      <c r="B190" s="5"/>
      <c r="C190" s="16"/>
      <c r="E190" s="5"/>
    </row>
    <row r="191" spans="1:5" ht="12.5">
      <c r="A191" s="76"/>
      <c r="B191" s="5"/>
      <c r="C191" s="16"/>
      <c r="E191" s="5"/>
    </row>
    <row r="192" spans="1:5" ht="12.5">
      <c r="A192" s="76"/>
      <c r="B192" s="5"/>
      <c r="C192" s="16"/>
      <c r="E192" s="5"/>
    </row>
    <row r="193" spans="1:5" ht="12.5">
      <c r="A193" s="76"/>
      <c r="B193" s="5"/>
      <c r="C193" s="16"/>
      <c r="E193" s="5"/>
    </row>
    <row r="194" spans="1:5" ht="12.5">
      <c r="A194" s="76"/>
      <c r="B194" s="5"/>
      <c r="C194" s="16"/>
      <c r="E194" s="5"/>
    </row>
    <row r="195" spans="1:5" ht="12.5">
      <c r="A195" s="76"/>
      <c r="B195" s="5"/>
      <c r="C195" s="16"/>
      <c r="E195" s="5"/>
    </row>
    <row r="196" spans="1:5" ht="12.5">
      <c r="A196" s="76"/>
      <c r="B196" s="5"/>
      <c r="C196" s="16"/>
      <c r="E196" s="5"/>
    </row>
    <row r="197" spans="1:5" ht="12.5">
      <c r="A197" s="76"/>
      <c r="B197" s="5"/>
      <c r="C197" s="16"/>
      <c r="E197" s="5"/>
    </row>
    <row r="198" spans="1:5" ht="12.5">
      <c r="A198" s="76"/>
      <c r="B198" s="5"/>
      <c r="C198" s="16"/>
      <c r="E198" s="5"/>
    </row>
    <row r="199" spans="1:5" ht="12.5">
      <c r="A199" s="76"/>
      <c r="B199" s="5"/>
      <c r="C199" s="16"/>
      <c r="E199" s="5"/>
    </row>
    <row r="200" spans="1:5" ht="12.5">
      <c r="A200" s="76"/>
      <c r="B200" s="5"/>
      <c r="C200" s="16"/>
      <c r="E200" s="5"/>
    </row>
    <row r="201" spans="1:5" ht="12.5">
      <c r="A201" s="76"/>
      <c r="B201" s="5"/>
      <c r="C201" s="16"/>
      <c r="E201" s="5"/>
    </row>
    <row r="202" spans="1:5" ht="12.5">
      <c r="A202" s="76"/>
      <c r="B202" s="5"/>
      <c r="C202" s="16"/>
      <c r="E202" s="5"/>
    </row>
    <row r="203" spans="1:5" ht="12.5">
      <c r="A203" s="76"/>
      <c r="B203" s="5"/>
      <c r="C203" s="16"/>
      <c r="E203" s="5"/>
    </row>
    <row r="204" spans="1:5" ht="12.5">
      <c r="A204" s="76"/>
      <c r="B204" s="5"/>
      <c r="C204" s="16"/>
      <c r="E204" s="5"/>
    </row>
    <row r="205" spans="1:5" ht="12.5">
      <c r="A205" s="76"/>
      <c r="B205" s="5"/>
      <c r="C205" s="16"/>
      <c r="E205" s="5"/>
    </row>
    <row r="206" spans="1:5" ht="12.5">
      <c r="A206" s="76"/>
      <c r="B206" s="5"/>
      <c r="C206" s="16"/>
      <c r="E206" s="5"/>
    </row>
    <row r="207" spans="1:5" ht="12.5">
      <c r="A207" s="76"/>
      <c r="B207" s="5"/>
      <c r="C207" s="16"/>
      <c r="E207" s="5"/>
    </row>
    <row r="208" spans="1:5" ht="12.5">
      <c r="A208" s="76"/>
      <c r="B208" s="5"/>
      <c r="C208" s="16"/>
      <c r="E208" s="5"/>
    </row>
    <row r="209" spans="1:5" ht="12.5">
      <c r="A209" s="76"/>
      <c r="B209" s="5"/>
      <c r="C209" s="16"/>
      <c r="E209" s="5"/>
    </row>
    <row r="210" spans="1:5" ht="12.5">
      <c r="A210" s="76"/>
      <c r="B210" s="5"/>
      <c r="C210" s="16"/>
      <c r="E210" s="5"/>
    </row>
    <row r="211" spans="1:5" ht="12.5">
      <c r="A211" s="76"/>
      <c r="B211" s="5"/>
      <c r="C211" s="16"/>
      <c r="E211" s="5"/>
    </row>
    <row r="212" spans="1:5" ht="12.5">
      <c r="A212" s="76"/>
      <c r="B212" s="5"/>
      <c r="C212" s="16"/>
      <c r="E212" s="5"/>
    </row>
    <row r="213" spans="1:5" ht="12.5">
      <c r="A213" s="76"/>
      <c r="B213" s="5"/>
      <c r="C213" s="16"/>
      <c r="E213" s="5"/>
    </row>
    <row r="214" spans="1:5" ht="12.5">
      <c r="A214" s="76"/>
      <c r="B214" s="5"/>
      <c r="C214" s="16"/>
      <c r="E214" s="5"/>
    </row>
    <row r="215" spans="1:5" ht="12.5">
      <c r="A215" s="76"/>
      <c r="B215" s="5"/>
      <c r="C215" s="16"/>
      <c r="E215" s="5"/>
    </row>
    <row r="216" spans="1:5" ht="12.5">
      <c r="A216" s="76"/>
      <c r="B216" s="5"/>
      <c r="C216" s="16"/>
      <c r="E216" s="5"/>
    </row>
    <row r="217" spans="1:5" ht="12.5">
      <c r="A217" s="76"/>
      <c r="B217" s="5"/>
      <c r="C217" s="16"/>
      <c r="E217" s="5"/>
    </row>
    <row r="218" spans="1:5" ht="12.5">
      <c r="A218" s="76"/>
      <c r="B218" s="5"/>
      <c r="C218" s="16"/>
      <c r="E218" s="5"/>
    </row>
    <row r="219" spans="1:5" ht="12.5">
      <c r="A219" s="76"/>
      <c r="B219" s="5"/>
      <c r="C219" s="16"/>
      <c r="E219" s="5"/>
    </row>
    <row r="220" spans="1:5" ht="12.5">
      <c r="A220" s="76"/>
      <c r="B220" s="5"/>
      <c r="C220" s="16"/>
      <c r="E220" s="5"/>
    </row>
    <row r="221" spans="1:5" ht="12.5">
      <c r="A221" s="76"/>
      <c r="B221" s="5"/>
      <c r="C221" s="16"/>
      <c r="E221" s="5"/>
    </row>
    <row r="222" spans="1:5" ht="12.5">
      <c r="A222" s="76"/>
      <c r="B222" s="5"/>
      <c r="C222" s="16"/>
      <c r="E222" s="5"/>
    </row>
    <row r="223" spans="1:5" ht="12.5">
      <c r="A223" s="76"/>
      <c r="B223" s="5"/>
      <c r="C223" s="16"/>
      <c r="E223" s="5"/>
    </row>
    <row r="224" spans="1:5" ht="12.5">
      <c r="A224" s="76"/>
      <c r="B224" s="5"/>
      <c r="C224" s="16"/>
      <c r="E224" s="5"/>
    </row>
    <row r="225" spans="1:5" ht="12.5">
      <c r="A225" s="76"/>
      <c r="B225" s="5"/>
      <c r="C225" s="16"/>
      <c r="E225" s="5"/>
    </row>
    <row r="226" spans="1:5" ht="12.5">
      <c r="A226" s="76"/>
      <c r="B226" s="5"/>
      <c r="C226" s="16"/>
      <c r="E226" s="5"/>
    </row>
    <row r="227" spans="1:5" ht="12.5">
      <c r="A227" s="76"/>
      <c r="B227" s="5"/>
      <c r="C227" s="16"/>
      <c r="E227" s="5"/>
    </row>
    <row r="228" spans="1:5" ht="12.5">
      <c r="A228" s="76"/>
      <c r="B228" s="5"/>
      <c r="C228" s="16"/>
      <c r="E228" s="5"/>
    </row>
    <row r="229" spans="1:5" ht="12.5">
      <c r="A229" s="76"/>
      <c r="B229" s="5"/>
      <c r="C229" s="16"/>
      <c r="E229" s="5"/>
    </row>
    <row r="230" spans="1:5" ht="12.5">
      <c r="A230" s="76"/>
      <c r="B230" s="5"/>
      <c r="C230" s="16"/>
      <c r="E230" s="5"/>
    </row>
    <row r="231" spans="1:5" ht="12.5">
      <c r="A231" s="76"/>
      <c r="B231" s="5"/>
      <c r="C231" s="16"/>
      <c r="E231" s="5"/>
    </row>
    <row r="232" spans="1:5" ht="12.5">
      <c r="A232" s="76"/>
      <c r="B232" s="5"/>
      <c r="C232" s="16"/>
      <c r="E232" s="5"/>
    </row>
    <row r="233" spans="1:5" ht="12.5">
      <c r="A233" s="76"/>
      <c r="B233" s="5"/>
      <c r="C233" s="16"/>
      <c r="E233" s="5"/>
    </row>
    <row r="234" spans="1:5" ht="12.5">
      <c r="A234" s="76"/>
      <c r="B234" s="5"/>
      <c r="C234" s="16"/>
      <c r="E234" s="5"/>
    </row>
    <row r="235" spans="1:5" ht="12.5">
      <c r="A235" s="76"/>
      <c r="B235" s="5"/>
      <c r="C235" s="16"/>
      <c r="E235" s="5"/>
    </row>
    <row r="236" spans="1:5" ht="12.5">
      <c r="A236" s="76"/>
      <c r="B236" s="5"/>
      <c r="C236" s="16"/>
      <c r="E236" s="5"/>
    </row>
    <row r="237" spans="1:5" ht="12.5">
      <c r="A237" s="76"/>
      <c r="B237" s="5"/>
      <c r="C237" s="16"/>
      <c r="E237" s="5"/>
    </row>
    <row r="238" spans="1:5" ht="12.5">
      <c r="A238" s="76"/>
      <c r="B238" s="5"/>
      <c r="C238" s="16"/>
      <c r="E238" s="5"/>
    </row>
    <row r="239" spans="1:5" ht="12.5">
      <c r="A239" s="76"/>
      <c r="B239" s="5"/>
      <c r="C239" s="16"/>
      <c r="E239" s="5"/>
    </row>
    <row r="240" spans="1:5" ht="12.5">
      <c r="A240" s="76"/>
      <c r="B240" s="5"/>
      <c r="C240" s="16"/>
      <c r="E240" s="5"/>
    </row>
    <row r="241" spans="1:5" ht="12.5">
      <c r="A241" s="76"/>
      <c r="B241" s="5"/>
      <c r="C241" s="16"/>
      <c r="E241" s="5"/>
    </row>
    <row r="242" spans="1:5" ht="12.5">
      <c r="A242" s="76"/>
      <c r="B242" s="5"/>
      <c r="C242" s="16"/>
      <c r="E242" s="5"/>
    </row>
    <row r="243" spans="1:5" ht="12.5">
      <c r="A243" s="76"/>
      <c r="B243" s="5"/>
      <c r="C243" s="16"/>
      <c r="E243" s="5"/>
    </row>
    <row r="244" spans="1:5" ht="12.5">
      <c r="A244" s="76"/>
      <c r="B244" s="5"/>
      <c r="C244" s="16"/>
      <c r="E244" s="5"/>
    </row>
    <row r="245" spans="1:5" ht="12.5">
      <c r="A245" s="76"/>
      <c r="B245" s="5"/>
      <c r="C245" s="16"/>
      <c r="E245" s="5"/>
    </row>
    <row r="246" spans="1:5" ht="12.5">
      <c r="A246" s="76"/>
      <c r="B246" s="5"/>
      <c r="C246" s="16"/>
      <c r="E246" s="5"/>
    </row>
    <row r="247" spans="1:5" ht="12.5">
      <c r="A247" s="76"/>
      <c r="B247" s="5"/>
      <c r="C247" s="16"/>
      <c r="E247" s="5"/>
    </row>
    <row r="248" spans="1:5" ht="12.5">
      <c r="A248" s="76"/>
      <c r="B248" s="5"/>
      <c r="C248" s="16"/>
      <c r="E248" s="5"/>
    </row>
    <row r="249" spans="1:5" ht="12.5">
      <c r="A249" s="76"/>
      <c r="B249" s="5"/>
      <c r="C249" s="16"/>
      <c r="E249" s="5"/>
    </row>
    <row r="250" spans="1:5" ht="12.5">
      <c r="A250" s="76"/>
      <c r="B250" s="5"/>
      <c r="C250" s="16"/>
      <c r="E250" s="5"/>
    </row>
    <row r="251" spans="1:5" ht="12.5">
      <c r="A251" s="76"/>
      <c r="B251" s="5"/>
      <c r="C251" s="16"/>
      <c r="E251" s="5"/>
    </row>
    <row r="252" spans="1:5" ht="12.5">
      <c r="A252" s="76"/>
      <c r="B252" s="5"/>
      <c r="C252" s="16"/>
      <c r="E252" s="5"/>
    </row>
    <row r="253" spans="1:5" ht="12.5">
      <c r="A253" s="76"/>
      <c r="B253" s="5"/>
      <c r="C253" s="16"/>
      <c r="E253" s="5"/>
    </row>
    <row r="254" spans="1:5" ht="12.5">
      <c r="A254" s="76"/>
      <c r="B254" s="5"/>
      <c r="C254" s="16"/>
      <c r="E254" s="5"/>
    </row>
    <row r="255" spans="1:5" ht="12.5">
      <c r="A255" s="76"/>
      <c r="B255" s="5"/>
      <c r="C255" s="16"/>
      <c r="E255" s="5"/>
    </row>
    <row r="256" spans="1:5" ht="12.5">
      <c r="A256" s="76"/>
      <c r="B256" s="5"/>
      <c r="C256" s="16"/>
      <c r="E256" s="5"/>
    </row>
    <row r="257" spans="1:5" ht="12.5">
      <c r="A257" s="76"/>
      <c r="B257" s="5"/>
      <c r="C257" s="16"/>
      <c r="E257" s="5"/>
    </row>
    <row r="258" spans="1:5" ht="12.5">
      <c r="A258" s="76"/>
      <c r="B258" s="5"/>
      <c r="C258" s="16"/>
      <c r="E258" s="5"/>
    </row>
    <row r="259" spans="1:5" ht="12.5">
      <c r="A259" s="76"/>
      <c r="B259" s="5"/>
      <c r="C259" s="16"/>
      <c r="E259" s="5"/>
    </row>
    <row r="260" spans="1:5" ht="12.5">
      <c r="A260" s="76"/>
      <c r="B260" s="5"/>
      <c r="C260" s="16"/>
      <c r="E260" s="5"/>
    </row>
    <row r="261" spans="1:5" ht="12.5">
      <c r="A261" s="76"/>
      <c r="B261" s="5"/>
      <c r="C261" s="16"/>
      <c r="E261" s="5"/>
    </row>
    <row r="262" spans="1:5" ht="12.5">
      <c r="A262" s="76"/>
      <c r="B262" s="5"/>
      <c r="C262" s="16"/>
      <c r="E262" s="5"/>
    </row>
    <row r="263" spans="1:5" ht="12.5">
      <c r="A263" s="76"/>
      <c r="B263" s="5"/>
      <c r="C263" s="16"/>
      <c r="E263" s="5"/>
    </row>
    <row r="264" spans="1:5" ht="12.5">
      <c r="A264" s="76"/>
      <c r="B264" s="5"/>
      <c r="C264" s="16"/>
      <c r="E264" s="5"/>
    </row>
    <row r="265" spans="1:5" ht="12.5">
      <c r="A265" s="76"/>
      <c r="B265" s="5"/>
      <c r="C265" s="16"/>
      <c r="E265" s="5"/>
    </row>
    <row r="266" spans="1:5" ht="12.5">
      <c r="A266" s="76"/>
      <c r="B266" s="5"/>
      <c r="C266" s="16"/>
      <c r="E266" s="5"/>
    </row>
    <row r="267" spans="1:5" ht="12.5">
      <c r="A267" s="76"/>
      <c r="B267" s="5"/>
      <c r="C267" s="16"/>
      <c r="E267" s="5"/>
    </row>
    <row r="268" spans="1:5" ht="12.5">
      <c r="A268" s="76"/>
      <c r="B268" s="5"/>
      <c r="C268" s="16"/>
      <c r="E268" s="5"/>
    </row>
    <row r="269" spans="1:5" ht="12.5">
      <c r="A269" s="76"/>
      <c r="B269" s="5"/>
      <c r="C269" s="16"/>
      <c r="E269" s="5"/>
    </row>
    <row r="270" spans="1:5" ht="12.5">
      <c r="A270" s="76"/>
      <c r="B270" s="5"/>
      <c r="C270" s="16"/>
      <c r="E270" s="5"/>
    </row>
    <row r="271" spans="1:5" ht="12.5">
      <c r="A271" s="76"/>
      <c r="B271" s="5"/>
      <c r="C271" s="16"/>
      <c r="E271" s="5"/>
    </row>
    <row r="272" spans="1:5" ht="12.5">
      <c r="A272" s="76"/>
      <c r="B272" s="5"/>
      <c r="C272" s="16"/>
      <c r="E272" s="5"/>
    </row>
    <row r="273" spans="1:5" ht="12.5">
      <c r="A273" s="76"/>
      <c r="B273" s="5"/>
      <c r="C273" s="16"/>
      <c r="E273" s="5"/>
    </row>
    <row r="274" spans="1:5" ht="12.5">
      <c r="A274" s="76"/>
      <c r="B274" s="5"/>
      <c r="C274" s="16"/>
      <c r="E274" s="5"/>
    </row>
    <row r="275" spans="1:5" ht="12.5">
      <c r="A275" s="76"/>
      <c r="B275" s="5"/>
      <c r="C275" s="16"/>
      <c r="E275" s="5"/>
    </row>
    <row r="276" spans="1:5" ht="12.5">
      <c r="A276" s="76"/>
      <c r="B276" s="5"/>
      <c r="C276" s="16"/>
      <c r="E276" s="5"/>
    </row>
    <row r="277" spans="1:5" ht="12.5">
      <c r="A277" s="76"/>
      <c r="B277" s="5"/>
      <c r="C277" s="16"/>
      <c r="E277" s="5"/>
    </row>
    <row r="278" spans="1:5" ht="12.5">
      <c r="A278" s="76"/>
      <c r="B278" s="5"/>
      <c r="C278" s="16"/>
      <c r="E278" s="5"/>
    </row>
    <row r="279" spans="1:5" ht="12.5">
      <c r="A279" s="76"/>
      <c r="B279" s="5"/>
      <c r="C279" s="16"/>
      <c r="E279" s="5"/>
    </row>
    <row r="280" spans="1:5" ht="12.5">
      <c r="A280" s="76"/>
      <c r="B280" s="5"/>
      <c r="C280" s="16"/>
      <c r="E280" s="5"/>
    </row>
    <row r="281" spans="1:5" ht="12.5">
      <c r="A281" s="76"/>
      <c r="B281" s="5"/>
      <c r="C281" s="16"/>
      <c r="E281" s="5"/>
    </row>
    <row r="282" spans="1:5" ht="12.5">
      <c r="A282" s="76"/>
      <c r="B282" s="5"/>
      <c r="C282" s="16"/>
      <c r="E282" s="5"/>
    </row>
    <row r="283" spans="1:5" ht="12.5">
      <c r="A283" s="76"/>
      <c r="B283" s="5"/>
      <c r="C283" s="16"/>
      <c r="E283" s="5"/>
    </row>
    <row r="284" spans="1:5" ht="12.5">
      <c r="A284" s="76"/>
      <c r="B284" s="5"/>
      <c r="C284" s="16"/>
      <c r="E284" s="5"/>
    </row>
    <row r="285" spans="1:5" ht="12.5">
      <c r="A285" s="76"/>
      <c r="B285" s="5"/>
      <c r="C285" s="16"/>
      <c r="E285" s="5"/>
    </row>
    <row r="286" spans="1:5" ht="12.5">
      <c r="A286" s="76"/>
      <c r="B286" s="5"/>
      <c r="C286" s="16"/>
      <c r="E286" s="5"/>
    </row>
    <row r="287" spans="1:5" ht="12.5">
      <c r="A287" s="76"/>
      <c r="B287" s="5"/>
      <c r="C287" s="16"/>
      <c r="E287" s="5"/>
    </row>
    <row r="288" spans="1:5" ht="12.5">
      <c r="A288" s="76"/>
      <c r="B288" s="5"/>
      <c r="C288" s="16"/>
      <c r="E288" s="5"/>
    </row>
    <row r="289" spans="1:5" ht="12.5">
      <c r="A289" s="76"/>
      <c r="B289" s="5"/>
      <c r="C289" s="16"/>
      <c r="E289" s="5"/>
    </row>
    <row r="290" spans="1:5" ht="12.5">
      <c r="A290" s="76"/>
      <c r="B290" s="5"/>
      <c r="C290" s="16"/>
      <c r="E290" s="5"/>
    </row>
    <row r="291" spans="1:5" ht="12.5">
      <c r="A291" s="76"/>
      <c r="B291" s="5"/>
      <c r="C291" s="16"/>
      <c r="E291" s="5"/>
    </row>
    <row r="292" spans="1:5" ht="12.5">
      <c r="A292" s="76"/>
      <c r="B292" s="5"/>
      <c r="C292" s="16"/>
      <c r="E292" s="5"/>
    </row>
    <row r="293" spans="1:5" ht="12.5">
      <c r="A293" s="76"/>
      <c r="B293" s="5"/>
      <c r="C293" s="16"/>
      <c r="E293" s="5"/>
    </row>
    <row r="294" spans="1:5" ht="12.5">
      <c r="A294" s="76"/>
      <c r="B294" s="5"/>
      <c r="C294" s="16"/>
      <c r="E294" s="5"/>
    </row>
    <row r="295" spans="1:5" ht="12.5">
      <c r="A295" s="76"/>
      <c r="B295" s="5"/>
      <c r="C295" s="16"/>
      <c r="E295" s="5"/>
    </row>
    <row r="296" spans="1:5" ht="12.5">
      <c r="A296" s="76"/>
      <c r="B296" s="5"/>
      <c r="C296" s="16"/>
      <c r="E296" s="5"/>
    </row>
    <row r="297" spans="1:5" ht="12.5">
      <c r="A297" s="76"/>
      <c r="B297" s="5"/>
      <c r="C297" s="16"/>
      <c r="E297" s="5"/>
    </row>
    <row r="298" spans="1:5" ht="12.5">
      <c r="A298" s="76"/>
      <c r="B298" s="5"/>
      <c r="C298" s="16"/>
      <c r="E298" s="5"/>
    </row>
    <row r="299" spans="1:5" ht="12.5">
      <c r="A299" s="76"/>
      <c r="B299" s="5"/>
      <c r="C299" s="16"/>
      <c r="E299" s="5"/>
    </row>
    <row r="300" spans="1:5" ht="12.5">
      <c r="A300" s="76"/>
      <c r="B300" s="5"/>
      <c r="C300" s="16"/>
      <c r="E300" s="5"/>
    </row>
    <row r="301" spans="1:5" ht="12.5">
      <c r="A301" s="76"/>
      <c r="B301" s="5"/>
      <c r="C301" s="16"/>
      <c r="E301" s="5"/>
    </row>
    <row r="302" spans="1:5" ht="12.5">
      <c r="A302" s="76"/>
      <c r="B302" s="5"/>
      <c r="C302" s="16"/>
      <c r="E302" s="5"/>
    </row>
    <row r="303" spans="1:5" ht="12.5">
      <c r="A303" s="76"/>
      <c r="B303" s="5"/>
      <c r="C303" s="16"/>
      <c r="E303" s="5"/>
    </row>
    <row r="304" spans="1:5" ht="12.5">
      <c r="A304" s="76"/>
      <c r="B304" s="5"/>
      <c r="C304" s="16"/>
      <c r="E304" s="5"/>
    </row>
    <row r="305" spans="1:5" ht="12.5">
      <c r="A305" s="76"/>
      <c r="B305" s="5"/>
      <c r="C305" s="16"/>
      <c r="E305" s="5"/>
    </row>
    <row r="306" spans="1:5" ht="12.5">
      <c r="A306" s="76"/>
      <c r="B306" s="5"/>
      <c r="C306" s="16"/>
      <c r="E306" s="5"/>
    </row>
    <row r="307" spans="1:5" ht="12.5">
      <c r="A307" s="76"/>
      <c r="B307" s="5"/>
      <c r="C307" s="16"/>
      <c r="E307" s="5"/>
    </row>
    <row r="308" spans="1:5" ht="12.5">
      <c r="A308" s="76"/>
      <c r="B308" s="5"/>
      <c r="C308" s="16"/>
      <c r="E308" s="5"/>
    </row>
    <row r="309" spans="1:5" ht="12.5">
      <c r="A309" s="76"/>
      <c r="B309" s="5"/>
      <c r="C309" s="16"/>
      <c r="E309" s="5"/>
    </row>
    <row r="310" spans="1:5" ht="12.5">
      <c r="A310" s="76"/>
      <c r="B310" s="5"/>
      <c r="C310" s="16"/>
      <c r="E310" s="5"/>
    </row>
    <row r="311" spans="1:5" ht="12.5">
      <c r="A311" s="76"/>
      <c r="B311" s="5"/>
      <c r="C311" s="16"/>
      <c r="E311" s="5"/>
    </row>
    <row r="312" spans="1:5" ht="12.5">
      <c r="A312" s="76"/>
      <c r="B312" s="5"/>
      <c r="C312" s="16"/>
      <c r="E312" s="5"/>
    </row>
    <row r="313" spans="1:5" ht="12.5">
      <c r="A313" s="76"/>
      <c r="B313" s="5"/>
      <c r="C313" s="16"/>
      <c r="E313" s="5"/>
    </row>
    <row r="314" spans="1:5" ht="12.5">
      <c r="A314" s="76"/>
      <c r="B314" s="5"/>
      <c r="C314" s="16"/>
      <c r="E314" s="5"/>
    </row>
    <row r="315" spans="1:5" ht="12.5">
      <c r="A315" s="76"/>
      <c r="B315" s="5"/>
      <c r="C315" s="16"/>
      <c r="E315" s="5"/>
    </row>
    <row r="316" spans="1:5" ht="12.5">
      <c r="A316" s="76"/>
      <c r="B316" s="5"/>
      <c r="C316" s="16"/>
      <c r="E316" s="5"/>
    </row>
    <row r="317" spans="1:5" ht="12.5">
      <c r="A317" s="76"/>
      <c r="B317" s="5"/>
      <c r="C317" s="16"/>
      <c r="E317" s="5"/>
    </row>
    <row r="318" spans="1:5" ht="12.5">
      <c r="A318" s="76"/>
      <c r="B318" s="5"/>
      <c r="C318" s="16"/>
      <c r="E318" s="5"/>
    </row>
    <row r="319" spans="1:5" ht="12.5">
      <c r="A319" s="76"/>
      <c r="B319" s="5"/>
      <c r="C319" s="16"/>
      <c r="E319" s="5"/>
    </row>
    <row r="320" spans="1:5" ht="12.5">
      <c r="A320" s="76"/>
      <c r="B320" s="5"/>
      <c r="C320" s="16"/>
      <c r="E320" s="5"/>
    </row>
    <row r="321" spans="1:5" ht="12.5">
      <c r="A321" s="76"/>
      <c r="B321" s="5"/>
      <c r="C321" s="16"/>
      <c r="E321" s="5"/>
    </row>
    <row r="322" spans="1:5" ht="12.5">
      <c r="A322" s="76"/>
      <c r="B322" s="5"/>
      <c r="C322" s="16"/>
      <c r="E322" s="5"/>
    </row>
    <row r="323" spans="1:5" ht="12.5">
      <c r="A323" s="76"/>
      <c r="B323" s="5"/>
      <c r="C323" s="16"/>
      <c r="E323" s="5"/>
    </row>
    <row r="324" spans="1:5" ht="12.5">
      <c r="A324" s="76"/>
      <c r="B324" s="5"/>
      <c r="C324" s="16"/>
      <c r="E324" s="5"/>
    </row>
    <row r="325" spans="1:5" ht="12.5">
      <c r="A325" s="76"/>
      <c r="B325" s="5"/>
      <c r="C325" s="16"/>
      <c r="E325" s="5"/>
    </row>
    <row r="326" spans="1:5" ht="12.5">
      <c r="A326" s="76"/>
      <c r="B326" s="5"/>
      <c r="C326" s="16"/>
      <c r="E326" s="5"/>
    </row>
    <row r="327" spans="1:5" ht="12.5">
      <c r="A327" s="76"/>
      <c r="B327" s="5"/>
      <c r="C327" s="16"/>
      <c r="E327" s="5"/>
    </row>
    <row r="328" spans="1:5" ht="12.5">
      <c r="A328" s="76"/>
      <c r="B328" s="5"/>
      <c r="C328" s="16"/>
      <c r="E328" s="5"/>
    </row>
    <row r="329" spans="1:5" ht="12.5">
      <c r="A329" s="76"/>
      <c r="B329" s="5"/>
      <c r="C329" s="16"/>
      <c r="E329" s="5"/>
    </row>
    <row r="330" spans="1:5" ht="12.5">
      <c r="A330" s="76"/>
      <c r="B330" s="5"/>
      <c r="C330" s="16"/>
      <c r="E330" s="5"/>
    </row>
    <row r="331" spans="1:5" ht="12.5">
      <c r="A331" s="76"/>
      <c r="B331" s="5"/>
      <c r="C331" s="16"/>
      <c r="E331" s="5"/>
    </row>
    <row r="332" spans="1:5" ht="12.5">
      <c r="A332" s="76"/>
      <c r="B332" s="5"/>
      <c r="C332" s="16"/>
      <c r="E332" s="5"/>
    </row>
    <row r="333" spans="1:5" ht="12.5">
      <c r="A333" s="76"/>
      <c r="B333" s="5"/>
      <c r="C333" s="16"/>
      <c r="E333" s="5"/>
    </row>
    <row r="334" spans="1:5" ht="12.5">
      <c r="A334" s="76"/>
      <c r="B334" s="5"/>
      <c r="C334" s="16"/>
      <c r="E334" s="5"/>
    </row>
    <row r="335" spans="1:5" ht="12.5">
      <c r="A335" s="76"/>
      <c r="B335" s="5"/>
      <c r="C335" s="16"/>
      <c r="E335" s="5"/>
    </row>
    <row r="336" spans="1:5" ht="12.5">
      <c r="A336" s="76"/>
      <c r="B336" s="5"/>
      <c r="C336" s="16"/>
      <c r="E336" s="5"/>
    </row>
    <row r="337" spans="1:5" ht="12.5">
      <c r="A337" s="76"/>
      <c r="B337" s="5"/>
      <c r="C337" s="16"/>
      <c r="E337" s="5"/>
    </row>
    <row r="338" spans="1:5" ht="12.5">
      <c r="A338" s="76"/>
      <c r="B338" s="5"/>
      <c r="C338" s="16"/>
      <c r="E338" s="5"/>
    </row>
    <row r="339" spans="1:5" ht="12.5">
      <c r="A339" s="76"/>
      <c r="B339" s="5"/>
      <c r="C339" s="16"/>
      <c r="E339" s="5"/>
    </row>
    <row r="340" spans="1:5" ht="12.5">
      <c r="A340" s="76"/>
      <c r="B340" s="5"/>
      <c r="C340" s="16"/>
      <c r="E340" s="5"/>
    </row>
    <row r="341" spans="1:5" ht="12.5">
      <c r="A341" s="76"/>
      <c r="B341" s="5"/>
      <c r="C341" s="16"/>
      <c r="E341" s="5"/>
    </row>
    <row r="342" spans="1:5" ht="12.5">
      <c r="A342" s="76"/>
      <c r="B342" s="5"/>
      <c r="C342" s="16"/>
      <c r="E342" s="5"/>
    </row>
    <row r="343" spans="1:5" ht="12.5">
      <c r="A343" s="76"/>
      <c r="B343" s="5"/>
      <c r="C343" s="16"/>
      <c r="E343" s="5"/>
    </row>
    <row r="344" spans="1:5" ht="12.5">
      <c r="A344" s="76"/>
      <c r="B344" s="5"/>
      <c r="C344" s="16"/>
      <c r="E344" s="5"/>
    </row>
    <row r="345" spans="1:5" ht="12.5">
      <c r="A345" s="76"/>
      <c r="B345" s="5"/>
      <c r="C345" s="16"/>
      <c r="E345" s="5"/>
    </row>
    <row r="346" spans="1:5" ht="12.5">
      <c r="A346" s="76"/>
      <c r="B346" s="5"/>
      <c r="C346" s="16"/>
      <c r="E346" s="5"/>
    </row>
    <row r="347" spans="1:5" ht="12.5">
      <c r="A347" s="76"/>
      <c r="B347" s="5"/>
      <c r="C347" s="16"/>
      <c r="E347" s="5"/>
    </row>
    <row r="348" spans="1:5" ht="12.5">
      <c r="A348" s="76"/>
      <c r="B348" s="5"/>
      <c r="C348" s="16"/>
      <c r="E348" s="5"/>
    </row>
    <row r="349" spans="1:5" ht="12.5">
      <c r="A349" s="76"/>
      <c r="B349" s="5"/>
      <c r="C349" s="16"/>
      <c r="E349" s="5"/>
    </row>
    <row r="350" spans="1:5" ht="12.5">
      <c r="A350" s="76"/>
      <c r="B350" s="5"/>
      <c r="C350" s="16"/>
      <c r="E350" s="5"/>
    </row>
    <row r="351" spans="1:5" ht="12.5">
      <c r="A351" s="76"/>
      <c r="B351" s="5"/>
      <c r="C351" s="16"/>
      <c r="E351" s="5"/>
    </row>
    <row r="352" spans="1:5" ht="12.5">
      <c r="A352" s="76"/>
      <c r="B352" s="5"/>
      <c r="C352" s="16"/>
      <c r="E352" s="5"/>
    </row>
    <row r="353" spans="1:5" ht="12.5">
      <c r="A353" s="76"/>
      <c r="B353" s="5"/>
      <c r="C353" s="16"/>
      <c r="E353" s="5"/>
    </row>
    <row r="354" spans="1:5" ht="12.5">
      <c r="A354" s="76"/>
      <c r="B354" s="5"/>
      <c r="C354" s="16"/>
      <c r="E354" s="5"/>
    </row>
    <row r="355" spans="1:5" ht="12.5">
      <c r="A355" s="76"/>
      <c r="B355" s="5"/>
      <c r="C355" s="16"/>
      <c r="E355" s="5"/>
    </row>
    <row r="356" spans="1:5" ht="12.5">
      <c r="A356" s="76"/>
      <c r="B356" s="5"/>
      <c r="C356" s="16"/>
      <c r="E356" s="5"/>
    </row>
    <row r="357" spans="1:5" ht="12.5">
      <c r="A357" s="76"/>
      <c r="B357" s="5"/>
      <c r="C357" s="16"/>
      <c r="E357" s="5"/>
    </row>
    <row r="358" spans="1:5" ht="12.5">
      <c r="A358" s="76"/>
      <c r="B358" s="5"/>
      <c r="C358" s="16"/>
      <c r="E358" s="5"/>
    </row>
    <row r="359" spans="1:5" ht="12.5">
      <c r="A359" s="76"/>
      <c r="B359" s="5"/>
      <c r="C359" s="16"/>
      <c r="E359" s="5"/>
    </row>
    <row r="360" spans="1:5" ht="12.5">
      <c r="A360" s="76"/>
      <c r="B360" s="5"/>
      <c r="C360" s="16"/>
      <c r="E360" s="5"/>
    </row>
    <row r="361" spans="1:5" ht="12.5">
      <c r="A361" s="76"/>
      <c r="B361" s="5"/>
      <c r="C361" s="16"/>
      <c r="E361" s="5"/>
    </row>
    <row r="362" spans="1:5" ht="12.5">
      <c r="A362" s="76"/>
      <c r="B362" s="5"/>
      <c r="C362" s="16"/>
      <c r="E362" s="5"/>
    </row>
    <row r="363" spans="1:5" ht="12.5">
      <c r="A363" s="76"/>
      <c r="B363" s="5"/>
      <c r="C363" s="16"/>
      <c r="E363" s="5"/>
    </row>
    <row r="364" spans="1:5" ht="12.5">
      <c r="A364" s="76"/>
      <c r="B364" s="5"/>
      <c r="C364" s="16"/>
      <c r="E364" s="5"/>
    </row>
    <row r="365" spans="1:5" ht="12.5">
      <c r="A365" s="76"/>
      <c r="B365" s="5"/>
      <c r="C365" s="16"/>
      <c r="E365" s="5"/>
    </row>
    <row r="366" spans="1:5" ht="12.5">
      <c r="A366" s="76"/>
      <c r="B366" s="5"/>
      <c r="C366" s="16"/>
      <c r="E366" s="5"/>
    </row>
    <row r="367" spans="1:5" ht="12.5">
      <c r="A367" s="76"/>
      <c r="B367" s="5"/>
      <c r="C367" s="16"/>
      <c r="E367" s="5"/>
    </row>
    <row r="368" spans="1:5" ht="12.5">
      <c r="A368" s="76"/>
      <c r="B368" s="5"/>
      <c r="C368" s="16"/>
      <c r="E368" s="5"/>
    </row>
    <row r="369" spans="1:5" ht="12.5">
      <c r="A369" s="76"/>
      <c r="B369" s="5"/>
      <c r="C369" s="16"/>
      <c r="E369" s="5"/>
    </row>
    <row r="370" spans="1:5" ht="12.5">
      <c r="A370" s="76"/>
      <c r="B370" s="5"/>
      <c r="C370" s="16"/>
      <c r="E370" s="5"/>
    </row>
    <row r="371" spans="1:5" ht="12.5">
      <c r="A371" s="76"/>
      <c r="B371" s="5"/>
      <c r="C371" s="16"/>
      <c r="E371" s="5"/>
    </row>
    <row r="372" spans="1:5" ht="12.5">
      <c r="A372" s="76"/>
      <c r="B372" s="5"/>
      <c r="C372" s="16"/>
      <c r="E372" s="5"/>
    </row>
    <row r="373" spans="1:5" ht="12.5">
      <c r="A373" s="76"/>
      <c r="B373" s="5"/>
      <c r="C373" s="16"/>
      <c r="E373" s="5"/>
    </row>
    <row r="374" spans="1:5" ht="12.5">
      <c r="A374" s="76"/>
      <c r="B374" s="5"/>
      <c r="C374" s="16"/>
      <c r="E374" s="5"/>
    </row>
    <row r="375" spans="1:5" ht="12.5">
      <c r="A375" s="76"/>
      <c r="B375" s="5"/>
      <c r="C375" s="16"/>
      <c r="E375" s="5"/>
    </row>
    <row r="376" spans="1:5" ht="12.5">
      <c r="A376" s="76"/>
      <c r="B376" s="5"/>
      <c r="C376" s="16"/>
      <c r="E376" s="5"/>
    </row>
    <row r="377" spans="1:5" ht="12.5">
      <c r="A377" s="76"/>
      <c r="B377" s="5"/>
      <c r="C377" s="16"/>
      <c r="E377" s="5"/>
    </row>
    <row r="378" spans="1:5" ht="12.5">
      <c r="A378" s="76"/>
      <c r="B378" s="5"/>
      <c r="C378" s="16"/>
      <c r="E378" s="5"/>
    </row>
    <row r="379" spans="1:5" ht="12.5">
      <c r="A379" s="76"/>
      <c r="B379" s="5"/>
      <c r="C379" s="16"/>
      <c r="E379" s="5"/>
    </row>
    <row r="380" spans="1:5" ht="12.5">
      <c r="A380" s="76"/>
      <c r="B380" s="5"/>
      <c r="C380" s="16"/>
      <c r="E380" s="5"/>
    </row>
    <row r="381" spans="1:5" ht="12.5">
      <c r="A381" s="76"/>
      <c r="B381" s="5"/>
      <c r="C381" s="16"/>
      <c r="E381" s="5"/>
    </row>
    <row r="382" spans="1:5" ht="12.5">
      <c r="A382" s="76"/>
      <c r="B382" s="5"/>
      <c r="C382" s="16"/>
      <c r="E382" s="5"/>
    </row>
    <row r="383" spans="1:5" ht="12.5">
      <c r="A383" s="76"/>
      <c r="B383" s="5"/>
      <c r="C383" s="16"/>
      <c r="E383" s="5"/>
    </row>
    <row r="384" spans="1:5" ht="12.5">
      <c r="A384" s="76"/>
      <c r="B384" s="5"/>
      <c r="C384" s="16"/>
      <c r="E384" s="5"/>
    </row>
    <row r="385" spans="1:5" ht="12.5">
      <c r="A385" s="76"/>
      <c r="B385" s="5"/>
      <c r="C385" s="16"/>
      <c r="E385" s="5"/>
    </row>
    <row r="386" spans="1:5" ht="12.5">
      <c r="A386" s="76"/>
      <c r="B386" s="5"/>
      <c r="C386" s="16"/>
      <c r="E386" s="5"/>
    </row>
    <row r="387" spans="1:5" ht="12.5">
      <c r="A387" s="76"/>
      <c r="B387" s="5"/>
      <c r="C387" s="16"/>
      <c r="E387" s="5"/>
    </row>
    <row r="388" spans="1:5" ht="12.5">
      <c r="A388" s="76"/>
      <c r="B388" s="5"/>
      <c r="C388" s="16"/>
      <c r="E388" s="5"/>
    </row>
    <row r="389" spans="1:5" ht="12.5">
      <c r="A389" s="76"/>
      <c r="B389" s="5"/>
      <c r="C389" s="16"/>
      <c r="E389" s="5"/>
    </row>
    <row r="390" spans="1:5" ht="12.5">
      <c r="A390" s="76"/>
      <c r="B390" s="5"/>
      <c r="C390" s="16"/>
      <c r="E390" s="5"/>
    </row>
    <row r="391" spans="1:5" ht="12.5">
      <c r="A391" s="76"/>
      <c r="B391" s="5"/>
      <c r="C391" s="16"/>
      <c r="E391" s="5"/>
    </row>
    <row r="392" spans="1:5" ht="12.5">
      <c r="A392" s="76"/>
      <c r="B392" s="5"/>
      <c r="C392" s="16"/>
      <c r="E392" s="5"/>
    </row>
    <row r="393" spans="1:5" ht="12.5">
      <c r="A393" s="76"/>
      <c r="B393" s="5"/>
      <c r="C393" s="16"/>
      <c r="E393" s="5"/>
    </row>
    <row r="394" spans="1:5" ht="12.5">
      <c r="A394" s="76"/>
      <c r="B394" s="5"/>
      <c r="C394" s="16"/>
      <c r="E394" s="5"/>
    </row>
    <row r="395" spans="1:5" ht="12.5">
      <c r="A395" s="76"/>
      <c r="B395" s="5"/>
      <c r="C395" s="16"/>
      <c r="E395" s="5"/>
    </row>
    <row r="396" spans="1:5" ht="12.5">
      <c r="A396" s="76"/>
      <c r="B396" s="5"/>
      <c r="C396" s="16"/>
      <c r="E396" s="5"/>
    </row>
    <row r="397" spans="1:5" ht="12.5">
      <c r="A397" s="76"/>
      <c r="B397" s="5"/>
      <c r="C397" s="16"/>
      <c r="E397" s="5"/>
    </row>
    <row r="398" spans="1:5" ht="12.5">
      <c r="A398" s="76"/>
      <c r="B398" s="5"/>
      <c r="C398" s="16"/>
      <c r="E398" s="5"/>
    </row>
    <row r="399" spans="1:5" ht="12.5">
      <c r="A399" s="76"/>
      <c r="B399" s="5"/>
      <c r="C399" s="16"/>
      <c r="E399" s="5"/>
    </row>
    <row r="400" spans="1:5" ht="12.5">
      <c r="A400" s="76"/>
      <c r="B400" s="5"/>
      <c r="C400" s="16"/>
      <c r="E400" s="5"/>
    </row>
    <row r="401" spans="1:5" ht="12.5">
      <c r="A401" s="76"/>
      <c r="B401" s="5"/>
      <c r="C401" s="16"/>
      <c r="E401" s="5"/>
    </row>
    <row r="402" spans="1:5" ht="12.5">
      <c r="A402" s="76"/>
      <c r="B402" s="5"/>
      <c r="C402" s="16"/>
      <c r="E402" s="5"/>
    </row>
    <row r="403" spans="1:5" ht="12.5">
      <c r="A403" s="76"/>
      <c r="B403" s="5"/>
      <c r="C403" s="16"/>
      <c r="E403" s="5"/>
    </row>
    <row r="404" spans="1:5" ht="12.5">
      <c r="A404" s="76"/>
      <c r="B404" s="5"/>
      <c r="C404" s="16"/>
      <c r="E404" s="5"/>
    </row>
    <row r="405" spans="1:5" ht="12.5">
      <c r="A405" s="76"/>
      <c r="B405" s="5"/>
      <c r="C405" s="16"/>
      <c r="E405" s="5"/>
    </row>
    <row r="406" spans="1:5" ht="12.5">
      <c r="A406" s="76"/>
      <c r="B406" s="5"/>
      <c r="C406" s="16"/>
      <c r="E406" s="5"/>
    </row>
    <row r="407" spans="1:5" ht="12.5">
      <c r="A407" s="76"/>
      <c r="B407" s="5"/>
      <c r="C407" s="16"/>
      <c r="E407" s="5"/>
    </row>
    <row r="408" spans="1:5" ht="12.5">
      <c r="A408" s="76"/>
      <c r="B408" s="5"/>
      <c r="C408" s="16"/>
      <c r="E408" s="5"/>
    </row>
    <row r="409" spans="1:5" ht="12.5">
      <c r="A409" s="76"/>
      <c r="B409" s="5"/>
      <c r="C409" s="16"/>
      <c r="E409" s="5"/>
    </row>
    <row r="410" spans="1:5" ht="12.5">
      <c r="A410" s="76"/>
      <c r="B410" s="5"/>
      <c r="C410" s="16"/>
      <c r="E410" s="5"/>
    </row>
    <row r="411" spans="1:5" ht="12.5">
      <c r="A411" s="76"/>
      <c r="B411" s="5"/>
      <c r="C411" s="16"/>
      <c r="E411" s="5"/>
    </row>
    <row r="412" spans="1:5" ht="12.5">
      <c r="A412" s="76"/>
      <c r="B412" s="5"/>
      <c r="C412" s="16"/>
      <c r="E412" s="5"/>
    </row>
    <row r="413" spans="1:5" ht="12.5">
      <c r="A413" s="76"/>
      <c r="B413" s="5"/>
      <c r="C413" s="16"/>
      <c r="E413" s="5"/>
    </row>
    <row r="414" spans="1:5" ht="12.5">
      <c r="A414" s="76"/>
      <c r="B414" s="5"/>
      <c r="C414" s="16"/>
      <c r="E414" s="5"/>
    </row>
    <row r="415" spans="1:5" ht="12.5">
      <c r="A415" s="76"/>
      <c r="B415" s="5"/>
      <c r="C415" s="16"/>
      <c r="E415" s="5"/>
    </row>
    <row r="416" spans="1:5" ht="12.5">
      <c r="A416" s="76"/>
      <c r="B416" s="5"/>
      <c r="C416" s="16"/>
      <c r="E416" s="5"/>
    </row>
    <row r="417" spans="1:5" ht="12.5">
      <c r="A417" s="76"/>
      <c r="B417" s="5"/>
      <c r="C417" s="16"/>
      <c r="E417" s="5"/>
    </row>
    <row r="418" spans="1:5" ht="12.5">
      <c r="A418" s="76"/>
      <c r="B418" s="5"/>
      <c r="C418" s="16"/>
      <c r="E418" s="5"/>
    </row>
    <row r="419" spans="1:5" ht="12.5">
      <c r="A419" s="76"/>
      <c r="B419" s="5"/>
      <c r="C419" s="16"/>
      <c r="E419" s="5"/>
    </row>
    <row r="420" spans="1:5" ht="12.5">
      <c r="A420" s="76"/>
      <c r="B420" s="5"/>
      <c r="C420" s="16"/>
      <c r="E420" s="5"/>
    </row>
    <row r="421" spans="1:5" ht="12.5">
      <c r="A421" s="76"/>
      <c r="B421" s="5"/>
      <c r="C421" s="16"/>
      <c r="E421" s="5"/>
    </row>
    <row r="422" spans="1:5" ht="12.5">
      <c r="A422" s="76"/>
      <c r="B422" s="5"/>
      <c r="C422" s="16"/>
      <c r="E422" s="5"/>
    </row>
    <row r="423" spans="1:5" ht="12.5">
      <c r="A423" s="76"/>
      <c r="B423" s="5"/>
      <c r="C423" s="16"/>
      <c r="E423" s="5"/>
    </row>
    <row r="424" spans="1:5" ht="12.5">
      <c r="A424" s="76"/>
      <c r="B424" s="5"/>
      <c r="C424" s="16"/>
      <c r="E424" s="5"/>
    </row>
    <row r="425" spans="1:5" ht="12.5">
      <c r="A425" s="76"/>
      <c r="B425" s="5"/>
      <c r="C425" s="16"/>
      <c r="E425" s="5"/>
    </row>
    <row r="426" spans="1:5" ht="12.5">
      <c r="A426" s="76"/>
      <c r="B426" s="5"/>
      <c r="C426" s="16"/>
      <c r="E426" s="5"/>
    </row>
    <row r="427" spans="1:5" ht="12.5">
      <c r="A427" s="76"/>
      <c r="B427" s="5"/>
      <c r="C427" s="16"/>
      <c r="E427" s="5"/>
    </row>
    <row r="428" spans="1:5" ht="12.5">
      <c r="A428" s="76"/>
      <c r="B428" s="5"/>
      <c r="C428" s="16"/>
      <c r="E428" s="5"/>
    </row>
    <row r="429" spans="1:5" ht="12.5">
      <c r="A429" s="76"/>
      <c r="B429" s="5"/>
      <c r="C429" s="16"/>
      <c r="E429" s="5"/>
    </row>
    <row r="430" spans="1:5" ht="12.5">
      <c r="A430" s="76"/>
      <c r="B430" s="5"/>
      <c r="C430" s="16"/>
      <c r="E430" s="5"/>
    </row>
    <row r="431" spans="1:5" ht="12.5">
      <c r="A431" s="76"/>
      <c r="B431" s="5"/>
      <c r="C431" s="16"/>
      <c r="E431" s="5"/>
    </row>
    <row r="432" spans="1:5" ht="12.5">
      <c r="A432" s="76"/>
      <c r="B432" s="5"/>
      <c r="C432" s="16"/>
      <c r="E432" s="5"/>
    </row>
    <row r="433" spans="1:5" ht="12.5">
      <c r="A433" s="76"/>
      <c r="B433" s="5"/>
      <c r="C433" s="16"/>
      <c r="E433" s="5"/>
    </row>
    <row r="434" spans="1:5" ht="12.5">
      <c r="A434" s="76"/>
      <c r="B434" s="5"/>
      <c r="C434" s="16"/>
      <c r="E434" s="5"/>
    </row>
    <row r="435" spans="1:5" ht="12.5">
      <c r="A435" s="76"/>
      <c r="B435" s="5"/>
      <c r="C435" s="16"/>
      <c r="E435" s="5"/>
    </row>
    <row r="436" spans="1:5" ht="12.5">
      <c r="A436" s="76"/>
      <c r="B436" s="5"/>
      <c r="C436" s="16"/>
      <c r="E436" s="5"/>
    </row>
    <row r="437" spans="1:5" ht="12.5">
      <c r="A437" s="76"/>
      <c r="B437" s="5"/>
      <c r="C437" s="16"/>
      <c r="E437" s="5"/>
    </row>
    <row r="438" spans="1:5" ht="12.5">
      <c r="A438" s="76"/>
      <c r="B438" s="5"/>
      <c r="C438" s="16"/>
      <c r="E438" s="5"/>
    </row>
    <row r="439" spans="1:5" ht="12.5">
      <c r="A439" s="76"/>
      <c r="B439" s="5"/>
      <c r="C439" s="16"/>
      <c r="E439" s="5"/>
    </row>
    <row r="440" spans="1:5" ht="12.5">
      <c r="A440" s="76"/>
      <c r="B440" s="5"/>
      <c r="C440" s="16"/>
      <c r="E440" s="5"/>
    </row>
    <row r="441" spans="1:5" ht="12.5">
      <c r="A441" s="76"/>
      <c r="B441" s="5"/>
      <c r="C441" s="16"/>
      <c r="E441" s="5"/>
    </row>
    <row r="442" spans="1:5" ht="12.5">
      <c r="A442" s="76"/>
      <c r="B442" s="5"/>
      <c r="C442" s="16"/>
      <c r="E442" s="5"/>
    </row>
    <row r="443" spans="1:5" ht="12.5">
      <c r="A443" s="76"/>
      <c r="B443" s="5"/>
      <c r="C443" s="16"/>
      <c r="E443" s="5"/>
    </row>
    <row r="444" spans="1:5" ht="12.5">
      <c r="A444" s="76"/>
      <c r="B444" s="5"/>
      <c r="C444" s="16"/>
      <c r="E444" s="5"/>
    </row>
    <row r="445" spans="1:5" ht="12.5">
      <c r="A445" s="76"/>
      <c r="B445" s="5"/>
      <c r="C445" s="16"/>
      <c r="E445" s="5"/>
    </row>
    <row r="446" spans="1:5" ht="12.5">
      <c r="A446" s="76"/>
      <c r="B446" s="5"/>
      <c r="C446" s="16"/>
      <c r="E446" s="5"/>
    </row>
    <row r="447" spans="1:5" ht="12.5">
      <c r="A447" s="76"/>
      <c r="B447" s="5"/>
      <c r="C447" s="16"/>
      <c r="E447" s="5"/>
    </row>
    <row r="448" spans="1:5" ht="12.5">
      <c r="A448" s="76"/>
      <c r="B448" s="5"/>
      <c r="C448" s="16"/>
      <c r="E448" s="5"/>
    </row>
    <row r="449" spans="1:5" ht="12.5">
      <c r="A449" s="76"/>
      <c r="B449" s="5"/>
      <c r="C449" s="16"/>
      <c r="E449" s="5"/>
    </row>
    <row r="450" spans="1:5" ht="12.5">
      <c r="A450" s="76"/>
      <c r="B450" s="5"/>
      <c r="C450" s="16"/>
      <c r="E450" s="5"/>
    </row>
    <row r="451" spans="1:5" ht="12.5">
      <c r="A451" s="76"/>
      <c r="B451" s="5"/>
      <c r="C451" s="16"/>
      <c r="E451" s="5"/>
    </row>
    <row r="452" spans="1:5" ht="12.5">
      <c r="A452" s="76"/>
      <c r="B452" s="5"/>
      <c r="C452" s="16"/>
      <c r="E452" s="5"/>
    </row>
    <row r="453" spans="1:5" ht="12.5">
      <c r="A453" s="76"/>
      <c r="B453" s="5"/>
      <c r="C453" s="16"/>
      <c r="E453" s="5"/>
    </row>
    <row r="454" spans="1:5" ht="12.5">
      <c r="A454" s="76"/>
      <c r="B454" s="5"/>
      <c r="C454" s="16"/>
      <c r="E454" s="5"/>
    </row>
    <row r="455" spans="1:5" ht="12.5">
      <c r="A455" s="76"/>
      <c r="B455" s="5"/>
      <c r="C455" s="16"/>
      <c r="E455" s="5"/>
    </row>
    <row r="456" spans="1:5" ht="12.5">
      <c r="A456" s="76"/>
      <c r="B456" s="5"/>
      <c r="C456" s="16"/>
      <c r="E456" s="5"/>
    </row>
    <row r="457" spans="1:5" ht="12.5">
      <c r="A457" s="76"/>
      <c r="B457" s="5"/>
      <c r="C457" s="16"/>
      <c r="E457" s="5"/>
    </row>
    <row r="458" spans="1:5" ht="12.5">
      <c r="A458" s="76"/>
      <c r="B458" s="5"/>
      <c r="C458" s="16"/>
      <c r="E458" s="5"/>
    </row>
    <row r="459" spans="1:5" ht="12.5">
      <c r="A459" s="76"/>
      <c r="B459" s="5"/>
      <c r="C459" s="16"/>
      <c r="E459" s="5"/>
    </row>
    <row r="460" spans="1:5" ht="12.5">
      <c r="A460" s="76"/>
      <c r="B460" s="5"/>
      <c r="C460" s="16"/>
      <c r="E460" s="5"/>
    </row>
    <row r="461" spans="1:5" ht="12.5">
      <c r="A461" s="76"/>
      <c r="B461" s="5"/>
      <c r="C461" s="16"/>
      <c r="E461" s="5"/>
    </row>
    <row r="462" spans="1:5" ht="12.5">
      <c r="A462" s="76"/>
      <c r="B462" s="5"/>
      <c r="C462" s="16"/>
      <c r="E462" s="5"/>
    </row>
    <row r="463" spans="1:5" ht="12.5">
      <c r="A463" s="76"/>
      <c r="B463" s="5"/>
      <c r="C463" s="16"/>
      <c r="E463" s="5"/>
    </row>
    <row r="464" spans="1:5" ht="12.5">
      <c r="A464" s="76"/>
      <c r="B464" s="5"/>
      <c r="C464" s="16"/>
      <c r="E464" s="5"/>
    </row>
    <row r="465" spans="1:5" ht="12.5">
      <c r="A465" s="76"/>
      <c r="B465" s="5"/>
      <c r="C465" s="16"/>
      <c r="E465" s="5"/>
    </row>
    <row r="466" spans="1:5" ht="12.5">
      <c r="A466" s="76"/>
      <c r="B466" s="5"/>
      <c r="C466" s="16"/>
      <c r="E466" s="5"/>
    </row>
    <row r="467" spans="1:5" ht="12.5">
      <c r="A467" s="76"/>
      <c r="B467" s="5"/>
      <c r="C467" s="16"/>
      <c r="E467" s="5"/>
    </row>
    <row r="468" spans="1:5" ht="12.5">
      <c r="A468" s="76"/>
      <c r="B468" s="5"/>
      <c r="C468" s="16"/>
      <c r="E468" s="5"/>
    </row>
    <row r="469" spans="1:5" ht="12.5">
      <c r="A469" s="76"/>
      <c r="B469" s="5"/>
      <c r="C469" s="16"/>
      <c r="E469" s="5"/>
    </row>
    <row r="470" spans="1:5" ht="12.5">
      <c r="A470" s="76"/>
      <c r="B470" s="5"/>
      <c r="C470" s="16"/>
      <c r="E470" s="5"/>
    </row>
    <row r="471" spans="1:5" ht="12.5">
      <c r="A471" s="76"/>
      <c r="B471" s="5"/>
      <c r="C471" s="16"/>
      <c r="E471" s="5"/>
    </row>
    <row r="472" spans="1:5" ht="12.5">
      <c r="A472" s="76"/>
      <c r="B472" s="5"/>
      <c r="C472" s="16"/>
      <c r="E472" s="5"/>
    </row>
    <row r="473" spans="1:5" ht="12.5">
      <c r="A473" s="76"/>
      <c r="B473" s="5"/>
      <c r="C473" s="16"/>
      <c r="E473" s="5"/>
    </row>
    <row r="474" spans="1:5" ht="12.5">
      <c r="A474" s="76"/>
      <c r="B474" s="5"/>
      <c r="C474" s="16"/>
      <c r="E474" s="5"/>
    </row>
    <row r="475" spans="1:5" ht="12.5">
      <c r="A475" s="76"/>
      <c r="B475" s="5"/>
      <c r="C475" s="16"/>
      <c r="E475" s="5"/>
    </row>
    <row r="476" spans="1:5" ht="12.5">
      <c r="A476" s="76"/>
      <c r="B476" s="5"/>
      <c r="C476" s="16"/>
      <c r="E476" s="5"/>
    </row>
    <row r="477" spans="1:5" ht="12.5">
      <c r="A477" s="76"/>
      <c r="B477" s="5"/>
      <c r="C477" s="16"/>
      <c r="E477" s="5"/>
    </row>
    <row r="478" spans="1:5" ht="12.5">
      <c r="A478" s="76"/>
      <c r="B478" s="5"/>
      <c r="C478" s="16"/>
      <c r="E478" s="5"/>
    </row>
    <row r="479" spans="1:5" ht="12.5">
      <c r="A479" s="76"/>
      <c r="B479" s="5"/>
      <c r="C479" s="16"/>
      <c r="E479" s="5"/>
    </row>
    <row r="480" spans="1:5" ht="12.5">
      <c r="A480" s="76"/>
      <c r="B480" s="5"/>
      <c r="C480" s="16"/>
      <c r="E480" s="5"/>
    </row>
    <row r="481" spans="1:5" ht="12.5">
      <c r="A481" s="76"/>
      <c r="B481" s="5"/>
      <c r="C481" s="16"/>
      <c r="E481" s="5"/>
    </row>
    <row r="482" spans="1:5" ht="12.5">
      <c r="A482" s="76"/>
      <c r="B482" s="5"/>
      <c r="C482" s="16"/>
      <c r="E482" s="5"/>
    </row>
    <row r="483" spans="1:5" ht="12.5">
      <c r="A483" s="76"/>
      <c r="B483" s="5"/>
      <c r="C483" s="16"/>
      <c r="E483" s="5"/>
    </row>
    <row r="484" spans="1:5" ht="12.5">
      <c r="A484" s="76"/>
      <c r="B484" s="5"/>
      <c r="C484" s="16"/>
      <c r="E484" s="5"/>
    </row>
    <row r="485" spans="1:5" ht="12.5">
      <c r="A485" s="76"/>
      <c r="B485" s="5"/>
      <c r="C485" s="16"/>
      <c r="E485" s="5"/>
    </row>
    <row r="486" spans="1:5" ht="12.5">
      <c r="A486" s="76"/>
      <c r="B486" s="5"/>
      <c r="C486" s="16"/>
      <c r="E486" s="5"/>
    </row>
    <row r="487" spans="1:5" ht="12.5">
      <c r="A487" s="76"/>
      <c r="B487" s="5"/>
      <c r="C487" s="16"/>
      <c r="E487" s="5"/>
    </row>
    <row r="488" spans="1:5" ht="12.5">
      <c r="A488" s="76"/>
      <c r="B488" s="5"/>
      <c r="C488" s="16"/>
      <c r="E488" s="5"/>
    </row>
    <row r="489" spans="1:5" ht="12.5">
      <c r="A489" s="76"/>
      <c r="B489" s="5"/>
      <c r="C489" s="16"/>
      <c r="E489" s="5"/>
    </row>
    <row r="490" spans="1:5" ht="12.5">
      <c r="A490" s="76"/>
      <c r="B490" s="5"/>
      <c r="C490" s="16"/>
      <c r="E490" s="5"/>
    </row>
    <row r="491" spans="1:5" ht="12.5">
      <c r="A491" s="76"/>
      <c r="B491" s="5"/>
      <c r="C491" s="16"/>
      <c r="E491" s="5"/>
    </row>
    <row r="492" spans="1:5" ht="12.5">
      <c r="A492" s="76"/>
      <c r="B492" s="5"/>
      <c r="C492" s="16"/>
      <c r="E492" s="5"/>
    </row>
    <row r="493" spans="1:5" ht="12.5">
      <c r="A493" s="76"/>
      <c r="B493" s="5"/>
      <c r="C493" s="16"/>
      <c r="E493" s="5"/>
    </row>
    <row r="494" spans="1:5" ht="12.5">
      <c r="A494" s="76"/>
      <c r="B494" s="5"/>
      <c r="C494" s="16"/>
      <c r="E494" s="5"/>
    </row>
    <row r="495" spans="1:5" ht="12.5">
      <c r="A495" s="76"/>
      <c r="B495" s="5"/>
      <c r="C495" s="16"/>
      <c r="E495" s="5"/>
    </row>
    <row r="496" spans="1:5" ht="12.5">
      <c r="A496" s="76"/>
      <c r="B496" s="5"/>
      <c r="C496" s="16"/>
      <c r="E496" s="5"/>
    </row>
    <row r="497" spans="1:5" ht="12.5">
      <c r="A497" s="76"/>
      <c r="B497" s="5"/>
      <c r="C497" s="16"/>
      <c r="E497" s="5"/>
    </row>
    <row r="498" spans="1:5" ht="12.5">
      <c r="A498" s="76"/>
      <c r="B498" s="5"/>
      <c r="C498" s="16"/>
      <c r="E498" s="5"/>
    </row>
    <row r="499" spans="1:5" ht="12.5">
      <c r="A499" s="76"/>
      <c r="B499" s="5"/>
      <c r="C499" s="16"/>
      <c r="E499" s="5"/>
    </row>
    <row r="500" spans="1:5" ht="12.5">
      <c r="A500" s="76"/>
      <c r="B500" s="5"/>
      <c r="C500" s="16"/>
      <c r="E500" s="5"/>
    </row>
    <row r="501" spans="1:5" ht="12.5">
      <c r="A501" s="76"/>
      <c r="B501" s="5"/>
      <c r="C501" s="16"/>
      <c r="E501" s="5"/>
    </row>
    <row r="502" spans="1:5" ht="12.5">
      <c r="A502" s="76"/>
      <c r="B502" s="5"/>
      <c r="C502" s="16"/>
      <c r="E502" s="5"/>
    </row>
    <row r="503" spans="1:5" ht="12.5">
      <c r="A503" s="76"/>
      <c r="B503" s="5"/>
      <c r="C503" s="16"/>
      <c r="E503" s="5"/>
    </row>
    <row r="504" spans="1:5" ht="12.5">
      <c r="A504" s="76"/>
      <c r="B504" s="5"/>
      <c r="C504" s="16"/>
      <c r="E504" s="5"/>
    </row>
    <row r="505" spans="1:5" ht="12.5">
      <c r="A505" s="76"/>
      <c r="B505" s="5"/>
      <c r="C505" s="16"/>
      <c r="E505" s="5"/>
    </row>
    <row r="506" spans="1:5" ht="12.5">
      <c r="A506" s="76"/>
      <c r="B506" s="5"/>
      <c r="C506" s="16"/>
      <c r="E506" s="5"/>
    </row>
    <row r="507" spans="1:5" ht="12.5">
      <c r="A507" s="76"/>
      <c r="B507" s="5"/>
      <c r="C507" s="16"/>
      <c r="E507" s="5"/>
    </row>
    <row r="508" spans="1:5" ht="12.5">
      <c r="A508" s="76"/>
      <c r="B508" s="5"/>
      <c r="C508" s="16"/>
      <c r="E508" s="5"/>
    </row>
    <row r="509" spans="1:5" ht="12.5">
      <c r="A509" s="76"/>
      <c r="B509" s="5"/>
      <c r="C509" s="16"/>
      <c r="E509" s="5"/>
    </row>
    <row r="510" spans="1:5" ht="12.5">
      <c r="A510" s="76"/>
      <c r="B510" s="5"/>
      <c r="C510" s="16"/>
      <c r="E510" s="5"/>
    </row>
    <row r="511" spans="1:5" ht="12.5">
      <c r="A511" s="76"/>
      <c r="B511" s="5"/>
      <c r="C511" s="16"/>
      <c r="E511" s="5"/>
    </row>
    <row r="512" spans="1:5" ht="12.5">
      <c r="A512" s="76"/>
      <c r="B512" s="5"/>
      <c r="C512" s="16"/>
      <c r="E512" s="5"/>
    </row>
    <row r="513" spans="1:5" ht="12.5">
      <c r="A513" s="76"/>
      <c r="B513" s="5"/>
      <c r="C513" s="16"/>
      <c r="E513" s="5"/>
    </row>
    <row r="514" spans="1:5" ht="12.5">
      <c r="A514" s="76"/>
      <c r="B514" s="5"/>
      <c r="C514" s="16"/>
      <c r="E514" s="5"/>
    </row>
    <row r="515" spans="1:5" ht="12.5">
      <c r="A515" s="76"/>
      <c r="B515" s="5"/>
      <c r="C515" s="16"/>
      <c r="E515" s="5"/>
    </row>
    <row r="516" spans="1:5" ht="12.5">
      <c r="A516" s="76"/>
      <c r="B516" s="5"/>
      <c r="C516" s="16"/>
      <c r="E516" s="5"/>
    </row>
    <row r="517" spans="1:5" ht="12.5">
      <c r="A517" s="76"/>
      <c r="B517" s="5"/>
      <c r="C517" s="16"/>
      <c r="E517" s="5"/>
    </row>
    <row r="518" spans="1:5" ht="12.5">
      <c r="A518" s="76"/>
      <c r="B518" s="5"/>
      <c r="C518" s="16"/>
      <c r="E518" s="5"/>
    </row>
    <row r="519" spans="1:5" ht="12.5">
      <c r="A519" s="76"/>
      <c r="B519" s="5"/>
      <c r="C519" s="16"/>
      <c r="E519" s="5"/>
    </row>
    <row r="520" spans="1:5" ht="12.5">
      <c r="A520" s="76"/>
      <c r="B520" s="5"/>
      <c r="C520" s="16"/>
      <c r="E520" s="5"/>
    </row>
    <row r="521" spans="1:5" ht="12.5">
      <c r="A521" s="76"/>
      <c r="B521" s="5"/>
      <c r="C521" s="16"/>
      <c r="E521" s="5"/>
    </row>
    <row r="522" spans="1:5" ht="12.5">
      <c r="A522" s="76"/>
      <c r="B522" s="5"/>
      <c r="C522" s="16"/>
      <c r="E522" s="5"/>
    </row>
    <row r="523" spans="1:5" ht="12.5">
      <c r="A523" s="76"/>
      <c r="B523" s="5"/>
      <c r="C523" s="16"/>
      <c r="E523" s="5"/>
    </row>
    <row r="524" spans="1:5" ht="12.5">
      <c r="A524" s="76"/>
      <c r="B524" s="5"/>
      <c r="C524" s="16"/>
      <c r="E524" s="5"/>
    </row>
    <row r="525" spans="1:5" ht="12.5">
      <c r="A525" s="76"/>
      <c r="B525" s="5"/>
      <c r="C525" s="16"/>
      <c r="E525" s="5"/>
    </row>
    <row r="526" spans="1:5" ht="12.5">
      <c r="A526" s="76"/>
      <c r="B526" s="5"/>
      <c r="C526" s="16"/>
      <c r="E526" s="5"/>
    </row>
    <row r="527" spans="1:5" ht="12.5">
      <c r="A527" s="76"/>
      <c r="B527" s="5"/>
      <c r="C527" s="16"/>
      <c r="E527" s="5"/>
    </row>
    <row r="528" spans="1:5" ht="12.5">
      <c r="A528" s="76"/>
      <c r="B528" s="5"/>
      <c r="C528" s="16"/>
      <c r="E528" s="5"/>
    </row>
    <row r="529" spans="1:5" ht="12.5">
      <c r="A529" s="76"/>
      <c r="B529" s="5"/>
      <c r="C529" s="16"/>
      <c r="E529" s="5"/>
    </row>
    <row r="530" spans="1:5" ht="12.5">
      <c r="A530" s="76"/>
      <c r="B530" s="5"/>
      <c r="C530" s="16"/>
      <c r="E530" s="5"/>
    </row>
    <row r="531" spans="1:5" ht="12.5">
      <c r="A531" s="76"/>
      <c r="B531" s="5"/>
      <c r="C531" s="16"/>
      <c r="E531" s="5"/>
    </row>
    <row r="532" spans="1:5" ht="12.5">
      <c r="A532" s="76"/>
      <c r="B532" s="5"/>
      <c r="C532" s="16"/>
      <c r="E532" s="5"/>
    </row>
    <row r="533" spans="1:5" ht="12.5">
      <c r="A533" s="76"/>
      <c r="B533" s="5"/>
      <c r="C533" s="16"/>
      <c r="E533" s="5"/>
    </row>
    <row r="534" spans="1:5" ht="12.5">
      <c r="A534" s="76"/>
      <c r="B534" s="5"/>
      <c r="C534" s="16"/>
      <c r="E534" s="5"/>
    </row>
    <row r="535" spans="1:5" ht="12.5">
      <c r="A535" s="76"/>
      <c r="B535" s="5"/>
      <c r="C535" s="16"/>
      <c r="E535" s="5"/>
    </row>
    <row r="536" spans="1:5" ht="12.5">
      <c r="A536" s="76"/>
      <c r="B536" s="5"/>
      <c r="C536" s="16"/>
      <c r="E536" s="5"/>
    </row>
    <row r="537" spans="1:5" ht="12.5">
      <c r="A537" s="76"/>
      <c r="B537" s="5"/>
      <c r="C537" s="16"/>
      <c r="E537" s="5"/>
    </row>
    <row r="538" spans="1:5" ht="12.5">
      <c r="A538" s="76"/>
      <c r="B538" s="5"/>
      <c r="C538" s="16"/>
      <c r="E538" s="5"/>
    </row>
    <row r="539" spans="1:5" ht="12.5">
      <c r="A539" s="76"/>
      <c r="B539" s="5"/>
      <c r="C539" s="16"/>
      <c r="E539" s="5"/>
    </row>
    <row r="540" spans="1:5" ht="12.5">
      <c r="A540" s="76"/>
      <c r="B540" s="5"/>
      <c r="C540" s="16"/>
      <c r="E540" s="5"/>
    </row>
    <row r="541" spans="1:5" ht="12.5">
      <c r="A541" s="76"/>
      <c r="B541" s="5"/>
      <c r="C541" s="16"/>
      <c r="E541" s="5"/>
    </row>
    <row r="542" spans="1:5" ht="12.5">
      <c r="A542" s="76"/>
      <c r="B542" s="5"/>
      <c r="C542" s="16"/>
      <c r="E542" s="5"/>
    </row>
    <row r="543" spans="1:5" ht="12.5">
      <c r="A543" s="76"/>
      <c r="B543" s="5"/>
      <c r="C543" s="16"/>
      <c r="E543" s="5"/>
    </row>
    <row r="544" spans="1:5" ht="12.5">
      <c r="A544" s="76"/>
      <c r="B544" s="5"/>
      <c r="C544" s="16"/>
      <c r="E544" s="5"/>
    </row>
    <row r="545" spans="1:5" ht="12.5">
      <c r="A545" s="76"/>
      <c r="B545" s="5"/>
      <c r="C545" s="16"/>
      <c r="E545" s="5"/>
    </row>
    <row r="546" spans="1:5" ht="12.5">
      <c r="A546" s="76"/>
      <c r="B546" s="5"/>
      <c r="C546" s="16"/>
      <c r="E546" s="5"/>
    </row>
    <row r="547" spans="1:5" ht="12.5">
      <c r="A547" s="76"/>
      <c r="B547" s="5"/>
      <c r="C547" s="16"/>
      <c r="E547" s="5"/>
    </row>
    <row r="548" spans="1:5" ht="12.5">
      <c r="A548" s="76"/>
      <c r="B548" s="5"/>
      <c r="C548" s="16"/>
      <c r="E548" s="5"/>
    </row>
    <row r="549" spans="1:5" ht="12.5">
      <c r="A549" s="76"/>
      <c r="B549" s="5"/>
      <c r="C549" s="16"/>
      <c r="E549" s="5"/>
    </row>
    <row r="550" spans="1:5" ht="12.5">
      <c r="A550" s="76"/>
      <c r="B550" s="5"/>
      <c r="C550" s="16"/>
      <c r="E550" s="5"/>
    </row>
    <row r="551" spans="1:5" ht="12.5">
      <c r="A551" s="76"/>
      <c r="B551" s="5"/>
      <c r="C551" s="16"/>
      <c r="E551" s="5"/>
    </row>
    <row r="552" spans="1:5" ht="12.5">
      <c r="A552" s="76"/>
      <c r="B552" s="5"/>
      <c r="C552" s="16"/>
      <c r="E552" s="5"/>
    </row>
    <row r="553" spans="1:5" ht="12.5">
      <c r="A553" s="76"/>
      <c r="B553" s="5"/>
      <c r="C553" s="16"/>
      <c r="E553" s="5"/>
    </row>
    <row r="554" spans="1:5" ht="12.5">
      <c r="A554" s="76"/>
      <c r="B554" s="5"/>
      <c r="C554" s="16"/>
      <c r="E554" s="5"/>
    </row>
    <row r="555" spans="1:5" ht="12.5">
      <c r="A555" s="76"/>
      <c r="B555" s="5"/>
      <c r="C555" s="16"/>
      <c r="E555" s="5"/>
    </row>
    <row r="556" spans="1:5" ht="12.5">
      <c r="A556" s="76"/>
      <c r="B556" s="5"/>
      <c r="C556" s="16"/>
      <c r="E556" s="5"/>
    </row>
    <row r="557" spans="1:5" ht="12.5">
      <c r="A557" s="76"/>
      <c r="B557" s="5"/>
      <c r="C557" s="16"/>
      <c r="E557" s="5"/>
    </row>
    <row r="558" spans="1:5" ht="12.5">
      <c r="A558" s="76"/>
      <c r="B558" s="5"/>
      <c r="C558" s="16"/>
      <c r="E558" s="5"/>
    </row>
    <row r="559" spans="1:5" ht="12.5">
      <c r="A559" s="76"/>
      <c r="B559" s="5"/>
      <c r="C559" s="16"/>
      <c r="E559" s="5"/>
    </row>
    <row r="560" spans="1:5" ht="12.5">
      <c r="A560" s="76"/>
      <c r="B560" s="5"/>
      <c r="C560" s="16"/>
      <c r="E560" s="5"/>
    </row>
    <row r="561" spans="1:5" ht="12.5">
      <c r="A561" s="76"/>
      <c r="B561" s="5"/>
      <c r="C561" s="16"/>
      <c r="E561" s="5"/>
    </row>
    <row r="562" spans="1:5" ht="12.5">
      <c r="A562" s="76"/>
      <c r="B562" s="5"/>
      <c r="C562" s="16"/>
      <c r="E562" s="5"/>
    </row>
    <row r="563" spans="1:5" ht="12.5">
      <c r="A563" s="76"/>
      <c r="B563" s="5"/>
      <c r="C563" s="16"/>
      <c r="E563" s="5"/>
    </row>
    <row r="564" spans="1:5" ht="12.5">
      <c r="A564" s="76"/>
      <c r="B564" s="5"/>
      <c r="C564" s="16"/>
      <c r="E564" s="5"/>
    </row>
    <row r="565" spans="1:5" ht="12.5">
      <c r="A565" s="76"/>
      <c r="B565" s="5"/>
      <c r="C565" s="16"/>
      <c r="E565" s="5"/>
    </row>
    <row r="566" spans="1:5" ht="12.5">
      <c r="A566" s="76"/>
      <c r="B566" s="5"/>
      <c r="C566" s="16"/>
      <c r="E566" s="5"/>
    </row>
    <row r="567" spans="1:5" ht="12.5">
      <c r="A567" s="76"/>
      <c r="B567" s="5"/>
      <c r="C567" s="16"/>
      <c r="E567" s="5"/>
    </row>
    <row r="568" spans="1:5" ht="12.5">
      <c r="A568" s="76"/>
      <c r="B568" s="5"/>
      <c r="C568" s="16"/>
      <c r="E568" s="5"/>
    </row>
    <row r="569" spans="1:5" ht="12.5">
      <c r="A569" s="76"/>
      <c r="B569" s="5"/>
      <c r="C569" s="16"/>
      <c r="E569" s="5"/>
    </row>
    <row r="570" spans="1:5" ht="12.5">
      <c r="A570" s="76"/>
      <c r="B570" s="5"/>
      <c r="C570" s="16"/>
      <c r="E570" s="5"/>
    </row>
    <row r="571" spans="1:5" ht="12.5">
      <c r="A571" s="76"/>
      <c r="B571" s="5"/>
      <c r="C571" s="16"/>
      <c r="E571" s="5"/>
    </row>
    <row r="572" spans="1:5" ht="12.5">
      <c r="A572" s="76"/>
      <c r="B572" s="5"/>
      <c r="C572" s="16"/>
      <c r="E572" s="5"/>
    </row>
    <row r="573" spans="1:5" ht="12.5">
      <c r="A573" s="76"/>
      <c r="B573" s="5"/>
      <c r="C573" s="16"/>
      <c r="E573" s="5"/>
    </row>
    <row r="574" spans="1:5" ht="12.5">
      <c r="A574" s="76"/>
      <c r="B574" s="5"/>
      <c r="C574" s="16"/>
      <c r="E574" s="5"/>
    </row>
    <row r="575" spans="1:5" ht="12.5">
      <c r="A575" s="76"/>
      <c r="B575" s="5"/>
      <c r="C575" s="16"/>
      <c r="E575" s="5"/>
    </row>
    <row r="576" spans="1:5" ht="12.5">
      <c r="A576" s="76"/>
      <c r="B576" s="5"/>
      <c r="C576" s="16"/>
      <c r="E576" s="5"/>
    </row>
    <row r="577" spans="1:5" ht="12.5">
      <c r="A577" s="76"/>
      <c r="B577" s="5"/>
      <c r="C577" s="16"/>
      <c r="E577" s="5"/>
    </row>
    <row r="578" spans="1:5" ht="12.5">
      <c r="A578" s="76"/>
      <c r="B578" s="5"/>
      <c r="C578" s="16"/>
      <c r="E578" s="5"/>
    </row>
    <row r="579" spans="1:5" ht="12.5">
      <c r="A579" s="76"/>
      <c r="B579" s="5"/>
      <c r="C579" s="16"/>
      <c r="E579" s="5"/>
    </row>
    <row r="580" spans="1:5" ht="12.5">
      <c r="A580" s="76"/>
      <c r="B580" s="5"/>
      <c r="C580" s="16"/>
      <c r="E580" s="5"/>
    </row>
    <row r="581" spans="1:5" ht="12.5">
      <c r="A581" s="76"/>
      <c r="B581" s="5"/>
      <c r="C581" s="16"/>
      <c r="E581" s="5"/>
    </row>
    <row r="582" spans="1:5" ht="12.5">
      <c r="A582" s="76"/>
      <c r="B582" s="5"/>
      <c r="C582" s="16"/>
      <c r="E582" s="5"/>
    </row>
    <row r="583" spans="1:5" ht="12.5">
      <c r="A583" s="76"/>
      <c r="B583" s="5"/>
      <c r="C583" s="16"/>
      <c r="E583" s="5"/>
    </row>
    <row r="584" spans="1:5" ht="12.5">
      <c r="A584" s="76"/>
      <c r="B584" s="5"/>
      <c r="C584" s="16"/>
      <c r="E584" s="5"/>
    </row>
    <row r="585" spans="1:5" ht="12.5">
      <c r="A585" s="76"/>
      <c r="B585" s="5"/>
      <c r="C585" s="16"/>
      <c r="E585" s="5"/>
    </row>
    <row r="586" spans="1:5" ht="12.5">
      <c r="A586" s="76"/>
      <c r="B586" s="5"/>
      <c r="C586" s="16"/>
      <c r="E586" s="5"/>
    </row>
    <row r="587" spans="1:5" ht="12.5">
      <c r="A587" s="76"/>
      <c r="B587" s="5"/>
      <c r="C587" s="16"/>
      <c r="E587" s="5"/>
    </row>
    <row r="588" spans="1:5" ht="12.5">
      <c r="A588" s="76"/>
      <c r="B588" s="5"/>
      <c r="C588" s="16"/>
      <c r="E588" s="5"/>
    </row>
    <row r="589" spans="1:5" ht="12.5">
      <c r="A589" s="76"/>
      <c r="B589" s="5"/>
      <c r="C589" s="16"/>
      <c r="E589" s="5"/>
    </row>
    <row r="590" spans="1:5" ht="12.5">
      <c r="A590" s="76"/>
      <c r="B590" s="5"/>
      <c r="C590" s="16"/>
      <c r="E590" s="5"/>
    </row>
    <row r="591" spans="1:5" ht="12.5">
      <c r="A591" s="76"/>
      <c r="B591" s="5"/>
      <c r="C591" s="16"/>
      <c r="E591" s="5"/>
    </row>
    <row r="592" spans="1:5" ht="12.5">
      <c r="A592" s="76"/>
      <c r="B592" s="5"/>
      <c r="C592" s="16"/>
      <c r="E592" s="5"/>
    </row>
    <row r="593" spans="1:5" ht="12.5">
      <c r="A593" s="76"/>
      <c r="B593" s="5"/>
      <c r="C593" s="16"/>
      <c r="E593" s="5"/>
    </row>
    <row r="594" spans="1:5" ht="12.5">
      <c r="A594" s="76"/>
      <c r="B594" s="5"/>
      <c r="C594" s="16"/>
      <c r="E594" s="5"/>
    </row>
    <row r="595" spans="1:5" ht="12.5">
      <c r="A595" s="76"/>
      <c r="B595" s="5"/>
      <c r="C595" s="16"/>
      <c r="E595" s="5"/>
    </row>
    <row r="596" spans="1:5" ht="12.5">
      <c r="A596" s="76"/>
      <c r="B596" s="5"/>
      <c r="C596" s="16"/>
      <c r="E596" s="5"/>
    </row>
    <row r="597" spans="1:5" ht="12.5">
      <c r="A597" s="76"/>
      <c r="B597" s="5"/>
      <c r="C597" s="16"/>
      <c r="E597" s="5"/>
    </row>
    <row r="598" spans="1:5" ht="12.5">
      <c r="A598" s="76"/>
      <c r="B598" s="5"/>
      <c r="C598" s="16"/>
      <c r="E598" s="5"/>
    </row>
    <row r="599" spans="1:5" ht="12.5">
      <c r="A599" s="76"/>
      <c r="B599" s="5"/>
      <c r="C599" s="16"/>
      <c r="E599" s="5"/>
    </row>
    <row r="600" spans="1:5" ht="12.5">
      <c r="A600" s="76"/>
      <c r="B600" s="5"/>
      <c r="C600" s="16"/>
      <c r="E600" s="5"/>
    </row>
    <row r="601" spans="1:5" ht="12.5">
      <c r="A601" s="76"/>
      <c r="B601" s="5"/>
      <c r="C601" s="16"/>
      <c r="E601" s="5"/>
    </row>
    <row r="602" spans="1:5" ht="12.5">
      <c r="A602" s="76"/>
      <c r="B602" s="5"/>
      <c r="C602" s="16"/>
      <c r="E602" s="5"/>
    </row>
    <row r="603" spans="1:5" ht="12.5">
      <c r="A603" s="76"/>
      <c r="B603" s="5"/>
      <c r="C603" s="16"/>
      <c r="E603" s="5"/>
    </row>
    <row r="604" spans="1:5" ht="12.5">
      <c r="A604" s="76"/>
      <c r="B604" s="5"/>
      <c r="C604" s="16"/>
      <c r="E604" s="5"/>
    </row>
    <row r="605" spans="1:5" ht="12.5">
      <c r="A605" s="76"/>
      <c r="B605" s="5"/>
      <c r="C605" s="16"/>
      <c r="E605" s="5"/>
    </row>
    <row r="606" spans="1:5" ht="12.5">
      <c r="A606" s="76"/>
      <c r="B606" s="5"/>
      <c r="C606" s="16"/>
      <c r="E606" s="5"/>
    </row>
    <row r="607" spans="1:5" ht="12.5">
      <c r="A607" s="76"/>
      <c r="B607" s="5"/>
      <c r="C607" s="16"/>
      <c r="E607" s="5"/>
    </row>
    <row r="608" spans="1:5" ht="12.5">
      <c r="A608" s="76"/>
      <c r="B608" s="5"/>
      <c r="C608" s="16"/>
      <c r="E608" s="5"/>
    </row>
    <row r="609" spans="1:5" ht="12.5">
      <c r="A609" s="76"/>
      <c r="B609" s="5"/>
      <c r="C609" s="16"/>
      <c r="E609" s="5"/>
    </row>
    <row r="610" spans="1:5" ht="12.5">
      <c r="A610" s="76"/>
      <c r="B610" s="5"/>
      <c r="C610" s="16"/>
      <c r="E610" s="5"/>
    </row>
    <row r="611" spans="1:5" ht="12.5">
      <c r="A611" s="76"/>
      <c r="B611" s="5"/>
      <c r="C611" s="16"/>
      <c r="E611" s="5"/>
    </row>
    <row r="612" spans="1:5" ht="12.5">
      <c r="A612" s="76"/>
      <c r="B612" s="5"/>
      <c r="C612" s="16"/>
      <c r="E612" s="5"/>
    </row>
    <row r="613" spans="1:5" ht="12.5">
      <c r="A613" s="76"/>
      <c r="B613" s="5"/>
      <c r="C613" s="16"/>
      <c r="E613" s="5"/>
    </row>
    <row r="614" spans="1:5" ht="12.5">
      <c r="A614" s="76"/>
      <c r="B614" s="5"/>
      <c r="C614" s="16"/>
      <c r="E614" s="5"/>
    </row>
    <row r="615" spans="1:5" ht="12.5">
      <c r="A615" s="76"/>
      <c r="B615" s="5"/>
      <c r="C615" s="16"/>
      <c r="E615" s="5"/>
    </row>
    <row r="616" spans="1:5" ht="12.5">
      <c r="A616" s="76"/>
      <c r="B616" s="5"/>
      <c r="C616" s="16"/>
      <c r="E616" s="5"/>
    </row>
    <row r="617" spans="1:5" ht="12.5">
      <c r="A617" s="76"/>
      <c r="B617" s="5"/>
      <c r="C617" s="16"/>
      <c r="E617" s="5"/>
    </row>
    <row r="618" spans="1:5" ht="12.5">
      <c r="A618" s="76"/>
      <c r="B618" s="5"/>
      <c r="C618" s="16"/>
      <c r="E618" s="5"/>
    </row>
    <row r="619" spans="1:5" ht="12.5">
      <c r="A619" s="76"/>
      <c r="B619" s="5"/>
      <c r="C619" s="16"/>
      <c r="E619" s="5"/>
    </row>
    <row r="620" spans="1:5" ht="12.5">
      <c r="A620" s="76"/>
      <c r="B620" s="5"/>
      <c r="C620" s="16"/>
      <c r="E620" s="5"/>
    </row>
    <row r="621" spans="1:5" ht="12.5">
      <c r="A621" s="76"/>
      <c r="B621" s="5"/>
      <c r="C621" s="16"/>
      <c r="E621" s="5"/>
    </row>
    <row r="622" spans="1:5" ht="12.5">
      <c r="A622" s="76"/>
      <c r="B622" s="5"/>
      <c r="C622" s="16"/>
      <c r="E622" s="5"/>
    </row>
    <row r="623" spans="1:5" ht="12.5">
      <c r="A623" s="76"/>
      <c r="B623" s="5"/>
      <c r="C623" s="16"/>
      <c r="E623" s="5"/>
    </row>
    <row r="624" spans="1:5" ht="12.5">
      <c r="A624" s="76"/>
      <c r="B624" s="5"/>
      <c r="C624" s="16"/>
      <c r="E624" s="5"/>
    </row>
    <row r="625" spans="1:5" ht="12.5">
      <c r="A625" s="76"/>
      <c r="B625" s="5"/>
      <c r="C625" s="16"/>
      <c r="E625" s="5"/>
    </row>
    <row r="626" spans="1:5" ht="12.5">
      <c r="A626" s="76"/>
      <c r="B626" s="5"/>
      <c r="C626" s="16"/>
      <c r="E626" s="5"/>
    </row>
    <row r="627" spans="1:5" ht="12.5">
      <c r="A627" s="76"/>
      <c r="B627" s="5"/>
      <c r="C627" s="16"/>
      <c r="E627" s="5"/>
    </row>
    <row r="628" spans="1:5" ht="12.5">
      <c r="A628" s="76"/>
      <c r="B628" s="5"/>
      <c r="C628" s="16"/>
      <c r="E628" s="5"/>
    </row>
    <row r="629" spans="1:5" ht="12.5">
      <c r="A629" s="76"/>
      <c r="B629" s="5"/>
      <c r="C629" s="16"/>
      <c r="E629" s="5"/>
    </row>
    <row r="630" spans="1:5" ht="12.5">
      <c r="A630" s="76"/>
      <c r="B630" s="5"/>
      <c r="C630" s="16"/>
      <c r="E630" s="5"/>
    </row>
    <row r="631" spans="1:5" ht="12.5">
      <c r="A631" s="76"/>
      <c r="B631" s="5"/>
      <c r="C631" s="16"/>
      <c r="E631" s="5"/>
    </row>
    <row r="632" spans="1:5" ht="12.5">
      <c r="A632" s="76"/>
      <c r="B632" s="5"/>
      <c r="C632" s="16"/>
      <c r="E632" s="5"/>
    </row>
    <row r="633" spans="1:5" ht="12.5">
      <c r="A633" s="76"/>
      <c r="B633" s="5"/>
      <c r="C633" s="16"/>
      <c r="E633" s="5"/>
    </row>
    <row r="634" spans="1:5" ht="12.5">
      <c r="A634" s="76"/>
      <c r="B634" s="5"/>
      <c r="C634" s="16"/>
      <c r="E634" s="5"/>
    </row>
    <row r="635" spans="1:5" ht="12.5">
      <c r="A635" s="76"/>
      <c r="B635" s="5"/>
      <c r="C635" s="16"/>
      <c r="E635" s="5"/>
    </row>
    <row r="636" spans="1:5" ht="12.5">
      <c r="A636" s="76"/>
      <c r="B636" s="5"/>
      <c r="C636" s="16"/>
      <c r="E636" s="5"/>
    </row>
    <row r="637" spans="1:5" ht="12.5">
      <c r="A637" s="76"/>
      <c r="B637" s="5"/>
      <c r="C637" s="16"/>
      <c r="E637" s="5"/>
    </row>
    <row r="638" spans="1:5" ht="12.5">
      <c r="A638" s="76"/>
      <c r="B638" s="5"/>
      <c r="C638" s="16"/>
      <c r="E638" s="5"/>
    </row>
    <row r="639" spans="1:5" ht="12.5">
      <c r="A639" s="76"/>
      <c r="B639" s="5"/>
      <c r="C639" s="16"/>
      <c r="E639" s="5"/>
    </row>
    <row r="640" spans="1:5" ht="12.5">
      <c r="A640" s="76"/>
      <c r="B640" s="5"/>
      <c r="C640" s="16"/>
      <c r="E640" s="5"/>
    </row>
    <row r="641" spans="1:5" ht="12.5">
      <c r="A641" s="76"/>
      <c r="B641" s="5"/>
      <c r="C641" s="16"/>
      <c r="E641" s="5"/>
    </row>
    <row r="642" spans="1:5" ht="12.5">
      <c r="A642" s="76"/>
      <c r="B642" s="5"/>
      <c r="C642" s="16"/>
      <c r="E642" s="5"/>
    </row>
    <row r="643" spans="1:5" ht="12.5">
      <c r="A643" s="76"/>
      <c r="B643" s="5"/>
      <c r="C643" s="16"/>
      <c r="E643" s="5"/>
    </row>
    <row r="644" spans="1:5" ht="12.5">
      <c r="A644" s="76"/>
      <c r="B644" s="5"/>
      <c r="C644" s="16"/>
      <c r="E644" s="5"/>
    </row>
    <row r="645" spans="1:5" ht="12.5">
      <c r="A645" s="76"/>
      <c r="B645" s="5"/>
      <c r="C645" s="16"/>
      <c r="E645" s="5"/>
    </row>
    <row r="646" spans="1:5" ht="12.5">
      <c r="A646" s="76"/>
      <c r="B646" s="5"/>
      <c r="C646" s="16"/>
      <c r="E646" s="5"/>
    </row>
    <row r="647" spans="1:5" ht="12.5">
      <c r="A647" s="76"/>
      <c r="B647" s="5"/>
      <c r="C647" s="16"/>
      <c r="E647" s="5"/>
    </row>
    <row r="648" spans="1:5" ht="12.5">
      <c r="A648" s="76"/>
      <c r="B648" s="5"/>
      <c r="C648" s="16"/>
      <c r="E648" s="5"/>
    </row>
    <row r="649" spans="1:5" ht="12.5">
      <c r="A649" s="76"/>
      <c r="B649" s="5"/>
      <c r="C649" s="16"/>
      <c r="E649" s="5"/>
    </row>
    <row r="650" spans="1:5" ht="12.5">
      <c r="A650" s="76"/>
      <c r="B650" s="5"/>
      <c r="C650" s="16"/>
      <c r="E650" s="5"/>
    </row>
    <row r="651" spans="1:5" ht="12.5">
      <c r="A651" s="76"/>
      <c r="B651" s="5"/>
      <c r="C651" s="16"/>
      <c r="E651" s="5"/>
    </row>
    <row r="652" spans="1:5" ht="12.5">
      <c r="A652" s="76"/>
      <c r="B652" s="5"/>
      <c r="C652" s="16"/>
      <c r="E652" s="5"/>
    </row>
    <row r="653" spans="1:5" ht="12.5">
      <c r="A653" s="76"/>
      <c r="B653" s="5"/>
      <c r="C653" s="16"/>
      <c r="E653" s="5"/>
    </row>
    <row r="654" spans="1:5" ht="12.5">
      <c r="A654" s="76"/>
      <c r="B654" s="5"/>
      <c r="C654" s="16"/>
      <c r="E654" s="5"/>
    </row>
    <row r="655" spans="1:5" ht="12.5">
      <c r="A655" s="76"/>
      <c r="B655" s="5"/>
      <c r="C655" s="16"/>
      <c r="E655" s="5"/>
    </row>
    <row r="656" spans="1:5" ht="12.5">
      <c r="A656" s="76"/>
      <c r="B656" s="5"/>
      <c r="C656" s="16"/>
      <c r="E656" s="5"/>
    </row>
    <row r="657" spans="1:5" ht="12.5">
      <c r="A657" s="76"/>
      <c r="B657" s="5"/>
      <c r="C657" s="16"/>
      <c r="E657" s="5"/>
    </row>
    <row r="658" spans="1:5" ht="12.5">
      <c r="A658" s="76"/>
      <c r="B658" s="5"/>
      <c r="C658" s="16"/>
      <c r="E658" s="5"/>
    </row>
    <row r="659" spans="1:5" ht="12.5">
      <c r="A659" s="76"/>
      <c r="B659" s="5"/>
      <c r="C659" s="16"/>
      <c r="E659" s="5"/>
    </row>
    <row r="660" spans="1:5" ht="12.5">
      <c r="A660" s="76"/>
      <c r="B660" s="5"/>
      <c r="C660" s="16"/>
      <c r="E660" s="5"/>
    </row>
    <row r="661" spans="1:5" ht="12.5">
      <c r="A661" s="76"/>
      <c r="B661" s="5"/>
      <c r="C661" s="16"/>
      <c r="E661" s="5"/>
    </row>
    <row r="662" spans="1:5" ht="12.5">
      <c r="A662" s="76"/>
      <c r="B662" s="5"/>
      <c r="C662" s="16"/>
      <c r="E662" s="5"/>
    </row>
    <row r="663" spans="1:5" ht="12.5">
      <c r="A663" s="76"/>
      <c r="B663" s="5"/>
      <c r="C663" s="16"/>
      <c r="E663" s="5"/>
    </row>
    <row r="664" spans="1:5" ht="12.5">
      <c r="A664" s="76"/>
      <c r="B664" s="5"/>
      <c r="C664" s="16"/>
      <c r="E664" s="5"/>
    </row>
    <row r="665" spans="1:5" ht="12.5">
      <c r="A665" s="76"/>
      <c r="B665" s="5"/>
      <c r="C665" s="16"/>
      <c r="E665" s="5"/>
    </row>
    <row r="666" spans="1:5" ht="12.5">
      <c r="A666" s="76"/>
      <c r="B666" s="5"/>
      <c r="C666" s="16"/>
      <c r="E666" s="5"/>
    </row>
    <row r="667" spans="1:5" ht="12.5">
      <c r="A667" s="76"/>
      <c r="B667" s="5"/>
      <c r="C667" s="16"/>
      <c r="E667" s="5"/>
    </row>
    <row r="668" spans="1:5" ht="12.5">
      <c r="A668" s="76"/>
      <c r="B668" s="5"/>
      <c r="C668" s="16"/>
      <c r="E668" s="5"/>
    </row>
    <row r="669" spans="1:5" ht="12.5">
      <c r="A669" s="76"/>
      <c r="B669" s="5"/>
      <c r="C669" s="16"/>
      <c r="E669" s="5"/>
    </row>
    <row r="670" spans="1:5" ht="12.5">
      <c r="A670" s="76"/>
      <c r="B670" s="5"/>
      <c r="C670" s="16"/>
      <c r="E670" s="5"/>
    </row>
    <row r="671" spans="1:5" ht="12.5">
      <c r="A671" s="76"/>
      <c r="B671" s="5"/>
      <c r="C671" s="16"/>
      <c r="E671" s="5"/>
    </row>
    <row r="672" spans="1:5" ht="12.5">
      <c r="A672" s="76"/>
      <c r="B672" s="5"/>
      <c r="C672" s="16"/>
      <c r="E672" s="5"/>
    </row>
    <row r="673" spans="1:5" ht="12.5">
      <c r="A673" s="76"/>
      <c r="B673" s="5"/>
      <c r="C673" s="16"/>
      <c r="E673" s="5"/>
    </row>
    <row r="674" spans="1:5" ht="12.5">
      <c r="A674" s="76"/>
      <c r="B674" s="5"/>
      <c r="C674" s="16"/>
      <c r="E674" s="5"/>
    </row>
    <row r="675" spans="1:5" ht="12.5">
      <c r="A675" s="76"/>
      <c r="B675" s="5"/>
      <c r="C675" s="16"/>
      <c r="E675" s="5"/>
    </row>
    <row r="676" spans="1:5" ht="12.5">
      <c r="A676" s="76"/>
      <c r="B676" s="5"/>
      <c r="C676" s="16"/>
      <c r="E676" s="5"/>
    </row>
    <row r="677" spans="1:5" ht="12.5">
      <c r="A677" s="76"/>
      <c r="B677" s="5"/>
      <c r="C677" s="16"/>
      <c r="E677" s="5"/>
    </row>
    <row r="678" spans="1:5" ht="12.5">
      <c r="A678" s="76"/>
      <c r="B678" s="5"/>
      <c r="C678" s="16"/>
      <c r="E678" s="5"/>
    </row>
    <row r="679" spans="1:5" ht="12.5">
      <c r="A679" s="76"/>
      <c r="B679" s="5"/>
      <c r="C679" s="16"/>
      <c r="E679" s="5"/>
    </row>
    <row r="680" spans="1:5" ht="12.5">
      <c r="A680" s="76"/>
      <c r="B680" s="5"/>
      <c r="C680" s="16"/>
      <c r="E680" s="5"/>
    </row>
    <row r="681" spans="1:5" ht="12.5">
      <c r="A681" s="76"/>
      <c r="B681" s="5"/>
      <c r="C681" s="16"/>
      <c r="E681" s="5"/>
    </row>
    <row r="682" spans="1:5" ht="12.5">
      <c r="A682" s="76"/>
      <c r="B682" s="5"/>
      <c r="C682" s="16"/>
      <c r="E682" s="5"/>
    </row>
    <row r="683" spans="1:5" ht="12.5">
      <c r="A683" s="76"/>
      <c r="B683" s="5"/>
      <c r="C683" s="16"/>
      <c r="E683" s="5"/>
    </row>
    <row r="684" spans="1:5" ht="12.5">
      <c r="A684" s="76"/>
      <c r="B684" s="5"/>
      <c r="C684" s="16"/>
      <c r="E684" s="5"/>
    </row>
    <row r="685" spans="1:5" ht="12.5">
      <c r="A685" s="76"/>
      <c r="B685" s="5"/>
      <c r="C685" s="16"/>
      <c r="E685" s="5"/>
    </row>
    <row r="686" spans="1:5" ht="12.5">
      <c r="A686" s="76"/>
      <c r="B686" s="5"/>
      <c r="C686" s="16"/>
      <c r="E686" s="5"/>
    </row>
    <row r="687" spans="1:5" ht="12.5">
      <c r="A687" s="76"/>
      <c r="B687" s="5"/>
      <c r="C687" s="16"/>
      <c r="E687" s="5"/>
    </row>
    <row r="688" spans="1:5" ht="12.5">
      <c r="A688" s="76"/>
      <c r="B688" s="5"/>
      <c r="C688" s="16"/>
      <c r="E688" s="5"/>
    </row>
    <row r="689" spans="1:5" ht="12.5">
      <c r="A689" s="76"/>
      <c r="B689" s="5"/>
      <c r="C689" s="16"/>
      <c r="E689" s="5"/>
    </row>
    <row r="690" spans="1:5" ht="12.5">
      <c r="A690" s="76"/>
      <c r="B690" s="5"/>
      <c r="C690" s="16"/>
      <c r="E690" s="5"/>
    </row>
    <row r="691" spans="1:5" ht="12.5">
      <c r="A691" s="76"/>
      <c r="B691" s="5"/>
      <c r="C691" s="16"/>
      <c r="E691" s="5"/>
    </row>
    <row r="692" spans="1:5" ht="12.5">
      <c r="A692" s="76"/>
      <c r="B692" s="5"/>
      <c r="C692" s="16"/>
      <c r="E692" s="5"/>
    </row>
    <row r="693" spans="1:5" ht="12.5">
      <c r="A693" s="76"/>
      <c r="B693" s="5"/>
      <c r="C693" s="16"/>
      <c r="E693" s="5"/>
    </row>
    <row r="694" spans="1:5" ht="12.5">
      <c r="A694" s="76"/>
      <c r="B694" s="5"/>
      <c r="C694" s="16"/>
      <c r="E694" s="5"/>
    </row>
    <row r="695" spans="1:5" ht="12.5">
      <c r="A695" s="76"/>
      <c r="B695" s="5"/>
      <c r="C695" s="16"/>
      <c r="E695" s="5"/>
    </row>
    <row r="696" spans="1:5" ht="12.5">
      <c r="A696" s="76"/>
      <c r="B696" s="5"/>
      <c r="C696" s="16"/>
      <c r="E696" s="5"/>
    </row>
    <row r="697" spans="1:5" ht="12.5">
      <c r="A697" s="76"/>
      <c r="B697" s="5"/>
      <c r="C697" s="16"/>
      <c r="E697" s="5"/>
    </row>
    <row r="698" spans="1:5" ht="12.5">
      <c r="A698" s="76"/>
      <c r="B698" s="5"/>
      <c r="C698" s="16"/>
      <c r="E698" s="5"/>
    </row>
    <row r="699" spans="1:5" ht="12.5">
      <c r="A699" s="76"/>
      <c r="B699" s="5"/>
      <c r="C699" s="16"/>
      <c r="E699" s="5"/>
    </row>
    <row r="700" spans="1:5" ht="12.5">
      <c r="A700" s="76"/>
      <c r="B700" s="5"/>
      <c r="C700" s="16"/>
      <c r="E700" s="5"/>
    </row>
    <row r="701" spans="1:5" ht="12.5">
      <c r="A701" s="76"/>
      <c r="B701" s="5"/>
      <c r="C701" s="16"/>
      <c r="E701" s="5"/>
    </row>
    <row r="702" spans="1:5" ht="12.5">
      <c r="A702" s="76"/>
      <c r="B702" s="5"/>
      <c r="C702" s="16"/>
      <c r="E702" s="5"/>
    </row>
    <row r="703" spans="1:5" ht="12.5">
      <c r="A703" s="76"/>
      <c r="B703" s="5"/>
      <c r="C703" s="16"/>
      <c r="E703" s="5"/>
    </row>
    <row r="704" spans="1:5" ht="12.5">
      <c r="A704" s="76"/>
      <c r="B704" s="5"/>
      <c r="C704" s="16"/>
      <c r="E704" s="5"/>
    </row>
    <row r="705" spans="1:5" ht="12.5">
      <c r="A705" s="76"/>
      <c r="B705" s="5"/>
      <c r="C705" s="16"/>
      <c r="E705" s="5"/>
    </row>
    <row r="706" spans="1:5" ht="12.5">
      <c r="A706" s="76"/>
      <c r="B706" s="5"/>
      <c r="C706" s="16"/>
      <c r="E706" s="5"/>
    </row>
    <row r="707" spans="1:5" ht="12.5">
      <c r="A707" s="76"/>
      <c r="B707" s="5"/>
      <c r="C707" s="16"/>
      <c r="E707" s="5"/>
    </row>
    <row r="708" spans="1:5" ht="12.5">
      <c r="A708" s="76"/>
      <c r="B708" s="5"/>
      <c r="C708" s="16"/>
      <c r="E708" s="5"/>
    </row>
    <row r="709" spans="1:5" ht="12.5">
      <c r="A709" s="76"/>
      <c r="B709" s="5"/>
      <c r="C709" s="16"/>
      <c r="E709" s="5"/>
    </row>
    <row r="710" spans="1:5" ht="12.5">
      <c r="A710" s="76"/>
      <c r="B710" s="5"/>
      <c r="C710" s="16"/>
      <c r="E710" s="5"/>
    </row>
    <row r="711" spans="1:5" ht="12.5">
      <c r="A711" s="76"/>
      <c r="B711" s="5"/>
      <c r="C711" s="16"/>
      <c r="E711" s="5"/>
    </row>
    <row r="712" spans="1:5" ht="12.5">
      <c r="A712" s="76"/>
      <c r="B712" s="5"/>
      <c r="C712" s="16"/>
      <c r="E712" s="5"/>
    </row>
    <row r="713" spans="1:5" ht="12.5">
      <c r="A713" s="76"/>
      <c r="B713" s="5"/>
      <c r="C713" s="16"/>
      <c r="E713" s="5"/>
    </row>
    <row r="714" spans="1:5" ht="12.5">
      <c r="A714" s="76"/>
      <c r="B714" s="5"/>
      <c r="C714" s="16"/>
      <c r="E714" s="5"/>
    </row>
    <row r="715" spans="1:5" ht="12.5">
      <c r="A715" s="76"/>
      <c r="B715" s="5"/>
      <c r="C715" s="16"/>
      <c r="E715" s="5"/>
    </row>
    <row r="716" spans="1:5" ht="12.5">
      <c r="A716" s="76"/>
      <c r="B716" s="5"/>
      <c r="C716" s="16"/>
      <c r="E716" s="5"/>
    </row>
    <row r="717" spans="1:5" ht="12.5">
      <c r="A717" s="76"/>
      <c r="B717" s="5"/>
      <c r="C717" s="16"/>
      <c r="E717" s="5"/>
    </row>
    <row r="718" spans="1:5" ht="12.5">
      <c r="A718" s="76"/>
      <c r="B718" s="5"/>
      <c r="C718" s="16"/>
      <c r="E718" s="5"/>
    </row>
    <row r="719" spans="1:5" ht="12.5">
      <c r="A719" s="76"/>
      <c r="B719" s="5"/>
      <c r="C719" s="16"/>
      <c r="E719" s="5"/>
    </row>
    <row r="720" spans="1:5" ht="12.5">
      <c r="A720" s="76"/>
      <c r="B720" s="5"/>
      <c r="C720" s="16"/>
      <c r="E720" s="5"/>
    </row>
    <row r="721" spans="1:5" ht="12.5">
      <c r="A721" s="76"/>
      <c r="B721" s="5"/>
      <c r="C721" s="16"/>
      <c r="E721" s="5"/>
    </row>
    <row r="722" spans="1:5" ht="12.5">
      <c r="A722" s="76"/>
      <c r="B722" s="5"/>
      <c r="C722" s="16"/>
      <c r="E722" s="5"/>
    </row>
    <row r="723" spans="1:5" ht="12.5">
      <c r="A723" s="76"/>
      <c r="B723" s="5"/>
      <c r="C723" s="16"/>
      <c r="E723" s="5"/>
    </row>
    <row r="724" spans="1:5" ht="12.5">
      <c r="A724" s="76"/>
      <c r="B724" s="5"/>
      <c r="C724" s="16"/>
      <c r="E724" s="5"/>
    </row>
    <row r="725" spans="1:5" ht="12.5">
      <c r="A725" s="76"/>
      <c r="B725" s="5"/>
      <c r="C725" s="16"/>
      <c r="E725" s="5"/>
    </row>
    <row r="726" spans="1:5" ht="12.5">
      <c r="A726" s="76"/>
      <c r="B726" s="5"/>
      <c r="C726" s="16"/>
      <c r="E726" s="5"/>
    </row>
    <row r="727" spans="1:5" ht="12.5">
      <c r="A727" s="76"/>
      <c r="B727" s="5"/>
      <c r="C727" s="16"/>
      <c r="E727" s="5"/>
    </row>
    <row r="728" spans="1:5" ht="12.5">
      <c r="A728" s="76"/>
      <c r="B728" s="5"/>
      <c r="C728" s="16"/>
      <c r="E728" s="5"/>
    </row>
    <row r="729" spans="1:5" ht="12.5">
      <c r="A729" s="76"/>
      <c r="B729" s="5"/>
      <c r="C729" s="16"/>
      <c r="E729" s="5"/>
    </row>
    <row r="730" spans="1:5" ht="12.5">
      <c r="A730" s="76"/>
      <c r="B730" s="5"/>
      <c r="C730" s="16"/>
      <c r="E730" s="5"/>
    </row>
    <row r="731" spans="1:5" ht="12.5">
      <c r="A731" s="76"/>
      <c r="B731" s="5"/>
      <c r="C731" s="16"/>
      <c r="E731" s="5"/>
    </row>
    <row r="732" spans="1:5" ht="12.5">
      <c r="A732" s="76"/>
      <c r="B732" s="5"/>
      <c r="C732" s="16"/>
      <c r="E732" s="5"/>
    </row>
    <row r="733" spans="1:5" ht="12.5">
      <c r="A733" s="76"/>
      <c r="B733" s="5"/>
      <c r="C733" s="16"/>
      <c r="E733" s="5"/>
    </row>
    <row r="734" spans="1:5" ht="12.5">
      <c r="A734" s="76"/>
      <c r="B734" s="5"/>
      <c r="C734" s="16"/>
      <c r="E734" s="5"/>
    </row>
    <row r="735" spans="1:5" ht="12.5">
      <c r="A735" s="76"/>
      <c r="B735" s="5"/>
      <c r="C735" s="16"/>
      <c r="E735" s="5"/>
    </row>
    <row r="736" spans="1:5" ht="12.5">
      <c r="A736" s="76"/>
      <c r="B736" s="5"/>
      <c r="C736" s="16"/>
      <c r="E736" s="5"/>
    </row>
    <row r="737" spans="1:5" ht="12.5">
      <c r="A737" s="76"/>
      <c r="B737" s="5"/>
      <c r="C737" s="16"/>
      <c r="E737" s="5"/>
    </row>
    <row r="738" spans="1:5" ht="12.5">
      <c r="A738" s="76"/>
      <c r="B738" s="5"/>
      <c r="C738" s="16"/>
      <c r="E738" s="5"/>
    </row>
    <row r="739" spans="1:5" ht="12.5">
      <c r="A739" s="76"/>
      <c r="B739" s="5"/>
      <c r="C739" s="16"/>
      <c r="E739" s="5"/>
    </row>
    <row r="740" spans="1:5" ht="12.5">
      <c r="A740" s="76"/>
      <c r="B740" s="5"/>
      <c r="C740" s="16"/>
      <c r="E740" s="5"/>
    </row>
    <row r="741" spans="1:5" ht="12.5">
      <c r="A741" s="76"/>
      <c r="B741" s="5"/>
      <c r="C741" s="16"/>
      <c r="E741" s="5"/>
    </row>
    <row r="742" spans="1:5" ht="12.5">
      <c r="A742" s="76"/>
      <c r="B742" s="5"/>
      <c r="C742" s="16"/>
      <c r="E742" s="5"/>
    </row>
    <row r="743" spans="1:5" ht="12.5">
      <c r="A743" s="76"/>
      <c r="B743" s="5"/>
      <c r="C743" s="16"/>
      <c r="E743" s="5"/>
    </row>
    <row r="744" spans="1:5" ht="12.5">
      <c r="A744" s="76"/>
      <c r="B744" s="5"/>
      <c r="C744" s="16"/>
      <c r="E744" s="5"/>
    </row>
    <row r="745" spans="1:5" ht="12.5">
      <c r="A745" s="76"/>
      <c r="B745" s="5"/>
      <c r="C745" s="16"/>
      <c r="E745" s="5"/>
    </row>
    <row r="746" spans="1:5" ht="12.5">
      <c r="A746" s="76"/>
      <c r="B746" s="5"/>
      <c r="C746" s="16"/>
      <c r="E746" s="5"/>
    </row>
    <row r="747" spans="1:5" ht="12.5">
      <c r="A747" s="76"/>
      <c r="B747" s="5"/>
      <c r="C747" s="16"/>
      <c r="E747" s="5"/>
    </row>
    <row r="748" spans="1:5" ht="12.5">
      <c r="A748" s="76"/>
      <c r="B748" s="5"/>
      <c r="C748" s="16"/>
      <c r="E748" s="5"/>
    </row>
    <row r="749" spans="1:5" ht="12.5">
      <c r="A749" s="76"/>
      <c r="B749" s="5"/>
      <c r="C749" s="16"/>
      <c r="E749" s="5"/>
    </row>
    <row r="750" spans="1:5" ht="12.5">
      <c r="A750" s="76"/>
      <c r="B750" s="5"/>
      <c r="C750" s="16"/>
      <c r="E750" s="5"/>
    </row>
    <row r="751" spans="1:5" ht="12.5">
      <c r="A751" s="76"/>
      <c r="B751" s="5"/>
      <c r="C751" s="16"/>
      <c r="E751" s="5"/>
    </row>
    <row r="752" spans="1:5" ht="12.5">
      <c r="A752" s="76"/>
      <c r="B752" s="5"/>
      <c r="C752" s="16"/>
      <c r="E752" s="5"/>
    </row>
    <row r="753" spans="1:5" ht="12.5">
      <c r="A753" s="76"/>
      <c r="B753" s="5"/>
      <c r="C753" s="16"/>
      <c r="E753" s="5"/>
    </row>
    <row r="754" spans="1:5" ht="12.5">
      <c r="A754" s="76"/>
      <c r="B754" s="5"/>
      <c r="C754" s="16"/>
      <c r="E754" s="5"/>
    </row>
    <row r="755" spans="1:5" ht="12.5">
      <c r="A755" s="76"/>
      <c r="B755" s="5"/>
      <c r="C755" s="16"/>
      <c r="E755" s="5"/>
    </row>
    <row r="756" spans="1:5" ht="12.5">
      <c r="A756" s="76"/>
      <c r="B756" s="5"/>
      <c r="C756" s="16"/>
      <c r="E756" s="5"/>
    </row>
    <row r="757" spans="1:5" ht="12.5">
      <c r="A757" s="76"/>
      <c r="B757" s="5"/>
      <c r="C757" s="16"/>
      <c r="E757" s="5"/>
    </row>
    <row r="758" spans="1:5" ht="12.5">
      <c r="A758" s="76"/>
      <c r="B758" s="5"/>
      <c r="C758" s="16"/>
      <c r="E758" s="5"/>
    </row>
    <row r="759" spans="1:5" ht="12.5">
      <c r="A759" s="76"/>
      <c r="B759" s="5"/>
      <c r="C759" s="16"/>
      <c r="E759" s="5"/>
    </row>
    <row r="760" spans="1:5" ht="12.5">
      <c r="A760" s="76"/>
      <c r="B760" s="5"/>
      <c r="C760" s="16"/>
      <c r="E760" s="5"/>
    </row>
    <row r="761" spans="1:5" ht="12.5">
      <c r="A761" s="76"/>
      <c r="B761" s="5"/>
      <c r="C761" s="16"/>
      <c r="E761" s="5"/>
    </row>
    <row r="762" spans="1:5" ht="12.5">
      <c r="A762" s="76"/>
      <c r="B762" s="5"/>
      <c r="C762" s="16"/>
      <c r="E762" s="5"/>
    </row>
    <row r="763" spans="1:5" ht="12.5">
      <c r="A763" s="76"/>
      <c r="B763" s="5"/>
      <c r="C763" s="16"/>
      <c r="E763" s="5"/>
    </row>
    <row r="764" spans="1:5" ht="12.5">
      <c r="A764" s="76"/>
      <c r="B764" s="5"/>
      <c r="C764" s="16"/>
      <c r="E764" s="5"/>
    </row>
    <row r="765" spans="1:5" ht="12.5">
      <c r="A765" s="76"/>
      <c r="B765" s="5"/>
      <c r="C765" s="16"/>
      <c r="E765" s="5"/>
    </row>
    <row r="766" spans="1:5" ht="12.5">
      <c r="A766" s="76"/>
      <c r="B766" s="5"/>
      <c r="C766" s="16"/>
      <c r="E766" s="5"/>
    </row>
    <row r="767" spans="1:5" ht="12.5">
      <c r="A767" s="76"/>
      <c r="B767" s="5"/>
      <c r="C767" s="16"/>
      <c r="E767" s="5"/>
    </row>
    <row r="768" spans="1:5" ht="12.5">
      <c r="A768" s="76"/>
      <c r="B768" s="5"/>
      <c r="C768" s="16"/>
      <c r="E768" s="5"/>
    </row>
    <row r="769" spans="1:5" ht="12.5">
      <c r="A769" s="76"/>
      <c r="B769" s="5"/>
      <c r="C769" s="16"/>
      <c r="E769" s="5"/>
    </row>
    <row r="770" spans="1:5" ht="12.5">
      <c r="A770" s="76"/>
      <c r="B770" s="5"/>
      <c r="C770" s="16"/>
      <c r="E770" s="5"/>
    </row>
    <row r="771" spans="1:5" ht="12.5">
      <c r="A771" s="76"/>
      <c r="B771" s="5"/>
      <c r="C771" s="16"/>
      <c r="E771" s="5"/>
    </row>
    <row r="772" spans="1:5" ht="12.5">
      <c r="A772" s="76"/>
      <c r="B772" s="5"/>
      <c r="C772" s="16"/>
      <c r="E772" s="5"/>
    </row>
    <row r="773" spans="1:5" ht="12.5">
      <c r="A773" s="76"/>
      <c r="B773" s="5"/>
      <c r="C773" s="16"/>
      <c r="E773" s="5"/>
    </row>
    <row r="774" spans="1:5" ht="12.5">
      <c r="A774" s="76"/>
      <c r="B774" s="5"/>
      <c r="C774" s="16"/>
      <c r="E774" s="5"/>
    </row>
    <row r="775" spans="1:5" ht="12.5">
      <c r="A775" s="76"/>
      <c r="B775" s="5"/>
      <c r="C775" s="16"/>
      <c r="E775" s="5"/>
    </row>
    <row r="776" spans="1:5" ht="12.5">
      <c r="A776" s="76"/>
      <c r="B776" s="5"/>
      <c r="C776" s="16"/>
      <c r="E776" s="5"/>
    </row>
    <row r="777" spans="1:5" ht="12.5">
      <c r="A777" s="76"/>
      <c r="B777" s="5"/>
      <c r="C777" s="16"/>
      <c r="E777" s="5"/>
    </row>
    <row r="778" spans="1:5" ht="12.5">
      <c r="A778" s="76"/>
      <c r="B778" s="5"/>
      <c r="C778" s="16"/>
      <c r="E778" s="5"/>
    </row>
    <row r="779" spans="1:5" ht="12.5">
      <c r="A779" s="76"/>
      <c r="B779" s="5"/>
      <c r="C779" s="16"/>
      <c r="E779" s="5"/>
    </row>
    <row r="780" spans="1:5" ht="12.5">
      <c r="A780" s="76"/>
      <c r="B780" s="5"/>
      <c r="C780" s="16"/>
      <c r="E780" s="5"/>
    </row>
    <row r="781" spans="1:5" ht="12.5">
      <c r="A781" s="76"/>
      <c r="B781" s="5"/>
      <c r="C781" s="16"/>
      <c r="E781" s="5"/>
    </row>
    <row r="782" spans="1:5" ht="12.5">
      <c r="A782" s="76"/>
      <c r="B782" s="5"/>
      <c r="C782" s="16"/>
      <c r="E782" s="5"/>
    </row>
    <row r="783" spans="1:5" ht="12.5">
      <c r="A783" s="76"/>
      <c r="B783" s="5"/>
      <c r="C783" s="16"/>
      <c r="E783" s="5"/>
    </row>
    <row r="784" spans="1:5" ht="12.5">
      <c r="A784" s="76"/>
      <c r="B784" s="5"/>
      <c r="C784" s="16"/>
      <c r="E784" s="5"/>
    </row>
    <row r="785" spans="1:5" ht="12.5">
      <c r="A785" s="76"/>
      <c r="B785" s="5"/>
      <c r="C785" s="16"/>
      <c r="E785" s="5"/>
    </row>
    <row r="786" spans="1:5" ht="12.5">
      <c r="A786" s="76"/>
      <c r="B786" s="5"/>
      <c r="C786" s="16"/>
      <c r="E786" s="5"/>
    </row>
    <row r="787" spans="1:5" ht="12.5">
      <c r="A787" s="76"/>
      <c r="B787" s="5"/>
      <c r="C787" s="16"/>
      <c r="E787" s="5"/>
    </row>
    <row r="788" spans="1:5" ht="12.5">
      <c r="A788" s="76"/>
      <c r="B788" s="5"/>
      <c r="C788" s="16"/>
      <c r="E788" s="5"/>
    </row>
    <row r="789" spans="1:5" ht="12.5">
      <c r="A789" s="76"/>
      <c r="B789" s="5"/>
      <c r="C789" s="16"/>
      <c r="E789" s="5"/>
    </row>
    <row r="790" spans="1:5" ht="12.5">
      <c r="A790" s="76"/>
      <c r="B790" s="5"/>
      <c r="C790" s="16"/>
      <c r="E790" s="5"/>
    </row>
    <row r="791" spans="1:5" ht="12.5">
      <c r="A791" s="76"/>
      <c r="B791" s="5"/>
      <c r="C791" s="16"/>
      <c r="E791" s="5"/>
    </row>
    <row r="792" spans="1:5" ht="12.5">
      <c r="A792" s="76"/>
      <c r="B792" s="5"/>
      <c r="C792" s="16"/>
      <c r="E792" s="5"/>
    </row>
    <row r="793" spans="1:5" ht="12.5">
      <c r="A793" s="76"/>
      <c r="B793" s="5"/>
      <c r="C793" s="16"/>
      <c r="E793" s="5"/>
    </row>
    <row r="794" spans="1:5" ht="12.5">
      <c r="A794" s="76"/>
      <c r="B794" s="5"/>
      <c r="C794" s="16"/>
      <c r="E794" s="5"/>
    </row>
    <row r="795" spans="1:5" ht="12.5">
      <c r="A795" s="76"/>
      <c r="B795" s="5"/>
      <c r="C795" s="16"/>
      <c r="E795" s="5"/>
    </row>
    <row r="796" spans="1:5" ht="12.5">
      <c r="A796" s="76"/>
      <c r="B796" s="5"/>
      <c r="C796" s="16"/>
      <c r="E796" s="5"/>
    </row>
    <row r="797" spans="1:5" ht="12.5">
      <c r="A797" s="76"/>
      <c r="B797" s="5"/>
      <c r="C797" s="16"/>
      <c r="E797" s="5"/>
    </row>
    <row r="798" spans="1:5" ht="12.5">
      <c r="A798" s="76"/>
      <c r="B798" s="5"/>
      <c r="C798" s="16"/>
      <c r="E798" s="5"/>
    </row>
    <row r="799" spans="1:5" ht="12.5">
      <c r="A799" s="76"/>
      <c r="B799" s="5"/>
      <c r="C799" s="16"/>
      <c r="E799" s="5"/>
    </row>
    <row r="800" spans="1:5" ht="12.5">
      <c r="A800" s="76"/>
      <c r="B800" s="5"/>
      <c r="C800" s="16"/>
      <c r="E800" s="5"/>
    </row>
    <row r="801" spans="1:5" ht="12.5">
      <c r="A801" s="76"/>
      <c r="B801" s="5"/>
      <c r="C801" s="16"/>
      <c r="E801" s="5"/>
    </row>
    <row r="802" spans="1:5" ht="12.5">
      <c r="A802" s="76"/>
      <c r="B802" s="5"/>
      <c r="C802" s="16"/>
      <c r="E802" s="5"/>
    </row>
    <row r="803" spans="1:5" ht="12.5">
      <c r="A803" s="76"/>
      <c r="B803" s="5"/>
      <c r="C803" s="16"/>
      <c r="E803" s="5"/>
    </row>
    <row r="804" spans="1:5" ht="12.5">
      <c r="A804" s="76"/>
      <c r="B804" s="5"/>
      <c r="C804" s="16"/>
      <c r="E804" s="5"/>
    </row>
    <row r="805" spans="1:5" ht="12.5">
      <c r="A805" s="76"/>
      <c r="B805" s="5"/>
      <c r="C805" s="16"/>
      <c r="E805" s="5"/>
    </row>
    <row r="806" spans="1:5" ht="12.5">
      <c r="A806" s="76"/>
      <c r="B806" s="5"/>
      <c r="C806" s="16"/>
      <c r="E806" s="5"/>
    </row>
    <row r="807" spans="1:5" ht="12.5">
      <c r="A807" s="76"/>
      <c r="B807" s="5"/>
      <c r="C807" s="16"/>
      <c r="E807" s="5"/>
    </row>
    <row r="808" spans="1:5" ht="12.5">
      <c r="A808" s="76"/>
      <c r="B808" s="5"/>
      <c r="C808" s="16"/>
      <c r="E808" s="5"/>
    </row>
    <row r="809" spans="1:5" ht="12.5">
      <c r="A809" s="76"/>
      <c r="B809" s="5"/>
      <c r="C809" s="16"/>
      <c r="E809" s="5"/>
    </row>
    <row r="810" spans="1:5" ht="12.5">
      <c r="A810" s="76"/>
      <c r="B810" s="5"/>
      <c r="C810" s="16"/>
      <c r="E810" s="5"/>
    </row>
    <row r="811" spans="1:5" ht="12.5">
      <c r="A811" s="76"/>
      <c r="B811" s="5"/>
      <c r="C811" s="16"/>
      <c r="E811" s="5"/>
    </row>
    <row r="812" spans="1:5" ht="12.5">
      <c r="A812" s="76"/>
      <c r="B812" s="5"/>
      <c r="C812" s="16"/>
      <c r="E812" s="5"/>
    </row>
    <row r="813" spans="1:5" ht="12.5">
      <c r="A813" s="76"/>
      <c r="B813" s="5"/>
      <c r="C813" s="16"/>
      <c r="E813" s="5"/>
    </row>
    <row r="814" spans="1:5" ht="12.5">
      <c r="A814" s="76"/>
      <c r="B814" s="5"/>
      <c r="C814" s="16"/>
      <c r="E814" s="5"/>
    </row>
    <row r="815" spans="1:5" ht="12.5">
      <c r="A815" s="76"/>
      <c r="B815" s="5"/>
      <c r="C815" s="16"/>
      <c r="E815" s="5"/>
    </row>
    <row r="816" spans="1:5" ht="12.5">
      <c r="A816" s="76"/>
      <c r="B816" s="5"/>
      <c r="C816" s="16"/>
      <c r="E816" s="5"/>
    </row>
    <row r="817" spans="1:5" ht="12.5">
      <c r="A817" s="76"/>
      <c r="B817" s="5"/>
      <c r="C817" s="16"/>
      <c r="E817" s="5"/>
    </row>
    <row r="818" spans="1:5" ht="12.5">
      <c r="A818" s="76"/>
      <c r="B818" s="5"/>
      <c r="C818" s="16"/>
      <c r="E818" s="5"/>
    </row>
    <row r="819" spans="1:5" ht="12.5">
      <c r="A819" s="76"/>
      <c r="B819" s="5"/>
      <c r="C819" s="16"/>
      <c r="E819" s="5"/>
    </row>
    <row r="820" spans="1:5" ht="12.5">
      <c r="A820" s="76"/>
      <c r="B820" s="5"/>
      <c r="C820" s="16"/>
      <c r="E820" s="5"/>
    </row>
    <row r="821" spans="1:5" ht="12.5">
      <c r="A821" s="76"/>
      <c r="B821" s="5"/>
      <c r="C821" s="16"/>
      <c r="E821" s="5"/>
    </row>
    <row r="822" spans="1:5" ht="12.5">
      <c r="A822" s="76"/>
      <c r="B822" s="5"/>
      <c r="C822" s="16"/>
      <c r="E822" s="5"/>
    </row>
    <row r="823" spans="1:5" ht="12.5">
      <c r="A823" s="76"/>
      <c r="B823" s="5"/>
      <c r="C823" s="16"/>
      <c r="E823" s="5"/>
    </row>
    <row r="824" spans="1:5" ht="12.5">
      <c r="A824" s="76"/>
      <c r="B824" s="5"/>
      <c r="C824" s="16"/>
      <c r="E824" s="5"/>
    </row>
    <row r="825" spans="1:5" ht="12.5">
      <c r="A825" s="76"/>
      <c r="B825" s="5"/>
      <c r="C825" s="16"/>
      <c r="E825" s="5"/>
    </row>
    <row r="826" spans="1:5" ht="12.5">
      <c r="A826" s="76"/>
      <c r="B826" s="5"/>
      <c r="C826" s="16"/>
      <c r="E826" s="5"/>
    </row>
    <row r="827" spans="1:5" ht="12.5">
      <c r="A827" s="76"/>
      <c r="B827" s="5"/>
      <c r="C827" s="16"/>
      <c r="E827" s="5"/>
    </row>
    <row r="828" spans="1:5" ht="12.5">
      <c r="A828" s="76"/>
      <c r="B828" s="5"/>
      <c r="C828" s="16"/>
      <c r="E828" s="5"/>
    </row>
    <row r="829" spans="1:5" ht="12.5">
      <c r="A829" s="76"/>
      <c r="B829" s="5"/>
      <c r="C829" s="16"/>
      <c r="E829" s="5"/>
    </row>
    <row r="830" spans="1:5" ht="12.5">
      <c r="A830" s="76"/>
      <c r="B830" s="5"/>
      <c r="C830" s="16"/>
      <c r="E830" s="5"/>
    </row>
    <row r="831" spans="1:5" ht="12.5">
      <c r="A831" s="76"/>
      <c r="B831" s="5"/>
      <c r="C831" s="16"/>
      <c r="E831" s="5"/>
    </row>
    <row r="832" spans="1:5" ht="12.5">
      <c r="A832" s="76"/>
      <c r="B832" s="5"/>
      <c r="C832" s="16"/>
      <c r="E832" s="5"/>
    </row>
    <row r="833" spans="1:5" ht="12.5">
      <c r="A833" s="76"/>
      <c r="B833" s="5"/>
      <c r="C833" s="16"/>
      <c r="E833" s="5"/>
    </row>
    <row r="834" spans="1:5" ht="12.5">
      <c r="A834" s="76"/>
      <c r="B834" s="5"/>
      <c r="C834" s="16"/>
      <c r="E834" s="5"/>
    </row>
    <row r="835" spans="1:5" ht="12.5">
      <c r="A835" s="76"/>
      <c r="B835" s="5"/>
      <c r="C835" s="16"/>
      <c r="E835" s="5"/>
    </row>
    <row r="836" spans="1:5" ht="12.5">
      <c r="A836" s="76"/>
      <c r="B836" s="5"/>
      <c r="C836" s="16"/>
      <c r="E836" s="5"/>
    </row>
    <row r="837" spans="1:5" ht="12.5">
      <c r="A837" s="76"/>
      <c r="B837" s="5"/>
      <c r="C837" s="16"/>
      <c r="E837" s="5"/>
    </row>
    <row r="838" spans="1:5" ht="12.5">
      <c r="A838" s="76"/>
      <c r="B838" s="5"/>
      <c r="C838" s="16"/>
      <c r="E838" s="5"/>
    </row>
    <row r="839" spans="1:5" ht="12.5">
      <c r="A839" s="76"/>
      <c r="B839" s="5"/>
      <c r="C839" s="16"/>
      <c r="E839" s="5"/>
    </row>
    <row r="840" spans="1:5" ht="12.5">
      <c r="A840" s="76"/>
      <c r="B840" s="5"/>
      <c r="C840" s="16"/>
      <c r="E840" s="5"/>
    </row>
    <row r="841" spans="1:5" ht="12.5">
      <c r="A841" s="76"/>
      <c r="B841" s="5"/>
      <c r="C841" s="16"/>
      <c r="E841" s="5"/>
    </row>
    <row r="842" spans="1:5" ht="12.5">
      <c r="A842" s="76"/>
      <c r="B842" s="5"/>
      <c r="C842" s="16"/>
      <c r="E842" s="5"/>
    </row>
    <row r="843" spans="1:5" ht="12.5">
      <c r="A843" s="76"/>
      <c r="B843" s="5"/>
      <c r="C843" s="16"/>
      <c r="E843" s="5"/>
    </row>
    <row r="844" spans="1:5" ht="12.5">
      <c r="A844" s="76"/>
      <c r="B844" s="5"/>
      <c r="C844" s="16"/>
      <c r="E844" s="5"/>
    </row>
    <row r="845" spans="1:5" ht="12.5">
      <c r="A845" s="76"/>
      <c r="B845" s="5"/>
      <c r="C845" s="16"/>
      <c r="E845" s="5"/>
    </row>
    <row r="846" spans="1:5" ht="12.5">
      <c r="A846" s="76"/>
      <c r="B846" s="5"/>
      <c r="C846" s="16"/>
      <c r="E846" s="5"/>
    </row>
    <row r="847" spans="1:5" ht="12.5">
      <c r="A847" s="76"/>
      <c r="B847" s="5"/>
      <c r="C847" s="16"/>
      <c r="E847" s="5"/>
    </row>
    <row r="848" spans="1:5" ht="12.5">
      <c r="A848" s="76"/>
      <c r="B848" s="5"/>
      <c r="C848" s="16"/>
      <c r="E848" s="5"/>
    </row>
    <row r="849" spans="1:5" ht="12.5">
      <c r="A849" s="76"/>
      <c r="B849" s="5"/>
      <c r="C849" s="16"/>
      <c r="E849" s="5"/>
    </row>
    <row r="850" spans="1:5" ht="12.5">
      <c r="A850" s="76"/>
      <c r="B850" s="5"/>
      <c r="C850" s="16"/>
      <c r="E850" s="5"/>
    </row>
    <row r="851" spans="1:5" ht="12.5">
      <c r="A851" s="76"/>
      <c r="B851" s="5"/>
      <c r="C851" s="16"/>
      <c r="E851" s="5"/>
    </row>
    <row r="852" spans="1:5" ht="12.5">
      <c r="A852" s="76"/>
      <c r="B852" s="5"/>
      <c r="C852" s="16"/>
      <c r="E852" s="5"/>
    </row>
    <row r="853" spans="1:5" ht="12.5">
      <c r="A853" s="76"/>
      <c r="B853" s="5"/>
      <c r="C853" s="16"/>
      <c r="E853" s="5"/>
    </row>
    <row r="854" spans="1:5" ht="12.5">
      <c r="A854" s="76"/>
      <c r="B854" s="5"/>
      <c r="C854" s="16"/>
      <c r="E854" s="5"/>
    </row>
    <row r="855" spans="1:5" ht="12.5">
      <c r="A855" s="76"/>
      <c r="B855" s="5"/>
      <c r="C855" s="16"/>
      <c r="E855" s="5"/>
    </row>
    <row r="856" spans="1:5" ht="12.5">
      <c r="A856" s="76"/>
      <c r="B856" s="5"/>
      <c r="C856" s="16"/>
      <c r="E856" s="5"/>
    </row>
    <row r="857" spans="1:5" ht="12.5">
      <c r="A857" s="76"/>
      <c r="B857" s="5"/>
      <c r="C857" s="16"/>
      <c r="E857" s="5"/>
    </row>
    <row r="858" spans="1:5" ht="12.5">
      <c r="A858" s="76"/>
      <c r="B858" s="5"/>
      <c r="C858" s="16"/>
      <c r="E858" s="5"/>
    </row>
    <row r="859" spans="1:5" ht="12.5">
      <c r="A859" s="76"/>
      <c r="B859" s="5"/>
      <c r="C859" s="16"/>
      <c r="E859" s="5"/>
    </row>
    <row r="860" spans="1:5" ht="12.5">
      <c r="A860" s="76"/>
      <c r="B860" s="5"/>
      <c r="C860" s="16"/>
      <c r="E860" s="5"/>
    </row>
    <row r="861" spans="1:5" ht="12.5">
      <c r="A861" s="76"/>
      <c r="B861" s="5"/>
      <c r="C861" s="16"/>
      <c r="E861" s="5"/>
    </row>
    <row r="862" spans="1:5" ht="12.5">
      <c r="A862" s="76"/>
      <c r="B862" s="5"/>
      <c r="C862" s="16"/>
      <c r="E862" s="5"/>
    </row>
    <row r="863" spans="1:5" ht="12.5">
      <c r="A863" s="76"/>
      <c r="B863" s="5"/>
      <c r="C863" s="16"/>
      <c r="E863" s="5"/>
    </row>
    <row r="864" spans="1:5" ht="12.5">
      <c r="A864" s="76"/>
      <c r="B864" s="5"/>
      <c r="C864" s="16"/>
      <c r="E864" s="5"/>
    </row>
    <row r="865" spans="1:5" ht="12.5">
      <c r="A865" s="76"/>
      <c r="B865" s="5"/>
      <c r="C865" s="16"/>
      <c r="E865" s="5"/>
    </row>
    <row r="866" spans="1:5" ht="12.5">
      <c r="A866" s="76"/>
      <c r="B866" s="5"/>
      <c r="C866" s="16"/>
      <c r="E866" s="5"/>
    </row>
    <row r="867" spans="1:5" ht="12.5">
      <c r="A867" s="76"/>
      <c r="B867" s="5"/>
      <c r="C867" s="16"/>
      <c r="E867" s="5"/>
    </row>
    <row r="868" spans="1:5" ht="12.5">
      <c r="A868" s="76"/>
      <c r="B868" s="5"/>
      <c r="C868" s="16"/>
      <c r="E868" s="5"/>
    </row>
    <row r="869" spans="1:5" ht="12.5">
      <c r="A869" s="76"/>
      <c r="B869" s="5"/>
      <c r="C869" s="16"/>
      <c r="E869" s="5"/>
    </row>
    <row r="870" spans="1:5" ht="12.5">
      <c r="A870" s="76"/>
      <c r="B870" s="5"/>
      <c r="C870" s="16"/>
      <c r="E870" s="5"/>
    </row>
    <row r="871" spans="1:5" ht="12.5">
      <c r="A871" s="76"/>
      <c r="B871" s="5"/>
      <c r="C871" s="16"/>
      <c r="E871" s="5"/>
    </row>
    <row r="872" spans="1:5" ht="12.5">
      <c r="A872" s="76"/>
      <c r="B872" s="5"/>
      <c r="C872" s="16"/>
      <c r="E872" s="5"/>
    </row>
    <row r="873" spans="1:5" ht="12.5">
      <c r="A873" s="76"/>
      <c r="B873" s="5"/>
      <c r="C873" s="16"/>
      <c r="E873" s="5"/>
    </row>
    <row r="874" spans="1:5" ht="12.5">
      <c r="A874" s="76"/>
      <c r="B874" s="5"/>
      <c r="C874" s="16"/>
      <c r="E874" s="5"/>
    </row>
    <row r="875" spans="1:5" ht="12.5">
      <c r="A875" s="76"/>
      <c r="B875" s="5"/>
      <c r="C875" s="16"/>
      <c r="E875" s="5"/>
    </row>
    <row r="876" spans="1:5" ht="12.5">
      <c r="A876" s="76"/>
      <c r="B876" s="5"/>
      <c r="C876" s="16"/>
      <c r="E876" s="5"/>
    </row>
    <row r="877" spans="1:5" ht="12.5">
      <c r="A877" s="76"/>
      <c r="B877" s="5"/>
      <c r="C877" s="16"/>
      <c r="E877" s="5"/>
    </row>
    <row r="878" spans="1:5" ht="12.5">
      <c r="A878" s="76"/>
      <c r="B878" s="5"/>
      <c r="C878" s="16"/>
      <c r="E878" s="5"/>
    </row>
    <row r="879" spans="1:5" ht="12.5">
      <c r="A879" s="76"/>
      <c r="B879" s="5"/>
      <c r="C879" s="16"/>
      <c r="E879" s="5"/>
    </row>
    <row r="880" spans="1:5" ht="12.5">
      <c r="A880" s="76"/>
      <c r="B880" s="5"/>
      <c r="C880" s="16"/>
      <c r="E880" s="5"/>
    </row>
    <row r="881" spans="1:5" ht="12.5">
      <c r="A881" s="76"/>
      <c r="B881" s="5"/>
      <c r="C881" s="16"/>
      <c r="E881" s="5"/>
    </row>
    <row r="882" spans="1:5" ht="12.5">
      <c r="A882" s="76"/>
      <c r="B882" s="5"/>
      <c r="C882" s="16"/>
      <c r="E882" s="5"/>
    </row>
    <row r="883" spans="1:5" ht="12.5">
      <c r="A883" s="76"/>
      <c r="B883" s="5"/>
      <c r="C883" s="16"/>
      <c r="E883" s="5"/>
    </row>
    <row r="884" spans="1:5" ht="12.5">
      <c r="A884" s="76"/>
      <c r="B884" s="5"/>
      <c r="C884" s="16"/>
      <c r="E884" s="5"/>
    </row>
    <row r="885" spans="1:5" ht="12.5">
      <c r="A885" s="76"/>
      <c r="B885" s="5"/>
      <c r="C885" s="16"/>
      <c r="E885" s="5"/>
    </row>
    <row r="886" spans="1:5" ht="12.5">
      <c r="A886" s="76"/>
      <c r="B886" s="5"/>
      <c r="C886" s="16"/>
      <c r="E886" s="5"/>
    </row>
    <row r="887" spans="1:5" ht="12.5">
      <c r="A887" s="76"/>
      <c r="B887" s="5"/>
      <c r="C887" s="16"/>
      <c r="E887" s="5"/>
    </row>
    <row r="888" spans="1:5" ht="12.5">
      <c r="A888" s="76"/>
      <c r="B888" s="5"/>
      <c r="C888" s="16"/>
      <c r="E888" s="5"/>
    </row>
    <row r="889" spans="1:5" ht="12.5">
      <c r="A889" s="76"/>
      <c r="B889" s="5"/>
      <c r="C889" s="16"/>
      <c r="E889" s="5"/>
    </row>
    <row r="890" spans="1:5" ht="12.5">
      <c r="A890" s="76"/>
      <c r="B890" s="5"/>
      <c r="C890" s="16"/>
      <c r="E890" s="5"/>
    </row>
    <row r="891" spans="1:5" ht="12.5">
      <c r="A891" s="76"/>
      <c r="B891" s="5"/>
      <c r="C891" s="16"/>
      <c r="E891" s="5"/>
    </row>
    <row r="892" spans="1:5" ht="12.5">
      <c r="A892" s="76"/>
      <c r="B892" s="5"/>
      <c r="C892" s="16"/>
      <c r="E892" s="5"/>
    </row>
    <row r="893" spans="1:5" ht="12.5">
      <c r="A893" s="76"/>
      <c r="B893" s="5"/>
      <c r="C893" s="16"/>
      <c r="E893" s="5"/>
    </row>
    <row r="894" spans="1:5" ht="12.5">
      <c r="A894" s="76"/>
      <c r="B894" s="5"/>
      <c r="C894" s="16"/>
      <c r="E894" s="5"/>
    </row>
    <row r="895" spans="1:5" ht="12.5">
      <c r="A895" s="76"/>
      <c r="B895" s="5"/>
      <c r="C895" s="16"/>
      <c r="E895" s="5"/>
    </row>
    <row r="896" spans="1:5" ht="12.5">
      <c r="A896" s="76"/>
      <c r="B896" s="5"/>
      <c r="C896" s="16"/>
      <c r="E896" s="5"/>
    </row>
    <row r="897" spans="1:5" ht="12.5">
      <c r="A897" s="76"/>
      <c r="B897" s="5"/>
      <c r="C897" s="16"/>
      <c r="E897" s="5"/>
    </row>
    <row r="898" spans="1:5" ht="12.5">
      <c r="A898" s="76"/>
      <c r="B898" s="5"/>
      <c r="C898" s="16"/>
      <c r="E898" s="5"/>
    </row>
    <row r="899" spans="1:5" ht="12.5">
      <c r="A899" s="76"/>
      <c r="B899" s="5"/>
      <c r="C899" s="16"/>
      <c r="E899" s="5"/>
    </row>
    <row r="900" spans="1:5" ht="12.5">
      <c r="A900" s="76"/>
      <c r="B900" s="5"/>
      <c r="C900" s="16"/>
      <c r="E900" s="5"/>
    </row>
    <row r="901" spans="1:5" ht="12.5">
      <c r="A901" s="76"/>
      <c r="B901" s="5"/>
      <c r="C901" s="16"/>
      <c r="E901" s="5"/>
    </row>
    <row r="902" spans="1:5" ht="12.5">
      <c r="A902" s="76"/>
      <c r="B902" s="5"/>
      <c r="C902" s="16"/>
      <c r="E902" s="5"/>
    </row>
    <row r="903" spans="1:5" ht="12.5">
      <c r="A903" s="76"/>
      <c r="B903" s="5"/>
      <c r="C903" s="16"/>
      <c r="E903" s="5"/>
    </row>
    <row r="904" spans="1:5" ht="12.5">
      <c r="A904" s="76"/>
      <c r="B904" s="5"/>
      <c r="C904" s="16"/>
      <c r="E904" s="5"/>
    </row>
    <row r="905" spans="1:5" ht="12.5">
      <c r="A905" s="76"/>
      <c r="B905" s="5"/>
      <c r="C905" s="16"/>
      <c r="E905" s="5"/>
    </row>
    <row r="906" spans="1:5" ht="12.5">
      <c r="A906" s="76"/>
      <c r="B906" s="5"/>
      <c r="C906" s="16"/>
      <c r="E906" s="5"/>
    </row>
    <row r="907" spans="1:5" ht="12.5">
      <c r="A907" s="76"/>
      <c r="B907" s="5"/>
      <c r="C907" s="16"/>
      <c r="E907" s="5"/>
    </row>
    <row r="908" spans="1:5" ht="12.5">
      <c r="A908" s="76"/>
      <c r="B908" s="5"/>
      <c r="C908" s="16"/>
      <c r="E908" s="5"/>
    </row>
    <row r="909" spans="1:5" ht="12.5">
      <c r="A909" s="76"/>
      <c r="B909" s="5"/>
      <c r="C909" s="16"/>
      <c r="E909" s="5"/>
    </row>
    <row r="910" spans="1:5" ht="12.5">
      <c r="A910" s="76"/>
      <c r="B910" s="5"/>
      <c r="C910" s="16"/>
      <c r="E910" s="5"/>
    </row>
    <row r="911" spans="1:5" ht="12.5">
      <c r="A911" s="76"/>
      <c r="B911" s="5"/>
      <c r="C911" s="16"/>
      <c r="E911" s="5"/>
    </row>
    <row r="912" spans="1:5" ht="12.5">
      <c r="A912" s="76"/>
      <c r="B912" s="5"/>
      <c r="C912" s="16"/>
      <c r="E912" s="5"/>
    </row>
    <row r="913" spans="1:5" ht="12.5">
      <c r="A913" s="76"/>
      <c r="B913" s="5"/>
      <c r="C913" s="16"/>
      <c r="E913" s="5"/>
    </row>
    <row r="914" spans="1:5" ht="12.5">
      <c r="A914" s="76"/>
      <c r="B914" s="5"/>
      <c r="C914" s="16"/>
      <c r="E914" s="5"/>
    </row>
    <row r="915" spans="1:5" ht="12.5">
      <c r="A915" s="76"/>
      <c r="B915" s="5"/>
      <c r="C915" s="16"/>
      <c r="E915" s="5"/>
    </row>
    <row r="916" spans="1:5" ht="12.5">
      <c r="A916" s="76"/>
      <c r="B916" s="5"/>
      <c r="C916" s="16"/>
      <c r="E916" s="5"/>
    </row>
    <row r="917" spans="1:5" ht="12.5">
      <c r="A917" s="76"/>
      <c r="B917" s="5"/>
      <c r="C917" s="16"/>
      <c r="E917" s="5"/>
    </row>
    <row r="918" spans="1:5" ht="12.5">
      <c r="A918" s="76"/>
      <c r="B918" s="5"/>
      <c r="C918" s="16"/>
      <c r="E918" s="5"/>
    </row>
    <row r="919" spans="1:5" ht="12.5">
      <c r="A919" s="76"/>
      <c r="B919" s="5"/>
      <c r="C919" s="16"/>
      <c r="E919" s="5"/>
    </row>
    <row r="920" spans="1:5" ht="12.5">
      <c r="A920" s="76"/>
      <c r="B920" s="5"/>
      <c r="C920" s="16"/>
      <c r="E920" s="5"/>
    </row>
    <row r="921" spans="1:5" ht="12.5">
      <c r="A921" s="76"/>
      <c r="B921" s="5"/>
      <c r="C921" s="16"/>
      <c r="E921" s="5"/>
    </row>
    <row r="922" spans="1:5" ht="12.5">
      <c r="A922" s="76"/>
      <c r="B922" s="5"/>
      <c r="C922" s="16"/>
      <c r="E922" s="5"/>
    </row>
    <row r="923" spans="1:5" ht="12.5">
      <c r="A923" s="76"/>
      <c r="B923" s="5"/>
      <c r="C923" s="16"/>
      <c r="E923" s="5"/>
    </row>
    <row r="924" spans="1:5" ht="12.5">
      <c r="A924" s="76"/>
      <c r="B924" s="5"/>
      <c r="C924" s="16"/>
      <c r="E924" s="5"/>
    </row>
    <row r="925" spans="1:5" ht="12.5">
      <c r="A925" s="76"/>
      <c r="B925" s="5"/>
      <c r="C925" s="16"/>
      <c r="E925" s="5"/>
    </row>
    <row r="926" spans="1:5" ht="12.5">
      <c r="A926" s="76"/>
      <c r="B926" s="5"/>
      <c r="C926" s="16"/>
      <c r="E926" s="5"/>
    </row>
    <row r="927" spans="1:5" ht="12.5">
      <c r="A927" s="76"/>
      <c r="B927" s="5"/>
      <c r="C927" s="16"/>
      <c r="E927" s="5"/>
    </row>
    <row r="928" spans="1:5" ht="12.5">
      <c r="A928" s="76"/>
      <c r="B928" s="5"/>
      <c r="C928" s="16"/>
      <c r="E928" s="5"/>
    </row>
    <row r="929" spans="1:5" ht="12.5">
      <c r="A929" s="76"/>
      <c r="B929" s="5"/>
      <c r="C929" s="16"/>
      <c r="E929" s="5"/>
    </row>
    <row r="930" spans="1:5" ht="12.5">
      <c r="A930" s="76"/>
      <c r="B930" s="5"/>
      <c r="C930" s="16"/>
      <c r="E930" s="5"/>
    </row>
    <row r="931" spans="1:5" ht="12.5">
      <c r="A931" s="76"/>
      <c r="B931" s="5"/>
      <c r="C931" s="16"/>
      <c r="E931" s="5"/>
    </row>
    <row r="932" spans="1:5" ht="12.5">
      <c r="A932" s="76"/>
      <c r="B932" s="5"/>
      <c r="C932" s="16"/>
      <c r="E932" s="5"/>
    </row>
    <row r="933" spans="1:5" ht="12.5">
      <c r="A933" s="76"/>
      <c r="B933" s="5"/>
      <c r="C933" s="16"/>
      <c r="E933" s="5"/>
    </row>
    <row r="934" spans="1:5" ht="12.5">
      <c r="A934" s="76"/>
      <c r="B934" s="5"/>
      <c r="C934" s="16"/>
      <c r="E934" s="5"/>
    </row>
    <row r="935" spans="1:5" ht="12.5">
      <c r="A935" s="76"/>
      <c r="B935" s="5"/>
      <c r="C935" s="16"/>
      <c r="E935" s="5"/>
    </row>
    <row r="936" spans="1:5" ht="12.5">
      <c r="A936" s="76"/>
      <c r="B936" s="5"/>
      <c r="C936" s="16"/>
      <c r="E936" s="5"/>
    </row>
    <row r="937" spans="1:5" ht="12.5">
      <c r="A937" s="76"/>
      <c r="B937" s="5"/>
      <c r="C937" s="16"/>
      <c r="E937" s="5"/>
    </row>
    <row r="938" spans="1:5" ht="12.5">
      <c r="A938" s="76"/>
      <c r="B938" s="5"/>
      <c r="C938" s="16"/>
      <c r="E938" s="5"/>
    </row>
    <row r="939" spans="1:5" ht="12.5">
      <c r="A939" s="76"/>
      <c r="B939" s="5"/>
      <c r="C939" s="16"/>
      <c r="E939" s="5"/>
    </row>
    <row r="940" spans="1:5" ht="12.5">
      <c r="A940" s="76"/>
      <c r="B940" s="5"/>
      <c r="C940" s="16"/>
      <c r="E940" s="5"/>
    </row>
    <row r="941" spans="1:5" ht="12.5">
      <c r="A941" s="76"/>
      <c r="B941" s="5"/>
      <c r="C941" s="16"/>
      <c r="E941" s="5"/>
    </row>
    <row r="942" spans="1:5" ht="12.5">
      <c r="A942" s="76"/>
      <c r="B942" s="5"/>
      <c r="C942" s="16"/>
      <c r="E942" s="5"/>
    </row>
    <row r="943" spans="1:5" ht="12.5">
      <c r="A943" s="76"/>
      <c r="B943" s="5"/>
      <c r="C943" s="16"/>
      <c r="E943" s="5"/>
    </row>
    <row r="944" spans="1:5" ht="12.5">
      <c r="A944" s="76"/>
      <c r="B944" s="5"/>
      <c r="C944" s="16"/>
      <c r="E944" s="5"/>
    </row>
    <row r="945" spans="1:5" ht="12.5">
      <c r="A945" s="76"/>
      <c r="B945" s="5"/>
      <c r="C945" s="16"/>
      <c r="E945" s="5"/>
    </row>
    <row r="946" spans="1:5" ht="12.5">
      <c r="A946" s="76"/>
      <c r="B946" s="5"/>
      <c r="C946" s="16"/>
      <c r="E946" s="5"/>
    </row>
    <row r="947" spans="1:5" ht="12.5">
      <c r="A947" s="76"/>
      <c r="B947" s="5"/>
      <c r="C947" s="16"/>
      <c r="E947" s="5"/>
    </row>
    <row r="948" spans="1:5" ht="12.5">
      <c r="A948" s="76"/>
      <c r="B948" s="5"/>
      <c r="C948" s="16"/>
      <c r="E948" s="5"/>
    </row>
    <row r="949" spans="1:5" ht="12.5">
      <c r="A949" s="76"/>
      <c r="B949" s="5"/>
      <c r="C949" s="16"/>
      <c r="E949" s="5"/>
    </row>
    <row r="950" spans="1:5" ht="12.5">
      <c r="A950" s="76"/>
      <c r="B950" s="5"/>
      <c r="C950" s="16"/>
      <c r="E950" s="5"/>
    </row>
    <row r="951" spans="1:5" ht="12.5">
      <c r="A951" s="76"/>
      <c r="B951" s="5"/>
      <c r="C951" s="16"/>
      <c r="E951" s="5"/>
    </row>
    <row r="952" spans="1:5" ht="12.5">
      <c r="A952" s="76"/>
      <c r="B952" s="5"/>
      <c r="C952" s="16"/>
      <c r="E952" s="5"/>
    </row>
    <row r="953" spans="1:5" ht="12.5">
      <c r="A953" s="76"/>
      <c r="B953" s="5"/>
      <c r="C953" s="16"/>
      <c r="E953" s="5"/>
    </row>
    <row r="954" spans="1:5" ht="12.5">
      <c r="A954" s="76"/>
      <c r="B954" s="5"/>
      <c r="C954" s="16"/>
      <c r="E954" s="5"/>
    </row>
    <row r="955" spans="1:5" ht="12.5">
      <c r="A955" s="76"/>
      <c r="B955" s="5"/>
      <c r="C955" s="16"/>
      <c r="E955" s="5"/>
    </row>
    <row r="956" spans="1:5" ht="12.5">
      <c r="A956" s="76"/>
      <c r="B956" s="5"/>
      <c r="C956" s="16"/>
      <c r="E956" s="5"/>
    </row>
    <row r="957" spans="1:5" ht="12.5">
      <c r="A957" s="76"/>
      <c r="B957" s="5"/>
      <c r="C957" s="16"/>
      <c r="E957" s="5"/>
    </row>
    <row r="958" spans="1:5" ht="12.5">
      <c r="A958" s="76"/>
      <c r="B958" s="5"/>
      <c r="C958" s="16"/>
      <c r="E958" s="5"/>
    </row>
    <row r="959" spans="1:5" ht="12.5">
      <c r="A959" s="76"/>
      <c r="B959" s="5"/>
      <c r="C959" s="16"/>
      <c r="E959" s="5"/>
    </row>
    <row r="960" spans="1:5" ht="12.5">
      <c r="A960" s="76"/>
      <c r="B960" s="5"/>
      <c r="C960" s="16"/>
      <c r="E960" s="5"/>
    </row>
    <row r="961" spans="1:5" ht="12.5">
      <c r="A961" s="76"/>
      <c r="B961" s="5"/>
      <c r="C961" s="16"/>
      <c r="E961" s="5"/>
    </row>
    <row r="962" spans="1:5" ht="12.5">
      <c r="A962" s="76"/>
      <c r="B962" s="5"/>
      <c r="C962" s="16"/>
      <c r="E962" s="5"/>
    </row>
    <row r="963" spans="1:5" ht="12.5">
      <c r="A963" s="76"/>
      <c r="B963" s="5"/>
      <c r="C963" s="16"/>
      <c r="E963" s="5"/>
    </row>
    <row r="964" spans="1:5" ht="12.5">
      <c r="A964" s="76"/>
      <c r="B964" s="5"/>
      <c r="C964" s="16"/>
      <c r="E964" s="5"/>
    </row>
    <row r="965" spans="1:5" ht="12.5">
      <c r="A965" s="76"/>
      <c r="B965" s="5"/>
      <c r="C965" s="16"/>
      <c r="E965" s="5"/>
    </row>
    <row r="966" spans="1:5" ht="12.5">
      <c r="A966" s="76"/>
      <c r="B966" s="5"/>
      <c r="C966" s="16"/>
      <c r="E966" s="5"/>
    </row>
    <row r="967" spans="1:5" ht="12.5">
      <c r="A967" s="76"/>
      <c r="B967" s="5"/>
      <c r="C967" s="16"/>
      <c r="E967" s="5"/>
    </row>
    <row r="968" spans="1:5" ht="12.5">
      <c r="A968" s="76"/>
      <c r="B968" s="5"/>
      <c r="C968" s="16"/>
      <c r="E968" s="5"/>
    </row>
    <row r="969" spans="1:5" ht="12.5">
      <c r="A969" s="76"/>
      <c r="B969" s="5"/>
      <c r="C969" s="16"/>
      <c r="E969" s="5"/>
    </row>
    <row r="970" spans="1:5" ht="12.5">
      <c r="A970" s="76"/>
      <c r="B970" s="5"/>
      <c r="C970" s="16"/>
      <c r="E970" s="5"/>
    </row>
    <row r="971" spans="1:5" ht="12.5">
      <c r="A971" s="76"/>
      <c r="B971" s="5"/>
      <c r="C971" s="16"/>
      <c r="E971" s="5"/>
    </row>
    <row r="972" spans="1:5" ht="12.5">
      <c r="A972" s="76"/>
      <c r="B972" s="5"/>
      <c r="C972" s="16"/>
      <c r="E972" s="5"/>
    </row>
    <row r="973" spans="1:5" ht="12.5">
      <c r="A973" s="76"/>
      <c r="B973" s="5"/>
      <c r="C973" s="16"/>
      <c r="E973" s="5"/>
    </row>
    <row r="974" spans="1:5" ht="12.5">
      <c r="A974" s="76"/>
      <c r="B974" s="5"/>
      <c r="C974" s="16"/>
      <c r="E974" s="5"/>
    </row>
    <row r="975" spans="1:5" ht="12.5">
      <c r="A975" s="76"/>
      <c r="B975" s="5"/>
      <c r="C975" s="16"/>
      <c r="E975" s="5"/>
    </row>
    <row r="976" spans="1:5" ht="12.5">
      <c r="A976" s="76"/>
      <c r="B976" s="5"/>
      <c r="C976" s="16"/>
      <c r="E976" s="5"/>
    </row>
    <row r="977" spans="1:5" ht="12.5">
      <c r="A977" s="76"/>
      <c r="B977" s="5"/>
      <c r="C977" s="16"/>
      <c r="E977" s="5"/>
    </row>
    <row r="978" spans="1:5" ht="12.5">
      <c r="A978" s="76"/>
      <c r="B978" s="5"/>
      <c r="C978" s="16"/>
      <c r="E978" s="5"/>
    </row>
    <row r="979" spans="1:5" ht="12.5">
      <c r="A979" s="76"/>
      <c r="B979" s="5"/>
      <c r="C979" s="16"/>
      <c r="E979" s="5"/>
    </row>
    <row r="980" spans="1:5" ht="12.5">
      <c r="A980" s="76"/>
      <c r="B980" s="5"/>
      <c r="C980" s="16"/>
      <c r="E980" s="5"/>
    </row>
    <row r="981" spans="1:5" ht="12.5">
      <c r="A981" s="76"/>
      <c r="B981" s="5"/>
      <c r="C981" s="16"/>
      <c r="E981" s="5"/>
    </row>
    <row r="982" spans="1:5" ht="12.5">
      <c r="A982" s="76"/>
      <c r="B982" s="5"/>
      <c r="C982" s="16"/>
      <c r="E982" s="5"/>
    </row>
    <row r="983" spans="1:5" ht="12.5">
      <c r="A983" s="76"/>
      <c r="B983" s="5"/>
      <c r="C983" s="16"/>
      <c r="E983" s="5"/>
    </row>
    <row r="984" spans="1:5" ht="12.5">
      <c r="A984" s="76"/>
      <c r="B984" s="5"/>
      <c r="C984" s="16"/>
      <c r="E984" s="5"/>
    </row>
    <row r="985" spans="1:5" ht="12.5">
      <c r="A985" s="76"/>
      <c r="B985" s="5"/>
      <c r="C985" s="16"/>
      <c r="E985" s="5"/>
    </row>
    <row r="986" spans="1:5" ht="12.5">
      <c r="A986" s="76"/>
      <c r="B986" s="5"/>
      <c r="C986" s="16"/>
      <c r="E986" s="5"/>
    </row>
    <row r="987" spans="1:5" ht="12.5">
      <c r="A987" s="76"/>
      <c r="B987" s="5"/>
      <c r="C987" s="16"/>
      <c r="E987" s="5"/>
    </row>
    <row r="988" spans="1:5" ht="12.5">
      <c r="A988" s="76"/>
      <c r="B988" s="5"/>
      <c r="C988" s="16"/>
      <c r="E988" s="5"/>
    </row>
    <row r="989" spans="1:5" ht="12.5">
      <c r="A989" s="76"/>
      <c r="B989" s="5"/>
      <c r="C989" s="16"/>
      <c r="E989" s="5"/>
    </row>
    <row r="990" spans="1:5" ht="12.5">
      <c r="A990" s="76"/>
      <c r="B990" s="5"/>
      <c r="C990" s="16"/>
      <c r="E990" s="5"/>
    </row>
    <row r="991" spans="1:5" ht="12.5">
      <c r="A991" s="76"/>
      <c r="B991" s="5"/>
      <c r="C991" s="16"/>
      <c r="E991" s="5"/>
    </row>
    <row r="992" spans="1:5" ht="12.5">
      <c r="A992" s="76"/>
      <c r="B992" s="5"/>
      <c r="C992" s="16"/>
      <c r="E992" s="5"/>
    </row>
    <row r="993" spans="1:5" ht="12.5">
      <c r="A993" s="76"/>
      <c r="B993" s="5"/>
      <c r="C993" s="16"/>
      <c r="E993" s="5"/>
    </row>
    <row r="994" spans="1:5" ht="12.5">
      <c r="A994" s="76"/>
      <c r="B994" s="5"/>
      <c r="C994" s="16"/>
      <c r="E994" s="5"/>
    </row>
    <row r="995" spans="1:5" ht="12.5">
      <c r="A995" s="76"/>
      <c r="B995" s="5"/>
      <c r="C995" s="16"/>
      <c r="E995" s="5"/>
    </row>
    <row r="996" spans="1:5" ht="12.5">
      <c r="A996" s="76"/>
      <c r="B996" s="5"/>
      <c r="C996" s="16"/>
      <c r="E996" s="5"/>
    </row>
    <row r="997" spans="1:5" ht="12.5">
      <c r="A997" s="76"/>
      <c r="B997" s="5"/>
      <c r="C997" s="16"/>
      <c r="E997" s="5"/>
    </row>
    <row r="998" spans="1:5" ht="12.5">
      <c r="A998" s="76"/>
      <c r="B998" s="5"/>
      <c r="C998" s="16"/>
      <c r="E998" s="5"/>
    </row>
    <row r="999" spans="1:5" ht="12.5">
      <c r="A999" s="76"/>
      <c r="B999" s="5"/>
      <c r="C999" s="16"/>
      <c r="E999" s="5"/>
    </row>
    <row r="1000" spans="1:5" ht="12.5">
      <c r="A1000" s="76"/>
      <c r="B1000" s="5"/>
      <c r="C1000" s="16"/>
      <c r="E1000" s="5"/>
    </row>
  </sheetData>
  <conditionalFormatting sqref="A2:J1000">
    <cfRule type="expression" dxfId="17" priority="1">
      <formula>$E2="Pessoa 2"</formula>
    </cfRule>
    <cfRule type="expression" dxfId="16" priority="2">
      <formula>$E2="Pessoa 1"</formula>
    </cfRule>
  </conditionalFormatting>
  <dataValidations count="3">
    <dataValidation type="list" allowBlank="1" showErrorMessage="1" sqref="E2:E1000" xr:uid="{00000000-0002-0000-0600-000000000000}">
      <formula1>"Pessoa 1,Pessoa 2"</formula1>
    </dataValidation>
    <dataValidation type="custom" allowBlank="1" showDropDown="1" sqref="A2:A1000" xr:uid="{00000000-0002-0000-0600-000001000000}">
      <formula1>OR(NOT(ISERROR(DATEVALUE(A2))), AND(ISNUMBER(A2), LEFT(CELL("format", A2))="D"))</formula1>
    </dataValidation>
    <dataValidation type="list" allowBlank="1" showErrorMessage="1" sqref="B2:B1000" xr:uid="{00000000-0002-0000-0600-000002000000}">
      <formula1>"Aluguel_Cond,Home Supplies,Energia_Gás_Água_Esgoto,Internet_Telefonia,Comida_Alimentação,Manutenção_Casa,Móveis_Aparelhos_Decoração,Transporte Geral &amp; Coletivo,Transporte Uber &amp; Apps,Saúde,Academia &amp; Fitness,Educação,Roupa_Acessorios,Entretenimento_&amp;_Rest"&amp;"aurantes,Viagem/Vacation,Work-related,Imposto (IPVA-IPTU-etc),Outros,Investimento (aporte),Gasto Pessoal"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6D9EEB"/>
    <outlinePr summaryBelow="0" summaryRight="0"/>
  </sheetPr>
  <dimension ref="A1:J100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2.6328125" defaultRowHeight="15.75" customHeight="1"/>
  <cols>
    <col min="1" max="1" width="18.08984375" customWidth="1"/>
    <col min="2" max="2" width="30.36328125" customWidth="1"/>
    <col min="3" max="3" width="22.36328125" customWidth="1"/>
    <col min="4" max="4" width="60.90625" customWidth="1"/>
    <col min="5" max="5" width="12.7265625" customWidth="1"/>
    <col min="6" max="6" width="44.90625" customWidth="1"/>
    <col min="7" max="7" width="6.90625" customWidth="1"/>
    <col min="9" max="9" width="43.08984375" customWidth="1"/>
  </cols>
  <sheetData>
    <row r="1" spans="1:10">
      <c r="A1" s="77" t="s">
        <v>234</v>
      </c>
      <c r="B1" s="14" t="s">
        <v>103</v>
      </c>
      <c r="C1" s="72" t="s">
        <v>104</v>
      </c>
      <c r="D1" s="14" t="s">
        <v>105</v>
      </c>
      <c r="E1" s="14" t="s">
        <v>106</v>
      </c>
      <c r="F1" s="12"/>
      <c r="H1" s="12"/>
      <c r="I1" s="12"/>
    </row>
    <row r="2" spans="1:10" ht="15.75" customHeight="1">
      <c r="A2" s="78" t="s">
        <v>235</v>
      </c>
      <c r="B2" s="38" t="s">
        <v>35</v>
      </c>
      <c r="C2" s="75">
        <v>385.33271938175153</v>
      </c>
      <c r="D2" s="32" t="s">
        <v>236</v>
      </c>
      <c r="E2" s="32" t="s">
        <v>64</v>
      </c>
      <c r="F2" s="79"/>
      <c r="G2" s="5"/>
      <c r="H2" s="15"/>
      <c r="I2" s="5"/>
      <c r="J2" s="5"/>
    </row>
    <row r="3" spans="1:10" ht="15.75" customHeight="1">
      <c r="A3" s="78" t="s">
        <v>237</v>
      </c>
      <c r="B3" s="38" t="s">
        <v>35</v>
      </c>
      <c r="C3" s="75">
        <v>504.55986602579696</v>
      </c>
      <c r="D3" s="32" t="s">
        <v>238</v>
      </c>
      <c r="E3" s="32" t="s">
        <v>64</v>
      </c>
      <c r="F3" s="32"/>
      <c r="G3" s="5"/>
      <c r="H3" s="15"/>
      <c r="I3" s="5"/>
      <c r="J3" s="5"/>
    </row>
    <row r="4" spans="1:10" ht="15.75" customHeight="1">
      <c r="A4" s="78" t="s">
        <v>239</v>
      </c>
      <c r="B4" s="38" t="s">
        <v>50</v>
      </c>
      <c r="C4" s="75">
        <v>283.54916290657212</v>
      </c>
      <c r="D4" s="32" t="s">
        <v>240</v>
      </c>
      <c r="E4" s="32" t="s">
        <v>65</v>
      </c>
      <c r="F4" s="32"/>
      <c r="G4" s="5"/>
      <c r="H4" s="15"/>
      <c r="I4" s="5"/>
      <c r="J4" s="5"/>
    </row>
    <row r="5" spans="1:10" ht="15.75" customHeight="1">
      <c r="A5" s="78" t="s">
        <v>241</v>
      </c>
      <c r="B5" s="38" t="s">
        <v>109</v>
      </c>
      <c r="C5" s="75">
        <v>208.00663145673425</v>
      </c>
      <c r="D5" s="32" t="s">
        <v>242</v>
      </c>
      <c r="E5" s="32" t="s">
        <v>65</v>
      </c>
      <c r="F5" s="5"/>
      <c r="G5" s="5"/>
      <c r="H5" s="15"/>
      <c r="I5" s="5"/>
      <c r="J5" s="5"/>
    </row>
    <row r="6" spans="1:10" ht="15.75" customHeight="1">
      <c r="A6" s="78" t="s">
        <v>243</v>
      </c>
      <c r="B6" s="38" t="s">
        <v>51</v>
      </c>
      <c r="C6" s="75">
        <v>211.62142357646457</v>
      </c>
      <c r="D6" s="32" t="s">
        <v>244</v>
      </c>
      <c r="E6" s="32" t="s">
        <v>65</v>
      </c>
      <c r="F6" s="5"/>
      <c r="G6" s="5"/>
      <c r="H6" s="15"/>
      <c r="I6" s="5"/>
      <c r="J6" s="5"/>
    </row>
    <row r="7" spans="1:10" ht="15.75" customHeight="1">
      <c r="A7" s="78" t="s">
        <v>245</v>
      </c>
      <c r="B7" s="38" t="s">
        <v>37</v>
      </c>
      <c r="C7" s="75">
        <v>37.643934326313939</v>
      </c>
      <c r="D7" s="32" t="s">
        <v>246</v>
      </c>
      <c r="E7" s="32" t="s">
        <v>64</v>
      </c>
      <c r="F7" s="5"/>
      <c r="G7" s="5"/>
      <c r="H7" s="15"/>
      <c r="I7" s="5"/>
      <c r="J7" s="5"/>
    </row>
    <row r="8" spans="1:10" ht="15.75" customHeight="1">
      <c r="A8" s="78" t="s">
        <v>247</v>
      </c>
      <c r="B8" s="38" t="s">
        <v>40</v>
      </c>
      <c r="C8" s="75">
        <v>591.3097244278606</v>
      </c>
      <c r="D8" s="32" t="s">
        <v>248</v>
      </c>
      <c r="E8" s="32" t="s">
        <v>64</v>
      </c>
      <c r="F8" s="5"/>
      <c r="G8" s="5"/>
      <c r="H8" s="15"/>
      <c r="I8" s="5"/>
      <c r="J8" s="5"/>
    </row>
    <row r="9" spans="1:10" ht="15.75" customHeight="1">
      <c r="A9" s="78" t="s">
        <v>245</v>
      </c>
      <c r="B9" s="38" t="s">
        <v>51</v>
      </c>
      <c r="C9" s="75">
        <v>39.590353682093635</v>
      </c>
      <c r="D9" s="32" t="s">
        <v>249</v>
      </c>
      <c r="E9" s="32" t="s">
        <v>64</v>
      </c>
      <c r="F9" s="5"/>
      <c r="G9" s="5"/>
      <c r="H9" s="15"/>
      <c r="I9" s="5"/>
      <c r="J9" s="5"/>
    </row>
    <row r="10" spans="1:10" ht="15.75" customHeight="1">
      <c r="A10" s="78" t="s">
        <v>250</v>
      </c>
      <c r="B10" s="38" t="s">
        <v>33</v>
      </c>
      <c r="C10" s="75">
        <v>304.12638417926973</v>
      </c>
      <c r="D10" s="32" t="s">
        <v>251</v>
      </c>
      <c r="E10" s="32" t="s">
        <v>65</v>
      </c>
      <c r="F10" s="5"/>
      <c r="G10" s="5"/>
      <c r="H10" s="15"/>
      <c r="I10" s="5"/>
      <c r="J10" s="5"/>
    </row>
    <row r="11" spans="1:10" ht="15.75" customHeight="1">
      <c r="A11" s="78" t="s">
        <v>250</v>
      </c>
      <c r="B11" s="38" t="s">
        <v>41</v>
      </c>
      <c r="C11" s="75">
        <v>594.88439535727878</v>
      </c>
      <c r="D11" s="32" t="s">
        <v>252</v>
      </c>
      <c r="E11" s="32" t="s">
        <v>65</v>
      </c>
      <c r="F11" s="5"/>
      <c r="G11" s="5"/>
      <c r="H11" s="15"/>
      <c r="I11" s="5"/>
      <c r="J11" s="5"/>
    </row>
    <row r="12" spans="1:10" ht="15.75" customHeight="1">
      <c r="A12" s="78" t="s">
        <v>253</v>
      </c>
      <c r="B12" s="38" t="s">
        <v>35</v>
      </c>
      <c r="C12" s="75">
        <v>586.64896318283638</v>
      </c>
      <c r="D12" s="32" t="s">
        <v>254</v>
      </c>
      <c r="E12" s="32" t="s">
        <v>65</v>
      </c>
      <c r="F12" s="5"/>
      <c r="G12" s="5"/>
      <c r="H12" s="15"/>
      <c r="I12" s="5"/>
      <c r="J12" s="5"/>
    </row>
    <row r="13" spans="1:10" ht="15.75" customHeight="1">
      <c r="A13" s="78" t="s">
        <v>255</v>
      </c>
      <c r="B13" s="38" t="s">
        <v>109</v>
      </c>
      <c r="C13" s="75">
        <v>202.94941040820729</v>
      </c>
      <c r="D13" s="32" t="s">
        <v>256</v>
      </c>
      <c r="E13" s="32" t="s">
        <v>64</v>
      </c>
      <c r="F13" s="5"/>
      <c r="G13" s="5"/>
      <c r="H13" s="15"/>
      <c r="I13" s="5"/>
      <c r="J13" s="5"/>
    </row>
    <row r="14" spans="1:10" ht="15.75" customHeight="1">
      <c r="A14" s="78" t="s">
        <v>235</v>
      </c>
      <c r="B14" s="38" t="s">
        <v>33</v>
      </c>
      <c r="C14" s="75">
        <v>493.18241992944246</v>
      </c>
      <c r="D14" s="32" t="s">
        <v>257</v>
      </c>
      <c r="E14" s="32" t="s">
        <v>64</v>
      </c>
      <c r="F14" s="5"/>
      <c r="G14" s="5"/>
      <c r="H14" s="15"/>
      <c r="I14" s="5"/>
      <c r="J14" s="5"/>
    </row>
    <row r="15" spans="1:10" ht="15.75" customHeight="1">
      <c r="A15" s="78" t="s">
        <v>258</v>
      </c>
      <c r="B15" s="38" t="s">
        <v>52</v>
      </c>
      <c r="C15" s="75">
        <v>584.40572914370307</v>
      </c>
      <c r="D15" s="32" t="s">
        <v>259</v>
      </c>
      <c r="E15" s="32" t="s">
        <v>64</v>
      </c>
      <c r="F15" s="5"/>
      <c r="G15" s="5"/>
      <c r="H15" s="15"/>
      <c r="I15" s="5"/>
      <c r="J15" s="5"/>
    </row>
    <row r="16" spans="1:10" ht="15.75" customHeight="1">
      <c r="A16" s="76"/>
      <c r="B16" s="15"/>
      <c r="C16" s="16"/>
      <c r="E16" s="5"/>
      <c r="H16" s="15"/>
    </row>
    <row r="17" spans="1:8" ht="15.75" customHeight="1">
      <c r="A17" s="76"/>
      <c r="B17" s="15"/>
      <c r="C17" s="16"/>
      <c r="E17" s="5"/>
      <c r="H17" s="15"/>
    </row>
    <row r="18" spans="1:8" ht="15.75" customHeight="1">
      <c r="A18" s="76"/>
      <c r="B18" s="15"/>
      <c r="C18" s="16"/>
      <c r="E18" s="5"/>
      <c r="H18" s="15"/>
    </row>
    <row r="19" spans="1:8" ht="15.75" customHeight="1">
      <c r="A19" s="76"/>
      <c r="B19" s="15"/>
      <c r="C19" s="16"/>
      <c r="E19" s="5"/>
      <c r="H19" s="15"/>
    </row>
    <row r="20" spans="1:8" ht="15.75" customHeight="1">
      <c r="A20" s="76"/>
      <c r="B20" s="15"/>
      <c r="C20" s="16"/>
      <c r="E20" s="5"/>
      <c r="H20" s="15"/>
    </row>
    <row r="21" spans="1:8" ht="15.75" customHeight="1">
      <c r="A21" s="76"/>
      <c r="B21" s="15"/>
      <c r="C21" s="16"/>
      <c r="E21" s="5"/>
      <c r="H21" s="15"/>
    </row>
    <row r="22" spans="1:8" ht="15.75" customHeight="1">
      <c r="A22" s="76"/>
      <c r="B22" s="15"/>
      <c r="C22" s="16"/>
      <c r="E22" s="5"/>
      <c r="H22" s="15"/>
    </row>
    <row r="23" spans="1:8" ht="15.75" customHeight="1">
      <c r="A23" s="76"/>
      <c r="B23" s="15"/>
      <c r="C23" s="16"/>
      <c r="E23" s="5"/>
      <c r="H23" s="15"/>
    </row>
    <row r="24" spans="1:8" ht="15.75" customHeight="1">
      <c r="A24" s="76"/>
      <c r="B24" s="15"/>
      <c r="C24" s="16"/>
      <c r="E24" s="5"/>
      <c r="H24" s="15"/>
    </row>
    <row r="25" spans="1:8" ht="15.75" customHeight="1">
      <c r="A25" s="76"/>
      <c r="B25" s="15"/>
      <c r="C25" s="16"/>
      <c r="E25" s="5"/>
      <c r="H25" s="15"/>
    </row>
    <row r="26" spans="1:8" ht="15.75" customHeight="1">
      <c r="A26" s="76"/>
      <c r="B26" s="15"/>
      <c r="C26" s="16"/>
      <c r="E26" s="5"/>
      <c r="H26" s="15"/>
    </row>
    <row r="27" spans="1:8" ht="15.75" customHeight="1">
      <c r="A27" s="76"/>
      <c r="B27" s="15"/>
      <c r="C27" s="16"/>
      <c r="E27" s="5"/>
      <c r="H27" s="15"/>
    </row>
    <row r="28" spans="1:8" ht="15.75" customHeight="1">
      <c r="A28" s="76"/>
      <c r="B28" s="15"/>
      <c r="C28" s="16"/>
      <c r="E28" s="5"/>
      <c r="H28" s="15"/>
    </row>
    <row r="29" spans="1:8" ht="15.75" customHeight="1">
      <c r="A29" s="76"/>
      <c r="B29" s="15"/>
      <c r="C29" s="16"/>
      <c r="E29" s="5"/>
      <c r="H29" s="15"/>
    </row>
    <row r="30" spans="1:8" ht="15.75" customHeight="1">
      <c r="A30" s="76"/>
      <c r="B30" s="15"/>
      <c r="C30" s="16"/>
      <c r="E30" s="5"/>
      <c r="H30" s="15"/>
    </row>
    <row r="31" spans="1:8" ht="15.75" customHeight="1">
      <c r="A31" s="76"/>
      <c r="B31" s="15"/>
      <c r="C31" s="16"/>
      <c r="E31" s="5"/>
      <c r="H31" s="15"/>
    </row>
    <row r="32" spans="1:8" ht="15.75" customHeight="1">
      <c r="A32" s="76"/>
      <c r="B32" s="15"/>
      <c r="C32" s="16"/>
      <c r="E32" s="5"/>
      <c r="H32" s="15"/>
    </row>
    <row r="33" spans="1:8" ht="15.75" customHeight="1">
      <c r="A33" s="76"/>
      <c r="B33" s="15"/>
      <c r="C33" s="16"/>
      <c r="E33" s="5"/>
      <c r="H33" s="15"/>
    </row>
    <row r="34" spans="1:8" ht="15.75" customHeight="1">
      <c r="A34" s="76"/>
      <c r="B34" s="15"/>
      <c r="C34" s="16"/>
      <c r="E34" s="5"/>
      <c r="H34" s="15"/>
    </row>
    <row r="35" spans="1:8" ht="15.75" customHeight="1">
      <c r="A35" s="76"/>
      <c r="B35" s="15"/>
      <c r="C35" s="16"/>
      <c r="E35" s="5"/>
      <c r="H35" s="15"/>
    </row>
    <row r="36" spans="1:8" ht="15.75" customHeight="1">
      <c r="A36" s="76"/>
      <c r="B36" s="15"/>
      <c r="C36" s="16"/>
      <c r="E36" s="5"/>
      <c r="H36" s="15"/>
    </row>
    <row r="37" spans="1:8" ht="15.75" customHeight="1">
      <c r="A37" s="76"/>
      <c r="B37" s="15"/>
      <c r="C37" s="16"/>
      <c r="E37" s="5"/>
      <c r="H37" s="15"/>
    </row>
    <row r="38" spans="1:8" ht="15.75" customHeight="1">
      <c r="A38" s="76"/>
      <c r="B38" s="15"/>
      <c r="C38" s="16"/>
      <c r="E38" s="5"/>
      <c r="H38" s="15"/>
    </row>
    <row r="39" spans="1:8" ht="15.75" customHeight="1">
      <c r="A39" s="76"/>
      <c r="B39" s="15"/>
      <c r="C39" s="16"/>
      <c r="E39" s="5"/>
      <c r="H39" s="15"/>
    </row>
    <row r="40" spans="1:8" ht="15.75" customHeight="1">
      <c r="A40" s="76"/>
      <c r="B40" s="15"/>
      <c r="C40" s="16"/>
      <c r="E40" s="5"/>
      <c r="H40" s="15"/>
    </row>
    <row r="41" spans="1:8" ht="15.75" customHeight="1">
      <c r="A41" s="76"/>
      <c r="B41" s="15"/>
      <c r="C41" s="16"/>
      <c r="E41" s="5"/>
      <c r="H41" s="15"/>
    </row>
    <row r="42" spans="1:8" ht="15.75" customHeight="1">
      <c r="A42" s="76"/>
      <c r="B42" s="15"/>
      <c r="C42" s="16"/>
      <c r="E42" s="5"/>
      <c r="H42" s="15"/>
    </row>
    <row r="43" spans="1:8" ht="15.75" customHeight="1">
      <c r="A43" s="76"/>
      <c r="B43" s="15"/>
      <c r="C43" s="16"/>
      <c r="E43" s="5"/>
      <c r="H43" s="15"/>
    </row>
    <row r="44" spans="1:8" ht="15.75" customHeight="1">
      <c r="A44" s="76"/>
      <c r="B44" s="15"/>
      <c r="C44" s="16"/>
      <c r="E44" s="5"/>
      <c r="F44" s="32"/>
      <c r="H44" s="15"/>
    </row>
    <row r="45" spans="1:8" ht="15.75" customHeight="1">
      <c r="A45" s="76"/>
      <c r="B45" s="15"/>
      <c r="C45" s="16"/>
      <c r="E45" s="5"/>
      <c r="F45" s="32"/>
      <c r="H45" s="15"/>
    </row>
    <row r="46" spans="1:8" ht="15.75" customHeight="1">
      <c r="A46" s="76"/>
      <c r="B46" s="15"/>
      <c r="C46" s="16"/>
      <c r="E46" s="5"/>
      <c r="F46" s="32"/>
      <c r="H46" s="15"/>
    </row>
    <row r="47" spans="1:8" ht="15.75" customHeight="1">
      <c r="A47" s="76"/>
      <c r="B47" s="15"/>
      <c r="C47" s="16"/>
      <c r="E47" s="5"/>
      <c r="H47" s="15"/>
    </row>
    <row r="48" spans="1:8" ht="15.75" customHeight="1">
      <c r="A48" s="76"/>
      <c r="B48" s="15"/>
      <c r="C48" s="16"/>
      <c r="E48" s="5"/>
      <c r="H48" s="15"/>
    </row>
    <row r="49" spans="1:8" ht="15.75" customHeight="1">
      <c r="A49" s="76"/>
      <c r="B49" s="15"/>
      <c r="C49" s="16"/>
      <c r="E49" s="5"/>
      <c r="H49" s="15"/>
    </row>
    <row r="50" spans="1:8" ht="15.75" customHeight="1">
      <c r="A50" s="76"/>
      <c r="B50" s="15"/>
      <c r="C50" s="16"/>
      <c r="E50" s="5"/>
      <c r="H50" s="15"/>
    </row>
    <row r="51" spans="1:8" ht="15.75" customHeight="1">
      <c r="A51" s="76"/>
      <c r="B51" s="15"/>
      <c r="C51" s="16"/>
      <c r="E51" s="5"/>
      <c r="H51" s="15"/>
    </row>
    <row r="52" spans="1:8" ht="15.75" customHeight="1">
      <c r="A52" s="76"/>
      <c r="B52" s="15"/>
      <c r="C52" s="16"/>
      <c r="E52" s="5"/>
      <c r="H52" s="15"/>
    </row>
    <row r="53" spans="1:8" ht="15.75" customHeight="1">
      <c r="A53" s="76"/>
      <c r="B53" s="15"/>
      <c r="C53" s="16"/>
      <c r="E53" s="5"/>
      <c r="H53" s="15"/>
    </row>
    <row r="54" spans="1:8" ht="15.75" customHeight="1">
      <c r="A54" s="76"/>
      <c r="B54" s="15"/>
      <c r="C54" s="16"/>
      <c r="E54" s="5"/>
      <c r="H54" s="15"/>
    </row>
    <row r="55" spans="1:8" ht="15.75" customHeight="1">
      <c r="A55" s="76"/>
      <c r="B55" s="15"/>
      <c r="C55" s="16"/>
      <c r="E55" s="5"/>
      <c r="H55" s="15"/>
    </row>
    <row r="56" spans="1:8" ht="15.75" customHeight="1">
      <c r="A56" s="76"/>
      <c r="B56" s="15"/>
      <c r="C56" s="16"/>
      <c r="E56" s="5"/>
      <c r="H56" s="15"/>
    </row>
    <row r="57" spans="1:8" ht="12.5">
      <c r="A57" s="76"/>
      <c r="B57" s="15"/>
      <c r="C57" s="16"/>
      <c r="E57" s="5"/>
      <c r="H57" s="15"/>
    </row>
    <row r="58" spans="1:8" ht="12.5">
      <c r="A58" s="76"/>
      <c r="B58" s="15"/>
      <c r="C58" s="16"/>
      <c r="E58" s="5"/>
      <c r="H58" s="15"/>
    </row>
    <row r="59" spans="1:8" ht="12.5">
      <c r="A59" s="76"/>
      <c r="B59" s="15"/>
      <c r="C59" s="16"/>
      <c r="E59" s="5"/>
      <c r="H59" s="15"/>
    </row>
    <row r="60" spans="1:8" ht="12.5">
      <c r="A60" s="76"/>
      <c r="B60" s="15"/>
      <c r="C60" s="16"/>
      <c r="E60" s="5"/>
      <c r="H60" s="15"/>
    </row>
    <row r="61" spans="1:8" ht="12.5">
      <c r="A61" s="76"/>
      <c r="B61" s="15"/>
      <c r="C61" s="16"/>
      <c r="E61" s="5"/>
      <c r="H61" s="15"/>
    </row>
    <row r="62" spans="1:8" ht="12.5">
      <c r="A62" s="76"/>
      <c r="B62" s="15"/>
      <c r="C62" s="16"/>
      <c r="E62" s="5"/>
      <c r="H62" s="15"/>
    </row>
    <row r="63" spans="1:8" ht="12.5">
      <c r="A63" s="76"/>
      <c r="B63" s="15"/>
      <c r="C63" s="16"/>
      <c r="E63" s="5"/>
      <c r="H63" s="15"/>
    </row>
    <row r="64" spans="1:8" ht="12.5">
      <c r="A64" s="76"/>
      <c r="B64" s="15"/>
      <c r="C64" s="16"/>
      <c r="E64" s="5"/>
      <c r="H64" s="15"/>
    </row>
    <row r="65" spans="1:8" ht="12.5">
      <c r="A65" s="76"/>
      <c r="B65" s="15"/>
      <c r="C65" s="16"/>
      <c r="E65" s="5"/>
      <c r="H65" s="15"/>
    </row>
    <row r="66" spans="1:8" ht="12.5">
      <c r="A66" s="76"/>
      <c r="B66" s="15"/>
      <c r="C66" s="16"/>
      <c r="E66" s="5"/>
      <c r="H66" s="15"/>
    </row>
    <row r="67" spans="1:8" ht="12.5">
      <c r="A67" s="76"/>
      <c r="B67" s="15"/>
      <c r="C67" s="16"/>
      <c r="E67" s="5"/>
      <c r="H67" s="15"/>
    </row>
    <row r="68" spans="1:8" ht="12.5">
      <c r="A68" s="76"/>
      <c r="B68" s="15"/>
      <c r="C68" s="16"/>
      <c r="E68" s="5"/>
      <c r="H68" s="15"/>
    </row>
    <row r="69" spans="1:8" ht="12.5">
      <c r="A69" s="76"/>
      <c r="B69" s="15"/>
      <c r="C69" s="16"/>
      <c r="E69" s="5"/>
      <c r="H69" s="15"/>
    </row>
    <row r="70" spans="1:8" ht="12.5">
      <c r="A70" s="76"/>
      <c r="B70" s="15"/>
      <c r="C70" s="16"/>
      <c r="E70" s="5"/>
      <c r="H70" s="15"/>
    </row>
    <row r="71" spans="1:8" ht="12.5">
      <c r="A71" s="76"/>
      <c r="B71" s="5"/>
      <c r="C71" s="16"/>
      <c r="E71" s="5"/>
    </row>
    <row r="72" spans="1:8" ht="12.5">
      <c r="A72" s="76"/>
      <c r="B72" s="5"/>
      <c r="C72" s="16"/>
      <c r="E72" s="5"/>
    </row>
    <row r="73" spans="1:8" ht="12.5">
      <c r="A73" s="76"/>
      <c r="B73" s="5"/>
      <c r="C73" s="16"/>
      <c r="E73" s="5"/>
    </row>
    <row r="74" spans="1:8" ht="12.5">
      <c r="A74" s="76"/>
      <c r="B74" s="5"/>
      <c r="C74" s="16"/>
      <c r="E74" s="5"/>
    </row>
    <row r="75" spans="1:8" ht="12.5">
      <c r="A75" s="76"/>
      <c r="B75" s="5"/>
      <c r="C75" s="16"/>
      <c r="E75" s="5"/>
    </row>
    <row r="76" spans="1:8" ht="12.5">
      <c r="A76" s="76"/>
      <c r="B76" s="5"/>
      <c r="C76" s="16"/>
      <c r="E76" s="5"/>
    </row>
    <row r="77" spans="1:8" ht="12.5">
      <c r="A77" s="76"/>
      <c r="B77" s="5"/>
      <c r="C77" s="16"/>
      <c r="E77" s="5"/>
    </row>
    <row r="78" spans="1:8" ht="12.5">
      <c r="A78" s="76"/>
      <c r="B78" s="5"/>
      <c r="C78" s="16"/>
      <c r="E78" s="5"/>
    </row>
    <row r="79" spans="1:8" ht="12.5">
      <c r="A79" s="76"/>
      <c r="B79" s="5"/>
      <c r="C79" s="16"/>
      <c r="E79" s="5"/>
    </row>
    <row r="80" spans="1:8" ht="12.5">
      <c r="A80" s="76"/>
      <c r="B80" s="5"/>
      <c r="C80" s="16"/>
      <c r="E80" s="5"/>
    </row>
    <row r="81" spans="1:5" ht="12.5">
      <c r="A81" s="76"/>
      <c r="B81" s="5"/>
      <c r="C81" s="16"/>
      <c r="E81" s="5"/>
    </row>
    <row r="82" spans="1:5" ht="12.5">
      <c r="A82" s="76"/>
      <c r="B82" s="5"/>
      <c r="C82" s="16"/>
      <c r="E82" s="5"/>
    </row>
    <row r="83" spans="1:5" ht="12.5">
      <c r="A83" s="76"/>
      <c r="B83" s="5"/>
      <c r="C83" s="16"/>
      <c r="E83" s="5"/>
    </row>
    <row r="84" spans="1:5" ht="12.5">
      <c r="A84" s="76"/>
      <c r="B84" s="5"/>
      <c r="C84" s="16"/>
      <c r="E84" s="5"/>
    </row>
    <row r="85" spans="1:5" ht="12.5">
      <c r="A85" s="76"/>
      <c r="B85" s="5"/>
      <c r="C85" s="16"/>
      <c r="E85" s="5"/>
    </row>
    <row r="86" spans="1:5" ht="12.5">
      <c r="A86" s="76"/>
      <c r="B86" s="5"/>
      <c r="C86" s="16"/>
      <c r="E86" s="5"/>
    </row>
    <row r="87" spans="1:5" ht="12.5">
      <c r="A87" s="76"/>
      <c r="B87" s="5"/>
      <c r="C87" s="16"/>
      <c r="E87" s="5"/>
    </row>
    <row r="88" spans="1:5" ht="12.5">
      <c r="A88" s="76"/>
      <c r="B88" s="5"/>
      <c r="C88" s="16"/>
      <c r="E88" s="5"/>
    </row>
    <row r="89" spans="1:5" ht="12.5">
      <c r="A89" s="76"/>
      <c r="B89" s="5"/>
      <c r="C89" s="16"/>
      <c r="E89" s="5"/>
    </row>
    <row r="90" spans="1:5" ht="12.5">
      <c r="A90" s="76"/>
      <c r="B90" s="5"/>
      <c r="C90" s="16"/>
      <c r="E90" s="5"/>
    </row>
    <row r="91" spans="1:5" ht="12.5">
      <c r="A91" s="76"/>
      <c r="B91" s="5"/>
      <c r="C91" s="16"/>
      <c r="E91" s="5"/>
    </row>
    <row r="92" spans="1:5" ht="12.5">
      <c r="A92" s="76"/>
      <c r="B92" s="5"/>
      <c r="C92" s="16"/>
      <c r="E92" s="5"/>
    </row>
    <row r="93" spans="1:5" ht="12.5">
      <c r="A93" s="76"/>
      <c r="B93" s="5"/>
      <c r="C93" s="16"/>
      <c r="E93" s="5"/>
    </row>
    <row r="94" spans="1:5" ht="12.5">
      <c r="A94" s="76"/>
      <c r="B94" s="5"/>
      <c r="C94" s="16"/>
      <c r="E94" s="5"/>
    </row>
    <row r="95" spans="1:5" ht="12.5">
      <c r="A95" s="76"/>
      <c r="B95" s="5"/>
      <c r="C95" s="16"/>
      <c r="E95" s="5"/>
    </row>
    <row r="96" spans="1:5" ht="12.5">
      <c r="A96" s="76"/>
      <c r="B96" s="5"/>
      <c r="C96" s="16"/>
      <c r="E96" s="5"/>
    </row>
    <row r="97" spans="1:5" ht="12.5">
      <c r="A97" s="76"/>
      <c r="B97" s="5"/>
      <c r="C97" s="16"/>
      <c r="E97" s="5"/>
    </row>
    <row r="98" spans="1:5" ht="12.5">
      <c r="A98" s="76"/>
      <c r="B98" s="5"/>
      <c r="C98" s="16"/>
      <c r="E98" s="5"/>
    </row>
    <row r="99" spans="1:5" ht="12.5">
      <c r="A99" s="76"/>
      <c r="B99" s="5"/>
      <c r="C99" s="16"/>
      <c r="E99" s="5"/>
    </row>
    <row r="100" spans="1:5" ht="12.5">
      <c r="A100" s="76"/>
      <c r="B100" s="5"/>
      <c r="C100" s="16"/>
      <c r="E100" s="5"/>
    </row>
    <row r="101" spans="1:5" ht="12.5">
      <c r="A101" s="76"/>
      <c r="B101" s="5"/>
      <c r="C101" s="16"/>
      <c r="E101" s="5"/>
    </row>
    <row r="102" spans="1:5" ht="12.5">
      <c r="A102" s="76"/>
      <c r="B102" s="5"/>
      <c r="C102" s="16"/>
      <c r="E102" s="5"/>
    </row>
    <row r="103" spans="1:5" ht="12.5">
      <c r="A103" s="76"/>
      <c r="B103" s="5"/>
      <c r="C103" s="16"/>
      <c r="E103" s="5"/>
    </row>
    <row r="104" spans="1:5" ht="12.5">
      <c r="A104" s="76"/>
      <c r="B104" s="5"/>
      <c r="C104" s="16"/>
      <c r="E104" s="5"/>
    </row>
    <row r="105" spans="1:5" ht="12.5">
      <c r="A105" s="76"/>
      <c r="B105" s="5"/>
      <c r="C105" s="16"/>
      <c r="E105" s="5"/>
    </row>
    <row r="106" spans="1:5" ht="12.5">
      <c r="A106" s="76"/>
      <c r="B106" s="5"/>
      <c r="C106" s="16"/>
      <c r="E106" s="5"/>
    </row>
    <row r="107" spans="1:5" ht="12.5">
      <c r="A107" s="76"/>
      <c r="B107" s="5"/>
      <c r="C107" s="16"/>
      <c r="E107" s="5"/>
    </row>
    <row r="108" spans="1:5" ht="12.5">
      <c r="A108" s="76"/>
      <c r="B108" s="5"/>
      <c r="C108" s="16"/>
      <c r="E108" s="5"/>
    </row>
    <row r="109" spans="1:5" ht="12.5">
      <c r="A109" s="76"/>
      <c r="B109" s="5"/>
      <c r="C109" s="16"/>
      <c r="E109" s="5"/>
    </row>
    <row r="110" spans="1:5" ht="12.5">
      <c r="A110" s="76"/>
      <c r="B110" s="5"/>
      <c r="C110" s="16"/>
      <c r="E110" s="5"/>
    </row>
    <row r="111" spans="1:5" ht="12.5">
      <c r="A111" s="76"/>
      <c r="B111" s="5"/>
      <c r="C111" s="16"/>
      <c r="E111" s="5"/>
    </row>
    <row r="112" spans="1:5" ht="12.5">
      <c r="A112" s="76"/>
      <c r="B112" s="5"/>
      <c r="C112" s="16"/>
      <c r="E112" s="5"/>
    </row>
    <row r="113" spans="1:5" ht="12.5">
      <c r="A113" s="76"/>
      <c r="B113" s="5"/>
      <c r="C113" s="16"/>
      <c r="E113" s="5"/>
    </row>
    <row r="114" spans="1:5" ht="12.5">
      <c r="A114" s="76"/>
      <c r="B114" s="5"/>
      <c r="C114" s="16"/>
      <c r="E114" s="5"/>
    </row>
    <row r="115" spans="1:5" ht="12.5">
      <c r="A115" s="76"/>
      <c r="B115" s="5"/>
      <c r="C115" s="16"/>
      <c r="E115" s="5"/>
    </row>
    <row r="116" spans="1:5" ht="12.5">
      <c r="A116" s="76"/>
      <c r="B116" s="5"/>
      <c r="C116" s="16"/>
      <c r="E116" s="5"/>
    </row>
    <row r="117" spans="1:5" ht="12.5">
      <c r="A117" s="76"/>
      <c r="B117" s="5"/>
      <c r="C117" s="16"/>
      <c r="E117" s="5"/>
    </row>
    <row r="118" spans="1:5" ht="12.5">
      <c r="A118" s="76"/>
      <c r="B118" s="5"/>
      <c r="C118" s="16"/>
      <c r="E118" s="5"/>
    </row>
    <row r="119" spans="1:5" ht="12.5">
      <c r="A119" s="76"/>
      <c r="B119" s="5"/>
      <c r="C119" s="16"/>
      <c r="E119" s="5"/>
    </row>
    <row r="120" spans="1:5" ht="12.5">
      <c r="A120" s="76"/>
      <c r="B120" s="5"/>
      <c r="C120" s="16"/>
      <c r="E120" s="5"/>
    </row>
    <row r="121" spans="1:5" ht="12.5">
      <c r="A121" s="76"/>
      <c r="B121" s="5"/>
      <c r="C121" s="16"/>
      <c r="E121" s="5"/>
    </row>
    <row r="122" spans="1:5" ht="12.5">
      <c r="A122" s="76"/>
      <c r="B122" s="5"/>
      <c r="C122" s="16"/>
      <c r="E122" s="5"/>
    </row>
    <row r="123" spans="1:5" ht="12.5">
      <c r="A123" s="76"/>
      <c r="B123" s="5"/>
      <c r="C123" s="16"/>
      <c r="E123" s="5"/>
    </row>
    <row r="124" spans="1:5" ht="12.5">
      <c r="A124" s="76"/>
      <c r="B124" s="5"/>
      <c r="C124" s="16"/>
      <c r="E124" s="5"/>
    </row>
    <row r="125" spans="1:5" ht="12.5">
      <c r="A125" s="76"/>
      <c r="B125" s="5"/>
      <c r="C125" s="16"/>
      <c r="E125" s="5"/>
    </row>
    <row r="126" spans="1:5" ht="12.5">
      <c r="A126" s="76"/>
      <c r="B126" s="5"/>
      <c r="C126" s="16"/>
      <c r="E126" s="5"/>
    </row>
    <row r="127" spans="1:5" ht="12.5">
      <c r="A127" s="76"/>
      <c r="B127" s="5"/>
      <c r="C127" s="16"/>
      <c r="E127" s="5"/>
    </row>
    <row r="128" spans="1:5" ht="12.5">
      <c r="A128" s="76"/>
      <c r="B128" s="5"/>
      <c r="C128" s="16"/>
      <c r="E128" s="5"/>
    </row>
    <row r="129" spans="1:5" ht="12.5">
      <c r="A129" s="76"/>
      <c r="B129" s="5"/>
      <c r="C129" s="16"/>
      <c r="E129" s="5"/>
    </row>
    <row r="130" spans="1:5" ht="12.5">
      <c r="A130" s="76"/>
      <c r="B130" s="5"/>
      <c r="C130" s="16"/>
      <c r="E130" s="5"/>
    </row>
    <row r="131" spans="1:5" ht="12.5">
      <c r="A131" s="76"/>
      <c r="B131" s="5"/>
      <c r="C131" s="16"/>
      <c r="E131" s="5"/>
    </row>
    <row r="132" spans="1:5" ht="12.5">
      <c r="A132" s="76"/>
      <c r="B132" s="5"/>
      <c r="C132" s="16"/>
      <c r="E132" s="5"/>
    </row>
    <row r="133" spans="1:5" ht="12.5">
      <c r="A133" s="76"/>
      <c r="B133" s="5"/>
      <c r="C133" s="16"/>
      <c r="E133" s="5"/>
    </row>
    <row r="134" spans="1:5" ht="12.5">
      <c r="A134" s="76"/>
      <c r="B134" s="5"/>
      <c r="C134" s="16"/>
      <c r="E134" s="5"/>
    </row>
    <row r="135" spans="1:5" ht="12.5">
      <c r="A135" s="76"/>
      <c r="B135" s="5"/>
      <c r="C135" s="16"/>
      <c r="E135" s="5"/>
    </row>
    <row r="136" spans="1:5" ht="12.5">
      <c r="A136" s="76"/>
      <c r="B136" s="5"/>
      <c r="C136" s="16"/>
      <c r="E136" s="5"/>
    </row>
    <row r="137" spans="1:5" ht="12.5">
      <c r="A137" s="76"/>
      <c r="B137" s="5"/>
      <c r="C137" s="16"/>
      <c r="E137" s="5"/>
    </row>
    <row r="138" spans="1:5" ht="12.5">
      <c r="A138" s="76"/>
      <c r="B138" s="5"/>
      <c r="C138" s="16"/>
      <c r="E138" s="5"/>
    </row>
    <row r="139" spans="1:5" ht="12.5">
      <c r="A139" s="76"/>
      <c r="B139" s="5"/>
      <c r="C139" s="16"/>
      <c r="E139" s="5"/>
    </row>
    <row r="140" spans="1:5" ht="12.5">
      <c r="A140" s="76"/>
      <c r="B140" s="5"/>
      <c r="C140" s="16"/>
      <c r="E140" s="5"/>
    </row>
    <row r="141" spans="1:5" ht="12.5">
      <c r="A141" s="76"/>
      <c r="B141" s="5"/>
      <c r="C141" s="16"/>
      <c r="E141" s="5"/>
    </row>
    <row r="142" spans="1:5" ht="12.5">
      <c r="A142" s="76"/>
      <c r="B142" s="5"/>
      <c r="C142" s="16"/>
      <c r="E142" s="5"/>
    </row>
    <row r="143" spans="1:5" ht="12.5">
      <c r="A143" s="76"/>
      <c r="B143" s="5"/>
      <c r="C143" s="16"/>
      <c r="E143" s="5"/>
    </row>
    <row r="144" spans="1:5" ht="12.5">
      <c r="A144" s="76"/>
      <c r="B144" s="5"/>
      <c r="C144" s="16"/>
      <c r="E144" s="5"/>
    </row>
    <row r="145" spans="1:5" ht="12.5">
      <c r="A145" s="76"/>
      <c r="B145" s="5"/>
      <c r="C145" s="16"/>
      <c r="E145" s="5"/>
    </row>
    <row r="146" spans="1:5" ht="12.5">
      <c r="A146" s="76"/>
      <c r="B146" s="5"/>
      <c r="C146" s="16"/>
      <c r="E146" s="5"/>
    </row>
    <row r="147" spans="1:5" ht="12.5">
      <c r="A147" s="76"/>
      <c r="B147" s="5"/>
      <c r="C147" s="16"/>
      <c r="E147" s="5"/>
    </row>
    <row r="148" spans="1:5" ht="12.5">
      <c r="A148" s="76"/>
      <c r="B148" s="5"/>
      <c r="C148" s="16"/>
      <c r="E148" s="5"/>
    </row>
    <row r="149" spans="1:5" ht="12.5">
      <c r="A149" s="76"/>
      <c r="B149" s="5"/>
      <c r="C149" s="16"/>
      <c r="E149" s="5"/>
    </row>
    <row r="150" spans="1:5" ht="12.5">
      <c r="A150" s="76"/>
      <c r="B150" s="5"/>
      <c r="C150" s="16"/>
      <c r="E150" s="5"/>
    </row>
    <row r="151" spans="1:5" ht="12.5">
      <c r="A151" s="76"/>
      <c r="B151" s="5"/>
      <c r="C151" s="16"/>
      <c r="E151" s="5"/>
    </row>
    <row r="152" spans="1:5" ht="12.5">
      <c r="A152" s="76"/>
      <c r="B152" s="5"/>
      <c r="C152" s="16"/>
      <c r="E152" s="5"/>
    </row>
    <row r="153" spans="1:5" ht="12.5">
      <c r="A153" s="76"/>
      <c r="B153" s="5"/>
      <c r="C153" s="16"/>
      <c r="E153" s="5"/>
    </row>
    <row r="154" spans="1:5" ht="12.5">
      <c r="A154" s="76"/>
      <c r="B154" s="5"/>
      <c r="C154" s="16"/>
      <c r="E154" s="5"/>
    </row>
    <row r="155" spans="1:5" ht="12.5">
      <c r="A155" s="76"/>
      <c r="B155" s="5"/>
      <c r="C155" s="16"/>
      <c r="E155" s="5"/>
    </row>
    <row r="156" spans="1:5" ht="12.5">
      <c r="A156" s="76"/>
      <c r="B156" s="5"/>
      <c r="C156" s="16"/>
      <c r="E156" s="5"/>
    </row>
    <row r="157" spans="1:5" ht="12.5">
      <c r="A157" s="76"/>
      <c r="B157" s="5"/>
      <c r="C157" s="16"/>
      <c r="E157" s="5"/>
    </row>
    <row r="158" spans="1:5" ht="12.5">
      <c r="A158" s="76"/>
      <c r="B158" s="5"/>
      <c r="C158" s="16"/>
      <c r="E158" s="5"/>
    </row>
    <row r="159" spans="1:5" ht="12.5">
      <c r="A159" s="76"/>
      <c r="B159" s="5"/>
      <c r="C159" s="16"/>
      <c r="E159" s="5"/>
    </row>
    <row r="160" spans="1:5" ht="12.5">
      <c r="A160" s="76"/>
      <c r="B160" s="5"/>
      <c r="C160" s="16"/>
      <c r="E160" s="5"/>
    </row>
    <row r="161" spans="1:5" ht="12.5">
      <c r="A161" s="76"/>
      <c r="B161" s="5"/>
      <c r="C161" s="16"/>
      <c r="E161" s="5"/>
    </row>
    <row r="162" spans="1:5" ht="12.5">
      <c r="A162" s="76"/>
      <c r="B162" s="5"/>
      <c r="C162" s="16"/>
      <c r="E162" s="5"/>
    </row>
    <row r="163" spans="1:5" ht="12.5">
      <c r="A163" s="76"/>
      <c r="B163" s="5"/>
      <c r="C163" s="16"/>
      <c r="E163" s="5"/>
    </row>
    <row r="164" spans="1:5" ht="12.5">
      <c r="A164" s="76"/>
      <c r="B164" s="5"/>
      <c r="C164" s="16"/>
      <c r="E164" s="5"/>
    </row>
    <row r="165" spans="1:5" ht="12.5">
      <c r="A165" s="76"/>
      <c r="B165" s="5"/>
      <c r="C165" s="16"/>
      <c r="E165" s="5"/>
    </row>
    <row r="166" spans="1:5" ht="12.5">
      <c r="A166" s="76"/>
      <c r="B166" s="5"/>
      <c r="C166" s="16"/>
      <c r="E166" s="5"/>
    </row>
    <row r="167" spans="1:5" ht="12.5">
      <c r="A167" s="76"/>
      <c r="B167" s="5"/>
      <c r="C167" s="16"/>
      <c r="E167" s="5"/>
    </row>
    <row r="168" spans="1:5" ht="12.5">
      <c r="A168" s="76"/>
      <c r="B168" s="5"/>
      <c r="C168" s="16"/>
      <c r="E168" s="5"/>
    </row>
    <row r="169" spans="1:5" ht="12.5">
      <c r="A169" s="76"/>
      <c r="B169" s="5"/>
      <c r="C169" s="16"/>
      <c r="E169" s="5"/>
    </row>
    <row r="170" spans="1:5" ht="12.5">
      <c r="A170" s="76"/>
      <c r="B170" s="5"/>
      <c r="C170" s="16"/>
      <c r="E170" s="5"/>
    </row>
    <row r="171" spans="1:5" ht="12.5">
      <c r="A171" s="76"/>
      <c r="B171" s="5"/>
      <c r="C171" s="16"/>
      <c r="E171" s="5"/>
    </row>
    <row r="172" spans="1:5" ht="12.5">
      <c r="A172" s="76"/>
      <c r="B172" s="5"/>
      <c r="C172" s="16"/>
      <c r="E172" s="5"/>
    </row>
    <row r="173" spans="1:5" ht="12.5">
      <c r="A173" s="76"/>
      <c r="B173" s="5"/>
      <c r="C173" s="16"/>
      <c r="E173" s="5"/>
    </row>
    <row r="174" spans="1:5" ht="12.5">
      <c r="A174" s="76"/>
      <c r="B174" s="5"/>
      <c r="C174" s="16"/>
      <c r="E174" s="5"/>
    </row>
    <row r="175" spans="1:5" ht="12.5">
      <c r="A175" s="76"/>
      <c r="B175" s="5"/>
      <c r="C175" s="16"/>
      <c r="E175" s="5"/>
    </row>
    <row r="176" spans="1:5" ht="12.5">
      <c r="A176" s="76"/>
      <c r="B176" s="5"/>
      <c r="C176" s="16"/>
      <c r="E176" s="5"/>
    </row>
    <row r="177" spans="1:5" ht="12.5">
      <c r="A177" s="76"/>
      <c r="B177" s="5"/>
      <c r="C177" s="16"/>
      <c r="E177" s="5"/>
    </row>
    <row r="178" spans="1:5" ht="12.5">
      <c r="A178" s="76"/>
      <c r="B178" s="5"/>
      <c r="C178" s="16"/>
      <c r="E178" s="5"/>
    </row>
    <row r="179" spans="1:5" ht="12.5">
      <c r="A179" s="76"/>
      <c r="B179" s="5"/>
      <c r="C179" s="16"/>
      <c r="E179" s="5"/>
    </row>
    <row r="180" spans="1:5" ht="12.5">
      <c r="A180" s="76"/>
      <c r="B180" s="5"/>
      <c r="C180" s="16"/>
      <c r="E180" s="5"/>
    </row>
    <row r="181" spans="1:5" ht="12.5">
      <c r="A181" s="76"/>
      <c r="B181" s="5"/>
      <c r="C181" s="16"/>
      <c r="E181" s="5"/>
    </row>
    <row r="182" spans="1:5" ht="12.5">
      <c r="A182" s="76"/>
      <c r="B182" s="5"/>
      <c r="C182" s="16"/>
      <c r="E182" s="5"/>
    </row>
    <row r="183" spans="1:5" ht="12.5">
      <c r="A183" s="76"/>
      <c r="B183" s="5"/>
      <c r="C183" s="16"/>
      <c r="E183" s="5"/>
    </row>
    <row r="184" spans="1:5" ht="12.5">
      <c r="A184" s="76"/>
      <c r="B184" s="5"/>
      <c r="C184" s="16"/>
      <c r="E184" s="5"/>
    </row>
    <row r="185" spans="1:5" ht="12.5">
      <c r="A185" s="76"/>
      <c r="B185" s="5"/>
      <c r="C185" s="16"/>
      <c r="E185" s="5"/>
    </row>
    <row r="186" spans="1:5" ht="12.5">
      <c r="A186" s="76"/>
      <c r="B186" s="5"/>
      <c r="C186" s="16"/>
      <c r="E186" s="5"/>
    </row>
    <row r="187" spans="1:5" ht="12.5">
      <c r="A187" s="76"/>
      <c r="B187" s="5"/>
      <c r="C187" s="16"/>
      <c r="E187" s="5"/>
    </row>
    <row r="188" spans="1:5" ht="12.5">
      <c r="A188" s="76"/>
      <c r="B188" s="5"/>
      <c r="C188" s="16"/>
      <c r="E188" s="5"/>
    </row>
    <row r="189" spans="1:5" ht="12.5">
      <c r="A189" s="76"/>
      <c r="B189" s="5"/>
      <c r="C189" s="16"/>
      <c r="E189" s="5"/>
    </row>
    <row r="190" spans="1:5" ht="12.5">
      <c r="A190" s="76"/>
      <c r="B190" s="5"/>
      <c r="C190" s="16"/>
      <c r="E190" s="5"/>
    </row>
    <row r="191" spans="1:5" ht="12.5">
      <c r="A191" s="76"/>
      <c r="B191" s="5"/>
      <c r="C191" s="16"/>
      <c r="E191" s="5"/>
    </row>
    <row r="192" spans="1:5" ht="12.5">
      <c r="A192" s="76"/>
      <c r="B192" s="5"/>
      <c r="C192" s="16"/>
      <c r="E192" s="5"/>
    </row>
    <row r="193" spans="1:5" ht="12.5">
      <c r="A193" s="76"/>
      <c r="B193" s="5"/>
      <c r="C193" s="16"/>
      <c r="E193" s="5"/>
    </row>
    <row r="194" spans="1:5" ht="12.5">
      <c r="A194" s="76"/>
      <c r="B194" s="5"/>
      <c r="C194" s="16"/>
      <c r="E194" s="5"/>
    </row>
    <row r="195" spans="1:5" ht="12.5">
      <c r="A195" s="76"/>
      <c r="B195" s="5"/>
      <c r="C195" s="16"/>
      <c r="E195" s="5"/>
    </row>
    <row r="196" spans="1:5" ht="12.5">
      <c r="A196" s="76"/>
      <c r="B196" s="5"/>
      <c r="C196" s="16"/>
      <c r="E196" s="5"/>
    </row>
    <row r="197" spans="1:5" ht="12.5">
      <c r="A197" s="76"/>
      <c r="B197" s="5"/>
      <c r="C197" s="16"/>
      <c r="E197" s="5"/>
    </row>
    <row r="198" spans="1:5" ht="12.5">
      <c r="A198" s="76"/>
      <c r="B198" s="5"/>
      <c r="C198" s="16"/>
      <c r="E198" s="5"/>
    </row>
    <row r="199" spans="1:5" ht="12.5">
      <c r="A199" s="76"/>
      <c r="B199" s="5"/>
      <c r="C199" s="16"/>
      <c r="E199" s="5"/>
    </row>
    <row r="200" spans="1:5" ht="12.5">
      <c r="A200" s="76"/>
      <c r="B200" s="5"/>
      <c r="C200" s="16"/>
      <c r="E200" s="5"/>
    </row>
    <row r="201" spans="1:5" ht="12.5">
      <c r="A201" s="76"/>
      <c r="B201" s="5"/>
      <c r="C201" s="16"/>
      <c r="E201" s="5"/>
    </row>
    <row r="202" spans="1:5" ht="12.5">
      <c r="A202" s="76"/>
      <c r="B202" s="5"/>
      <c r="C202" s="16"/>
      <c r="E202" s="5"/>
    </row>
    <row r="203" spans="1:5" ht="12.5">
      <c r="A203" s="76"/>
      <c r="B203" s="5"/>
      <c r="C203" s="16"/>
      <c r="E203" s="5"/>
    </row>
    <row r="204" spans="1:5" ht="12.5">
      <c r="A204" s="76"/>
      <c r="B204" s="5"/>
      <c r="C204" s="16"/>
      <c r="E204" s="5"/>
    </row>
    <row r="205" spans="1:5" ht="12.5">
      <c r="A205" s="76"/>
      <c r="B205" s="5"/>
      <c r="C205" s="16"/>
      <c r="E205" s="5"/>
    </row>
    <row r="206" spans="1:5" ht="12.5">
      <c r="A206" s="76"/>
      <c r="B206" s="5"/>
      <c r="C206" s="16"/>
      <c r="E206" s="5"/>
    </row>
    <row r="207" spans="1:5" ht="12.5">
      <c r="A207" s="76"/>
      <c r="B207" s="5"/>
      <c r="C207" s="16"/>
      <c r="E207" s="5"/>
    </row>
    <row r="208" spans="1:5" ht="12.5">
      <c r="A208" s="76"/>
      <c r="B208" s="5"/>
      <c r="C208" s="16"/>
      <c r="E208" s="5"/>
    </row>
    <row r="209" spans="1:5" ht="12.5">
      <c r="A209" s="76"/>
      <c r="B209" s="5"/>
      <c r="C209" s="16"/>
      <c r="E209" s="5"/>
    </row>
    <row r="210" spans="1:5" ht="12.5">
      <c r="A210" s="76"/>
      <c r="B210" s="5"/>
      <c r="C210" s="16"/>
      <c r="E210" s="5"/>
    </row>
    <row r="211" spans="1:5" ht="12.5">
      <c r="A211" s="76"/>
      <c r="B211" s="5"/>
      <c r="C211" s="16"/>
      <c r="E211" s="5"/>
    </row>
    <row r="212" spans="1:5" ht="12.5">
      <c r="A212" s="76"/>
      <c r="B212" s="5"/>
      <c r="C212" s="16"/>
      <c r="E212" s="5"/>
    </row>
    <row r="213" spans="1:5" ht="12.5">
      <c r="A213" s="76"/>
      <c r="B213" s="5"/>
      <c r="C213" s="16"/>
      <c r="E213" s="5"/>
    </row>
    <row r="214" spans="1:5" ht="12.5">
      <c r="A214" s="76"/>
      <c r="B214" s="5"/>
      <c r="C214" s="16"/>
      <c r="E214" s="5"/>
    </row>
    <row r="215" spans="1:5" ht="12.5">
      <c r="A215" s="76"/>
      <c r="B215" s="5"/>
      <c r="C215" s="16"/>
      <c r="E215" s="5"/>
    </row>
    <row r="216" spans="1:5" ht="12.5">
      <c r="A216" s="76"/>
      <c r="B216" s="5"/>
      <c r="C216" s="16"/>
      <c r="E216" s="5"/>
    </row>
    <row r="217" spans="1:5" ht="12.5">
      <c r="A217" s="76"/>
      <c r="B217" s="5"/>
      <c r="C217" s="16"/>
      <c r="E217" s="5"/>
    </row>
    <row r="218" spans="1:5" ht="12.5">
      <c r="A218" s="76"/>
      <c r="B218" s="5"/>
      <c r="C218" s="16"/>
      <c r="E218" s="5"/>
    </row>
    <row r="219" spans="1:5" ht="12.5">
      <c r="A219" s="76"/>
      <c r="B219" s="5"/>
      <c r="C219" s="16"/>
      <c r="E219" s="5"/>
    </row>
    <row r="220" spans="1:5" ht="12.5">
      <c r="A220" s="76"/>
      <c r="B220" s="5"/>
      <c r="C220" s="16"/>
      <c r="E220" s="5"/>
    </row>
    <row r="221" spans="1:5" ht="12.5">
      <c r="A221" s="76"/>
      <c r="B221" s="5"/>
      <c r="C221" s="16"/>
      <c r="E221" s="5"/>
    </row>
    <row r="222" spans="1:5" ht="12.5">
      <c r="A222" s="76"/>
      <c r="B222" s="5"/>
      <c r="C222" s="16"/>
      <c r="E222" s="5"/>
    </row>
    <row r="223" spans="1:5" ht="12.5">
      <c r="A223" s="76"/>
      <c r="B223" s="5"/>
      <c r="C223" s="16"/>
      <c r="E223" s="5"/>
    </row>
    <row r="224" spans="1:5" ht="12.5">
      <c r="A224" s="76"/>
      <c r="B224" s="5"/>
      <c r="C224" s="16"/>
      <c r="E224" s="5"/>
    </row>
    <row r="225" spans="1:5" ht="12.5">
      <c r="A225" s="76"/>
      <c r="B225" s="5"/>
      <c r="C225" s="16"/>
      <c r="E225" s="5"/>
    </row>
    <row r="226" spans="1:5" ht="12.5">
      <c r="A226" s="76"/>
      <c r="B226" s="5"/>
      <c r="C226" s="16"/>
      <c r="E226" s="5"/>
    </row>
    <row r="227" spans="1:5" ht="12.5">
      <c r="A227" s="76"/>
      <c r="B227" s="5"/>
      <c r="C227" s="16"/>
      <c r="E227" s="5"/>
    </row>
    <row r="228" spans="1:5" ht="12.5">
      <c r="A228" s="76"/>
      <c r="B228" s="5"/>
      <c r="C228" s="16"/>
      <c r="E228" s="5"/>
    </row>
    <row r="229" spans="1:5" ht="12.5">
      <c r="A229" s="76"/>
      <c r="B229" s="5"/>
      <c r="C229" s="16"/>
      <c r="E229" s="5"/>
    </row>
    <row r="230" spans="1:5" ht="12.5">
      <c r="A230" s="76"/>
      <c r="B230" s="5"/>
      <c r="C230" s="16"/>
      <c r="E230" s="5"/>
    </row>
    <row r="231" spans="1:5" ht="12.5">
      <c r="A231" s="76"/>
      <c r="B231" s="5"/>
      <c r="C231" s="16"/>
      <c r="E231" s="5"/>
    </row>
    <row r="232" spans="1:5" ht="12.5">
      <c r="A232" s="76"/>
      <c r="B232" s="5"/>
      <c r="C232" s="16"/>
      <c r="E232" s="5"/>
    </row>
    <row r="233" spans="1:5" ht="12.5">
      <c r="A233" s="76"/>
      <c r="B233" s="5"/>
      <c r="C233" s="16"/>
      <c r="E233" s="5"/>
    </row>
    <row r="234" spans="1:5" ht="12.5">
      <c r="A234" s="76"/>
      <c r="B234" s="5"/>
      <c r="C234" s="16"/>
      <c r="E234" s="5"/>
    </row>
    <row r="235" spans="1:5" ht="12.5">
      <c r="A235" s="76"/>
      <c r="B235" s="5"/>
      <c r="C235" s="16"/>
      <c r="E235" s="5"/>
    </row>
    <row r="236" spans="1:5" ht="12.5">
      <c r="A236" s="76"/>
      <c r="B236" s="5"/>
      <c r="C236" s="16"/>
      <c r="E236" s="5"/>
    </row>
    <row r="237" spans="1:5" ht="12.5">
      <c r="A237" s="76"/>
      <c r="B237" s="5"/>
      <c r="C237" s="16"/>
      <c r="E237" s="5"/>
    </row>
    <row r="238" spans="1:5" ht="12.5">
      <c r="A238" s="76"/>
      <c r="B238" s="5"/>
      <c r="C238" s="16"/>
      <c r="E238" s="5"/>
    </row>
    <row r="239" spans="1:5" ht="12.5">
      <c r="A239" s="76"/>
      <c r="B239" s="5"/>
      <c r="C239" s="16"/>
      <c r="E239" s="5"/>
    </row>
    <row r="240" spans="1:5" ht="12.5">
      <c r="A240" s="76"/>
      <c r="B240" s="5"/>
      <c r="C240" s="16"/>
      <c r="E240" s="5"/>
    </row>
    <row r="241" spans="1:5" ht="12.5">
      <c r="A241" s="76"/>
      <c r="B241" s="5"/>
      <c r="C241" s="16"/>
      <c r="E241" s="5"/>
    </row>
    <row r="242" spans="1:5" ht="12.5">
      <c r="A242" s="76"/>
      <c r="B242" s="5"/>
      <c r="C242" s="16"/>
      <c r="E242" s="5"/>
    </row>
    <row r="243" spans="1:5" ht="12.5">
      <c r="A243" s="76"/>
      <c r="B243" s="5"/>
      <c r="C243" s="16"/>
      <c r="E243" s="5"/>
    </row>
    <row r="244" spans="1:5" ht="12.5">
      <c r="A244" s="76"/>
      <c r="B244" s="5"/>
      <c r="C244" s="16"/>
      <c r="E244" s="5"/>
    </row>
    <row r="245" spans="1:5" ht="12.5">
      <c r="A245" s="76"/>
      <c r="B245" s="5"/>
      <c r="C245" s="16"/>
      <c r="E245" s="5"/>
    </row>
    <row r="246" spans="1:5" ht="12.5">
      <c r="A246" s="76"/>
      <c r="B246" s="5"/>
      <c r="C246" s="16"/>
      <c r="E246" s="5"/>
    </row>
    <row r="247" spans="1:5" ht="12.5">
      <c r="A247" s="76"/>
      <c r="B247" s="5"/>
      <c r="C247" s="16"/>
      <c r="E247" s="5"/>
    </row>
    <row r="248" spans="1:5" ht="12.5">
      <c r="A248" s="76"/>
      <c r="B248" s="5"/>
      <c r="C248" s="16"/>
      <c r="E248" s="5"/>
    </row>
    <row r="249" spans="1:5" ht="12.5">
      <c r="A249" s="76"/>
      <c r="B249" s="5"/>
      <c r="C249" s="16"/>
      <c r="E249" s="5"/>
    </row>
    <row r="250" spans="1:5" ht="12.5">
      <c r="A250" s="76"/>
      <c r="B250" s="5"/>
      <c r="C250" s="16"/>
      <c r="E250" s="5"/>
    </row>
    <row r="251" spans="1:5" ht="12.5">
      <c r="A251" s="76"/>
      <c r="B251" s="5"/>
      <c r="C251" s="16"/>
      <c r="E251" s="5"/>
    </row>
    <row r="252" spans="1:5" ht="12.5">
      <c r="A252" s="76"/>
      <c r="B252" s="5"/>
      <c r="C252" s="16"/>
      <c r="E252" s="5"/>
    </row>
    <row r="253" spans="1:5" ht="12.5">
      <c r="A253" s="76"/>
      <c r="B253" s="5"/>
      <c r="C253" s="16"/>
      <c r="E253" s="5"/>
    </row>
    <row r="254" spans="1:5" ht="12.5">
      <c r="A254" s="76"/>
      <c r="B254" s="5"/>
      <c r="C254" s="16"/>
      <c r="E254" s="5"/>
    </row>
    <row r="255" spans="1:5" ht="12.5">
      <c r="A255" s="76"/>
      <c r="B255" s="5"/>
      <c r="C255" s="16"/>
      <c r="E255" s="5"/>
    </row>
    <row r="256" spans="1:5" ht="12.5">
      <c r="A256" s="76"/>
      <c r="B256" s="5"/>
      <c r="C256" s="16"/>
      <c r="E256" s="5"/>
    </row>
    <row r="257" spans="1:5" ht="12.5">
      <c r="A257" s="76"/>
      <c r="B257" s="5"/>
      <c r="C257" s="16"/>
      <c r="E257" s="5"/>
    </row>
    <row r="258" spans="1:5" ht="12.5">
      <c r="A258" s="76"/>
      <c r="B258" s="5"/>
      <c r="C258" s="16"/>
      <c r="E258" s="5"/>
    </row>
    <row r="259" spans="1:5" ht="12.5">
      <c r="A259" s="76"/>
      <c r="B259" s="5"/>
      <c r="C259" s="16"/>
      <c r="E259" s="5"/>
    </row>
    <row r="260" spans="1:5" ht="12.5">
      <c r="A260" s="76"/>
      <c r="B260" s="5"/>
      <c r="C260" s="16"/>
      <c r="E260" s="5"/>
    </row>
    <row r="261" spans="1:5" ht="12.5">
      <c r="A261" s="76"/>
      <c r="B261" s="5"/>
      <c r="C261" s="16"/>
      <c r="E261" s="5"/>
    </row>
    <row r="262" spans="1:5" ht="12.5">
      <c r="A262" s="76"/>
      <c r="B262" s="5"/>
      <c r="C262" s="16"/>
      <c r="E262" s="5"/>
    </row>
    <row r="263" spans="1:5" ht="12.5">
      <c r="A263" s="76"/>
      <c r="B263" s="5"/>
      <c r="C263" s="16"/>
      <c r="E263" s="5"/>
    </row>
    <row r="264" spans="1:5" ht="12.5">
      <c r="A264" s="76"/>
      <c r="B264" s="5"/>
      <c r="C264" s="16"/>
      <c r="E264" s="5"/>
    </row>
    <row r="265" spans="1:5" ht="12.5">
      <c r="A265" s="76"/>
      <c r="B265" s="5"/>
      <c r="C265" s="16"/>
      <c r="E265" s="5"/>
    </row>
    <row r="266" spans="1:5" ht="12.5">
      <c r="A266" s="76"/>
      <c r="B266" s="5"/>
      <c r="C266" s="16"/>
      <c r="E266" s="5"/>
    </row>
    <row r="267" spans="1:5" ht="12.5">
      <c r="A267" s="76"/>
      <c r="B267" s="5"/>
      <c r="C267" s="16"/>
      <c r="E267" s="5"/>
    </row>
    <row r="268" spans="1:5" ht="12.5">
      <c r="A268" s="76"/>
      <c r="B268" s="5"/>
      <c r="C268" s="16"/>
      <c r="E268" s="5"/>
    </row>
    <row r="269" spans="1:5" ht="12.5">
      <c r="A269" s="76"/>
      <c r="B269" s="5"/>
      <c r="C269" s="16"/>
      <c r="E269" s="5"/>
    </row>
    <row r="270" spans="1:5" ht="12.5">
      <c r="A270" s="76"/>
      <c r="B270" s="5"/>
      <c r="C270" s="16"/>
      <c r="E270" s="5"/>
    </row>
    <row r="271" spans="1:5" ht="12.5">
      <c r="A271" s="76"/>
      <c r="B271" s="5"/>
      <c r="C271" s="16"/>
      <c r="E271" s="5"/>
    </row>
    <row r="272" spans="1:5" ht="12.5">
      <c r="A272" s="76"/>
      <c r="B272" s="5"/>
      <c r="C272" s="16"/>
      <c r="E272" s="5"/>
    </row>
    <row r="273" spans="1:5" ht="12.5">
      <c r="A273" s="76"/>
      <c r="B273" s="5"/>
      <c r="C273" s="16"/>
      <c r="E273" s="5"/>
    </row>
    <row r="274" spans="1:5" ht="12.5">
      <c r="A274" s="76"/>
      <c r="B274" s="5"/>
      <c r="C274" s="16"/>
      <c r="E274" s="5"/>
    </row>
    <row r="275" spans="1:5" ht="12.5">
      <c r="A275" s="76"/>
      <c r="B275" s="5"/>
      <c r="C275" s="16"/>
      <c r="E275" s="5"/>
    </row>
    <row r="276" spans="1:5" ht="12.5">
      <c r="A276" s="76"/>
      <c r="B276" s="5"/>
      <c r="C276" s="16"/>
      <c r="E276" s="5"/>
    </row>
    <row r="277" spans="1:5" ht="12.5">
      <c r="A277" s="76"/>
      <c r="B277" s="5"/>
      <c r="C277" s="16"/>
      <c r="E277" s="5"/>
    </row>
    <row r="278" spans="1:5" ht="12.5">
      <c r="A278" s="76"/>
      <c r="B278" s="5"/>
      <c r="C278" s="16"/>
      <c r="E278" s="5"/>
    </row>
    <row r="279" spans="1:5" ht="12.5">
      <c r="A279" s="76"/>
      <c r="B279" s="5"/>
      <c r="C279" s="16"/>
      <c r="E279" s="5"/>
    </row>
    <row r="280" spans="1:5" ht="12.5">
      <c r="A280" s="76"/>
      <c r="B280" s="5"/>
      <c r="C280" s="16"/>
      <c r="E280" s="5"/>
    </row>
    <row r="281" spans="1:5" ht="12.5">
      <c r="A281" s="76"/>
      <c r="B281" s="5"/>
      <c r="C281" s="16"/>
      <c r="E281" s="5"/>
    </row>
    <row r="282" spans="1:5" ht="12.5">
      <c r="A282" s="76"/>
      <c r="B282" s="5"/>
      <c r="C282" s="16"/>
      <c r="E282" s="5"/>
    </row>
    <row r="283" spans="1:5" ht="12.5">
      <c r="A283" s="76"/>
      <c r="B283" s="5"/>
      <c r="C283" s="16"/>
      <c r="E283" s="5"/>
    </row>
    <row r="284" spans="1:5" ht="12.5">
      <c r="A284" s="76"/>
      <c r="B284" s="5"/>
      <c r="C284" s="16"/>
      <c r="E284" s="5"/>
    </row>
    <row r="285" spans="1:5" ht="12.5">
      <c r="A285" s="76"/>
      <c r="B285" s="5"/>
      <c r="C285" s="16"/>
      <c r="E285" s="5"/>
    </row>
    <row r="286" spans="1:5" ht="12.5">
      <c r="A286" s="76"/>
      <c r="B286" s="5"/>
      <c r="C286" s="16"/>
      <c r="E286" s="5"/>
    </row>
    <row r="287" spans="1:5" ht="12.5">
      <c r="A287" s="76"/>
      <c r="B287" s="5"/>
      <c r="C287" s="16"/>
      <c r="E287" s="5"/>
    </row>
    <row r="288" spans="1:5" ht="12.5">
      <c r="A288" s="76"/>
      <c r="B288" s="5"/>
      <c r="C288" s="16"/>
      <c r="E288" s="5"/>
    </row>
    <row r="289" spans="1:5" ht="12.5">
      <c r="A289" s="76"/>
      <c r="B289" s="5"/>
      <c r="C289" s="16"/>
      <c r="E289" s="5"/>
    </row>
    <row r="290" spans="1:5" ht="12.5">
      <c r="A290" s="76"/>
      <c r="B290" s="5"/>
      <c r="C290" s="16"/>
      <c r="E290" s="5"/>
    </row>
    <row r="291" spans="1:5" ht="12.5">
      <c r="A291" s="76"/>
      <c r="B291" s="5"/>
      <c r="C291" s="16"/>
      <c r="E291" s="5"/>
    </row>
    <row r="292" spans="1:5" ht="12.5">
      <c r="A292" s="76"/>
      <c r="B292" s="5"/>
      <c r="C292" s="16"/>
      <c r="E292" s="5"/>
    </row>
    <row r="293" spans="1:5" ht="12.5">
      <c r="A293" s="76"/>
      <c r="B293" s="5"/>
      <c r="C293" s="16"/>
      <c r="E293" s="5"/>
    </row>
    <row r="294" spans="1:5" ht="12.5">
      <c r="A294" s="76"/>
      <c r="B294" s="5"/>
      <c r="C294" s="16"/>
      <c r="E294" s="5"/>
    </row>
    <row r="295" spans="1:5" ht="12.5">
      <c r="A295" s="76"/>
      <c r="B295" s="5"/>
      <c r="C295" s="16"/>
      <c r="E295" s="5"/>
    </row>
    <row r="296" spans="1:5" ht="12.5">
      <c r="A296" s="76"/>
      <c r="B296" s="5"/>
      <c r="C296" s="16"/>
      <c r="E296" s="5"/>
    </row>
    <row r="297" spans="1:5" ht="12.5">
      <c r="A297" s="76"/>
      <c r="B297" s="5"/>
      <c r="C297" s="16"/>
      <c r="E297" s="5"/>
    </row>
    <row r="298" spans="1:5" ht="12.5">
      <c r="A298" s="76"/>
      <c r="B298" s="5"/>
      <c r="C298" s="16"/>
      <c r="E298" s="5"/>
    </row>
    <row r="299" spans="1:5" ht="12.5">
      <c r="A299" s="76"/>
      <c r="B299" s="5"/>
      <c r="C299" s="16"/>
      <c r="E299" s="5"/>
    </row>
    <row r="300" spans="1:5" ht="12.5">
      <c r="A300" s="76"/>
      <c r="B300" s="5"/>
      <c r="C300" s="16"/>
      <c r="E300" s="5"/>
    </row>
    <row r="301" spans="1:5" ht="12.5">
      <c r="A301" s="76"/>
      <c r="B301" s="5"/>
      <c r="C301" s="16"/>
      <c r="E301" s="5"/>
    </row>
    <row r="302" spans="1:5" ht="12.5">
      <c r="A302" s="76"/>
      <c r="B302" s="5"/>
      <c r="C302" s="16"/>
      <c r="E302" s="5"/>
    </row>
    <row r="303" spans="1:5" ht="12.5">
      <c r="A303" s="76"/>
      <c r="B303" s="5"/>
      <c r="C303" s="16"/>
      <c r="E303" s="5"/>
    </row>
    <row r="304" spans="1:5" ht="12.5">
      <c r="A304" s="76"/>
      <c r="B304" s="5"/>
      <c r="C304" s="16"/>
      <c r="E304" s="5"/>
    </row>
    <row r="305" spans="1:5" ht="12.5">
      <c r="A305" s="76"/>
      <c r="B305" s="5"/>
      <c r="C305" s="16"/>
      <c r="E305" s="5"/>
    </row>
    <row r="306" spans="1:5" ht="12.5">
      <c r="A306" s="76"/>
      <c r="B306" s="5"/>
      <c r="C306" s="16"/>
      <c r="E306" s="5"/>
    </row>
    <row r="307" spans="1:5" ht="12.5">
      <c r="A307" s="76"/>
      <c r="B307" s="5"/>
      <c r="C307" s="16"/>
      <c r="E307" s="5"/>
    </row>
    <row r="308" spans="1:5" ht="12.5">
      <c r="A308" s="76"/>
      <c r="B308" s="5"/>
      <c r="C308" s="16"/>
      <c r="E308" s="5"/>
    </row>
    <row r="309" spans="1:5" ht="12.5">
      <c r="A309" s="76"/>
      <c r="B309" s="5"/>
      <c r="C309" s="16"/>
      <c r="E309" s="5"/>
    </row>
    <row r="310" spans="1:5" ht="12.5">
      <c r="A310" s="76"/>
      <c r="B310" s="5"/>
      <c r="C310" s="16"/>
      <c r="E310" s="5"/>
    </row>
    <row r="311" spans="1:5" ht="12.5">
      <c r="A311" s="76"/>
      <c r="B311" s="5"/>
      <c r="C311" s="16"/>
      <c r="E311" s="5"/>
    </row>
    <row r="312" spans="1:5" ht="12.5">
      <c r="A312" s="76"/>
      <c r="B312" s="5"/>
      <c r="C312" s="16"/>
      <c r="E312" s="5"/>
    </row>
    <row r="313" spans="1:5" ht="12.5">
      <c r="A313" s="76"/>
      <c r="B313" s="5"/>
      <c r="C313" s="16"/>
      <c r="E313" s="5"/>
    </row>
    <row r="314" spans="1:5" ht="12.5">
      <c r="A314" s="76"/>
      <c r="B314" s="5"/>
      <c r="C314" s="16"/>
      <c r="E314" s="5"/>
    </row>
    <row r="315" spans="1:5" ht="12.5">
      <c r="A315" s="76"/>
      <c r="B315" s="5"/>
      <c r="C315" s="16"/>
      <c r="E315" s="5"/>
    </row>
    <row r="316" spans="1:5" ht="12.5">
      <c r="A316" s="76"/>
      <c r="B316" s="5"/>
      <c r="C316" s="16"/>
      <c r="E316" s="5"/>
    </row>
    <row r="317" spans="1:5" ht="12.5">
      <c r="A317" s="76"/>
      <c r="B317" s="5"/>
      <c r="C317" s="16"/>
      <c r="E317" s="5"/>
    </row>
    <row r="318" spans="1:5" ht="12.5">
      <c r="A318" s="76"/>
      <c r="B318" s="5"/>
      <c r="C318" s="16"/>
      <c r="E318" s="5"/>
    </row>
    <row r="319" spans="1:5" ht="12.5">
      <c r="A319" s="76"/>
      <c r="B319" s="5"/>
      <c r="C319" s="16"/>
      <c r="E319" s="5"/>
    </row>
    <row r="320" spans="1:5" ht="12.5">
      <c r="A320" s="76"/>
      <c r="B320" s="5"/>
      <c r="C320" s="16"/>
      <c r="E320" s="5"/>
    </row>
    <row r="321" spans="1:5" ht="12.5">
      <c r="A321" s="76"/>
      <c r="B321" s="5"/>
      <c r="C321" s="16"/>
      <c r="E321" s="5"/>
    </row>
    <row r="322" spans="1:5" ht="12.5">
      <c r="A322" s="76"/>
      <c r="B322" s="5"/>
      <c r="C322" s="16"/>
      <c r="E322" s="5"/>
    </row>
    <row r="323" spans="1:5" ht="12.5">
      <c r="A323" s="76"/>
      <c r="B323" s="5"/>
      <c r="C323" s="16"/>
      <c r="E323" s="5"/>
    </row>
    <row r="324" spans="1:5" ht="12.5">
      <c r="A324" s="76"/>
      <c r="B324" s="5"/>
      <c r="C324" s="16"/>
      <c r="E324" s="5"/>
    </row>
    <row r="325" spans="1:5" ht="12.5">
      <c r="A325" s="76"/>
      <c r="B325" s="5"/>
      <c r="C325" s="16"/>
      <c r="E325" s="5"/>
    </row>
    <row r="326" spans="1:5" ht="12.5">
      <c r="A326" s="76"/>
      <c r="B326" s="5"/>
      <c r="C326" s="16"/>
      <c r="E326" s="5"/>
    </row>
    <row r="327" spans="1:5" ht="12.5">
      <c r="A327" s="76"/>
      <c r="B327" s="5"/>
      <c r="C327" s="16"/>
      <c r="E327" s="5"/>
    </row>
    <row r="328" spans="1:5" ht="12.5">
      <c r="A328" s="76"/>
      <c r="B328" s="5"/>
      <c r="C328" s="16"/>
      <c r="E328" s="5"/>
    </row>
    <row r="329" spans="1:5" ht="12.5">
      <c r="A329" s="76"/>
      <c r="B329" s="5"/>
      <c r="C329" s="16"/>
      <c r="E329" s="5"/>
    </row>
    <row r="330" spans="1:5" ht="12.5">
      <c r="A330" s="76"/>
      <c r="B330" s="5"/>
      <c r="C330" s="16"/>
      <c r="E330" s="5"/>
    </row>
    <row r="331" spans="1:5" ht="12.5">
      <c r="A331" s="76"/>
      <c r="B331" s="5"/>
      <c r="C331" s="16"/>
      <c r="E331" s="5"/>
    </row>
    <row r="332" spans="1:5" ht="12.5">
      <c r="A332" s="76"/>
      <c r="B332" s="5"/>
      <c r="C332" s="16"/>
      <c r="E332" s="5"/>
    </row>
    <row r="333" spans="1:5" ht="12.5">
      <c r="A333" s="76"/>
      <c r="B333" s="5"/>
      <c r="C333" s="16"/>
      <c r="E333" s="5"/>
    </row>
    <row r="334" spans="1:5" ht="12.5">
      <c r="A334" s="76"/>
      <c r="B334" s="5"/>
      <c r="C334" s="16"/>
      <c r="E334" s="5"/>
    </row>
    <row r="335" spans="1:5" ht="12.5">
      <c r="A335" s="76"/>
      <c r="B335" s="5"/>
      <c r="C335" s="16"/>
      <c r="E335" s="5"/>
    </row>
    <row r="336" spans="1:5" ht="12.5">
      <c r="A336" s="76"/>
      <c r="B336" s="5"/>
      <c r="C336" s="16"/>
      <c r="E336" s="5"/>
    </row>
    <row r="337" spans="1:5" ht="12.5">
      <c r="A337" s="76"/>
      <c r="B337" s="5"/>
      <c r="C337" s="16"/>
      <c r="E337" s="5"/>
    </row>
    <row r="338" spans="1:5" ht="12.5">
      <c r="A338" s="76"/>
      <c r="B338" s="5"/>
      <c r="C338" s="16"/>
      <c r="E338" s="5"/>
    </row>
    <row r="339" spans="1:5" ht="12.5">
      <c r="A339" s="76"/>
      <c r="B339" s="5"/>
      <c r="C339" s="16"/>
      <c r="E339" s="5"/>
    </row>
    <row r="340" spans="1:5" ht="12.5">
      <c r="A340" s="76"/>
      <c r="B340" s="5"/>
      <c r="C340" s="16"/>
      <c r="E340" s="5"/>
    </row>
    <row r="341" spans="1:5" ht="12.5">
      <c r="A341" s="76"/>
      <c r="B341" s="5"/>
      <c r="C341" s="16"/>
      <c r="E341" s="5"/>
    </row>
    <row r="342" spans="1:5" ht="12.5">
      <c r="A342" s="76"/>
      <c r="B342" s="5"/>
      <c r="C342" s="16"/>
      <c r="E342" s="5"/>
    </row>
    <row r="343" spans="1:5" ht="12.5">
      <c r="A343" s="76"/>
      <c r="B343" s="5"/>
      <c r="C343" s="16"/>
      <c r="E343" s="5"/>
    </row>
    <row r="344" spans="1:5" ht="12.5">
      <c r="A344" s="76"/>
      <c r="B344" s="5"/>
      <c r="C344" s="16"/>
      <c r="E344" s="5"/>
    </row>
    <row r="345" spans="1:5" ht="12.5">
      <c r="A345" s="76"/>
      <c r="B345" s="5"/>
      <c r="C345" s="16"/>
      <c r="E345" s="5"/>
    </row>
    <row r="346" spans="1:5" ht="12.5">
      <c r="A346" s="76"/>
      <c r="B346" s="5"/>
      <c r="C346" s="16"/>
      <c r="E346" s="5"/>
    </row>
    <row r="347" spans="1:5" ht="12.5">
      <c r="A347" s="76"/>
      <c r="B347" s="5"/>
      <c r="C347" s="16"/>
      <c r="E347" s="5"/>
    </row>
    <row r="348" spans="1:5" ht="12.5">
      <c r="A348" s="76"/>
      <c r="B348" s="5"/>
      <c r="C348" s="16"/>
      <c r="E348" s="5"/>
    </row>
    <row r="349" spans="1:5" ht="12.5">
      <c r="A349" s="76"/>
      <c r="B349" s="5"/>
      <c r="C349" s="16"/>
      <c r="E349" s="5"/>
    </row>
    <row r="350" spans="1:5" ht="12.5">
      <c r="A350" s="76"/>
      <c r="B350" s="5"/>
      <c r="C350" s="16"/>
      <c r="E350" s="5"/>
    </row>
    <row r="351" spans="1:5" ht="12.5">
      <c r="A351" s="76"/>
      <c r="B351" s="5"/>
      <c r="C351" s="16"/>
      <c r="E351" s="5"/>
    </row>
    <row r="352" spans="1:5" ht="12.5">
      <c r="A352" s="76"/>
      <c r="B352" s="5"/>
      <c r="C352" s="16"/>
      <c r="E352" s="5"/>
    </row>
    <row r="353" spans="1:5" ht="12.5">
      <c r="A353" s="76"/>
      <c r="B353" s="5"/>
      <c r="C353" s="16"/>
      <c r="E353" s="5"/>
    </row>
    <row r="354" spans="1:5" ht="12.5">
      <c r="A354" s="76"/>
      <c r="B354" s="5"/>
      <c r="C354" s="16"/>
      <c r="E354" s="5"/>
    </row>
    <row r="355" spans="1:5" ht="12.5">
      <c r="A355" s="76"/>
      <c r="B355" s="5"/>
      <c r="C355" s="16"/>
      <c r="E355" s="5"/>
    </row>
    <row r="356" spans="1:5" ht="12.5">
      <c r="A356" s="76"/>
      <c r="B356" s="5"/>
      <c r="C356" s="16"/>
      <c r="E356" s="5"/>
    </row>
    <row r="357" spans="1:5" ht="12.5">
      <c r="A357" s="76"/>
      <c r="B357" s="5"/>
      <c r="C357" s="16"/>
      <c r="E357" s="5"/>
    </row>
    <row r="358" spans="1:5" ht="12.5">
      <c r="A358" s="76"/>
      <c r="B358" s="5"/>
      <c r="C358" s="16"/>
      <c r="E358" s="5"/>
    </row>
    <row r="359" spans="1:5" ht="12.5">
      <c r="A359" s="76"/>
      <c r="B359" s="5"/>
      <c r="C359" s="16"/>
      <c r="E359" s="5"/>
    </row>
    <row r="360" spans="1:5" ht="12.5">
      <c r="A360" s="76"/>
      <c r="B360" s="5"/>
      <c r="C360" s="16"/>
      <c r="E360" s="5"/>
    </row>
    <row r="361" spans="1:5" ht="12.5">
      <c r="A361" s="76"/>
      <c r="B361" s="5"/>
      <c r="C361" s="16"/>
      <c r="E361" s="5"/>
    </row>
    <row r="362" spans="1:5" ht="12.5">
      <c r="A362" s="76"/>
      <c r="B362" s="5"/>
      <c r="C362" s="16"/>
      <c r="E362" s="5"/>
    </row>
    <row r="363" spans="1:5" ht="12.5">
      <c r="A363" s="76"/>
      <c r="B363" s="5"/>
      <c r="C363" s="16"/>
      <c r="E363" s="5"/>
    </row>
    <row r="364" spans="1:5" ht="12.5">
      <c r="A364" s="76"/>
      <c r="B364" s="5"/>
      <c r="C364" s="16"/>
      <c r="E364" s="5"/>
    </row>
    <row r="365" spans="1:5" ht="12.5">
      <c r="A365" s="76"/>
      <c r="B365" s="5"/>
      <c r="C365" s="16"/>
      <c r="E365" s="5"/>
    </row>
    <row r="366" spans="1:5" ht="12.5">
      <c r="A366" s="76"/>
      <c r="B366" s="5"/>
      <c r="C366" s="16"/>
      <c r="E366" s="5"/>
    </row>
    <row r="367" spans="1:5" ht="12.5">
      <c r="A367" s="76"/>
      <c r="B367" s="5"/>
      <c r="C367" s="16"/>
      <c r="E367" s="5"/>
    </row>
    <row r="368" spans="1:5" ht="12.5">
      <c r="A368" s="76"/>
      <c r="B368" s="5"/>
      <c r="C368" s="16"/>
      <c r="E368" s="5"/>
    </row>
    <row r="369" spans="1:5" ht="12.5">
      <c r="A369" s="76"/>
      <c r="B369" s="5"/>
      <c r="C369" s="16"/>
      <c r="E369" s="5"/>
    </row>
    <row r="370" spans="1:5" ht="12.5">
      <c r="A370" s="76"/>
      <c r="B370" s="5"/>
      <c r="C370" s="16"/>
      <c r="E370" s="5"/>
    </row>
    <row r="371" spans="1:5" ht="12.5">
      <c r="A371" s="76"/>
      <c r="B371" s="5"/>
      <c r="C371" s="16"/>
      <c r="E371" s="5"/>
    </row>
    <row r="372" spans="1:5" ht="12.5">
      <c r="A372" s="76"/>
      <c r="B372" s="5"/>
      <c r="C372" s="16"/>
      <c r="E372" s="5"/>
    </row>
    <row r="373" spans="1:5" ht="12.5">
      <c r="A373" s="76"/>
      <c r="B373" s="5"/>
      <c r="C373" s="16"/>
      <c r="E373" s="5"/>
    </row>
    <row r="374" spans="1:5" ht="12.5">
      <c r="A374" s="76"/>
      <c r="B374" s="5"/>
      <c r="C374" s="16"/>
      <c r="E374" s="5"/>
    </row>
    <row r="375" spans="1:5" ht="12.5">
      <c r="A375" s="76"/>
      <c r="B375" s="5"/>
      <c r="C375" s="16"/>
      <c r="E375" s="5"/>
    </row>
    <row r="376" spans="1:5" ht="12.5">
      <c r="A376" s="76"/>
      <c r="B376" s="5"/>
      <c r="C376" s="16"/>
      <c r="E376" s="5"/>
    </row>
    <row r="377" spans="1:5" ht="12.5">
      <c r="A377" s="76"/>
      <c r="B377" s="5"/>
      <c r="C377" s="16"/>
      <c r="E377" s="5"/>
    </row>
    <row r="378" spans="1:5" ht="12.5">
      <c r="A378" s="76"/>
      <c r="B378" s="5"/>
      <c r="C378" s="16"/>
      <c r="E378" s="5"/>
    </row>
    <row r="379" spans="1:5" ht="12.5">
      <c r="A379" s="76"/>
      <c r="B379" s="5"/>
      <c r="C379" s="16"/>
      <c r="E379" s="5"/>
    </row>
    <row r="380" spans="1:5" ht="12.5">
      <c r="A380" s="76"/>
      <c r="B380" s="5"/>
      <c r="C380" s="16"/>
      <c r="E380" s="5"/>
    </row>
    <row r="381" spans="1:5" ht="12.5">
      <c r="A381" s="76"/>
      <c r="B381" s="5"/>
      <c r="C381" s="16"/>
      <c r="E381" s="5"/>
    </row>
    <row r="382" spans="1:5" ht="12.5">
      <c r="A382" s="76"/>
      <c r="B382" s="5"/>
      <c r="C382" s="16"/>
      <c r="E382" s="5"/>
    </row>
    <row r="383" spans="1:5" ht="12.5">
      <c r="A383" s="76"/>
      <c r="B383" s="5"/>
      <c r="C383" s="16"/>
      <c r="E383" s="5"/>
    </row>
    <row r="384" spans="1:5" ht="12.5">
      <c r="A384" s="76"/>
      <c r="B384" s="5"/>
      <c r="C384" s="16"/>
      <c r="E384" s="5"/>
    </row>
    <row r="385" spans="1:5" ht="12.5">
      <c r="A385" s="76"/>
      <c r="B385" s="5"/>
      <c r="C385" s="16"/>
      <c r="E385" s="5"/>
    </row>
    <row r="386" spans="1:5" ht="12.5">
      <c r="A386" s="76"/>
      <c r="B386" s="5"/>
      <c r="C386" s="16"/>
      <c r="E386" s="5"/>
    </row>
    <row r="387" spans="1:5" ht="12.5">
      <c r="A387" s="76"/>
      <c r="B387" s="5"/>
      <c r="C387" s="16"/>
      <c r="E387" s="5"/>
    </row>
    <row r="388" spans="1:5" ht="12.5">
      <c r="A388" s="76"/>
      <c r="B388" s="5"/>
      <c r="C388" s="16"/>
      <c r="E388" s="5"/>
    </row>
    <row r="389" spans="1:5" ht="12.5">
      <c r="A389" s="76"/>
      <c r="B389" s="5"/>
      <c r="C389" s="16"/>
      <c r="E389" s="5"/>
    </row>
    <row r="390" spans="1:5" ht="12.5">
      <c r="A390" s="76"/>
      <c r="B390" s="5"/>
      <c r="C390" s="16"/>
      <c r="E390" s="5"/>
    </row>
    <row r="391" spans="1:5" ht="12.5">
      <c r="A391" s="76"/>
      <c r="B391" s="5"/>
      <c r="C391" s="16"/>
      <c r="E391" s="5"/>
    </row>
    <row r="392" spans="1:5" ht="12.5">
      <c r="A392" s="76"/>
      <c r="B392" s="5"/>
      <c r="C392" s="16"/>
      <c r="E392" s="5"/>
    </row>
    <row r="393" spans="1:5" ht="12.5">
      <c r="A393" s="76"/>
      <c r="B393" s="5"/>
      <c r="C393" s="16"/>
      <c r="E393" s="5"/>
    </row>
    <row r="394" spans="1:5" ht="12.5">
      <c r="A394" s="76"/>
      <c r="B394" s="5"/>
      <c r="C394" s="16"/>
      <c r="E394" s="5"/>
    </row>
    <row r="395" spans="1:5" ht="12.5">
      <c r="A395" s="76"/>
      <c r="B395" s="5"/>
      <c r="C395" s="16"/>
      <c r="E395" s="5"/>
    </row>
    <row r="396" spans="1:5" ht="12.5">
      <c r="A396" s="76"/>
      <c r="B396" s="5"/>
      <c r="C396" s="16"/>
      <c r="E396" s="5"/>
    </row>
    <row r="397" spans="1:5" ht="12.5">
      <c r="A397" s="76"/>
      <c r="B397" s="5"/>
      <c r="C397" s="16"/>
      <c r="E397" s="5"/>
    </row>
    <row r="398" spans="1:5" ht="12.5">
      <c r="A398" s="76"/>
      <c r="B398" s="5"/>
      <c r="C398" s="16"/>
      <c r="E398" s="5"/>
    </row>
    <row r="399" spans="1:5" ht="12.5">
      <c r="A399" s="76"/>
      <c r="B399" s="5"/>
      <c r="C399" s="16"/>
      <c r="E399" s="5"/>
    </row>
    <row r="400" spans="1:5" ht="12.5">
      <c r="A400" s="76"/>
      <c r="B400" s="5"/>
      <c r="C400" s="16"/>
      <c r="E400" s="5"/>
    </row>
    <row r="401" spans="1:5" ht="12.5">
      <c r="A401" s="76"/>
      <c r="B401" s="5"/>
      <c r="C401" s="16"/>
      <c r="E401" s="5"/>
    </row>
    <row r="402" spans="1:5" ht="12.5">
      <c r="A402" s="76"/>
      <c r="B402" s="5"/>
      <c r="C402" s="16"/>
      <c r="E402" s="5"/>
    </row>
    <row r="403" spans="1:5" ht="12.5">
      <c r="A403" s="76"/>
      <c r="B403" s="5"/>
      <c r="C403" s="16"/>
      <c r="E403" s="5"/>
    </row>
    <row r="404" spans="1:5" ht="12.5">
      <c r="A404" s="76"/>
      <c r="B404" s="5"/>
      <c r="C404" s="16"/>
      <c r="E404" s="5"/>
    </row>
    <row r="405" spans="1:5" ht="12.5">
      <c r="A405" s="76"/>
      <c r="B405" s="5"/>
      <c r="C405" s="16"/>
      <c r="E405" s="5"/>
    </row>
    <row r="406" spans="1:5" ht="12.5">
      <c r="A406" s="76"/>
      <c r="B406" s="5"/>
      <c r="C406" s="16"/>
      <c r="E406" s="5"/>
    </row>
    <row r="407" spans="1:5" ht="12.5">
      <c r="A407" s="76"/>
      <c r="B407" s="5"/>
      <c r="C407" s="16"/>
      <c r="E407" s="5"/>
    </row>
    <row r="408" spans="1:5" ht="12.5">
      <c r="A408" s="76"/>
      <c r="B408" s="5"/>
      <c r="C408" s="16"/>
      <c r="E408" s="5"/>
    </row>
    <row r="409" spans="1:5" ht="12.5">
      <c r="A409" s="76"/>
      <c r="B409" s="5"/>
      <c r="C409" s="16"/>
      <c r="E409" s="5"/>
    </row>
    <row r="410" spans="1:5" ht="12.5">
      <c r="A410" s="76"/>
      <c r="B410" s="5"/>
      <c r="C410" s="16"/>
      <c r="E410" s="5"/>
    </row>
    <row r="411" spans="1:5" ht="12.5">
      <c r="A411" s="76"/>
      <c r="B411" s="5"/>
      <c r="C411" s="16"/>
      <c r="E411" s="5"/>
    </row>
    <row r="412" spans="1:5" ht="12.5">
      <c r="A412" s="76"/>
      <c r="B412" s="5"/>
      <c r="C412" s="16"/>
      <c r="E412" s="5"/>
    </row>
    <row r="413" spans="1:5" ht="12.5">
      <c r="A413" s="76"/>
      <c r="B413" s="5"/>
      <c r="C413" s="16"/>
      <c r="E413" s="5"/>
    </row>
    <row r="414" spans="1:5" ht="12.5">
      <c r="A414" s="76"/>
      <c r="B414" s="5"/>
      <c r="C414" s="16"/>
      <c r="E414" s="5"/>
    </row>
    <row r="415" spans="1:5" ht="12.5">
      <c r="A415" s="76"/>
      <c r="B415" s="5"/>
      <c r="C415" s="16"/>
      <c r="E415" s="5"/>
    </row>
    <row r="416" spans="1:5" ht="12.5">
      <c r="A416" s="76"/>
      <c r="B416" s="5"/>
      <c r="C416" s="16"/>
      <c r="E416" s="5"/>
    </row>
    <row r="417" spans="1:5" ht="12.5">
      <c r="A417" s="76"/>
      <c r="B417" s="5"/>
      <c r="C417" s="16"/>
      <c r="E417" s="5"/>
    </row>
    <row r="418" spans="1:5" ht="12.5">
      <c r="A418" s="76"/>
      <c r="B418" s="5"/>
      <c r="C418" s="16"/>
      <c r="E418" s="5"/>
    </row>
    <row r="419" spans="1:5" ht="12.5">
      <c r="A419" s="76"/>
      <c r="B419" s="5"/>
      <c r="C419" s="16"/>
      <c r="E419" s="5"/>
    </row>
    <row r="420" spans="1:5" ht="12.5">
      <c r="A420" s="76"/>
      <c r="B420" s="5"/>
      <c r="C420" s="16"/>
      <c r="E420" s="5"/>
    </row>
    <row r="421" spans="1:5" ht="12.5">
      <c r="A421" s="76"/>
      <c r="B421" s="5"/>
      <c r="C421" s="16"/>
      <c r="E421" s="5"/>
    </row>
    <row r="422" spans="1:5" ht="12.5">
      <c r="A422" s="76"/>
      <c r="B422" s="5"/>
      <c r="C422" s="16"/>
      <c r="E422" s="5"/>
    </row>
    <row r="423" spans="1:5" ht="12.5">
      <c r="A423" s="76"/>
      <c r="B423" s="5"/>
      <c r="C423" s="16"/>
      <c r="E423" s="5"/>
    </row>
    <row r="424" spans="1:5" ht="12.5">
      <c r="A424" s="76"/>
      <c r="B424" s="5"/>
      <c r="C424" s="16"/>
      <c r="E424" s="5"/>
    </row>
    <row r="425" spans="1:5" ht="12.5">
      <c r="A425" s="76"/>
      <c r="B425" s="5"/>
      <c r="C425" s="16"/>
      <c r="E425" s="5"/>
    </row>
    <row r="426" spans="1:5" ht="12.5">
      <c r="A426" s="76"/>
      <c r="B426" s="5"/>
      <c r="C426" s="16"/>
      <c r="E426" s="5"/>
    </row>
    <row r="427" spans="1:5" ht="12.5">
      <c r="A427" s="76"/>
      <c r="B427" s="5"/>
      <c r="C427" s="16"/>
      <c r="E427" s="5"/>
    </row>
    <row r="428" spans="1:5" ht="12.5">
      <c r="A428" s="76"/>
      <c r="B428" s="5"/>
      <c r="C428" s="16"/>
      <c r="E428" s="5"/>
    </row>
    <row r="429" spans="1:5" ht="12.5">
      <c r="A429" s="76"/>
      <c r="B429" s="5"/>
      <c r="C429" s="16"/>
      <c r="E429" s="5"/>
    </row>
    <row r="430" spans="1:5" ht="12.5">
      <c r="A430" s="76"/>
      <c r="B430" s="5"/>
      <c r="C430" s="16"/>
      <c r="E430" s="5"/>
    </row>
    <row r="431" spans="1:5" ht="12.5">
      <c r="A431" s="76"/>
      <c r="B431" s="5"/>
      <c r="C431" s="16"/>
      <c r="E431" s="5"/>
    </row>
    <row r="432" spans="1:5" ht="12.5">
      <c r="A432" s="76"/>
      <c r="B432" s="5"/>
      <c r="C432" s="16"/>
      <c r="E432" s="5"/>
    </row>
    <row r="433" spans="1:5" ht="12.5">
      <c r="A433" s="76"/>
      <c r="B433" s="5"/>
      <c r="C433" s="16"/>
      <c r="E433" s="5"/>
    </row>
    <row r="434" spans="1:5" ht="12.5">
      <c r="A434" s="76"/>
      <c r="B434" s="5"/>
      <c r="C434" s="16"/>
      <c r="E434" s="5"/>
    </row>
    <row r="435" spans="1:5" ht="12.5">
      <c r="A435" s="76"/>
      <c r="B435" s="5"/>
      <c r="C435" s="16"/>
      <c r="E435" s="5"/>
    </row>
    <row r="436" spans="1:5" ht="12.5">
      <c r="A436" s="76"/>
      <c r="B436" s="5"/>
      <c r="C436" s="16"/>
      <c r="E436" s="5"/>
    </row>
    <row r="437" spans="1:5" ht="12.5">
      <c r="A437" s="76"/>
      <c r="B437" s="5"/>
      <c r="C437" s="16"/>
      <c r="E437" s="5"/>
    </row>
    <row r="438" spans="1:5" ht="12.5">
      <c r="A438" s="76"/>
      <c r="B438" s="5"/>
      <c r="C438" s="16"/>
      <c r="E438" s="5"/>
    </row>
    <row r="439" spans="1:5" ht="12.5">
      <c r="A439" s="76"/>
      <c r="B439" s="5"/>
      <c r="C439" s="16"/>
      <c r="E439" s="5"/>
    </row>
    <row r="440" spans="1:5" ht="12.5">
      <c r="A440" s="76"/>
      <c r="B440" s="5"/>
      <c r="C440" s="16"/>
      <c r="E440" s="5"/>
    </row>
    <row r="441" spans="1:5" ht="12.5">
      <c r="A441" s="76"/>
      <c r="B441" s="5"/>
      <c r="C441" s="16"/>
      <c r="E441" s="5"/>
    </row>
    <row r="442" spans="1:5" ht="12.5">
      <c r="A442" s="76"/>
      <c r="B442" s="5"/>
      <c r="C442" s="16"/>
      <c r="E442" s="5"/>
    </row>
    <row r="443" spans="1:5" ht="12.5">
      <c r="A443" s="76"/>
      <c r="B443" s="5"/>
      <c r="C443" s="16"/>
      <c r="E443" s="5"/>
    </row>
    <row r="444" spans="1:5" ht="12.5">
      <c r="A444" s="76"/>
      <c r="B444" s="5"/>
      <c r="C444" s="16"/>
      <c r="E444" s="5"/>
    </row>
    <row r="445" spans="1:5" ht="12.5">
      <c r="A445" s="76"/>
      <c r="B445" s="5"/>
      <c r="C445" s="16"/>
      <c r="E445" s="5"/>
    </row>
    <row r="446" spans="1:5" ht="12.5">
      <c r="A446" s="76"/>
      <c r="B446" s="5"/>
      <c r="C446" s="16"/>
      <c r="E446" s="5"/>
    </row>
    <row r="447" spans="1:5" ht="12.5">
      <c r="A447" s="76"/>
      <c r="B447" s="5"/>
      <c r="C447" s="16"/>
      <c r="E447" s="5"/>
    </row>
    <row r="448" spans="1:5" ht="12.5">
      <c r="A448" s="76"/>
      <c r="B448" s="5"/>
      <c r="C448" s="16"/>
      <c r="E448" s="5"/>
    </row>
    <row r="449" spans="1:5" ht="12.5">
      <c r="A449" s="76"/>
      <c r="B449" s="5"/>
      <c r="C449" s="16"/>
      <c r="E449" s="5"/>
    </row>
    <row r="450" spans="1:5" ht="12.5">
      <c r="A450" s="76"/>
      <c r="B450" s="5"/>
      <c r="C450" s="16"/>
      <c r="E450" s="5"/>
    </row>
    <row r="451" spans="1:5" ht="12.5">
      <c r="A451" s="76"/>
      <c r="B451" s="5"/>
      <c r="C451" s="16"/>
      <c r="E451" s="5"/>
    </row>
    <row r="452" spans="1:5" ht="12.5">
      <c r="A452" s="76"/>
      <c r="B452" s="5"/>
      <c r="C452" s="16"/>
      <c r="E452" s="5"/>
    </row>
    <row r="453" spans="1:5" ht="12.5">
      <c r="A453" s="76"/>
      <c r="B453" s="5"/>
      <c r="C453" s="16"/>
      <c r="E453" s="5"/>
    </row>
    <row r="454" spans="1:5" ht="12.5">
      <c r="A454" s="76"/>
      <c r="B454" s="5"/>
      <c r="C454" s="16"/>
      <c r="E454" s="5"/>
    </row>
    <row r="455" spans="1:5" ht="12.5">
      <c r="A455" s="76"/>
      <c r="B455" s="5"/>
      <c r="C455" s="16"/>
      <c r="E455" s="5"/>
    </row>
    <row r="456" spans="1:5" ht="12.5">
      <c r="A456" s="76"/>
      <c r="B456" s="5"/>
      <c r="C456" s="16"/>
      <c r="E456" s="5"/>
    </row>
    <row r="457" spans="1:5" ht="12.5">
      <c r="A457" s="76"/>
      <c r="B457" s="5"/>
      <c r="C457" s="16"/>
      <c r="E457" s="5"/>
    </row>
    <row r="458" spans="1:5" ht="12.5">
      <c r="A458" s="76"/>
      <c r="B458" s="5"/>
      <c r="C458" s="16"/>
      <c r="E458" s="5"/>
    </row>
    <row r="459" spans="1:5" ht="12.5">
      <c r="A459" s="76"/>
      <c r="B459" s="5"/>
      <c r="C459" s="16"/>
      <c r="E459" s="5"/>
    </row>
    <row r="460" spans="1:5" ht="12.5">
      <c r="A460" s="76"/>
      <c r="B460" s="5"/>
      <c r="C460" s="16"/>
      <c r="E460" s="5"/>
    </row>
    <row r="461" spans="1:5" ht="12.5">
      <c r="A461" s="76"/>
      <c r="B461" s="5"/>
      <c r="C461" s="16"/>
      <c r="E461" s="5"/>
    </row>
    <row r="462" spans="1:5" ht="12.5">
      <c r="A462" s="76"/>
      <c r="B462" s="5"/>
      <c r="C462" s="16"/>
      <c r="E462" s="5"/>
    </row>
    <row r="463" spans="1:5" ht="12.5">
      <c r="A463" s="76"/>
      <c r="B463" s="5"/>
      <c r="C463" s="16"/>
      <c r="E463" s="5"/>
    </row>
    <row r="464" spans="1:5" ht="12.5">
      <c r="A464" s="76"/>
      <c r="B464" s="5"/>
      <c r="C464" s="16"/>
      <c r="E464" s="5"/>
    </row>
    <row r="465" spans="1:5" ht="12.5">
      <c r="A465" s="76"/>
      <c r="B465" s="5"/>
      <c r="C465" s="16"/>
      <c r="E465" s="5"/>
    </row>
    <row r="466" spans="1:5" ht="12.5">
      <c r="A466" s="76"/>
      <c r="B466" s="5"/>
      <c r="C466" s="16"/>
      <c r="E466" s="5"/>
    </row>
    <row r="467" spans="1:5" ht="12.5">
      <c r="A467" s="76"/>
      <c r="B467" s="5"/>
      <c r="C467" s="16"/>
      <c r="E467" s="5"/>
    </row>
    <row r="468" spans="1:5" ht="12.5">
      <c r="A468" s="76"/>
      <c r="B468" s="5"/>
      <c r="C468" s="16"/>
      <c r="E468" s="5"/>
    </row>
    <row r="469" spans="1:5" ht="12.5">
      <c r="A469" s="76"/>
      <c r="B469" s="5"/>
      <c r="C469" s="16"/>
      <c r="E469" s="5"/>
    </row>
    <row r="470" spans="1:5" ht="12.5">
      <c r="A470" s="76"/>
      <c r="B470" s="5"/>
      <c r="C470" s="16"/>
      <c r="E470" s="5"/>
    </row>
    <row r="471" spans="1:5" ht="12.5">
      <c r="A471" s="76"/>
      <c r="B471" s="5"/>
      <c r="C471" s="16"/>
      <c r="E471" s="5"/>
    </row>
    <row r="472" spans="1:5" ht="12.5">
      <c r="A472" s="76"/>
      <c r="B472" s="5"/>
      <c r="C472" s="16"/>
      <c r="E472" s="5"/>
    </row>
    <row r="473" spans="1:5" ht="12.5">
      <c r="A473" s="76"/>
      <c r="B473" s="5"/>
      <c r="C473" s="16"/>
      <c r="E473" s="5"/>
    </row>
    <row r="474" spans="1:5" ht="12.5">
      <c r="A474" s="76"/>
      <c r="B474" s="5"/>
      <c r="C474" s="16"/>
      <c r="E474" s="5"/>
    </row>
    <row r="475" spans="1:5" ht="12.5">
      <c r="A475" s="76"/>
      <c r="B475" s="5"/>
      <c r="C475" s="16"/>
      <c r="E475" s="5"/>
    </row>
    <row r="476" spans="1:5" ht="12.5">
      <c r="A476" s="76"/>
      <c r="B476" s="5"/>
      <c r="C476" s="16"/>
      <c r="E476" s="5"/>
    </row>
    <row r="477" spans="1:5" ht="12.5">
      <c r="A477" s="76"/>
      <c r="B477" s="5"/>
      <c r="C477" s="16"/>
      <c r="E477" s="5"/>
    </row>
    <row r="478" spans="1:5" ht="12.5">
      <c r="A478" s="76"/>
      <c r="B478" s="5"/>
      <c r="C478" s="16"/>
      <c r="E478" s="5"/>
    </row>
    <row r="479" spans="1:5" ht="12.5">
      <c r="A479" s="76"/>
      <c r="B479" s="5"/>
      <c r="C479" s="16"/>
      <c r="E479" s="5"/>
    </row>
    <row r="480" spans="1:5" ht="12.5">
      <c r="A480" s="76"/>
      <c r="B480" s="5"/>
      <c r="C480" s="16"/>
      <c r="E480" s="5"/>
    </row>
    <row r="481" spans="1:5" ht="12.5">
      <c r="A481" s="76"/>
      <c r="B481" s="5"/>
      <c r="C481" s="16"/>
      <c r="E481" s="5"/>
    </row>
    <row r="482" spans="1:5" ht="12.5">
      <c r="A482" s="76"/>
      <c r="B482" s="5"/>
      <c r="C482" s="16"/>
      <c r="E482" s="5"/>
    </row>
    <row r="483" spans="1:5" ht="12.5">
      <c r="A483" s="76"/>
      <c r="B483" s="5"/>
      <c r="C483" s="16"/>
      <c r="E483" s="5"/>
    </row>
    <row r="484" spans="1:5" ht="12.5">
      <c r="A484" s="76"/>
      <c r="B484" s="5"/>
      <c r="C484" s="16"/>
      <c r="E484" s="5"/>
    </row>
    <row r="485" spans="1:5" ht="12.5">
      <c r="A485" s="76"/>
      <c r="B485" s="5"/>
      <c r="C485" s="16"/>
      <c r="E485" s="5"/>
    </row>
    <row r="486" spans="1:5" ht="12.5">
      <c r="A486" s="76"/>
      <c r="B486" s="5"/>
      <c r="C486" s="16"/>
      <c r="E486" s="5"/>
    </row>
    <row r="487" spans="1:5" ht="12.5">
      <c r="A487" s="76"/>
      <c r="B487" s="5"/>
      <c r="C487" s="16"/>
      <c r="E487" s="5"/>
    </row>
    <row r="488" spans="1:5" ht="12.5">
      <c r="A488" s="76"/>
      <c r="B488" s="5"/>
      <c r="C488" s="16"/>
      <c r="E488" s="5"/>
    </row>
    <row r="489" spans="1:5" ht="12.5">
      <c r="A489" s="76"/>
      <c r="B489" s="5"/>
      <c r="C489" s="16"/>
      <c r="E489" s="5"/>
    </row>
    <row r="490" spans="1:5" ht="12.5">
      <c r="A490" s="76"/>
      <c r="B490" s="5"/>
      <c r="C490" s="16"/>
      <c r="E490" s="5"/>
    </row>
    <row r="491" spans="1:5" ht="12.5">
      <c r="A491" s="76"/>
      <c r="B491" s="5"/>
      <c r="C491" s="16"/>
      <c r="E491" s="5"/>
    </row>
    <row r="492" spans="1:5" ht="12.5">
      <c r="A492" s="76"/>
      <c r="B492" s="5"/>
      <c r="C492" s="16"/>
      <c r="E492" s="5"/>
    </row>
    <row r="493" spans="1:5" ht="12.5">
      <c r="A493" s="76"/>
      <c r="B493" s="5"/>
      <c r="C493" s="16"/>
      <c r="E493" s="5"/>
    </row>
    <row r="494" spans="1:5" ht="12.5">
      <c r="A494" s="76"/>
      <c r="B494" s="5"/>
      <c r="C494" s="16"/>
      <c r="E494" s="5"/>
    </row>
    <row r="495" spans="1:5" ht="12.5">
      <c r="A495" s="76"/>
      <c r="B495" s="5"/>
      <c r="C495" s="16"/>
      <c r="E495" s="5"/>
    </row>
    <row r="496" spans="1:5" ht="12.5">
      <c r="A496" s="76"/>
      <c r="B496" s="5"/>
      <c r="C496" s="16"/>
      <c r="E496" s="5"/>
    </row>
    <row r="497" spans="1:5" ht="12.5">
      <c r="A497" s="76"/>
      <c r="B497" s="5"/>
      <c r="C497" s="16"/>
      <c r="E497" s="5"/>
    </row>
    <row r="498" spans="1:5" ht="12.5">
      <c r="A498" s="76"/>
      <c r="B498" s="5"/>
      <c r="C498" s="16"/>
      <c r="E498" s="5"/>
    </row>
    <row r="499" spans="1:5" ht="12.5">
      <c r="A499" s="76"/>
      <c r="B499" s="5"/>
      <c r="C499" s="16"/>
      <c r="E499" s="5"/>
    </row>
    <row r="500" spans="1:5" ht="12.5">
      <c r="A500" s="76"/>
      <c r="B500" s="5"/>
      <c r="C500" s="16"/>
      <c r="E500" s="5"/>
    </row>
    <row r="501" spans="1:5" ht="12.5">
      <c r="A501" s="76"/>
      <c r="B501" s="5"/>
      <c r="C501" s="16"/>
      <c r="E501" s="5"/>
    </row>
    <row r="502" spans="1:5" ht="12.5">
      <c r="A502" s="76"/>
      <c r="B502" s="5"/>
      <c r="C502" s="16"/>
      <c r="E502" s="5"/>
    </row>
    <row r="503" spans="1:5" ht="12.5">
      <c r="A503" s="76"/>
      <c r="B503" s="5"/>
      <c r="C503" s="16"/>
      <c r="E503" s="5"/>
    </row>
    <row r="504" spans="1:5" ht="12.5">
      <c r="A504" s="76"/>
      <c r="B504" s="5"/>
      <c r="C504" s="16"/>
      <c r="E504" s="5"/>
    </row>
    <row r="505" spans="1:5" ht="12.5">
      <c r="A505" s="76"/>
      <c r="B505" s="5"/>
      <c r="C505" s="16"/>
      <c r="E505" s="5"/>
    </row>
    <row r="506" spans="1:5" ht="12.5">
      <c r="A506" s="76"/>
      <c r="B506" s="5"/>
      <c r="C506" s="16"/>
      <c r="E506" s="5"/>
    </row>
    <row r="507" spans="1:5" ht="12.5">
      <c r="A507" s="76"/>
      <c r="B507" s="5"/>
      <c r="C507" s="16"/>
      <c r="E507" s="5"/>
    </row>
    <row r="508" spans="1:5" ht="12.5">
      <c r="A508" s="76"/>
      <c r="B508" s="5"/>
      <c r="C508" s="16"/>
      <c r="E508" s="5"/>
    </row>
    <row r="509" spans="1:5" ht="12.5">
      <c r="A509" s="76"/>
      <c r="B509" s="5"/>
      <c r="C509" s="16"/>
      <c r="E509" s="5"/>
    </row>
    <row r="510" spans="1:5" ht="12.5">
      <c r="A510" s="76"/>
      <c r="B510" s="5"/>
      <c r="C510" s="16"/>
      <c r="E510" s="5"/>
    </row>
    <row r="511" spans="1:5" ht="12.5">
      <c r="A511" s="76"/>
      <c r="B511" s="5"/>
      <c r="C511" s="16"/>
      <c r="E511" s="5"/>
    </row>
    <row r="512" spans="1:5" ht="12.5">
      <c r="A512" s="76"/>
      <c r="B512" s="5"/>
      <c r="C512" s="16"/>
      <c r="E512" s="5"/>
    </row>
    <row r="513" spans="1:5" ht="12.5">
      <c r="A513" s="76"/>
      <c r="B513" s="5"/>
      <c r="C513" s="16"/>
      <c r="E513" s="5"/>
    </row>
    <row r="514" spans="1:5" ht="12.5">
      <c r="A514" s="76"/>
      <c r="B514" s="5"/>
      <c r="C514" s="16"/>
      <c r="E514" s="5"/>
    </row>
    <row r="515" spans="1:5" ht="12.5">
      <c r="A515" s="76"/>
      <c r="B515" s="5"/>
      <c r="C515" s="16"/>
      <c r="E515" s="5"/>
    </row>
    <row r="516" spans="1:5" ht="12.5">
      <c r="A516" s="76"/>
      <c r="B516" s="5"/>
      <c r="C516" s="16"/>
      <c r="E516" s="5"/>
    </row>
    <row r="517" spans="1:5" ht="12.5">
      <c r="A517" s="76"/>
      <c r="B517" s="5"/>
      <c r="C517" s="16"/>
      <c r="E517" s="5"/>
    </row>
    <row r="518" spans="1:5" ht="12.5">
      <c r="A518" s="76"/>
      <c r="B518" s="5"/>
      <c r="C518" s="16"/>
      <c r="E518" s="5"/>
    </row>
    <row r="519" spans="1:5" ht="12.5">
      <c r="A519" s="76"/>
      <c r="B519" s="5"/>
      <c r="C519" s="16"/>
      <c r="E519" s="5"/>
    </row>
    <row r="520" spans="1:5" ht="12.5">
      <c r="A520" s="76"/>
      <c r="B520" s="5"/>
      <c r="C520" s="16"/>
      <c r="E520" s="5"/>
    </row>
    <row r="521" spans="1:5" ht="12.5">
      <c r="A521" s="76"/>
      <c r="B521" s="5"/>
      <c r="C521" s="16"/>
      <c r="E521" s="5"/>
    </row>
    <row r="522" spans="1:5" ht="12.5">
      <c r="A522" s="76"/>
      <c r="B522" s="5"/>
      <c r="C522" s="16"/>
      <c r="E522" s="5"/>
    </row>
    <row r="523" spans="1:5" ht="12.5">
      <c r="A523" s="76"/>
      <c r="B523" s="5"/>
      <c r="C523" s="16"/>
      <c r="E523" s="5"/>
    </row>
    <row r="524" spans="1:5" ht="12.5">
      <c r="A524" s="76"/>
      <c r="B524" s="5"/>
      <c r="C524" s="16"/>
      <c r="E524" s="5"/>
    </row>
    <row r="525" spans="1:5" ht="12.5">
      <c r="A525" s="76"/>
      <c r="B525" s="5"/>
      <c r="C525" s="16"/>
      <c r="E525" s="5"/>
    </row>
    <row r="526" spans="1:5" ht="12.5">
      <c r="A526" s="76"/>
      <c r="B526" s="5"/>
      <c r="C526" s="16"/>
      <c r="E526" s="5"/>
    </row>
    <row r="527" spans="1:5" ht="12.5">
      <c r="A527" s="76"/>
      <c r="B527" s="5"/>
      <c r="C527" s="16"/>
      <c r="E527" s="5"/>
    </row>
    <row r="528" spans="1:5" ht="12.5">
      <c r="A528" s="76"/>
      <c r="B528" s="5"/>
      <c r="C528" s="16"/>
      <c r="E528" s="5"/>
    </row>
    <row r="529" spans="1:5" ht="12.5">
      <c r="A529" s="76"/>
      <c r="B529" s="5"/>
      <c r="C529" s="16"/>
      <c r="E529" s="5"/>
    </row>
    <row r="530" spans="1:5" ht="12.5">
      <c r="A530" s="76"/>
      <c r="B530" s="5"/>
      <c r="C530" s="16"/>
      <c r="E530" s="5"/>
    </row>
    <row r="531" spans="1:5" ht="12.5">
      <c r="A531" s="76"/>
      <c r="B531" s="5"/>
      <c r="C531" s="16"/>
      <c r="E531" s="5"/>
    </row>
    <row r="532" spans="1:5" ht="12.5">
      <c r="A532" s="76"/>
      <c r="B532" s="5"/>
      <c r="C532" s="16"/>
      <c r="E532" s="5"/>
    </row>
    <row r="533" spans="1:5" ht="12.5">
      <c r="A533" s="76"/>
      <c r="B533" s="5"/>
      <c r="C533" s="16"/>
      <c r="E533" s="5"/>
    </row>
    <row r="534" spans="1:5" ht="12.5">
      <c r="A534" s="76"/>
      <c r="B534" s="5"/>
      <c r="C534" s="16"/>
      <c r="E534" s="5"/>
    </row>
    <row r="535" spans="1:5" ht="12.5">
      <c r="A535" s="76"/>
      <c r="B535" s="5"/>
      <c r="C535" s="16"/>
      <c r="E535" s="5"/>
    </row>
    <row r="536" spans="1:5" ht="12.5">
      <c r="A536" s="76"/>
      <c r="B536" s="5"/>
      <c r="C536" s="16"/>
      <c r="E536" s="5"/>
    </row>
    <row r="537" spans="1:5" ht="12.5">
      <c r="A537" s="76"/>
      <c r="B537" s="5"/>
      <c r="C537" s="16"/>
      <c r="E537" s="5"/>
    </row>
    <row r="538" spans="1:5" ht="12.5">
      <c r="A538" s="76"/>
      <c r="B538" s="5"/>
      <c r="C538" s="16"/>
      <c r="E538" s="5"/>
    </row>
    <row r="539" spans="1:5" ht="12.5">
      <c r="A539" s="76"/>
      <c r="B539" s="5"/>
      <c r="C539" s="16"/>
      <c r="E539" s="5"/>
    </row>
    <row r="540" spans="1:5" ht="12.5">
      <c r="A540" s="76"/>
      <c r="B540" s="5"/>
      <c r="C540" s="16"/>
      <c r="E540" s="5"/>
    </row>
    <row r="541" spans="1:5" ht="12.5">
      <c r="A541" s="76"/>
      <c r="B541" s="5"/>
      <c r="C541" s="16"/>
      <c r="E541" s="5"/>
    </row>
    <row r="542" spans="1:5" ht="12.5">
      <c r="A542" s="76"/>
      <c r="B542" s="5"/>
      <c r="C542" s="16"/>
      <c r="E542" s="5"/>
    </row>
    <row r="543" spans="1:5" ht="12.5">
      <c r="A543" s="76"/>
      <c r="B543" s="5"/>
      <c r="C543" s="16"/>
      <c r="E543" s="5"/>
    </row>
    <row r="544" spans="1:5" ht="12.5">
      <c r="A544" s="76"/>
      <c r="B544" s="5"/>
      <c r="C544" s="16"/>
      <c r="E544" s="5"/>
    </row>
    <row r="545" spans="1:5" ht="12.5">
      <c r="A545" s="76"/>
      <c r="B545" s="5"/>
      <c r="C545" s="16"/>
      <c r="E545" s="5"/>
    </row>
    <row r="546" spans="1:5" ht="12.5">
      <c r="A546" s="76"/>
      <c r="B546" s="5"/>
      <c r="C546" s="16"/>
      <c r="E546" s="5"/>
    </row>
    <row r="547" spans="1:5" ht="12.5">
      <c r="A547" s="76"/>
      <c r="B547" s="5"/>
      <c r="C547" s="16"/>
      <c r="E547" s="5"/>
    </row>
    <row r="548" spans="1:5" ht="12.5">
      <c r="A548" s="76"/>
      <c r="B548" s="5"/>
      <c r="C548" s="16"/>
      <c r="E548" s="5"/>
    </row>
    <row r="549" spans="1:5" ht="12.5">
      <c r="A549" s="76"/>
      <c r="B549" s="5"/>
      <c r="C549" s="16"/>
      <c r="E549" s="5"/>
    </row>
    <row r="550" spans="1:5" ht="12.5">
      <c r="A550" s="76"/>
      <c r="B550" s="5"/>
      <c r="C550" s="16"/>
      <c r="E550" s="5"/>
    </row>
    <row r="551" spans="1:5" ht="12.5">
      <c r="A551" s="76"/>
      <c r="B551" s="5"/>
      <c r="C551" s="16"/>
      <c r="E551" s="5"/>
    </row>
    <row r="552" spans="1:5" ht="12.5">
      <c r="A552" s="76"/>
      <c r="B552" s="5"/>
      <c r="C552" s="16"/>
      <c r="E552" s="5"/>
    </row>
    <row r="553" spans="1:5" ht="12.5">
      <c r="A553" s="76"/>
      <c r="B553" s="5"/>
      <c r="C553" s="16"/>
      <c r="E553" s="5"/>
    </row>
    <row r="554" spans="1:5" ht="12.5">
      <c r="A554" s="76"/>
      <c r="B554" s="5"/>
      <c r="C554" s="16"/>
      <c r="E554" s="5"/>
    </row>
    <row r="555" spans="1:5" ht="12.5">
      <c r="A555" s="76"/>
      <c r="B555" s="5"/>
      <c r="C555" s="16"/>
      <c r="E555" s="5"/>
    </row>
    <row r="556" spans="1:5" ht="12.5">
      <c r="A556" s="76"/>
      <c r="B556" s="5"/>
      <c r="C556" s="16"/>
      <c r="E556" s="5"/>
    </row>
    <row r="557" spans="1:5" ht="12.5">
      <c r="A557" s="76"/>
      <c r="B557" s="5"/>
      <c r="C557" s="16"/>
      <c r="E557" s="5"/>
    </row>
    <row r="558" spans="1:5" ht="12.5">
      <c r="A558" s="76"/>
      <c r="B558" s="5"/>
      <c r="C558" s="16"/>
      <c r="E558" s="5"/>
    </row>
    <row r="559" spans="1:5" ht="12.5">
      <c r="A559" s="76"/>
      <c r="B559" s="5"/>
      <c r="C559" s="16"/>
      <c r="E559" s="5"/>
    </row>
    <row r="560" spans="1:5" ht="12.5">
      <c r="A560" s="76"/>
      <c r="B560" s="5"/>
      <c r="C560" s="16"/>
      <c r="E560" s="5"/>
    </row>
    <row r="561" spans="1:5" ht="12.5">
      <c r="A561" s="76"/>
      <c r="B561" s="5"/>
      <c r="C561" s="16"/>
      <c r="E561" s="5"/>
    </row>
    <row r="562" spans="1:5" ht="12.5">
      <c r="A562" s="76"/>
      <c r="B562" s="5"/>
      <c r="C562" s="16"/>
      <c r="E562" s="5"/>
    </row>
    <row r="563" spans="1:5" ht="12.5">
      <c r="A563" s="76"/>
      <c r="B563" s="5"/>
      <c r="C563" s="16"/>
      <c r="E563" s="5"/>
    </row>
    <row r="564" spans="1:5" ht="12.5">
      <c r="A564" s="76"/>
      <c r="B564" s="5"/>
      <c r="C564" s="16"/>
      <c r="E564" s="5"/>
    </row>
    <row r="565" spans="1:5" ht="12.5">
      <c r="A565" s="76"/>
      <c r="B565" s="5"/>
      <c r="C565" s="16"/>
      <c r="E565" s="5"/>
    </row>
    <row r="566" spans="1:5" ht="12.5">
      <c r="A566" s="76"/>
      <c r="B566" s="5"/>
      <c r="C566" s="16"/>
      <c r="E566" s="5"/>
    </row>
    <row r="567" spans="1:5" ht="12.5">
      <c r="A567" s="76"/>
      <c r="B567" s="5"/>
      <c r="C567" s="16"/>
      <c r="E567" s="5"/>
    </row>
    <row r="568" spans="1:5" ht="12.5">
      <c r="A568" s="76"/>
      <c r="B568" s="5"/>
      <c r="C568" s="16"/>
      <c r="E568" s="5"/>
    </row>
    <row r="569" spans="1:5" ht="12.5">
      <c r="A569" s="76"/>
      <c r="B569" s="5"/>
      <c r="C569" s="16"/>
      <c r="E569" s="5"/>
    </row>
    <row r="570" spans="1:5" ht="12.5">
      <c r="A570" s="76"/>
      <c r="B570" s="5"/>
      <c r="C570" s="16"/>
      <c r="E570" s="5"/>
    </row>
    <row r="571" spans="1:5" ht="12.5">
      <c r="A571" s="76"/>
      <c r="B571" s="5"/>
      <c r="C571" s="16"/>
      <c r="E571" s="5"/>
    </row>
    <row r="572" spans="1:5" ht="12.5">
      <c r="A572" s="76"/>
      <c r="B572" s="5"/>
      <c r="C572" s="16"/>
      <c r="E572" s="5"/>
    </row>
    <row r="573" spans="1:5" ht="12.5">
      <c r="A573" s="76"/>
      <c r="B573" s="5"/>
      <c r="C573" s="16"/>
      <c r="E573" s="5"/>
    </row>
    <row r="574" spans="1:5" ht="12.5">
      <c r="A574" s="76"/>
      <c r="B574" s="5"/>
      <c r="C574" s="16"/>
      <c r="E574" s="5"/>
    </row>
    <row r="575" spans="1:5" ht="12.5">
      <c r="A575" s="76"/>
      <c r="B575" s="5"/>
      <c r="C575" s="16"/>
      <c r="E575" s="5"/>
    </row>
    <row r="576" spans="1:5" ht="12.5">
      <c r="A576" s="76"/>
      <c r="B576" s="5"/>
      <c r="C576" s="16"/>
      <c r="E576" s="5"/>
    </row>
    <row r="577" spans="1:5" ht="12.5">
      <c r="A577" s="76"/>
      <c r="B577" s="5"/>
      <c r="C577" s="16"/>
      <c r="E577" s="5"/>
    </row>
    <row r="578" spans="1:5" ht="12.5">
      <c r="A578" s="76"/>
      <c r="B578" s="5"/>
      <c r="C578" s="16"/>
      <c r="E578" s="5"/>
    </row>
    <row r="579" spans="1:5" ht="12.5">
      <c r="A579" s="76"/>
      <c r="B579" s="5"/>
      <c r="C579" s="16"/>
      <c r="E579" s="5"/>
    </row>
    <row r="580" spans="1:5" ht="12.5">
      <c r="A580" s="76"/>
      <c r="B580" s="5"/>
      <c r="C580" s="16"/>
      <c r="E580" s="5"/>
    </row>
    <row r="581" spans="1:5" ht="12.5">
      <c r="A581" s="76"/>
      <c r="B581" s="5"/>
      <c r="C581" s="16"/>
      <c r="E581" s="5"/>
    </row>
    <row r="582" spans="1:5" ht="12.5">
      <c r="A582" s="76"/>
      <c r="B582" s="5"/>
      <c r="C582" s="16"/>
      <c r="E582" s="5"/>
    </row>
    <row r="583" spans="1:5" ht="12.5">
      <c r="A583" s="76"/>
      <c r="B583" s="5"/>
      <c r="C583" s="16"/>
      <c r="E583" s="5"/>
    </row>
    <row r="584" spans="1:5" ht="12.5">
      <c r="A584" s="76"/>
      <c r="B584" s="5"/>
      <c r="C584" s="16"/>
      <c r="E584" s="5"/>
    </row>
    <row r="585" spans="1:5" ht="12.5">
      <c r="A585" s="76"/>
      <c r="B585" s="5"/>
      <c r="C585" s="16"/>
      <c r="E585" s="5"/>
    </row>
    <row r="586" spans="1:5" ht="12.5">
      <c r="A586" s="76"/>
      <c r="B586" s="5"/>
      <c r="C586" s="16"/>
      <c r="E586" s="5"/>
    </row>
    <row r="587" spans="1:5" ht="12.5">
      <c r="A587" s="76"/>
      <c r="B587" s="5"/>
      <c r="C587" s="16"/>
      <c r="E587" s="5"/>
    </row>
    <row r="588" spans="1:5" ht="12.5">
      <c r="A588" s="76"/>
      <c r="B588" s="5"/>
      <c r="C588" s="16"/>
      <c r="E588" s="5"/>
    </row>
    <row r="589" spans="1:5" ht="12.5">
      <c r="A589" s="76"/>
      <c r="B589" s="5"/>
      <c r="C589" s="16"/>
      <c r="E589" s="5"/>
    </row>
    <row r="590" spans="1:5" ht="12.5">
      <c r="A590" s="76"/>
      <c r="B590" s="5"/>
      <c r="C590" s="16"/>
      <c r="E590" s="5"/>
    </row>
    <row r="591" spans="1:5" ht="12.5">
      <c r="A591" s="76"/>
      <c r="B591" s="5"/>
      <c r="C591" s="16"/>
      <c r="E591" s="5"/>
    </row>
    <row r="592" spans="1:5" ht="12.5">
      <c r="A592" s="76"/>
      <c r="B592" s="5"/>
      <c r="C592" s="16"/>
      <c r="E592" s="5"/>
    </row>
    <row r="593" spans="1:5" ht="12.5">
      <c r="A593" s="76"/>
      <c r="B593" s="5"/>
      <c r="C593" s="16"/>
      <c r="E593" s="5"/>
    </row>
    <row r="594" spans="1:5" ht="12.5">
      <c r="A594" s="76"/>
      <c r="B594" s="5"/>
      <c r="C594" s="16"/>
      <c r="E594" s="5"/>
    </row>
    <row r="595" spans="1:5" ht="12.5">
      <c r="A595" s="76"/>
      <c r="B595" s="5"/>
      <c r="C595" s="16"/>
      <c r="E595" s="5"/>
    </row>
    <row r="596" spans="1:5" ht="12.5">
      <c r="A596" s="76"/>
      <c r="B596" s="5"/>
      <c r="C596" s="16"/>
      <c r="E596" s="5"/>
    </row>
    <row r="597" spans="1:5" ht="12.5">
      <c r="A597" s="76"/>
      <c r="B597" s="5"/>
      <c r="C597" s="16"/>
      <c r="E597" s="5"/>
    </row>
    <row r="598" spans="1:5" ht="12.5">
      <c r="A598" s="76"/>
      <c r="B598" s="5"/>
      <c r="C598" s="16"/>
      <c r="E598" s="5"/>
    </row>
    <row r="599" spans="1:5" ht="12.5">
      <c r="A599" s="76"/>
      <c r="B599" s="5"/>
      <c r="C599" s="16"/>
      <c r="E599" s="5"/>
    </row>
    <row r="600" spans="1:5" ht="12.5">
      <c r="A600" s="76"/>
      <c r="B600" s="5"/>
      <c r="C600" s="16"/>
      <c r="E600" s="5"/>
    </row>
    <row r="601" spans="1:5" ht="12.5">
      <c r="A601" s="76"/>
      <c r="B601" s="5"/>
      <c r="C601" s="16"/>
      <c r="E601" s="5"/>
    </row>
    <row r="602" spans="1:5" ht="12.5">
      <c r="A602" s="76"/>
      <c r="B602" s="5"/>
      <c r="C602" s="16"/>
      <c r="E602" s="5"/>
    </row>
    <row r="603" spans="1:5" ht="12.5">
      <c r="A603" s="76"/>
      <c r="B603" s="5"/>
      <c r="C603" s="16"/>
      <c r="E603" s="5"/>
    </row>
    <row r="604" spans="1:5" ht="12.5">
      <c r="A604" s="76"/>
      <c r="B604" s="5"/>
      <c r="C604" s="16"/>
      <c r="E604" s="5"/>
    </row>
    <row r="605" spans="1:5" ht="12.5">
      <c r="A605" s="76"/>
      <c r="B605" s="5"/>
      <c r="C605" s="16"/>
      <c r="E605" s="5"/>
    </row>
    <row r="606" spans="1:5" ht="12.5">
      <c r="A606" s="76"/>
      <c r="B606" s="5"/>
      <c r="C606" s="16"/>
      <c r="E606" s="5"/>
    </row>
    <row r="607" spans="1:5" ht="12.5">
      <c r="A607" s="76"/>
      <c r="B607" s="5"/>
      <c r="C607" s="16"/>
      <c r="E607" s="5"/>
    </row>
    <row r="608" spans="1:5" ht="12.5">
      <c r="A608" s="76"/>
      <c r="B608" s="5"/>
      <c r="C608" s="16"/>
      <c r="E608" s="5"/>
    </row>
    <row r="609" spans="1:5" ht="12.5">
      <c r="A609" s="76"/>
      <c r="B609" s="5"/>
      <c r="C609" s="16"/>
      <c r="E609" s="5"/>
    </row>
    <row r="610" spans="1:5" ht="12.5">
      <c r="A610" s="76"/>
      <c r="B610" s="5"/>
      <c r="C610" s="16"/>
      <c r="E610" s="5"/>
    </row>
    <row r="611" spans="1:5" ht="12.5">
      <c r="A611" s="76"/>
      <c r="B611" s="5"/>
      <c r="C611" s="16"/>
      <c r="E611" s="5"/>
    </row>
    <row r="612" spans="1:5" ht="12.5">
      <c r="A612" s="76"/>
      <c r="B612" s="5"/>
      <c r="C612" s="16"/>
      <c r="E612" s="5"/>
    </row>
    <row r="613" spans="1:5" ht="12.5">
      <c r="A613" s="76"/>
      <c r="B613" s="5"/>
      <c r="C613" s="16"/>
      <c r="E613" s="5"/>
    </row>
    <row r="614" spans="1:5" ht="12.5">
      <c r="A614" s="76"/>
      <c r="B614" s="5"/>
      <c r="C614" s="16"/>
      <c r="E614" s="5"/>
    </row>
    <row r="615" spans="1:5" ht="12.5">
      <c r="A615" s="76"/>
      <c r="B615" s="5"/>
      <c r="C615" s="16"/>
      <c r="E615" s="5"/>
    </row>
    <row r="616" spans="1:5" ht="12.5">
      <c r="A616" s="76"/>
      <c r="B616" s="5"/>
      <c r="C616" s="16"/>
      <c r="E616" s="5"/>
    </row>
    <row r="617" spans="1:5" ht="12.5">
      <c r="A617" s="76"/>
      <c r="B617" s="5"/>
      <c r="C617" s="16"/>
      <c r="E617" s="5"/>
    </row>
    <row r="618" spans="1:5" ht="12.5">
      <c r="A618" s="76"/>
      <c r="B618" s="5"/>
      <c r="C618" s="16"/>
      <c r="E618" s="5"/>
    </row>
    <row r="619" spans="1:5" ht="12.5">
      <c r="A619" s="76"/>
      <c r="B619" s="5"/>
      <c r="C619" s="16"/>
      <c r="E619" s="5"/>
    </row>
    <row r="620" spans="1:5" ht="12.5">
      <c r="A620" s="76"/>
      <c r="B620" s="5"/>
      <c r="C620" s="16"/>
      <c r="E620" s="5"/>
    </row>
    <row r="621" spans="1:5" ht="12.5">
      <c r="A621" s="76"/>
      <c r="B621" s="5"/>
      <c r="C621" s="16"/>
      <c r="E621" s="5"/>
    </row>
    <row r="622" spans="1:5" ht="12.5">
      <c r="A622" s="76"/>
      <c r="B622" s="5"/>
      <c r="C622" s="16"/>
      <c r="E622" s="5"/>
    </row>
    <row r="623" spans="1:5" ht="12.5">
      <c r="A623" s="76"/>
      <c r="B623" s="5"/>
      <c r="C623" s="16"/>
      <c r="E623" s="5"/>
    </row>
    <row r="624" spans="1:5" ht="12.5">
      <c r="A624" s="76"/>
      <c r="B624" s="5"/>
      <c r="C624" s="16"/>
      <c r="E624" s="5"/>
    </row>
    <row r="625" spans="1:5" ht="12.5">
      <c r="A625" s="76"/>
      <c r="B625" s="5"/>
      <c r="C625" s="16"/>
      <c r="E625" s="5"/>
    </row>
    <row r="626" spans="1:5" ht="12.5">
      <c r="A626" s="76"/>
      <c r="B626" s="5"/>
      <c r="C626" s="16"/>
      <c r="E626" s="5"/>
    </row>
    <row r="627" spans="1:5" ht="12.5">
      <c r="A627" s="76"/>
      <c r="B627" s="5"/>
      <c r="C627" s="16"/>
      <c r="E627" s="5"/>
    </row>
    <row r="628" spans="1:5" ht="12.5">
      <c r="A628" s="76"/>
      <c r="B628" s="5"/>
      <c r="C628" s="16"/>
      <c r="E628" s="5"/>
    </row>
    <row r="629" spans="1:5" ht="12.5">
      <c r="A629" s="76"/>
      <c r="B629" s="5"/>
      <c r="C629" s="16"/>
      <c r="E629" s="5"/>
    </row>
    <row r="630" spans="1:5" ht="12.5">
      <c r="A630" s="76"/>
      <c r="B630" s="5"/>
      <c r="C630" s="16"/>
      <c r="E630" s="5"/>
    </row>
    <row r="631" spans="1:5" ht="12.5">
      <c r="A631" s="76"/>
      <c r="B631" s="5"/>
      <c r="C631" s="16"/>
      <c r="E631" s="5"/>
    </row>
    <row r="632" spans="1:5" ht="12.5">
      <c r="A632" s="76"/>
      <c r="B632" s="5"/>
      <c r="C632" s="16"/>
      <c r="E632" s="5"/>
    </row>
    <row r="633" spans="1:5" ht="12.5">
      <c r="A633" s="76"/>
      <c r="B633" s="5"/>
      <c r="C633" s="16"/>
      <c r="E633" s="5"/>
    </row>
    <row r="634" spans="1:5" ht="12.5">
      <c r="A634" s="76"/>
      <c r="B634" s="5"/>
      <c r="C634" s="16"/>
      <c r="E634" s="5"/>
    </row>
    <row r="635" spans="1:5" ht="12.5">
      <c r="A635" s="76"/>
      <c r="B635" s="5"/>
      <c r="C635" s="16"/>
      <c r="E635" s="5"/>
    </row>
    <row r="636" spans="1:5" ht="12.5">
      <c r="A636" s="76"/>
      <c r="B636" s="5"/>
      <c r="C636" s="16"/>
      <c r="E636" s="5"/>
    </row>
    <row r="637" spans="1:5" ht="12.5">
      <c r="A637" s="76"/>
      <c r="B637" s="5"/>
      <c r="C637" s="16"/>
      <c r="E637" s="5"/>
    </row>
    <row r="638" spans="1:5" ht="12.5">
      <c r="A638" s="76"/>
      <c r="B638" s="5"/>
      <c r="C638" s="16"/>
      <c r="E638" s="5"/>
    </row>
    <row r="639" spans="1:5" ht="12.5">
      <c r="A639" s="76"/>
      <c r="B639" s="5"/>
      <c r="C639" s="16"/>
      <c r="E639" s="5"/>
    </row>
    <row r="640" spans="1:5" ht="12.5">
      <c r="A640" s="76"/>
      <c r="B640" s="5"/>
      <c r="C640" s="16"/>
      <c r="E640" s="5"/>
    </row>
    <row r="641" spans="1:5" ht="12.5">
      <c r="A641" s="76"/>
      <c r="B641" s="5"/>
      <c r="C641" s="16"/>
      <c r="E641" s="5"/>
    </row>
    <row r="642" spans="1:5" ht="12.5">
      <c r="A642" s="76"/>
      <c r="B642" s="5"/>
      <c r="C642" s="16"/>
      <c r="E642" s="5"/>
    </row>
    <row r="643" spans="1:5" ht="12.5">
      <c r="A643" s="76"/>
      <c r="B643" s="5"/>
      <c r="C643" s="16"/>
      <c r="E643" s="5"/>
    </row>
    <row r="644" spans="1:5" ht="12.5">
      <c r="A644" s="76"/>
      <c r="B644" s="5"/>
      <c r="C644" s="16"/>
      <c r="E644" s="5"/>
    </row>
    <row r="645" spans="1:5" ht="12.5">
      <c r="A645" s="76"/>
      <c r="B645" s="5"/>
      <c r="C645" s="16"/>
      <c r="E645" s="5"/>
    </row>
    <row r="646" spans="1:5" ht="12.5">
      <c r="A646" s="76"/>
      <c r="B646" s="5"/>
      <c r="C646" s="16"/>
      <c r="E646" s="5"/>
    </row>
    <row r="647" spans="1:5" ht="12.5">
      <c r="A647" s="76"/>
      <c r="B647" s="5"/>
      <c r="C647" s="16"/>
      <c r="E647" s="5"/>
    </row>
    <row r="648" spans="1:5" ht="12.5">
      <c r="A648" s="76"/>
      <c r="B648" s="5"/>
      <c r="C648" s="16"/>
      <c r="E648" s="5"/>
    </row>
    <row r="649" spans="1:5" ht="12.5">
      <c r="A649" s="76"/>
      <c r="B649" s="5"/>
      <c r="C649" s="16"/>
      <c r="E649" s="5"/>
    </row>
    <row r="650" spans="1:5" ht="12.5">
      <c r="A650" s="76"/>
      <c r="B650" s="5"/>
      <c r="C650" s="16"/>
      <c r="E650" s="5"/>
    </row>
    <row r="651" spans="1:5" ht="12.5">
      <c r="A651" s="76"/>
      <c r="B651" s="5"/>
      <c r="C651" s="16"/>
      <c r="E651" s="5"/>
    </row>
    <row r="652" spans="1:5" ht="12.5">
      <c r="A652" s="76"/>
      <c r="B652" s="5"/>
      <c r="C652" s="16"/>
      <c r="E652" s="5"/>
    </row>
    <row r="653" spans="1:5" ht="12.5">
      <c r="A653" s="76"/>
      <c r="B653" s="5"/>
      <c r="C653" s="16"/>
      <c r="E653" s="5"/>
    </row>
    <row r="654" spans="1:5" ht="12.5">
      <c r="A654" s="76"/>
      <c r="B654" s="5"/>
      <c r="C654" s="16"/>
      <c r="E654" s="5"/>
    </row>
    <row r="655" spans="1:5" ht="12.5">
      <c r="A655" s="76"/>
      <c r="B655" s="5"/>
      <c r="C655" s="16"/>
      <c r="E655" s="5"/>
    </row>
    <row r="656" spans="1:5" ht="12.5">
      <c r="A656" s="76"/>
      <c r="B656" s="5"/>
      <c r="C656" s="16"/>
      <c r="E656" s="5"/>
    </row>
    <row r="657" spans="1:5" ht="12.5">
      <c r="A657" s="76"/>
      <c r="B657" s="5"/>
      <c r="C657" s="16"/>
      <c r="E657" s="5"/>
    </row>
    <row r="658" spans="1:5" ht="12.5">
      <c r="A658" s="76"/>
      <c r="B658" s="5"/>
      <c r="C658" s="16"/>
      <c r="E658" s="5"/>
    </row>
    <row r="659" spans="1:5" ht="12.5">
      <c r="A659" s="76"/>
      <c r="B659" s="5"/>
      <c r="C659" s="16"/>
      <c r="E659" s="5"/>
    </row>
    <row r="660" spans="1:5" ht="12.5">
      <c r="A660" s="76"/>
      <c r="B660" s="5"/>
      <c r="C660" s="16"/>
      <c r="E660" s="5"/>
    </row>
    <row r="661" spans="1:5" ht="12.5">
      <c r="A661" s="76"/>
      <c r="B661" s="5"/>
      <c r="C661" s="16"/>
      <c r="E661" s="5"/>
    </row>
    <row r="662" spans="1:5" ht="12.5">
      <c r="A662" s="76"/>
      <c r="B662" s="5"/>
      <c r="C662" s="16"/>
      <c r="E662" s="5"/>
    </row>
    <row r="663" spans="1:5" ht="12.5">
      <c r="A663" s="76"/>
      <c r="B663" s="5"/>
      <c r="C663" s="16"/>
      <c r="E663" s="5"/>
    </row>
    <row r="664" spans="1:5" ht="12.5">
      <c r="A664" s="76"/>
      <c r="B664" s="5"/>
      <c r="C664" s="16"/>
      <c r="E664" s="5"/>
    </row>
    <row r="665" spans="1:5" ht="12.5">
      <c r="A665" s="76"/>
      <c r="B665" s="5"/>
      <c r="C665" s="16"/>
      <c r="E665" s="5"/>
    </row>
    <row r="666" spans="1:5" ht="12.5">
      <c r="A666" s="76"/>
      <c r="B666" s="5"/>
      <c r="C666" s="16"/>
      <c r="E666" s="5"/>
    </row>
    <row r="667" spans="1:5" ht="12.5">
      <c r="A667" s="76"/>
      <c r="B667" s="5"/>
      <c r="C667" s="16"/>
      <c r="E667" s="5"/>
    </row>
    <row r="668" spans="1:5" ht="12.5">
      <c r="A668" s="76"/>
      <c r="B668" s="5"/>
      <c r="C668" s="16"/>
      <c r="E668" s="5"/>
    </row>
    <row r="669" spans="1:5" ht="12.5">
      <c r="A669" s="76"/>
      <c r="B669" s="5"/>
      <c r="C669" s="16"/>
      <c r="E669" s="5"/>
    </row>
    <row r="670" spans="1:5" ht="12.5">
      <c r="A670" s="76"/>
      <c r="B670" s="5"/>
      <c r="C670" s="16"/>
      <c r="E670" s="5"/>
    </row>
    <row r="671" spans="1:5" ht="12.5">
      <c r="A671" s="76"/>
      <c r="B671" s="5"/>
      <c r="C671" s="16"/>
      <c r="E671" s="5"/>
    </row>
    <row r="672" spans="1:5" ht="12.5">
      <c r="A672" s="76"/>
      <c r="B672" s="5"/>
      <c r="C672" s="16"/>
      <c r="E672" s="5"/>
    </row>
    <row r="673" spans="1:5" ht="12.5">
      <c r="A673" s="76"/>
      <c r="B673" s="5"/>
      <c r="C673" s="16"/>
      <c r="E673" s="5"/>
    </row>
    <row r="674" spans="1:5" ht="12.5">
      <c r="A674" s="76"/>
      <c r="B674" s="5"/>
      <c r="C674" s="16"/>
      <c r="E674" s="5"/>
    </row>
    <row r="675" spans="1:5" ht="12.5">
      <c r="A675" s="76"/>
      <c r="B675" s="5"/>
      <c r="C675" s="16"/>
      <c r="E675" s="5"/>
    </row>
    <row r="676" spans="1:5" ht="12.5">
      <c r="A676" s="76"/>
      <c r="B676" s="5"/>
      <c r="C676" s="16"/>
      <c r="E676" s="5"/>
    </row>
    <row r="677" spans="1:5" ht="12.5">
      <c r="A677" s="76"/>
      <c r="B677" s="5"/>
      <c r="C677" s="16"/>
      <c r="E677" s="5"/>
    </row>
    <row r="678" spans="1:5" ht="12.5">
      <c r="A678" s="76"/>
      <c r="B678" s="5"/>
      <c r="C678" s="16"/>
      <c r="E678" s="5"/>
    </row>
    <row r="679" spans="1:5" ht="12.5">
      <c r="A679" s="76"/>
      <c r="B679" s="5"/>
      <c r="C679" s="16"/>
      <c r="E679" s="5"/>
    </row>
    <row r="680" spans="1:5" ht="12.5">
      <c r="A680" s="76"/>
      <c r="B680" s="5"/>
      <c r="C680" s="16"/>
      <c r="E680" s="5"/>
    </row>
    <row r="681" spans="1:5" ht="12.5">
      <c r="A681" s="76"/>
      <c r="B681" s="5"/>
      <c r="C681" s="16"/>
      <c r="E681" s="5"/>
    </row>
    <row r="682" spans="1:5" ht="12.5">
      <c r="A682" s="76"/>
      <c r="B682" s="5"/>
      <c r="C682" s="16"/>
      <c r="E682" s="5"/>
    </row>
    <row r="683" spans="1:5" ht="12.5">
      <c r="A683" s="76"/>
      <c r="B683" s="5"/>
      <c r="C683" s="16"/>
      <c r="E683" s="5"/>
    </row>
    <row r="684" spans="1:5" ht="12.5">
      <c r="A684" s="76"/>
      <c r="B684" s="5"/>
      <c r="C684" s="16"/>
      <c r="E684" s="5"/>
    </row>
    <row r="685" spans="1:5" ht="12.5">
      <c r="A685" s="76"/>
      <c r="B685" s="5"/>
      <c r="C685" s="16"/>
      <c r="E685" s="5"/>
    </row>
    <row r="686" spans="1:5" ht="12.5">
      <c r="A686" s="76"/>
      <c r="B686" s="5"/>
      <c r="C686" s="16"/>
      <c r="E686" s="5"/>
    </row>
    <row r="687" spans="1:5" ht="12.5">
      <c r="A687" s="76"/>
      <c r="B687" s="5"/>
      <c r="C687" s="16"/>
      <c r="E687" s="5"/>
    </row>
    <row r="688" spans="1:5" ht="12.5">
      <c r="A688" s="76"/>
      <c r="B688" s="5"/>
      <c r="C688" s="16"/>
      <c r="E688" s="5"/>
    </row>
    <row r="689" spans="1:5" ht="12.5">
      <c r="A689" s="76"/>
      <c r="B689" s="5"/>
      <c r="C689" s="16"/>
      <c r="E689" s="5"/>
    </row>
    <row r="690" spans="1:5" ht="12.5">
      <c r="A690" s="76"/>
      <c r="B690" s="5"/>
      <c r="C690" s="16"/>
      <c r="E690" s="5"/>
    </row>
    <row r="691" spans="1:5" ht="12.5">
      <c r="A691" s="76"/>
      <c r="B691" s="5"/>
      <c r="C691" s="16"/>
      <c r="E691" s="5"/>
    </row>
    <row r="692" spans="1:5" ht="12.5">
      <c r="A692" s="76"/>
      <c r="B692" s="5"/>
      <c r="C692" s="16"/>
      <c r="E692" s="5"/>
    </row>
    <row r="693" spans="1:5" ht="12.5">
      <c r="A693" s="76"/>
      <c r="B693" s="5"/>
      <c r="C693" s="16"/>
      <c r="E693" s="5"/>
    </row>
    <row r="694" spans="1:5" ht="12.5">
      <c r="A694" s="76"/>
      <c r="B694" s="5"/>
      <c r="C694" s="16"/>
      <c r="E694" s="5"/>
    </row>
    <row r="695" spans="1:5" ht="12.5">
      <c r="A695" s="76"/>
      <c r="B695" s="5"/>
      <c r="C695" s="16"/>
      <c r="E695" s="5"/>
    </row>
    <row r="696" spans="1:5" ht="12.5">
      <c r="A696" s="76"/>
      <c r="B696" s="5"/>
      <c r="C696" s="16"/>
      <c r="E696" s="5"/>
    </row>
    <row r="697" spans="1:5" ht="12.5">
      <c r="A697" s="76"/>
      <c r="B697" s="5"/>
      <c r="C697" s="16"/>
      <c r="E697" s="5"/>
    </row>
    <row r="698" spans="1:5" ht="12.5">
      <c r="A698" s="76"/>
      <c r="B698" s="5"/>
      <c r="C698" s="16"/>
      <c r="E698" s="5"/>
    </row>
    <row r="699" spans="1:5" ht="12.5">
      <c r="A699" s="76"/>
      <c r="B699" s="5"/>
      <c r="C699" s="16"/>
      <c r="E699" s="5"/>
    </row>
    <row r="700" spans="1:5" ht="12.5">
      <c r="A700" s="76"/>
      <c r="B700" s="5"/>
      <c r="C700" s="16"/>
      <c r="E700" s="5"/>
    </row>
    <row r="701" spans="1:5" ht="12.5">
      <c r="A701" s="76"/>
      <c r="B701" s="5"/>
      <c r="C701" s="16"/>
      <c r="E701" s="5"/>
    </row>
    <row r="702" spans="1:5" ht="12.5">
      <c r="A702" s="76"/>
      <c r="B702" s="5"/>
      <c r="C702" s="16"/>
      <c r="E702" s="5"/>
    </row>
    <row r="703" spans="1:5" ht="12.5">
      <c r="A703" s="76"/>
      <c r="B703" s="5"/>
      <c r="C703" s="16"/>
      <c r="E703" s="5"/>
    </row>
    <row r="704" spans="1:5" ht="12.5">
      <c r="A704" s="76"/>
      <c r="B704" s="5"/>
      <c r="C704" s="16"/>
      <c r="E704" s="5"/>
    </row>
    <row r="705" spans="1:5" ht="12.5">
      <c r="A705" s="76"/>
      <c r="B705" s="5"/>
      <c r="C705" s="16"/>
      <c r="E705" s="5"/>
    </row>
    <row r="706" spans="1:5" ht="12.5">
      <c r="A706" s="76"/>
      <c r="B706" s="5"/>
      <c r="C706" s="16"/>
      <c r="E706" s="5"/>
    </row>
    <row r="707" spans="1:5" ht="12.5">
      <c r="A707" s="76"/>
      <c r="B707" s="5"/>
      <c r="C707" s="16"/>
      <c r="E707" s="5"/>
    </row>
    <row r="708" spans="1:5" ht="12.5">
      <c r="A708" s="76"/>
      <c r="B708" s="5"/>
      <c r="C708" s="16"/>
      <c r="E708" s="5"/>
    </row>
    <row r="709" spans="1:5" ht="12.5">
      <c r="A709" s="76"/>
      <c r="B709" s="5"/>
      <c r="C709" s="16"/>
      <c r="E709" s="5"/>
    </row>
    <row r="710" spans="1:5" ht="12.5">
      <c r="A710" s="76"/>
      <c r="B710" s="5"/>
      <c r="C710" s="16"/>
      <c r="E710" s="5"/>
    </row>
    <row r="711" spans="1:5" ht="12.5">
      <c r="A711" s="76"/>
      <c r="B711" s="5"/>
      <c r="C711" s="16"/>
      <c r="E711" s="5"/>
    </row>
    <row r="712" spans="1:5" ht="12.5">
      <c r="A712" s="76"/>
      <c r="B712" s="5"/>
      <c r="C712" s="16"/>
      <c r="E712" s="5"/>
    </row>
    <row r="713" spans="1:5" ht="12.5">
      <c r="A713" s="76"/>
      <c r="B713" s="5"/>
      <c r="C713" s="16"/>
      <c r="E713" s="5"/>
    </row>
    <row r="714" spans="1:5" ht="12.5">
      <c r="A714" s="76"/>
      <c r="B714" s="5"/>
      <c r="C714" s="16"/>
      <c r="E714" s="5"/>
    </row>
    <row r="715" spans="1:5" ht="12.5">
      <c r="A715" s="76"/>
      <c r="B715" s="5"/>
      <c r="C715" s="16"/>
      <c r="E715" s="5"/>
    </row>
    <row r="716" spans="1:5" ht="12.5">
      <c r="A716" s="76"/>
      <c r="B716" s="5"/>
      <c r="C716" s="16"/>
      <c r="E716" s="5"/>
    </row>
    <row r="717" spans="1:5" ht="12.5">
      <c r="A717" s="76"/>
      <c r="B717" s="5"/>
      <c r="C717" s="16"/>
      <c r="E717" s="5"/>
    </row>
    <row r="718" spans="1:5" ht="12.5">
      <c r="A718" s="76"/>
      <c r="B718" s="5"/>
      <c r="C718" s="16"/>
      <c r="E718" s="5"/>
    </row>
    <row r="719" spans="1:5" ht="12.5">
      <c r="A719" s="76"/>
      <c r="B719" s="5"/>
      <c r="C719" s="16"/>
      <c r="E719" s="5"/>
    </row>
    <row r="720" spans="1:5" ht="12.5">
      <c r="A720" s="76"/>
      <c r="B720" s="5"/>
      <c r="C720" s="16"/>
      <c r="E720" s="5"/>
    </row>
    <row r="721" spans="1:5" ht="12.5">
      <c r="A721" s="76"/>
      <c r="B721" s="5"/>
      <c r="C721" s="16"/>
      <c r="E721" s="5"/>
    </row>
    <row r="722" spans="1:5" ht="12.5">
      <c r="A722" s="76"/>
      <c r="B722" s="5"/>
      <c r="C722" s="16"/>
      <c r="E722" s="5"/>
    </row>
    <row r="723" spans="1:5" ht="12.5">
      <c r="A723" s="76"/>
      <c r="B723" s="5"/>
      <c r="C723" s="16"/>
      <c r="E723" s="5"/>
    </row>
    <row r="724" spans="1:5" ht="12.5">
      <c r="A724" s="76"/>
      <c r="B724" s="5"/>
      <c r="C724" s="16"/>
      <c r="E724" s="5"/>
    </row>
    <row r="725" spans="1:5" ht="12.5">
      <c r="A725" s="76"/>
      <c r="B725" s="5"/>
      <c r="C725" s="16"/>
      <c r="E725" s="5"/>
    </row>
    <row r="726" spans="1:5" ht="12.5">
      <c r="A726" s="76"/>
      <c r="B726" s="5"/>
      <c r="C726" s="16"/>
      <c r="E726" s="5"/>
    </row>
    <row r="727" spans="1:5" ht="12.5">
      <c r="A727" s="76"/>
      <c r="B727" s="5"/>
      <c r="C727" s="16"/>
      <c r="E727" s="5"/>
    </row>
    <row r="728" spans="1:5" ht="12.5">
      <c r="A728" s="76"/>
      <c r="B728" s="5"/>
      <c r="C728" s="16"/>
      <c r="E728" s="5"/>
    </row>
    <row r="729" spans="1:5" ht="12.5">
      <c r="A729" s="76"/>
      <c r="B729" s="5"/>
      <c r="C729" s="16"/>
      <c r="E729" s="5"/>
    </row>
    <row r="730" spans="1:5" ht="12.5">
      <c r="A730" s="76"/>
      <c r="B730" s="5"/>
      <c r="C730" s="16"/>
      <c r="E730" s="5"/>
    </row>
    <row r="731" spans="1:5" ht="12.5">
      <c r="A731" s="76"/>
      <c r="B731" s="5"/>
      <c r="C731" s="16"/>
      <c r="E731" s="5"/>
    </row>
    <row r="732" spans="1:5" ht="12.5">
      <c r="A732" s="76"/>
      <c r="B732" s="5"/>
      <c r="C732" s="16"/>
      <c r="E732" s="5"/>
    </row>
    <row r="733" spans="1:5" ht="12.5">
      <c r="A733" s="76"/>
      <c r="B733" s="5"/>
      <c r="C733" s="16"/>
      <c r="E733" s="5"/>
    </row>
    <row r="734" spans="1:5" ht="12.5">
      <c r="A734" s="76"/>
      <c r="B734" s="5"/>
      <c r="C734" s="16"/>
      <c r="E734" s="5"/>
    </row>
    <row r="735" spans="1:5" ht="12.5">
      <c r="A735" s="76"/>
      <c r="B735" s="5"/>
      <c r="C735" s="16"/>
      <c r="E735" s="5"/>
    </row>
    <row r="736" spans="1:5" ht="12.5">
      <c r="A736" s="76"/>
      <c r="B736" s="5"/>
      <c r="C736" s="16"/>
      <c r="E736" s="5"/>
    </row>
    <row r="737" spans="1:5" ht="12.5">
      <c r="A737" s="76"/>
      <c r="B737" s="5"/>
      <c r="C737" s="16"/>
      <c r="E737" s="5"/>
    </row>
    <row r="738" spans="1:5" ht="12.5">
      <c r="A738" s="76"/>
      <c r="B738" s="5"/>
      <c r="C738" s="16"/>
      <c r="E738" s="5"/>
    </row>
    <row r="739" spans="1:5" ht="12.5">
      <c r="A739" s="76"/>
      <c r="B739" s="5"/>
      <c r="C739" s="16"/>
      <c r="E739" s="5"/>
    </row>
    <row r="740" spans="1:5" ht="12.5">
      <c r="A740" s="76"/>
      <c r="B740" s="5"/>
      <c r="C740" s="16"/>
      <c r="E740" s="5"/>
    </row>
    <row r="741" spans="1:5" ht="12.5">
      <c r="A741" s="76"/>
      <c r="B741" s="5"/>
      <c r="C741" s="16"/>
      <c r="E741" s="5"/>
    </row>
    <row r="742" spans="1:5" ht="12.5">
      <c r="A742" s="76"/>
      <c r="B742" s="5"/>
      <c r="C742" s="16"/>
      <c r="E742" s="5"/>
    </row>
    <row r="743" spans="1:5" ht="12.5">
      <c r="A743" s="76"/>
      <c r="B743" s="5"/>
      <c r="C743" s="16"/>
      <c r="E743" s="5"/>
    </row>
    <row r="744" spans="1:5" ht="12.5">
      <c r="A744" s="76"/>
      <c r="B744" s="5"/>
      <c r="C744" s="16"/>
      <c r="E744" s="5"/>
    </row>
    <row r="745" spans="1:5" ht="12.5">
      <c r="A745" s="76"/>
      <c r="B745" s="5"/>
      <c r="C745" s="16"/>
      <c r="E745" s="5"/>
    </row>
    <row r="746" spans="1:5" ht="12.5">
      <c r="A746" s="76"/>
      <c r="B746" s="5"/>
      <c r="C746" s="16"/>
      <c r="E746" s="5"/>
    </row>
    <row r="747" spans="1:5" ht="12.5">
      <c r="A747" s="76"/>
      <c r="B747" s="5"/>
      <c r="C747" s="16"/>
      <c r="E747" s="5"/>
    </row>
    <row r="748" spans="1:5" ht="12.5">
      <c r="A748" s="76"/>
      <c r="B748" s="5"/>
      <c r="C748" s="16"/>
      <c r="E748" s="5"/>
    </row>
    <row r="749" spans="1:5" ht="12.5">
      <c r="A749" s="76"/>
      <c r="B749" s="5"/>
      <c r="C749" s="16"/>
      <c r="E749" s="5"/>
    </row>
    <row r="750" spans="1:5" ht="12.5">
      <c r="A750" s="76"/>
      <c r="B750" s="5"/>
      <c r="C750" s="16"/>
      <c r="E750" s="5"/>
    </row>
    <row r="751" spans="1:5" ht="12.5">
      <c r="A751" s="76"/>
      <c r="B751" s="5"/>
      <c r="C751" s="16"/>
      <c r="E751" s="5"/>
    </row>
    <row r="752" spans="1:5" ht="12.5">
      <c r="A752" s="76"/>
      <c r="B752" s="5"/>
      <c r="C752" s="16"/>
      <c r="E752" s="5"/>
    </row>
    <row r="753" spans="1:5" ht="12.5">
      <c r="A753" s="76"/>
      <c r="B753" s="5"/>
      <c r="C753" s="16"/>
      <c r="E753" s="5"/>
    </row>
    <row r="754" spans="1:5" ht="12.5">
      <c r="A754" s="76"/>
      <c r="B754" s="5"/>
      <c r="C754" s="16"/>
      <c r="E754" s="5"/>
    </row>
    <row r="755" spans="1:5" ht="12.5">
      <c r="A755" s="76"/>
      <c r="B755" s="5"/>
      <c r="C755" s="16"/>
      <c r="E755" s="5"/>
    </row>
    <row r="756" spans="1:5" ht="12.5">
      <c r="A756" s="76"/>
      <c r="B756" s="5"/>
      <c r="C756" s="16"/>
      <c r="E756" s="5"/>
    </row>
    <row r="757" spans="1:5" ht="12.5">
      <c r="A757" s="76"/>
      <c r="B757" s="5"/>
      <c r="C757" s="16"/>
      <c r="E757" s="5"/>
    </row>
    <row r="758" spans="1:5" ht="12.5">
      <c r="A758" s="76"/>
      <c r="B758" s="5"/>
      <c r="C758" s="16"/>
      <c r="E758" s="5"/>
    </row>
    <row r="759" spans="1:5" ht="12.5">
      <c r="A759" s="76"/>
      <c r="B759" s="5"/>
      <c r="C759" s="16"/>
      <c r="E759" s="5"/>
    </row>
    <row r="760" spans="1:5" ht="12.5">
      <c r="A760" s="76"/>
      <c r="B760" s="5"/>
      <c r="C760" s="16"/>
      <c r="E760" s="5"/>
    </row>
    <row r="761" spans="1:5" ht="12.5">
      <c r="A761" s="76"/>
      <c r="B761" s="5"/>
      <c r="C761" s="16"/>
      <c r="E761" s="5"/>
    </row>
    <row r="762" spans="1:5" ht="12.5">
      <c r="A762" s="76"/>
      <c r="B762" s="5"/>
      <c r="C762" s="16"/>
      <c r="E762" s="5"/>
    </row>
    <row r="763" spans="1:5" ht="12.5">
      <c r="A763" s="76"/>
      <c r="B763" s="5"/>
      <c r="C763" s="16"/>
      <c r="E763" s="5"/>
    </row>
    <row r="764" spans="1:5" ht="12.5">
      <c r="A764" s="76"/>
      <c r="B764" s="5"/>
      <c r="C764" s="16"/>
      <c r="E764" s="5"/>
    </row>
    <row r="765" spans="1:5" ht="12.5">
      <c r="A765" s="76"/>
      <c r="B765" s="5"/>
      <c r="C765" s="16"/>
      <c r="E765" s="5"/>
    </row>
    <row r="766" spans="1:5" ht="12.5">
      <c r="A766" s="76"/>
      <c r="B766" s="5"/>
      <c r="C766" s="16"/>
      <c r="E766" s="5"/>
    </row>
    <row r="767" spans="1:5" ht="12.5">
      <c r="A767" s="76"/>
      <c r="B767" s="5"/>
      <c r="C767" s="16"/>
      <c r="E767" s="5"/>
    </row>
    <row r="768" spans="1:5" ht="12.5">
      <c r="A768" s="76"/>
      <c r="B768" s="5"/>
      <c r="C768" s="16"/>
      <c r="E768" s="5"/>
    </row>
    <row r="769" spans="1:5" ht="12.5">
      <c r="A769" s="76"/>
      <c r="B769" s="5"/>
      <c r="C769" s="16"/>
      <c r="E769" s="5"/>
    </row>
    <row r="770" spans="1:5" ht="12.5">
      <c r="A770" s="76"/>
      <c r="B770" s="5"/>
      <c r="C770" s="16"/>
      <c r="E770" s="5"/>
    </row>
    <row r="771" spans="1:5" ht="12.5">
      <c r="A771" s="76"/>
      <c r="B771" s="5"/>
      <c r="C771" s="16"/>
      <c r="E771" s="5"/>
    </row>
    <row r="772" spans="1:5" ht="12.5">
      <c r="A772" s="76"/>
      <c r="B772" s="5"/>
      <c r="C772" s="16"/>
      <c r="E772" s="5"/>
    </row>
    <row r="773" spans="1:5" ht="12.5">
      <c r="A773" s="76"/>
      <c r="B773" s="5"/>
      <c r="C773" s="16"/>
      <c r="E773" s="5"/>
    </row>
    <row r="774" spans="1:5" ht="12.5">
      <c r="A774" s="76"/>
      <c r="B774" s="5"/>
      <c r="C774" s="16"/>
      <c r="E774" s="5"/>
    </row>
    <row r="775" spans="1:5" ht="12.5">
      <c r="A775" s="76"/>
      <c r="B775" s="5"/>
      <c r="C775" s="16"/>
      <c r="E775" s="5"/>
    </row>
    <row r="776" spans="1:5" ht="12.5">
      <c r="A776" s="76"/>
      <c r="B776" s="5"/>
      <c r="C776" s="16"/>
      <c r="E776" s="5"/>
    </row>
    <row r="777" spans="1:5" ht="12.5">
      <c r="A777" s="76"/>
      <c r="B777" s="5"/>
      <c r="C777" s="16"/>
      <c r="E777" s="5"/>
    </row>
    <row r="778" spans="1:5" ht="12.5">
      <c r="A778" s="76"/>
      <c r="B778" s="5"/>
      <c r="C778" s="16"/>
      <c r="E778" s="5"/>
    </row>
    <row r="779" spans="1:5" ht="12.5">
      <c r="A779" s="76"/>
      <c r="B779" s="5"/>
      <c r="C779" s="16"/>
      <c r="E779" s="5"/>
    </row>
    <row r="780" spans="1:5" ht="12.5">
      <c r="A780" s="76"/>
      <c r="B780" s="5"/>
      <c r="C780" s="16"/>
      <c r="E780" s="5"/>
    </row>
    <row r="781" spans="1:5" ht="12.5">
      <c r="A781" s="76"/>
      <c r="B781" s="5"/>
      <c r="C781" s="16"/>
      <c r="E781" s="5"/>
    </row>
    <row r="782" spans="1:5" ht="12.5">
      <c r="A782" s="76"/>
      <c r="B782" s="5"/>
      <c r="C782" s="16"/>
      <c r="E782" s="5"/>
    </row>
    <row r="783" spans="1:5" ht="12.5">
      <c r="A783" s="76"/>
      <c r="B783" s="5"/>
      <c r="C783" s="16"/>
      <c r="E783" s="5"/>
    </row>
    <row r="784" spans="1:5" ht="12.5">
      <c r="A784" s="76"/>
      <c r="B784" s="5"/>
      <c r="C784" s="16"/>
      <c r="E784" s="5"/>
    </row>
    <row r="785" spans="1:5" ht="12.5">
      <c r="A785" s="76"/>
      <c r="B785" s="5"/>
      <c r="C785" s="16"/>
      <c r="E785" s="5"/>
    </row>
    <row r="786" spans="1:5" ht="12.5">
      <c r="A786" s="76"/>
      <c r="B786" s="5"/>
      <c r="C786" s="16"/>
      <c r="E786" s="5"/>
    </row>
    <row r="787" spans="1:5" ht="12.5">
      <c r="A787" s="76"/>
      <c r="B787" s="5"/>
      <c r="C787" s="16"/>
      <c r="E787" s="5"/>
    </row>
    <row r="788" spans="1:5" ht="12.5">
      <c r="A788" s="76"/>
      <c r="B788" s="5"/>
      <c r="C788" s="16"/>
      <c r="E788" s="5"/>
    </row>
    <row r="789" spans="1:5" ht="12.5">
      <c r="A789" s="76"/>
      <c r="B789" s="5"/>
      <c r="C789" s="16"/>
      <c r="E789" s="5"/>
    </row>
    <row r="790" spans="1:5" ht="12.5">
      <c r="A790" s="76"/>
      <c r="B790" s="5"/>
      <c r="C790" s="16"/>
      <c r="E790" s="5"/>
    </row>
    <row r="791" spans="1:5" ht="12.5">
      <c r="A791" s="76"/>
      <c r="B791" s="5"/>
      <c r="C791" s="16"/>
      <c r="E791" s="5"/>
    </row>
    <row r="792" spans="1:5" ht="12.5">
      <c r="A792" s="76"/>
      <c r="B792" s="5"/>
      <c r="C792" s="16"/>
      <c r="E792" s="5"/>
    </row>
    <row r="793" spans="1:5" ht="12.5">
      <c r="A793" s="76"/>
      <c r="B793" s="5"/>
      <c r="C793" s="16"/>
      <c r="E793" s="5"/>
    </row>
    <row r="794" spans="1:5" ht="12.5">
      <c r="A794" s="76"/>
      <c r="B794" s="5"/>
      <c r="C794" s="16"/>
      <c r="E794" s="5"/>
    </row>
    <row r="795" spans="1:5" ht="12.5">
      <c r="A795" s="76"/>
      <c r="B795" s="5"/>
      <c r="C795" s="16"/>
      <c r="E795" s="5"/>
    </row>
    <row r="796" spans="1:5" ht="12.5">
      <c r="A796" s="76"/>
      <c r="B796" s="5"/>
      <c r="C796" s="16"/>
      <c r="E796" s="5"/>
    </row>
    <row r="797" spans="1:5" ht="12.5">
      <c r="A797" s="76"/>
      <c r="B797" s="5"/>
      <c r="C797" s="16"/>
      <c r="E797" s="5"/>
    </row>
    <row r="798" spans="1:5" ht="12.5">
      <c r="A798" s="76"/>
      <c r="B798" s="5"/>
      <c r="C798" s="16"/>
      <c r="E798" s="5"/>
    </row>
    <row r="799" spans="1:5" ht="12.5">
      <c r="A799" s="76"/>
      <c r="B799" s="5"/>
      <c r="C799" s="16"/>
      <c r="E799" s="5"/>
    </row>
    <row r="800" spans="1:5" ht="12.5">
      <c r="A800" s="76"/>
      <c r="B800" s="5"/>
      <c r="C800" s="16"/>
      <c r="E800" s="5"/>
    </row>
    <row r="801" spans="1:5" ht="12.5">
      <c r="A801" s="76"/>
      <c r="B801" s="5"/>
      <c r="C801" s="16"/>
      <c r="E801" s="5"/>
    </row>
    <row r="802" spans="1:5" ht="12.5">
      <c r="A802" s="76"/>
      <c r="B802" s="5"/>
      <c r="C802" s="16"/>
      <c r="E802" s="5"/>
    </row>
    <row r="803" spans="1:5" ht="12.5">
      <c r="A803" s="76"/>
      <c r="B803" s="5"/>
      <c r="C803" s="16"/>
      <c r="E803" s="5"/>
    </row>
    <row r="804" spans="1:5" ht="12.5">
      <c r="A804" s="76"/>
      <c r="B804" s="5"/>
      <c r="C804" s="16"/>
      <c r="E804" s="5"/>
    </row>
    <row r="805" spans="1:5" ht="12.5">
      <c r="A805" s="76"/>
      <c r="B805" s="5"/>
      <c r="C805" s="16"/>
      <c r="E805" s="5"/>
    </row>
    <row r="806" spans="1:5" ht="12.5">
      <c r="A806" s="76"/>
      <c r="B806" s="5"/>
      <c r="C806" s="16"/>
      <c r="E806" s="5"/>
    </row>
    <row r="807" spans="1:5" ht="12.5">
      <c r="A807" s="76"/>
      <c r="B807" s="5"/>
      <c r="C807" s="16"/>
      <c r="E807" s="5"/>
    </row>
    <row r="808" spans="1:5" ht="12.5">
      <c r="A808" s="76"/>
      <c r="B808" s="5"/>
      <c r="C808" s="16"/>
      <c r="E808" s="5"/>
    </row>
    <row r="809" spans="1:5" ht="12.5">
      <c r="A809" s="76"/>
      <c r="B809" s="5"/>
      <c r="C809" s="16"/>
      <c r="E809" s="5"/>
    </row>
    <row r="810" spans="1:5" ht="12.5">
      <c r="A810" s="76"/>
      <c r="B810" s="5"/>
      <c r="C810" s="16"/>
      <c r="E810" s="5"/>
    </row>
    <row r="811" spans="1:5" ht="12.5">
      <c r="A811" s="76"/>
      <c r="B811" s="5"/>
      <c r="C811" s="16"/>
      <c r="E811" s="5"/>
    </row>
    <row r="812" spans="1:5" ht="12.5">
      <c r="A812" s="76"/>
      <c r="B812" s="5"/>
      <c r="C812" s="16"/>
      <c r="E812" s="5"/>
    </row>
    <row r="813" spans="1:5" ht="12.5">
      <c r="A813" s="76"/>
      <c r="B813" s="5"/>
      <c r="C813" s="16"/>
      <c r="E813" s="5"/>
    </row>
    <row r="814" spans="1:5" ht="12.5">
      <c r="A814" s="76"/>
      <c r="B814" s="5"/>
      <c r="C814" s="16"/>
      <c r="E814" s="5"/>
    </row>
    <row r="815" spans="1:5" ht="12.5">
      <c r="A815" s="76"/>
      <c r="B815" s="5"/>
      <c r="C815" s="16"/>
      <c r="E815" s="5"/>
    </row>
    <row r="816" spans="1:5" ht="12.5">
      <c r="A816" s="76"/>
      <c r="B816" s="5"/>
      <c r="C816" s="16"/>
      <c r="E816" s="5"/>
    </row>
    <row r="817" spans="1:5" ht="12.5">
      <c r="A817" s="76"/>
      <c r="B817" s="5"/>
      <c r="C817" s="16"/>
      <c r="E817" s="5"/>
    </row>
    <row r="818" spans="1:5" ht="12.5">
      <c r="A818" s="76"/>
      <c r="B818" s="5"/>
      <c r="C818" s="16"/>
      <c r="E818" s="5"/>
    </row>
    <row r="819" spans="1:5" ht="12.5">
      <c r="A819" s="76"/>
      <c r="B819" s="5"/>
      <c r="C819" s="16"/>
      <c r="E819" s="5"/>
    </row>
    <row r="820" spans="1:5" ht="12.5">
      <c r="A820" s="76"/>
      <c r="B820" s="5"/>
      <c r="C820" s="16"/>
      <c r="E820" s="5"/>
    </row>
    <row r="821" spans="1:5" ht="12.5">
      <c r="A821" s="76"/>
      <c r="B821" s="5"/>
      <c r="C821" s="16"/>
      <c r="E821" s="5"/>
    </row>
    <row r="822" spans="1:5" ht="12.5">
      <c r="A822" s="76"/>
      <c r="B822" s="5"/>
      <c r="C822" s="16"/>
      <c r="E822" s="5"/>
    </row>
    <row r="823" spans="1:5" ht="12.5">
      <c r="A823" s="76"/>
      <c r="B823" s="5"/>
      <c r="C823" s="16"/>
      <c r="E823" s="5"/>
    </row>
    <row r="824" spans="1:5" ht="12.5">
      <c r="A824" s="76"/>
      <c r="B824" s="5"/>
      <c r="C824" s="16"/>
      <c r="E824" s="5"/>
    </row>
    <row r="825" spans="1:5" ht="12.5">
      <c r="A825" s="76"/>
      <c r="B825" s="5"/>
      <c r="C825" s="16"/>
      <c r="E825" s="5"/>
    </row>
    <row r="826" spans="1:5" ht="12.5">
      <c r="A826" s="76"/>
      <c r="B826" s="5"/>
      <c r="C826" s="16"/>
      <c r="E826" s="5"/>
    </row>
    <row r="827" spans="1:5" ht="12.5">
      <c r="A827" s="76"/>
      <c r="B827" s="5"/>
      <c r="C827" s="16"/>
      <c r="E827" s="5"/>
    </row>
    <row r="828" spans="1:5" ht="12.5">
      <c r="A828" s="76"/>
      <c r="B828" s="5"/>
      <c r="C828" s="16"/>
      <c r="E828" s="5"/>
    </row>
    <row r="829" spans="1:5" ht="12.5">
      <c r="A829" s="76"/>
      <c r="B829" s="5"/>
      <c r="C829" s="16"/>
      <c r="E829" s="5"/>
    </row>
    <row r="830" spans="1:5" ht="12.5">
      <c r="A830" s="76"/>
      <c r="B830" s="5"/>
      <c r="C830" s="16"/>
      <c r="E830" s="5"/>
    </row>
    <row r="831" spans="1:5" ht="12.5">
      <c r="A831" s="76"/>
      <c r="B831" s="5"/>
      <c r="C831" s="16"/>
      <c r="E831" s="5"/>
    </row>
    <row r="832" spans="1:5" ht="12.5">
      <c r="A832" s="76"/>
      <c r="B832" s="5"/>
      <c r="C832" s="16"/>
      <c r="E832" s="5"/>
    </row>
    <row r="833" spans="1:5" ht="12.5">
      <c r="A833" s="76"/>
      <c r="B833" s="5"/>
      <c r="C833" s="16"/>
      <c r="E833" s="5"/>
    </row>
    <row r="834" spans="1:5" ht="12.5">
      <c r="A834" s="76"/>
      <c r="B834" s="5"/>
      <c r="C834" s="16"/>
      <c r="E834" s="5"/>
    </row>
    <row r="835" spans="1:5" ht="12.5">
      <c r="A835" s="76"/>
      <c r="B835" s="5"/>
      <c r="C835" s="16"/>
      <c r="E835" s="5"/>
    </row>
    <row r="836" spans="1:5" ht="12.5">
      <c r="A836" s="76"/>
      <c r="B836" s="5"/>
      <c r="C836" s="16"/>
      <c r="E836" s="5"/>
    </row>
    <row r="837" spans="1:5" ht="12.5">
      <c r="A837" s="76"/>
      <c r="B837" s="5"/>
      <c r="C837" s="16"/>
      <c r="E837" s="5"/>
    </row>
    <row r="838" spans="1:5" ht="12.5">
      <c r="A838" s="76"/>
      <c r="B838" s="5"/>
      <c r="C838" s="16"/>
      <c r="E838" s="5"/>
    </row>
    <row r="839" spans="1:5" ht="12.5">
      <c r="A839" s="76"/>
      <c r="B839" s="5"/>
      <c r="C839" s="16"/>
      <c r="E839" s="5"/>
    </row>
    <row r="840" spans="1:5" ht="12.5">
      <c r="A840" s="76"/>
      <c r="B840" s="5"/>
      <c r="C840" s="16"/>
      <c r="E840" s="5"/>
    </row>
    <row r="841" spans="1:5" ht="12.5">
      <c r="A841" s="76"/>
      <c r="B841" s="5"/>
      <c r="C841" s="16"/>
      <c r="E841" s="5"/>
    </row>
    <row r="842" spans="1:5" ht="12.5">
      <c r="A842" s="76"/>
      <c r="B842" s="5"/>
      <c r="C842" s="16"/>
      <c r="E842" s="5"/>
    </row>
    <row r="843" spans="1:5" ht="12.5">
      <c r="A843" s="76"/>
      <c r="B843" s="5"/>
      <c r="C843" s="16"/>
      <c r="E843" s="5"/>
    </row>
    <row r="844" spans="1:5" ht="12.5">
      <c r="A844" s="76"/>
      <c r="B844" s="5"/>
      <c r="C844" s="16"/>
      <c r="E844" s="5"/>
    </row>
    <row r="845" spans="1:5" ht="12.5">
      <c r="A845" s="76"/>
      <c r="B845" s="5"/>
      <c r="C845" s="16"/>
      <c r="E845" s="5"/>
    </row>
    <row r="846" spans="1:5" ht="12.5">
      <c r="A846" s="76"/>
      <c r="B846" s="5"/>
      <c r="C846" s="16"/>
      <c r="E846" s="5"/>
    </row>
    <row r="847" spans="1:5" ht="12.5">
      <c r="A847" s="76"/>
      <c r="B847" s="5"/>
      <c r="C847" s="16"/>
      <c r="E847" s="5"/>
    </row>
    <row r="848" spans="1:5" ht="12.5">
      <c r="A848" s="76"/>
      <c r="B848" s="5"/>
      <c r="C848" s="16"/>
      <c r="E848" s="5"/>
    </row>
    <row r="849" spans="1:5" ht="12.5">
      <c r="A849" s="76"/>
      <c r="B849" s="5"/>
      <c r="C849" s="16"/>
      <c r="E849" s="5"/>
    </row>
    <row r="850" spans="1:5" ht="12.5">
      <c r="A850" s="76"/>
      <c r="B850" s="5"/>
      <c r="C850" s="16"/>
      <c r="E850" s="5"/>
    </row>
    <row r="851" spans="1:5" ht="12.5">
      <c r="A851" s="76"/>
      <c r="B851" s="5"/>
      <c r="C851" s="16"/>
      <c r="E851" s="5"/>
    </row>
    <row r="852" spans="1:5" ht="12.5">
      <c r="A852" s="76"/>
      <c r="B852" s="5"/>
      <c r="C852" s="16"/>
      <c r="E852" s="5"/>
    </row>
    <row r="853" spans="1:5" ht="12.5">
      <c r="A853" s="76"/>
      <c r="B853" s="5"/>
      <c r="C853" s="16"/>
      <c r="E853" s="5"/>
    </row>
    <row r="854" spans="1:5" ht="12.5">
      <c r="A854" s="76"/>
      <c r="B854" s="5"/>
      <c r="C854" s="16"/>
      <c r="E854" s="5"/>
    </row>
    <row r="855" spans="1:5" ht="12.5">
      <c r="A855" s="76"/>
      <c r="B855" s="5"/>
      <c r="C855" s="16"/>
      <c r="E855" s="5"/>
    </row>
    <row r="856" spans="1:5" ht="12.5">
      <c r="A856" s="76"/>
      <c r="B856" s="5"/>
      <c r="C856" s="16"/>
      <c r="E856" s="5"/>
    </row>
    <row r="857" spans="1:5" ht="12.5">
      <c r="A857" s="76"/>
      <c r="B857" s="5"/>
      <c r="C857" s="16"/>
      <c r="E857" s="5"/>
    </row>
    <row r="858" spans="1:5" ht="12.5">
      <c r="A858" s="76"/>
      <c r="B858" s="5"/>
      <c r="C858" s="16"/>
      <c r="E858" s="5"/>
    </row>
    <row r="859" spans="1:5" ht="12.5">
      <c r="A859" s="76"/>
      <c r="B859" s="5"/>
      <c r="C859" s="16"/>
      <c r="E859" s="5"/>
    </row>
    <row r="860" spans="1:5" ht="12.5">
      <c r="A860" s="76"/>
      <c r="B860" s="5"/>
      <c r="C860" s="16"/>
      <c r="E860" s="5"/>
    </row>
    <row r="861" spans="1:5" ht="12.5">
      <c r="A861" s="76"/>
      <c r="B861" s="5"/>
      <c r="C861" s="16"/>
      <c r="E861" s="5"/>
    </row>
    <row r="862" spans="1:5" ht="12.5">
      <c r="A862" s="76"/>
      <c r="B862" s="5"/>
      <c r="C862" s="16"/>
      <c r="E862" s="5"/>
    </row>
    <row r="863" spans="1:5" ht="12.5">
      <c r="A863" s="76"/>
      <c r="B863" s="5"/>
      <c r="C863" s="16"/>
      <c r="E863" s="5"/>
    </row>
    <row r="864" spans="1:5" ht="12.5">
      <c r="A864" s="76"/>
      <c r="B864" s="5"/>
      <c r="C864" s="16"/>
      <c r="E864" s="5"/>
    </row>
    <row r="865" spans="1:5" ht="12.5">
      <c r="A865" s="76"/>
      <c r="B865" s="5"/>
      <c r="C865" s="16"/>
      <c r="E865" s="5"/>
    </row>
    <row r="866" spans="1:5" ht="12.5">
      <c r="A866" s="76"/>
      <c r="B866" s="5"/>
      <c r="C866" s="16"/>
      <c r="E866" s="5"/>
    </row>
    <row r="867" spans="1:5" ht="12.5">
      <c r="A867" s="76"/>
      <c r="B867" s="5"/>
      <c r="C867" s="16"/>
      <c r="E867" s="5"/>
    </row>
    <row r="868" spans="1:5" ht="12.5">
      <c r="A868" s="76"/>
      <c r="B868" s="5"/>
      <c r="C868" s="16"/>
      <c r="E868" s="5"/>
    </row>
    <row r="869" spans="1:5" ht="12.5">
      <c r="A869" s="76"/>
      <c r="B869" s="5"/>
      <c r="C869" s="16"/>
      <c r="E869" s="5"/>
    </row>
    <row r="870" spans="1:5" ht="12.5">
      <c r="A870" s="76"/>
      <c r="B870" s="5"/>
      <c r="C870" s="16"/>
      <c r="E870" s="5"/>
    </row>
    <row r="871" spans="1:5" ht="12.5">
      <c r="A871" s="76"/>
      <c r="B871" s="5"/>
      <c r="C871" s="16"/>
      <c r="E871" s="5"/>
    </row>
    <row r="872" spans="1:5" ht="12.5">
      <c r="A872" s="76"/>
      <c r="B872" s="5"/>
      <c r="C872" s="16"/>
      <c r="E872" s="5"/>
    </row>
    <row r="873" spans="1:5" ht="12.5">
      <c r="A873" s="76"/>
      <c r="B873" s="5"/>
      <c r="C873" s="16"/>
      <c r="E873" s="5"/>
    </row>
    <row r="874" spans="1:5" ht="12.5">
      <c r="A874" s="76"/>
      <c r="B874" s="5"/>
      <c r="C874" s="16"/>
      <c r="E874" s="5"/>
    </row>
    <row r="875" spans="1:5" ht="12.5">
      <c r="A875" s="76"/>
      <c r="B875" s="5"/>
      <c r="C875" s="16"/>
      <c r="E875" s="5"/>
    </row>
    <row r="876" spans="1:5" ht="12.5">
      <c r="A876" s="76"/>
      <c r="B876" s="5"/>
      <c r="C876" s="16"/>
      <c r="E876" s="5"/>
    </row>
    <row r="877" spans="1:5" ht="12.5">
      <c r="A877" s="76"/>
      <c r="B877" s="5"/>
      <c r="C877" s="16"/>
      <c r="E877" s="5"/>
    </row>
    <row r="878" spans="1:5" ht="12.5">
      <c r="A878" s="76"/>
      <c r="B878" s="5"/>
      <c r="C878" s="16"/>
      <c r="E878" s="5"/>
    </row>
    <row r="879" spans="1:5" ht="12.5">
      <c r="A879" s="76"/>
      <c r="B879" s="5"/>
      <c r="C879" s="16"/>
      <c r="E879" s="5"/>
    </row>
    <row r="880" spans="1:5" ht="12.5">
      <c r="A880" s="76"/>
      <c r="B880" s="5"/>
      <c r="C880" s="16"/>
      <c r="E880" s="5"/>
    </row>
    <row r="881" spans="1:5" ht="12.5">
      <c r="A881" s="76"/>
      <c r="B881" s="5"/>
      <c r="C881" s="16"/>
      <c r="E881" s="5"/>
    </row>
    <row r="882" spans="1:5" ht="12.5">
      <c r="A882" s="76"/>
      <c r="B882" s="5"/>
      <c r="C882" s="16"/>
      <c r="E882" s="5"/>
    </row>
    <row r="883" spans="1:5" ht="12.5">
      <c r="A883" s="76"/>
      <c r="B883" s="5"/>
      <c r="C883" s="16"/>
      <c r="E883" s="5"/>
    </row>
    <row r="884" spans="1:5" ht="12.5">
      <c r="A884" s="76"/>
      <c r="B884" s="5"/>
      <c r="C884" s="16"/>
      <c r="E884" s="5"/>
    </row>
    <row r="885" spans="1:5" ht="12.5">
      <c r="A885" s="76"/>
      <c r="B885" s="5"/>
      <c r="C885" s="16"/>
      <c r="E885" s="5"/>
    </row>
    <row r="886" spans="1:5" ht="12.5">
      <c r="A886" s="76"/>
      <c r="B886" s="5"/>
      <c r="C886" s="16"/>
      <c r="E886" s="5"/>
    </row>
    <row r="887" spans="1:5" ht="12.5">
      <c r="A887" s="76"/>
      <c r="B887" s="5"/>
      <c r="C887" s="16"/>
      <c r="E887" s="5"/>
    </row>
    <row r="888" spans="1:5" ht="12.5">
      <c r="A888" s="76"/>
      <c r="B888" s="5"/>
      <c r="C888" s="16"/>
      <c r="E888" s="5"/>
    </row>
    <row r="889" spans="1:5" ht="12.5">
      <c r="A889" s="76"/>
      <c r="B889" s="5"/>
      <c r="C889" s="16"/>
      <c r="E889" s="5"/>
    </row>
    <row r="890" spans="1:5" ht="12.5">
      <c r="A890" s="76"/>
      <c r="B890" s="5"/>
      <c r="C890" s="16"/>
      <c r="E890" s="5"/>
    </row>
    <row r="891" spans="1:5" ht="12.5">
      <c r="A891" s="76"/>
      <c r="B891" s="5"/>
      <c r="C891" s="16"/>
      <c r="E891" s="5"/>
    </row>
    <row r="892" spans="1:5" ht="12.5">
      <c r="A892" s="76"/>
      <c r="B892" s="5"/>
      <c r="C892" s="16"/>
      <c r="E892" s="5"/>
    </row>
    <row r="893" spans="1:5" ht="12.5">
      <c r="A893" s="76"/>
      <c r="B893" s="5"/>
      <c r="C893" s="16"/>
      <c r="E893" s="5"/>
    </row>
    <row r="894" spans="1:5" ht="12.5">
      <c r="A894" s="76"/>
      <c r="B894" s="5"/>
      <c r="C894" s="16"/>
      <c r="E894" s="5"/>
    </row>
    <row r="895" spans="1:5" ht="12.5">
      <c r="A895" s="76"/>
      <c r="B895" s="5"/>
      <c r="C895" s="16"/>
      <c r="E895" s="5"/>
    </row>
    <row r="896" spans="1:5" ht="12.5">
      <c r="A896" s="76"/>
      <c r="B896" s="5"/>
      <c r="C896" s="16"/>
      <c r="E896" s="5"/>
    </row>
    <row r="897" spans="1:5" ht="12.5">
      <c r="A897" s="76"/>
      <c r="B897" s="5"/>
      <c r="C897" s="16"/>
      <c r="E897" s="5"/>
    </row>
    <row r="898" spans="1:5" ht="12.5">
      <c r="A898" s="76"/>
      <c r="B898" s="5"/>
      <c r="C898" s="16"/>
      <c r="E898" s="5"/>
    </row>
    <row r="899" spans="1:5" ht="12.5">
      <c r="A899" s="76"/>
      <c r="B899" s="5"/>
      <c r="C899" s="16"/>
      <c r="E899" s="5"/>
    </row>
    <row r="900" spans="1:5" ht="12.5">
      <c r="A900" s="76"/>
      <c r="B900" s="5"/>
      <c r="C900" s="16"/>
      <c r="E900" s="5"/>
    </row>
    <row r="901" spans="1:5" ht="12.5">
      <c r="A901" s="76"/>
      <c r="B901" s="5"/>
      <c r="C901" s="16"/>
      <c r="E901" s="5"/>
    </row>
    <row r="902" spans="1:5" ht="12.5">
      <c r="A902" s="76"/>
      <c r="B902" s="5"/>
      <c r="C902" s="16"/>
      <c r="E902" s="5"/>
    </row>
    <row r="903" spans="1:5" ht="12.5">
      <c r="A903" s="76"/>
      <c r="B903" s="5"/>
      <c r="C903" s="16"/>
      <c r="E903" s="5"/>
    </row>
    <row r="904" spans="1:5" ht="12.5">
      <c r="A904" s="76"/>
      <c r="B904" s="5"/>
      <c r="C904" s="16"/>
      <c r="E904" s="5"/>
    </row>
    <row r="905" spans="1:5" ht="12.5">
      <c r="A905" s="76"/>
      <c r="B905" s="5"/>
      <c r="C905" s="16"/>
      <c r="E905" s="5"/>
    </row>
    <row r="906" spans="1:5" ht="12.5">
      <c r="A906" s="76"/>
      <c r="B906" s="5"/>
      <c r="C906" s="16"/>
      <c r="E906" s="5"/>
    </row>
    <row r="907" spans="1:5" ht="12.5">
      <c r="A907" s="76"/>
      <c r="B907" s="5"/>
      <c r="C907" s="16"/>
      <c r="E907" s="5"/>
    </row>
    <row r="908" spans="1:5" ht="12.5">
      <c r="A908" s="76"/>
      <c r="B908" s="5"/>
      <c r="C908" s="16"/>
      <c r="E908" s="5"/>
    </row>
    <row r="909" spans="1:5" ht="12.5">
      <c r="A909" s="76"/>
      <c r="B909" s="5"/>
      <c r="C909" s="16"/>
      <c r="E909" s="5"/>
    </row>
    <row r="910" spans="1:5" ht="12.5">
      <c r="A910" s="76"/>
      <c r="B910" s="5"/>
      <c r="C910" s="16"/>
      <c r="E910" s="5"/>
    </row>
    <row r="911" spans="1:5" ht="12.5">
      <c r="A911" s="76"/>
      <c r="B911" s="5"/>
      <c r="C911" s="16"/>
      <c r="E911" s="5"/>
    </row>
    <row r="912" spans="1:5" ht="12.5">
      <c r="A912" s="76"/>
      <c r="B912" s="5"/>
      <c r="C912" s="16"/>
      <c r="E912" s="5"/>
    </row>
    <row r="913" spans="1:5" ht="12.5">
      <c r="A913" s="76"/>
      <c r="B913" s="5"/>
      <c r="C913" s="16"/>
      <c r="E913" s="5"/>
    </row>
    <row r="914" spans="1:5" ht="12.5">
      <c r="A914" s="76"/>
      <c r="B914" s="5"/>
      <c r="C914" s="16"/>
      <c r="E914" s="5"/>
    </row>
    <row r="915" spans="1:5" ht="12.5">
      <c r="A915" s="76"/>
      <c r="B915" s="5"/>
      <c r="C915" s="16"/>
      <c r="E915" s="5"/>
    </row>
    <row r="916" spans="1:5" ht="12.5">
      <c r="A916" s="76"/>
      <c r="B916" s="5"/>
      <c r="C916" s="16"/>
      <c r="E916" s="5"/>
    </row>
    <row r="917" spans="1:5" ht="12.5">
      <c r="A917" s="76"/>
      <c r="B917" s="5"/>
      <c r="C917" s="16"/>
      <c r="E917" s="5"/>
    </row>
    <row r="918" spans="1:5" ht="12.5">
      <c r="A918" s="76"/>
      <c r="B918" s="5"/>
      <c r="C918" s="16"/>
      <c r="E918" s="5"/>
    </row>
    <row r="919" spans="1:5" ht="12.5">
      <c r="A919" s="76"/>
      <c r="B919" s="5"/>
      <c r="C919" s="16"/>
      <c r="E919" s="5"/>
    </row>
    <row r="920" spans="1:5" ht="12.5">
      <c r="A920" s="76"/>
      <c r="B920" s="5"/>
      <c r="C920" s="16"/>
      <c r="E920" s="5"/>
    </row>
    <row r="921" spans="1:5" ht="12.5">
      <c r="A921" s="76"/>
      <c r="B921" s="5"/>
      <c r="C921" s="16"/>
      <c r="E921" s="5"/>
    </row>
    <row r="922" spans="1:5" ht="12.5">
      <c r="A922" s="76"/>
      <c r="B922" s="5"/>
      <c r="C922" s="16"/>
      <c r="E922" s="5"/>
    </row>
    <row r="923" spans="1:5" ht="12.5">
      <c r="A923" s="76"/>
      <c r="B923" s="5"/>
      <c r="C923" s="16"/>
      <c r="E923" s="5"/>
    </row>
    <row r="924" spans="1:5" ht="12.5">
      <c r="A924" s="76"/>
      <c r="B924" s="5"/>
      <c r="C924" s="16"/>
      <c r="E924" s="5"/>
    </row>
    <row r="925" spans="1:5" ht="12.5">
      <c r="A925" s="76"/>
      <c r="B925" s="5"/>
      <c r="C925" s="16"/>
      <c r="E925" s="5"/>
    </row>
    <row r="926" spans="1:5" ht="12.5">
      <c r="A926" s="76"/>
      <c r="B926" s="5"/>
      <c r="C926" s="16"/>
      <c r="E926" s="5"/>
    </row>
    <row r="927" spans="1:5" ht="12.5">
      <c r="A927" s="76"/>
      <c r="B927" s="5"/>
      <c r="C927" s="16"/>
      <c r="E927" s="5"/>
    </row>
    <row r="928" spans="1:5" ht="12.5">
      <c r="A928" s="76"/>
      <c r="B928" s="5"/>
      <c r="C928" s="16"/>
      <c r="E928" s="5"/>
    </row>
    <row r="929" spans="1:5" ht="12.5">
      <c r="A929" s="76"/>
      <c r="B929" s="5"/>
      <c r="C929" s="16"/>
      <c r="E929" s="5"/>
    </row>
    <row r="930" spans="1:5" ht="12.5">
      <c r="A930" s="76"/>
      <c r="B930" s="5"/>
      <c r="C930" s="16"/>
      <c r="E930" s="5"/>
    </row>
    <row r="931" spans="1:5" ht="12.5">
      <c r="A931" s="76"/>
      <c r="B931" s="5"/>
      <c r="C931" s="16"/>
      <c r="E931" s="5"/>
    </row>
    <row r="932" spans="1:5" ht="12.5">
      <c r="A932" s="76"/>
      <c r="B932" s="5"/>
      <c r="C932" s="16"/>
      <c r="E932" s="5"/>
    </row>
    <row r="933" spans="1:5" ht="12.5">
      <c r="A933" s="76"/>
      <c r="B933" s="5"/>
      <c r="C933" s="16"/>
      <c r="E933" s="5"/>
    </row>
    <row r="934" spans="1:5" ht="12.5">
      <c r="A934" s="76"/>
      <c r="B934" s="5"/>
      <c r="C934" s="16"/>
      <c r="E934" s="5"/>
    </row>
    <row r="935" spans="1:5" ht="12.5">
      <c r="A935" s="76"/>
      <c r="B935" s="5"/>
      <c r="C935" s="16"/>
      <c r="E935" s="5"/>
    </row>
    <row r="936" spans="1:5" ht="12.5">
      <c r="A936" s="76"/>
      <c r="B936" s="5"/>
      <c r="C936" s="16"/>
      <c r="E936" s="5"/>
    </row>
    <row r="937" spans="1:5" ht="12.5">
      <c r="A937" s="76"/>
      <c r="B937" s="5"/>
      <c r="C937" s="16"/>
      <c r="E937" s="5"/>
    </row>
    <row r="938" spans="1:5" ht="12.5">
      <c r="A938" s="76"/>
      <c r="B938" s="5"/>
      <c r="C938" s="16"/>
      <c r="E938" s="5"/>
    </row>
    <row r="939" spans="1:5" ht="12.5">
      <c r="A939" s="76"/>
      <c r="B939" s="5"/>
      <c r="C939" s="16"/>
      <c r="E939" s="5"/>
    </row>
    <row r="940" spans="1:5" ht="12.5">
      <c r="A940" s="76"/>
      <c r="B940" s="5"/>
      <c r="C940" s="16"/>
      <c r="E940" s="5"/>
    </row>
    <row r="941" spans="1:5" ht="12.5">
      <c r="A941" s="76"/>
      <c r="B941" s="5"/>
      <c r="C941" s="16"/>
      <c r="E941" s="5"/>
    </row>
    <row r="942" spans="1:5" ht="12.5">
      <c r="A942" s="76"/>
      <c r="B942" s="5"/>
      <c r="C942" s="16"/>
      <c r="E942" s="5"/>
    </row>
    <row r="943" spans="1:5" ht="12.5">
      <c r="A943" s="76"/>
      <c r="B943" s="5"/>
      <c r="C943" s="16"/>
      <c r="E943" s="5"/>
    </row>
    <row r="944" spans="1:5" ht="12.5">
      <c r="A944" s="76"/>
      <c r="B944" s="5"/>
      <c r="C944" s="16"/>
      <c r="E944" s="5"/>
    </row>
    <row r="945" spans="1:5" ht="12.5">
      <c r="A945" s="76"/>
      <c r="B945" s="5"/>
      <c r="C945" s="16"/>
      <c r="E945" s="5"/>
    </row>
    <row r="946" spans="1:5" ht="12.5">
      <c r="A946" s="76"/>
      <c r="B946" s="5"/>
      <c r="C946" s="16"/>
      <c r="E946" s="5"/>
    </row>
    <row r="947" spans="1:5" ht="12.5">
      <c r="A947" s="76"/>
      <c r="B947" s="5"/>
      <c r="C947" s="16"/>
      <c r="E947" s="5"/>
    </row>
    <row r="948" spans="1:5" ht="12.5">
      <c r="A948" s="76"/>
      <c r="B948" s="5"/>
      <c r="C948" s="16"/>
      <c r="E948" s="5"/>
    </row>
    <row r="949" spans="1:5" ht="12.5">
      <c r="A949" s="76"/>
      <c r="B949" s="5"/>
      <c r="C949" s="16"/>
      <c r="E949" s="5"/>
    </row>
    <row r="950" spans="1:5" ht="12.5">
      <c r="A950" s="76"/>
      <c r="B950" s="5"/>
      <c r="C950" s="16"/>
      <c r="E950" s="5"/>
    </row>
    <row r="951" spans="1:5" ht="12.5">
      <c r="A951" s="76"/>
      <c r="B951" s="5"/>
      <c r="C951" s="16"/>
      <c r="E951" s="5"/>
    </row>
    <row r="952" spans="1:5" ht="12.5">
      <c r="A952" s="76"/>
      <c r="B952" s="5"/>
      <c r="C952" s="16"/>
      <c r="E952" s="5"/>
    </row>
    <row r="953" spans="1:5" ht="12.5">
      <c r="A953" s="76"/>
      <c r="B953" s="5"/>
      <c r="C953" s="16"/>
      <c r="E953" s="5"/>
    </row>
    <row r="954" spans="1:5" ht="12.5">
      <c r="A954" s="76"/>
      <c r="B954" s="5"/>
      <c r="C954" s="16"/>
      <c r="E954" s="5"/>
    </row>
    <row r="955" spans="1:5" ht="12.5">
      <c r="A955" s="76"/>
      <c r="B955" s="5"/>
      <c r="C955" s="16"/>
      <c r="E955" s="5"/>
    </row>
    <row r="956" spans="1:5" ht="12.5">
      <c r="A956" s="76"/>
      <c r="B956" s="5"/>
      <c r="C956" s="16"/>
      <c r="E956" s="5"/>
    </row>
    <row r="957" spans="1:5" ht="12.5">
      <c r="A957" s="76"/>
      <c r="B957" s="5"/>
      <c r="C957" s="16"/>
      <c r="E957" s="5"/>
    </row>
    <row r="958" spans="1:5" ht="12.5">
      <c r="A958" s="76"/>
      <c r="B958" s="5"/>
      <c r="C958" s="16"/>
      <c r="E958" s="5"/>
    </row>
    <row r="959" spans="1:5" ht="12.5">
      <c r="A959" s="76"/>
      <c r="B959" s="5"/>
      <c r="C959" s="16"/>
      <c r="E959" s="5"/>
    </row>
    <row r="960" spans="1:5" ht="12.5">
      <c r="A960" s="76"/>
      <c r="B960" s="5"/>
      <c r="C960" s="16"/>
      <c r="E960" s="5"/>
    </row>
    <row r="961" spans="1:5" ht="12.5">
      <c r="A961" s="76"/>
      <c r="B961" s="5"/>
      <c r="C961" s="16"/>
      <c r="E961" s="5"/>
    </row>
    <row r="962" spans="1:5" ht="12.5">
      <c r="A962" s="76"/>
      <c r="B962" s="5"/>
      <c r="C962" s="16"/>
      <c r="E962" s="5"/>
    </row>
    <row r="963" spans="1:5" ht="12.5">
      <c r="A963" s="76"/>
      <c r="B963" s="5"/>
      <c r="C963" s="16"/>
      <c r="E963" s="5"/>
    </row>
    <row r="964" spans="1:5" ht="12.5">
      <c r="A964" s="76"/>
      <c r="B964" s="5"/>
      <c r="C964" s="16"/>
      <c r="E964" s="5"/>
    </row>
    <row r="965" spans="1:5" ht="12.5">
      <c r="A965" s="76"/>
      <c r="B965" s="5"/>
      <c r="C965" s="16"/>
      <c r="E965" s="5"/>
    </row>
    <row r="966" spans="1:5" ht="12.5">
      <c r="A966" s="76"/>
      <c r="B966" s="5"/>
      <c r="C966" s="16"/>
      <c r="E966" s="5"/>
    </row>
    <row r="967" spans="1:5" ht="12.5">
      <c r="A967" s="76"/>
      <c r="B967" s="5"/>
      <c r="C967" s="16"/>
      <c r="E967" s="5"/>
    </row>
    <row r="968" spans="1:5" ht="12.5">
      <c r="A968" s="76"/>
      <c r="B968" s="5"/>
      <c r="C968" s="16"/>
      <c r="E968" s="5"/>
    </row>
    <row r="969" spans="1:5" ht="12.5">
      <c r="A969" s="76"/>
      <c r="B969" s="5"/>
      <c r="C969" s="16"/>
      <c r="E969" s="5"/>
    </row>
    <row r="970" spans="1:5" ht="12.5">
      <c r="A970" s="76"/>
      <c r="B970" s="5"/>
      <c r="C970" s="16"/>
      <c r="E970" s="5"/>
    </row>
    <row r="971" spans="1:5" ht="12.5">
      <c r="A971" s="76"/>
      <c r="B971" s="5"/>
      <c r="C971" s="16"/>
      <c r="E971" s="5"/>
    </row>
    <row r="972" spans="1:5" ht="12.5">
      <c r="A972" s="76"/>
      <c r="B972" s="5"/>
      <c r="C972" s="16"/>
      <c r="E972" s="5"/>
    </row>
    <row r="973" spans="1:5" ht="12.5">
      <c r="A973" s="76"/>
      <c r="B973" s="5"/>
      <c r="C973" s="16"/>
      <c r="E973" s="5"/>
    </row>
    <row r="974" spans="1:5" ht="12.5">
      <c r="A974" s="76"/>
      <c r="B974" s="5"/>
      <c r="C974" s="16"/>
      <c r="E974" s="5"/>
    </row>
    <row r="975" spans="1:5" ht="12.5">
      <c r="A975" s="76"/>
      <c r="B975" s="5"/>
      <c r="C975" s="16"/>
      <c r="E975" s="5"/>
    </row>
    <row r="976" spans="1:5" ht="12.5">
      <c r="A976" s="76"/>
      <c r="B976" s="5"/>
      <c r="C976" s="16"/>
      <c r="E976" s="5"/>
    </row>
    <row r="977" spans="1:5" ht="12.5">
      <c r="A977" s="76"/>
      <c r="B977" s="5"/>
      <c r="C977" s="16"/>
      <c r="E977" s="5"/>
    </row>
    <row r="978" spans="1:5" ht="12.5">
      <c r="A978" s="76"/>
      <c r="B978" s="5"/>
      <c r="C978" s="16"/>
      <c r="E978" s="5"/>
    </row>
    <row r="979" spans="1:5" ht="12.5">
      <c r="A979" s="76"/>
      <c r="B979" s="5"/>
      <c r="C979" s="16"/>
      <c r="E979" s="5"/>
    </row>
    <row r="980" spans="1:5" ht="12.5">
      <c r="A980" s="76"/>
      <c r="B980" s="5"/>
      <c r="C980" s="16"/>
      <c r="E980" s="5"/>
    </row>
    <row r="981" spans="1:5" ht="12.5">
      <c r="A981" s="76"/>
      <c r="B981" s="5"/>
      <c r="C981" s="16"/>
      <c r="E981" s="5"/>
    </row>
    <row r="982" spans="1:5" ht="12.5">
      <c r="A982" s="76"/>
      <c r="B982" s="5"/>
      <c r="C982" s="16"/>
      <c r="E982" s="5"/>
    </row>
    <row r="983" spans="1:5" ht="12.5">
      <c r="A983" s="76"/>
      <c r="B983" s="5"/>
      <c r="C983" s="16"/>
      <c r="E983" s="5"/>
    </row>
    <row r="984" spans="1:5" ht="12.5">
      <c r="A984" s="76"/>
      <c r="B984" s="5"/>
      <c r="C984" s="16"/>
      <c r="E984" s="5"/>
    </row>
    <row r="985" spans="1:5" ht="12.5">
      <c r="A985" s="76"/>
      <c r="B985" s="5"/>
      <c r="C985" s="16"/>
      <c r="E985" s="5"/>
    </row>
    <row r="986" spans="1:5" ht="12.5">
      <c r="A986" s="76"/>
      <c r="B986" s="5"/>
      <c r="C986" s="16"/>
      <c r="E986" s="5"/>
    </row>
    <row r="987" spans="1:5" ht="12.5">
      <c r="A987" s="76"/>
      <c r="B987" s="5"/>
      <c r="C987" s="16"/>
      <c r="E987" s="5"/>
    </row>
    <row r="988" spans="1:5" ht="12.5">
      <c r="A988" s="76"/>
      <c r="B988" s="5"/>
      <c r="C988" s="16"/>
      <c r="E988" s="5"/>
    </row>
    <row r="989" spans="1:5" ht="12.5">
      <c r="A989" s="76"/>
      <c r="B989" s="5"/>
      <c r="C989" s="16"/>
      <c r="E989" s="5"/>
    </row>
    <row r="990" spans="1:5" ht="12.5">
      <c r="A990" s="76"/>
      <c r="B990" s="5"/>
      <c r="C990" s="16"/>
      <c r="E990" s="5"/>
    </row>
    <row r="991" spans="1:5" ht="12.5">
      <c r="A991" s="76"/>
      <c r="B991" s="5"/>
      <c r="C991" s="16"/>
      <c r="E991" s="5"/>
    </row>
    <row r="992" spans="1:5" ht="12.5">
      <c r="A992" s="76"/>
      <c r="B992" s="5"/>
      <c r="C992" s="16"/>
      <c r="E992" s="5"/>
    </row>
    <row r="993" spans="1:5" ht="12.5">
      <c r="A993" s="76"/>
      <c r="B993" s="5"/>
      <c r="C993" s="16"/>
      <c r="E993" s="5"/>
    </row>
    <row r="994" spans="1:5" ht="12.5">
      <c r="A994" s="76"/>
      <c r="B994" s="5"/>
      <c r="C994" s="16"/>
      <c r="E994" s="5"/>
    </row>
    <row r="995" spans="1:5" ht="12.5">
      <c r="A995" s="76"/>
      <c r="B995" s="5"/>
      <c r="C995" s="16"/>
      <c r="E995" s="5"/>
    </row>
    <row r="996" spans="1:5" ht="12.5">
      <c r="A996" s="76"/>
      <c r="B996" s="5"/>
      <c r="C996" s="16"/>
      <c r="E996" s="5"/>
    </row>
    <row r="997" spans="1:5" ht="12.5">
      <c r="A997" s="76"/>
      <c r="B997" s="5"/>
      <c r="C997" s="16"/>
      <c r="E997" s="5"/>
    </row>
    <row r="998" spans="1:5" ht="12.5">
      <c r="A998" s="76"/>
      <c r="B998" s="5"/>
      <c r="C998" s="16"/>
      <c r="E998" s="5"/>
    </row>
    <row r="999" spans="1:5" ht="12.5">
      <c r="A999" s="76"/>
      <c r="B999" s="5"/>
      <c r="C999" s="16"/>
      <c r="E999" s="5"/>
    </row>
    <row r="1000" spans="1:5" ht="12.5">
      <c r="A1000" s="76"/>
      <c r="B1000" s="5"/>
      <c r="C1000" s="16"/>
      <c r="E1000" s="5"/>
    </row>
  </sheetData>
  <conditionalFormatting sqref="A2:J1000">
    <cfRule type="expression" dxfId="15" priority="1">
      <formula>$E2="Pessoa 2"</formula>
    </cfRule>
    <cfRule type="expression" dxfId="14" priority="2">
      <formula>$E2="Pessoa 1"</formula>
    </cfRule>
  </conditionalFormatting>
  <dataValidations count="3">
    <dataValidation type="list" allowBlank="1" showErrorMessage="1" sqref="E2:E1000" xr:uid="{00000000-0002-0000-0700-000000000000}">
      <formula1>"Pessoa 1,Pessoa 2"</formula1>
    </dataValidation>
    <dataValidation type="list" allowBlank="1" showErrorMessage="1" sqref="B2:B1000" xr:uid="{00000000-0002-0000-0700-000001000000}">
      <formula1>"Aluguel_Cond,Home Supplies,Energia_Gás_Água_Esgoto,Internet_Telefonia,Comida_Alimentação,Manutenção_Casa,Móveis_Aparelhos_Decoração,Transporte Geral &amp; Coletivo,Transporte Uber &amp; Apps,Saúde,Academia &amp; Fitness,Educação,Roupa_Acessorios,Entretenimento_&amp;_Rest"&amp;"aurantes,Viagem/Vacation,Work-related,Imposto (IPVA-IPTU-etc),Outros,Investimento (aporte),Gasto Pessoal"</formula1>
    </dataValidation>
    <dataValidation type="custom" allowBlank="1" showDropDown="1" showErrorMessage="1" sqref="A2:A1000" xr:uid="{00000000-0002-0000-0700-000002000000}">
      <formula1>OR(NOT(ISERROR(DATEVALUE(A2))), AND(ISNUMBER(A2), LEFT(CELL("format", A2))="D"))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6D9EEB"/>
    <outlinePr summaryBelow="0" summaryRight="0"/>
  </sheetPr>
  <dimension ref="A1:J100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2.6328125" defaultRowHeight="15.75" customHeight="1"/>
  <cols>
    <col min="1" max="1" width="18.08984375" customWidth="1"/>
    <col min="2" max="2" width="30.36328125" customWidth="1"/>
    <col min="3" max="3" width="22.36328125" customWidth="1"/>
    <col min="4" max="4" width="60.90625" customWidth="1"/>
    <col min="5" max="5" width="12.7265625" customWidth="1"/>
    <col min="6" max="6" width="44.90625" customWidth="1"/>
    <col min="7" max="7" width="6.90625" customWidth="1"/>
    <col min="9" max="9" width="43.08984375" customWidth="1"/>
  </cols>
  <sheetData>
    <row r="1" spans="1:10">
      <c r="A1" s="77" t="s">
        <v>260</v>
      </c>
      <c r="B1" s="14" t="s">
        <v>103</v>
      </c>
      <c r="C1" s="72" t="s">
        <v>104</v>
      </c>
      <c r="D1" s="14" t="s">
        <v>105</v>
      </c>
      <c r="E1" s="14" t="s">
        <v>106</v>
      </c>
      <c r="F1" s="12"/>
      <c r="H1" s="12"/>
      <c r="I1" s="12"/>
    </row>
    <row r="2" spans="1:10" ht="15.75" customHeight="1">
      <c r="A2" s="74">
        <v>45080</v>
      </c>
      <c r="B2" s="38" t="s">
        <v>47</v>
      </c>
      <c r="C2" s="75">
        <v>297.06478180223064</v>
      </c>
      <c r="D2" s="32" t="s">
        <v>261</v>
      </c>
      <c r="E2" s="32" t="s">
        <v>65</v>
      </c>
      <c r="F2" s="5"/>
      <c r="G2" s="5"/>
      <c r="H2" s="15"/>
      <c r="I2" s="5"/>
      <c r="J2" s="5"/>
    </row>
    <row r="3" spans="1:10" ht="15.75" customHeight="1">
      <c r="A3" s="74">
        <v>45095</v>
      </c>
      <c r="B3" s="38" t="s">
        <v>52</v>
      </c>
      <c r="C3" s="75">
        <v>242.33724863251243</v>
      </c>
      <c r="D3" s="32" t="s">
        <v>262</v>
      </c>
      <c r="E3" s="32" t="s">
        <v>64</v>
      </c>
      <c r="F3" s="5"/>
      <c r="G3" s="5"/>
      <c r="H3" s="15"/>
      <c r="I3" s="5"/>
      <c r="J3" s="5"/>
    </row>
    <row r="4" spans="1:10" ht="15.75" customHeight="1">
      <c r="A4" s="74">
        <v>45080</v>
      </c>
      <c r="B4" s="38" t="s">
        <v>31</v>
      </c>
      <c r="C4" s="75">
        <v>416.47454123139096</v>
      </c>
      <c r="D4" s="32" t="s">
        <v>263</v>
      </c>
      <c r="E4" s="32" t="s">
        <v>65</v>
      </c>
      <c r="F4" s="5"/>
      <c r="G4" s="5"/>
      <c r="H4" s="15"/>
      <c r="I4" s="5"/>
      <c r="J4" s="5"/>
    </row>
    <row r="5" spans="1:10" ht="15.75" customHeight="1">
      <c r="A5" s="74">
        <v>45096</v>
      </c>
      <c r="B5" s="38" t="s">
        <v>50</v>
      </c>
      <c r="C5" s="75">
        <v>101.83129852254272</v>
      </c>
      <c r="D5" s="32" t="s">
        <v>264</v>
      </c>
      <c r="E5" s="32" t="s">
        <v>64</v>
      </c>
      <c r="F5" s="5"/>
      <c r="G5" s="5"/>
      <c r="H5" s="15"/>
      <c r="I5" s="5"/>
      <c r="J5" s="5"/>
    </row>
    <row r="6" spans="1:10" ht="15.75" customHeight="1">
      <c r="A6" s="74">
        <v>45090</v>
      </c>
      <c r="B6" s="38" t="s">
        <v>31</v>
      </c>
      <c r="C6" s="75">
        <v>452.61786705108187</v>
      </c>
      <c r="D6" s="32" t="s">
        <v>265</v>
      </c>
      <c r="E6" s="32" t="s">
        <v>65</v>
      </c>
      <c r="F6" s="5"/>
      <c r="G6" s="5"/>
      <c r="H6" s="15"/>
      <c r="I6" s="5"/>
      <c r="J6" s="5"/>
    </row>
    <row r="7" spans="1:10" ht="15.75" customHeight="1">
      <c r="A7" s="74">
        <v>45088</v>
      </c>
      <c r="B7" s="38" t="s">
        <v>35</v>
      </c>
      <c r="C7" s="75">
        <v>54.26613576232333</v>
      </c>
      <c r="D7" s="32" t="s">
        <v>266</v>
      </c>
      <c r="E7" s="32" t="s">
        <v>64</v>
      </c>
      <c r="F7" s="5"/>
      <c r="G7" s="5"/>
      <c r="H7" s="15"/>
      <c r="I7" s="5"/>
      <c r="J7" s="5"/>
    </row>
    <row r="8" spans="1:10" ht="15.75" customHeight="1">
      <c r="A8" s="74">
        <v>45088</v>
      </c>
      <c r="B8" s="38" t="s">
        <v>50</v>
      </c>
      <c r="C8" s="75">
        <v>578.20899247134253</v>
      </c>
      <c r="D8" s="32" t="s">
        <v>267</v>
      </c>
      <c r="E8" s="32" t="s">
        <v>64</v>
      </c>
      <c r="F8" s="5"/>
      <c r="G8" s="5"/>
      <c r="H8" s="15"/>
      <c r="I8" s="5"/>
      <c r="J8" s="5"/>
    </row>
    <row r="9" spans="1:10" ht="15.75" customHeight="1">
      <c r="A9" s="74">
        <v>45094</v>
      </c>
      <c r="B9" s="38" t="s">
        <v>43</v>
      </c>
      <c r="C9" s="75">
        <v>396.21977326436667</v>
      </c>
      <c r="D9" s="32" t="s">
        <v>268</v>
      </c>
      <c r="E9" s="32" t="s">
        <v>64</v>
      </c>
      <c r="F9" s="5"/>
      <c r="G9" s="5"/>
      <c r="H9" s="15"/>
      <c r="I9" s="5"/>
      <c r="J9" s="5"/>
    </row>
    <row r="10" spans="1:10" ht="15.75" customHeight="1">
      <c r="A10" s="74">
        <v>45078</v>
      </c>
      <c r="B10" s="38" t="s">
        <v>37</v>
      </c>
      <c r="C10" s="75">
        <v>467.98645309974245</v>
      </c>
      <c r="D10" s="32" t="s">
        <v>269</v>
      </c>
      <c r="E10" s="32" t="s">
        <v>65</v>
      </c>
      <c r="F10" s="5"/>
      <c r="G10" s="5"/>
      <c r="H10" s="15"/>
      <c r="I10" s="5"/>
      <c r="J10" s="5"/>
    </row>
    <row r="11" spans="1:10" ht="15.75" customHeight="1">
      <c r="A11" s="74">
        <v>45085</v>
      </c>
      <c r="B11" s="38" t="s">
        <v>44</v>
      </c>
      <c r="C11" s="75">
        <v>157.61873578027456</v>
      </c>
      <c r="D11" s="32" t="s">
        <v>270</v>
      </c>
      <c r="E11" s="32" t="s">
        <v>65</v>
      </c>
      <c r="F11" s="5"/>
      <c r="G11" s="5"/>
      <c r="H11" s="15"/>
      <c r="I11" s="5"/>
      <c r="J11" s="5"/>
    </row>
    <row r="12" spans="1:10" ht="15.75" customHeight="1">
      <c r="A12" s="74">
        <v>45088</v>
      </c>
      <c r="B12" s="38" t="s">
        <v>49</v>
      </c>
      <c r="C12" s="75">
        <v>22.485012188667003</v>
      </c>
      <c r="D12" s="32" t="s">
        <v>271</v>
      </c>
      <c r="E12" s="32" t="s">
        <v>65</v>
      </c>
      <c r="F12" s="5"/>
      <c r="G12" s="5"/>
      <c r="H12" s="15"/>
      <c r="I12" s="5"/>
      <c r="J12" s="5"/>
    </row>
    <row r="13" spans="1:10" ht="15.75" customHeight="1">
      <c r="A13" s="74">
        <v>45095</v>
      </c>
      <c r="B13" s="38" t="s">
        <v>50</v>
      </c>
      <c r="C13" s="75">
        <v>78.407102953344861</v>
      </c>
      <c r="D13" s="32" t="s">
        <v>272</v>
      </c>
      <c r="E13" s="32" t="s">
        <v>64</v>
      </c>
      <c r="F13" s="5"/>
      <c r="G13" s="5"/>
      <c r="H13" s="15"/>
      <c r="I13" s="5"/>
      <c r="J13" s="5"/>
    </row>
    <row r="14" spans="1:10" ht="15.75" customHeight="1">
      <c r="A14" s="74">
        <v>45099</v>
      </c>
      <c r="B14" s="38" t="s">
        <v>33</v>
      </c>
      <c r="C14" s="75">
        <v>529.4134013544425</v>
      </c>
      <c r="D14" s="32" t="s">
        <v>273</v>
      </c>
      <c r="E14" s="32" t="s">
        <v>65</v>
      </c>
      <c r="F14" s="5"/>
      <c r="G14" s="5"/>
      <c r="H14" s="15"/>
      <c r="I14" s="5"/>
      <c r="J14" s="5"/>
    </row>
    <row r="15" spans="1:10" ht="15.75" customHeight="1">
      <c r="A15" s="74">
        <v>45084</v>
      </c>
      <c r="B15" s="38" t="s">
        <v>36</v>
      </c>
      <c r="C15" s="75">
        <v>593.02982121185755</v>
      </c>
      <c r="D15" s="32" t="s">
        <v>274</v>
      </c>
      <c r="E15" s="32" t="s">
        <v>65</v>
      </c>
      <c r="F15" s="5"/>
      <c r="G15" s="5"/>
      <c r="H15" s="15"/>
      <c r="I15" s="5"/>
      <c r="J15" s="5"/>
    </row>
    <row r="16" spans="1:10" ht="15.75" customHeight="1">
      <c r="A16" s="74">
        <v>45099</v>
      </c>
      <c r="B16" s="38" t="s">
        <v>43</v>
      </c>
      <c r="C16" s="75">
        <v>574.96945333074541</v>
      </c>
      <c r="D16" s="32" t="s">
        <v>275</v>
      </c>
      <c r="E16" s="32" t="s">
        <v>64</v>
      </c>
      <c r="F16" s="5"/>
      <c r="G16" s="5"/>
      <c r="H16" s="15"/>
      <c r="I16" s="5"/>
      <c r="J16" s="5"/>
    </row>
    <row r="17" spans="1:10" ht="15.75" customHeight="1">
      <c r="A17" s="74">
        <v>45104</v>
      </c>
      <c r="B17" s="38" t="s">
        <v>52</v>
      </c>
      <c r="C17" s="75">
        <v>219.27855382738122</v>
      </c>
      <c r="D17" s="32" t="s">
        <v>276</v>
      </c>
      <c r="E17" s="32" t="s">
        <v>65</v>
      </c>
      <c r="F17" s="5"/>
      <c r="G17" s="5"/>
      <c r="H17" s="15"/>
      <c r="I17" s="5"/>
      <c r="J17" s="5"/>
    </row>
    <row r="18" spans="1:10" ht="15.75" customHeight="1">
      <c r="A18" s="76"/>
      <c r="B18" s="15"/>
      <c r="C18" s="16"/>
      <c r="D18" s="80"/>
      <c r="E18" s="5"/>
      <c r="F18" s="32"/>
      <c r="H18" s="15"/>
    </row>
    <row r="19" spans="1:10" ht="15.75" customHeight="1">
      <c r="A19" s="76"/>
      <c r="B19" s="15"/>
      <c r="C19" s="16"/>
      <c r="D19" s="80"/>
      <c r="E19" s="5"/>
      <c r="H19" s="15"/>
    </row>
    <row r="20" spans="1:10" ht="15.75" customHeight="1">
      <c r="A20" s="76"/>
      <c r="B20" s="15"/>
      <c r="C20" s="16"/>
      <c r="D20" s="80"/>
      <c r="E20" s="5"/>
      <c r="H20" s="15"/>
    </row>
    <row r="21" spans="1:10" ht="15.75" customHeight="1">
      <c r="A21" s="76"/>
      <c r="B21" s="15"/>
      <c r="C21" s="16"/>
      <c r="E21" s="5"/>
      <c r="H21" s="15"/>
    </row>
    <row r="22" spans="1:10" ht="15.75" customHeight="1">
      <c r="A22" s="76"/>
      <c r="B22" s="15"/>
      <c r="C22" s="16"/>
      <c r="D22" s="80"/>
      <c r="E22" s="5"/>
      <c r="H22" s="15"/>
    </row>
    <row r="23" spans="1:10" ht="15.75" customHeight="1">
      <c r="A23" s="76"/>
      <c r="B23" s="15"/>
      <c r="C23" s="16"/>
      <c r="D23" s="80"/>
      <c r="E23" s="5"/>
      <c r="H23" s="15"/>
    </row>
    <row r="24" spans="1:10" ht="15.75" customHeight="1">
      <c r="A24" s="76"/>
      <c r="B24" s="15"/>
      <c r="C24" s="16"/>
      <c r="D24" s="80"/>
      <c r="E24" s="5"/>
      <c r="F24" s="32"/>
      <c r="H24" s="15"/>
    </row>
    <row r="25" spans="1:10" ht="15.75" customHeight="1">
      <c r="A25" s="76"/>
      <c r="B25" s="15"/>
      <c r="C25" s="16"/>
      <c r="D25" s="80"/>
      <c r="E25" s="5"/>
      <c r="H25" s="15"/>
    </row>
    <row r="26" spans="1:10" ht="15.75" customHeight="1">
      <c r="A26" s="76"/>
      <c r="B26" s="15"/>
      <c r="C26" s="16"/>
      <c r="D26" s="81"/>
      <c r="E26" s="5"/>
      <c r="F26" s="32"/>
      <c r="H26" s="15"/>
    </row>
    <row r="27" spans="1:10" ht="15.75" customHeight="1">
      <c r="A27" s="76"/>
      <c r="B27" s="15"/>
      <c r="C27" s="16"/>
      <c r="D27" s="80"/>
      <c r="E27" s="5"/>
      <c r="H27" s="15"/>
    </row>
    <row r="28" spans="1:10" ht="15.75" customHeight="1">
      <c r="A28" s="76"/>
      <c r="B28" s="15"/>
      <c r="C28" s="16"/>
      <c r="D28" s="80"/>
      <c r="E28" s="5"/>
      <c r="H28" s="15"/>
    </row>
    <row r="29" spans="1:10" ht="15.75" customHeight="1">
      <c r="A29" s="76"/>
      <c r="B29" s="15"/>
      <c r="C29" s="16"/>
      <c r="D29" s="80"/>
      <c r="E29" s="5"/>
      <c r="H29" s="15"/>
    </row>
    <row r="30" spans="1:10" ht="15.75" customHeight="1">
      <c r="A30" s="76"/>
      <c r="B30" s="15"/>
      <c r="C30" s="16"/>
      <c r="D30" s="80"/>
      <c r="E30" s="5"/>
      <c r="H30" s="15"/>
    </row>
    <row r="31" spans="1:10" ht="15.75" customHeight="1">
      <c r="A31" s="76"/>
      <c r="B31" s="15"/>
      <c r="C31" s="16"/>
      <c r="D31" s="80"/>
      <c r="E31" s="5"/>
      <c r="H31" s="15"/>
    </row>
    <row r="32" spans="1:10" ht="15.75" customHeight="1">
      <c r="A32" s="76"/>
      <c r="B32" s="15"/>
      <c r="C32" s="16"/>
      <c r="D32" s="80"/>
      <c r="E32" s="5"/>
      <c r="H32" s="15"/>
    </row>
    <row r="33" spans="1:9" ht="15.75" customHeight="1">
      <c r="A33" s="76"/>
      <c r="B33" s="15"/>
      <c r="C33" s="16"/>
      <c r="D33" s="80"/>
      <c r="E33" s="5"/>
      <c r="H33" s="15"/>
    </row>
    <row r="34" spans="1:9" ht="15.75" customHeight="1">
      <c r="A34" s="76"/>
      <c r="B34" s="15"/>
      <c r="C34" s="16"/>
      <c r="D34" s="80"/>
      <c r="E34" s="5"/>
      <c r="H34" s="15"/>
    </row>
    <row r="35" spans="1:9" ht="15.75" customHeight="1">
      <c r="A35" s="76"/>
      <c r="B35" s="15"/>
      <c r="C35" s="16"/>
      <c r="D35" s="80"/>
      <c r="E35" s="5"/>
      <c r="H35" s="15"/>
    </row>
    <row r="36" spans="1:9" ht="15.75" customHeight="1">
      <c r="A36" s="76"/>
      <c r="B36" s="15"/>
      <c r="C36" s="16"/>
      <c r="D36" s="80"/>
      <c r="E36" s="5"/>
      <c r="H36" s="15"/>
    </row>
    <row r="37" spans="1:9" ht="15.75" customHeight="1">
      <c r="A37" s="76"/>
      <c r="B37" s="15"/>
      <c r="C37" s="16"/>
      <c r="D37" s="80"/>
      <c r="E37" s="5"/>
      <c r="H37" s="15"/>
    </row>
    <row r="38" spans="1:9" ht="15.75" customHeight="1">
      <c r="A38" s="76"/>
      <c r="B38" s="15"/>
      <c r="C38" s="16"/>
      <c r="D38" s="80"/>
      <c r="E38" s="5"/>
      <c r="H38" s="15"/>
    </row>
    <row r="39" spans="1:9" ht="15.75" customHeight="1">
      <c r="A39" s="76"/>
      <c r="B39" s="15"/>
      <c r="C39" s="16"/>
      <c r="D39" s="80"/>
      <c r="E39" s="5"/>
      <c r="F39" s="32"/>
      <c r="H39" s="15"/>
    </row>
    <row r="40" spans="1:9" ht="15.75" customHeight="1">
      <c r="A40" s="76"/>
      <c r="B40" s="15"/>
      <c r="C40" s="16"/>
      <c r="D40" s="80"/>
      <c r="E40" s="5"/>
      <c r="H40" s="15"/>
    </row>
    <row r="41" spans="1:9" ht="15.75" customHeight="1">
      <c r="A41" s="76"/>
      <c r="B41" s="15"/>
      <c r="C41" s="16"/>
      <c r="D41" s="80"/>
      <c r="E41" s="5"/>
      <c r="H41" s="15"/>
    </row>
    <row r="42" spans="1:9" ht="15.75" customHeight="1">
      <c r="A42" s="76"/>
      <c r="B42" s="15"/>
      <c r="C42" s="16"/>
      <c r="D42" s="80"/>
      <c r="E42" s="5"/>
      <c r="H42" s="15"/>
    </row>
    <row r="43" spans="1:9" ht="15.75" customHeight="1">
      <c r="A43" s="76"/>
      <c r="B43" s="15"/>
      <c r="C43" s="16"/>
      <c r="D43" s="80"/>
      <c r="E43" s="5"/>
      <c r="H43" s="15"/>
    </row>
    <row r="44" spans="1:9" ht="15.75" customHeight="1">
      <c r="A44" s="76"/>
      <c r="B44" s="15"/>
      <c r="C44" s="16"/>
      <c r="D44" s="80"/>
      <c r="E44" s="5"/>
      <c r="H44" s="15"/>
      <c r="I44" s="5"/>
    </row>
    <row r="45" spans="1:9" ht="15.75" customHeight="1">
      <c r="A45" s="76"/>
      <c r="B45" s="15"/>
      <c r="C45" s="16"/>
      <c r="D45" s="80"/>
      <c r="E45" s="5"/>
      <c r="F45" s="32"/>
      <c r="H45" s="15"/>
      <c r="I45" s="5"/>
    </row>
    <row r="46" spans="1:9" ht="15.75" customHeight="1">
      <c r="A46" s="76"/>
      <c r="B46" s="15"/>
      <c r="C46" s="16"/>
      <c r="D46" s="80"/>
      <c r="E46" s="5"/>
      <c r="H46" s="15"/>
    </row>
    <row r="47" spans="1:9" ht="15.75" customHeight="1">
      <c r="A47" s="76"/>
      <c r="B47" s="15"/>
      <c r="C47" s="16"/>
      <c r="D47" s="80"/>
      <c r="E47" s="5"/>
      <c r="H47" s="15"/>
    </row>
    <row r="48" spans="1:9" ht="15.75" customHeight="1">
      <c r="A48" s="76"/>
      <c r="B48" s="15"/>
      <c r="C48" s="16"/>
      <c r="D48" s="80"/>
      <c r="E48" s="5"/>
      <c r="H48" s="15"/>
    </row>
    <row r="49" spans="1:8" ht="15.75" customHeight="1">
      <c r="A49" s="76"/>
      <c r="B49" s="15"/>
      <c r="C49" s="16"/>
      <c r="D49" s="80"/>
      <c r="E49" s="5"/>
      <c r="H49" s="15"/>
    </row>
    <row r="50" spans="1:8" ht="15.75" customHeight="1">
      <c r="A50" s="76"/>
      <c r="B50" s="15"/>
      <c r="C50" s="16"/>
      <c r="D50" s="80"/>
      <c r="E50" s="5"/>
      <c r="H50" s="15"/>
    </row>
    <row r="51" spans="1:8" ht="15.75" customHeight="1">
      <c r="A51" s="76"/>
      <c r="B51" s="15"/>
      <c r="C51" s="16"/>
      <c r="D51" s="80"/>
      <c r="E51" s="5"/>
      <c r="H51" s="15"/>
    </row>
    <row r="52" spans="1:8" ht="15.75" customHeight="1">
      <c r="A52" s="76"/>
      <c r="B52" s="15"/>
      <c r="C52" s="16"/>
      <c r="D52" s="80"/>
      <c r="E52" s="5"/>
      <c r="H52" s="15"/>
    </row>
    <row r="53" spans="1:8" ht="15.75" customHeight="1">
      <c r="A53" s="76"/>
      <c r="B53" s="15"/>
      <c r="C53" s="16"/>
      <c r="D53" s="80"/>
      <c r="E53" s="5"/>
      <c r="H53" s="15"/>
    </row>
    <row r="54" spans="1:8" ht="15.75" customHeight="1">
      <c r="A54" s="76"/>
      <c r="B54" s="15"/>
      <c r="C54" s="16"/>
      <c r="D54" s="80"/>
      <c r="E54" s="5"/>
      <c r="H54" s="15"/>
    </row>
    <row r="55" spans="1:8" ht="15.75" customHeight="1">
      <c r="A55" s="76"/>
      <c r="B55" s="15"/>
      <c r="C55" s="16"/>
      <c r="D55" s="80"/>
      <c r="E55" s="5"/>
      <c r="H55" s="15"/>
    </row>
    <row r="56" spans="1:8" ht="15.75" customHeight="1">
      <c r="A56" s="76"/>
      <c r="B56" s="15"/>
      <c r="C56" s="16"/>
      <c r="E56" s="5"/>
      <c r="H56" s="15"/>
    </row>
    <row r="57" spans="1:8" ht="12.5">
      <c r="A57" s="76"/>
      <c r="B57" s="15"/>
      <c r="C57" s="16"/>
      <c r="D57" s="80"/>
      <c r="E57" s="5"/>
      <c r="H57" s="15"/>
    </row>
    <row r="58" spans="1:8" ht="12.5">
      <c r="A58" s="76"/>
      <c r="B58" s="15"/>
      <c r="C58" s="16"/>
      <c r="D58" s="80"/>
      <c r="E58" s="5"/>
      <c r="F58" s="32"/>
      <c r="H58" s="15"/>
    </row>
    <row r="59" spans="1:8" ht="12.5">
      <c r="A59" s="76"/>
      <c r="B59" s="15"/>
      <c r="C59" s="16"/>
      <c r="D59" s="80"/>
      <c r="E59" s="5"/>
      <c r="H59" s="15"/>
    </row>
    <row r="60" spans="1:8" ht="12.5">
      <c r="A60" s="76"/>
      <c r="B60" s="15"/>
      <c r="C60" s="16"/>
      <c r="D60" s="80"/>
      <c r="E60" s="5"/>
      <c r="H60" s="15"/>
    </row>
    <row r="61" spans="1:8" ht="12.5">
      <c r="A61" s="76"/>
      <c r="B61" s="15"/>
      <c r="C61" s="16"/>
      <c r="D61" s="80"/>
      <c r="E61" s="5"/>
      <c r="H61" s="15"/>
    </row>
    <row r="62" spans="1:8" ht="12.5">
      <c r="A62" s="76"/>
      <c r="B62" s="15"/>
      <c r="C62" s="16"/>
      <c r="D62" s="80"/>
      <c r="E62" s="5"/>
      <c r="H62" s="15"/>
    </row>
    <row r="63" spans="1:8" ht="12.5">
      <c r="A63" s="76"/>
      <c r="B63" s="15"/>
      <c r="C63" s="16"/>
      <c r="D63" s="80"/>
      <c r="E63" s="5"/>
      <c r="H63" s="15"/>
    </row>
    <row r="64" spans="1:8" ht="12.5">
      <c r="A64" s="76"/>
      <c r="B64" s="15"/>
      <c r="C64" s="16"/>
      <c r="D64" s="80"/>
      <c r="E64" s="5"/>
      <c r="H64" s="15"/>
    </row>
    <row r="65" spans="1:8" ht="12.5">
      <c r="A65" s="76"/>
      <c r="B65" s="15"/>
      <c r="C65" s="16"/>
      <c r="D65" s="80"/>
      <c r="E65" s="5"/>
      <c r="H65" s="15"/>
    </row>
    <row r="66" spans="1:8" ht="12.5">
      <c r="A66" s="76"/>
      <c r="B66" s="15"/>
      <c r="C66" s="16"/>
      <c r="D66" s="16"/>
      <c r="E66" s="5"/>
      <c r="H66" s="15"/>
    </row>
    <row r="67" spans="1:8" ht="12.5">
      <c r="A67" s="76"/>
      <c r="B67" s="15"/>
      <c r="C67" s="16"/>
      <c r="D67" s="80"/>
      <c r="E67" s="5"/>
      <c r="H67" s="15"/>
    </row>
    <row r="68" spans="1:8" ht="12.5">
      <c r="A68" s="76"/>
      <c r="B68" s="15"/>
      <c r="C68" s="16"/>
      <c r="D68" s="80"/>
      <c r="E68" s="5"/>
      <c r="H68" s="15"/>
    </row>
    <row r="69" spans="1:8" ht="12.5">
      <c r="A69" s="76"/>
      <c r="B69" s="15"/>
      <c r="C69" s="16"/>
      <c r="D69" s="80"/>
      <c r="E69" s="5"/>
      <c r="H69" s="15"/>
    </row>
    <row r="70" spans="1:8" ht="12.5">
      <c r="A70" s="76"/>
      <c r="B70" s="15"/>
      <c r="C70" s="16"/>
      <c r="D70" s="80"/>
      <c r="E70" s="5"/>
      <c r="H70" s="15"/>
    </row>
    <row r="71" spans="1:8" ht="12.5">
      <c r="A71" s="76"/>
      <c r="B71" s="5"/>
      <c r="C71" s="16"/>
      <c r="D71" s="80"/>
      <c r="E71" s="5"/>
    </row>
    <row r="72" spans="1:8" ht="12.5">
      <c r="A72" s="76"/>
      <c r="B72" s="5"/>
      <c r="C72" s="16"/>
      <c r="D72" s="80"/>
      <c r="E72" s="5"/>
    </row>
    <row r="73" spans="1:8" ht="12.5">
      <c r="A73" s="76"/>
      <c r="B73" s="5"/>
      <c r="C73" s="16"/>
      <c r="D73" s="80"/>
      <c r="E73" s="5"/>
    </row>
    <row r="74" spans="1:8" ht="12.5">
      <c r="A74" s="76"/>
      <c r="B74" s="5"/>
      <c r="C74" s="16"/>
      <c r="D74" s="80"/>
      <c r="E74" s="5"/>
    </row>
    <row r="75" spans="1:8" ht="12.5">
      <c r="A75" s="76"/>
      <c r="B75" s="5"/>
      <c r="C75" s="16"/>
      <c r="D75" s="80"/>
      <c r="E75" s="5"/>
    </row>
    <row r="76" spans="1:8" ht="12.5">
      <c r="A76" s="76"/>
      <c r="B76" s="5"/>
      <c r="C76" s="16"/>
      <c r="D76" s="80"/>
      <c r="E76" s="5"/>
    </row>
    <row r="77" spans="1:8" ht="12.5">
      <c r="A77" s="76"/>
      <c r="B77" s="5"/>
      <c r="C77" s="16"/>
      <c r="D77" s="80"/>
      <c r="E77" s="5"/>
    </row>
    <row r="78" spans="1:8" ht="12.5">
      <c r="A78" s="76"/>
      <c r="B78" s="5"/>
      <c r="C78" s="16"/>
      <c r="D78" s="80"/>
      <c r="E78" s="5"/>
    </row>
    <row r="79" spans="1:8" ht="12.5">
      <c r="A79" s="76"/>
      <c r="B79" s="5"/>
      <c r="C79" s="16"/>
      <c r="D79" s="80"/>
      <c r="E79" s="5"/>
    </row>
    <row r="80" spans="1:8" ht="12.5">
      <c r="A80" s="76"/>
      <c r="B80" s="5"/>
      <c r="C80" s="16"/>
      <c r="D80" s="80"/>
      <c r="E80" s="5"/>
    </row>
    <row r="81" spans="1:5" ht="12.5">
      <c r="A81" s="76"/>
      <c r="B81" s="5"/>
      <c r="C81" s="16"/>
      <c r="D81" s="80"/>
      <c r="E81" s="5"/>
    </row>
    <row r="82" spans="1:5" ht="12.5">
      <c r="A82" s="76"/>
      <c r="B82" s="5"/>
      <c r="C82" s="16"/>
      <c r="D82" s="80"/>
      <c r="E82" s="5"/>
    </row>
    <row r="83" spans="1:5" ht="12.5">
      <c r="A83" s="76"/>
      <c r="B83" s="5"/>
      <c r="C83" s="16"/>
      <c r="D83" s="80"/>
      <c r="E83" s="5"/>
    </row>
    <row r="84" spans="1:5" ht="12.5">
      <c r="A84" s="76"/>
      <c r="B84" s="5"/>
      <c r="C84" s="16"/>
      <c r="D84" s="80"/>
      <c r="E84" s="5"/>
    </row>
    <row r="85" spans="1:5" ht="12.5">
      <c r="A85" s="76"/>
      <c r="B85" s="5"/>
      <c r="C85" s="16"/>
      <c r="D85" s="80"/>
      <c r="E85" s="5"/>
    </row>
    <row r="86" spans="1:5" ht="12.5">
      <c r="A86" s="76"/>
      <c r="B86" s="5"/>
      <c r="C86" s="16"/>
      <c r="D86" s="80"/>
      <c r="E86" s="5"/>
    </row>
    <row r="87" spans="1:5" ht="12.5">
      <c r="A87" s="76"/>
      <c r="B87" s="5"/>
      <c r="C87" s="16"/>
      <c r="D87" s="80"/>
      <c r="E87" s="5"/>
    </row>
    <row r="88" spans="1:5" ht="12.5">
      <c r="A88" s="76"/>
      <c r="B88" s="5"/>
      <c r="C88" s="16"/>
      <c r="D88" s="80"/>
      <c r="E88" s="5"/>
    </row>
    <row r="89" spans="1:5" ht="12.5">
      <c r="A89" s="76"/>
      <c r="B89" s="5"/>
      <c r="C89" s="16"/>
      <c r="D89" s="80"/>
      <c r="E89" s="5"/>
    </row>
    <row r="90" spans="1:5" ht="12.5">
      <c r="A90" s="76"/>
      <c r="B90" s="5"/>
      <c r="C90" s="16"/>
      <c r="D90" s="80"/>
      <c r="E90" s="5"/>
    </row>
    <row r="91" spans="1:5" ht="12.5">
      <c r="A91" s="76"/>
      <c r="B91" s="5"/>
      <c r="C91" s="16"/>
      <c r="D91" s="80"/>
      <c r="E91" s="5"/>
    </row>
    <row r="92" spans="1:5" ht="12.5">
      <c r="A92" s="76"/>
      <c r="B92" s="5"/>
      <c r="C92" s="16"/>
      <c r="D92" s="80"/>
      <c r="E92" s="5"/>
    </row>
    <row r="93" spans="1:5" ht="12.5">
      <c r="A93" s="76"/>
      <c r="B93" s="5"/>
      <c r="C93" s="16"/>
      <c r="D93" s="80"/>
      <c r="E93" s="5"/>
    </row>
    <row r="94" spans="1:5" ht="12.5">
      <c r="A94" s="76"/>
      <c r="B94" s="5"/>
      <c r="C94" s="16"/>
      <c r="D94" s="80"/>
      <c r="E94" s="5"/>
    </row>
    <row r="95" spans="1:5" ht="12.5">
      <c r="A95" s="76"/>
      <c r="B95" s="5"/>
      <c r="C95" s="16"/>
      <c r="D95" s="80"/>
      <c r="E95" s="5"/>
    </row>
    <row r="96" spans="1:5" ht="12.5">
      <c r="A96" s="76"/>
      <c r="B96" s="5"/>
      <c r="C96" s="16"/>
      <c r="D96" s="80"/>
      <c r="E96" s="5"/>
    </row>
    <row r="97" spans="1:5" ht="12.5">
      <c r="A97" s="76"/>
      <c r="B97" s="5"/>
      <c r="C97" s="16"/>
      <c r="D97" s="80"/>
      <c r="E97" s="5"/>
    </row>
    <row r="98" spans="1:5" ht="12.5">
      <c r="A98" s="76"/>
      <c r="B98" s="5"/>
      <c r="C98" s="16"/>
      <c r="D98" s="80"/>
      <c r="E98" s="5"/>
    </row>
    <row r="99" spans="1:5" ht="12.5">
      <c r="A99" s="76"/>
      <c r="B99" s="5"/>
      <c r="C99" s="16"/>
      <c r="D99" s="80"/>
      <c r="E99" s="5"/>
    </row>
    <row r="100" spans="1:5" ht="12.5">
      <c r="A100" s="76"/>
      <c r="B100" s="5"/>
      <c r="C100" s="16"/>
      <c r="D100" s="80"/>
      <c r="E100" s="5"/>
    </row>
    <row r="101" spans="1:5" ht="12.5">
      <c r="A101" s="76"/>
      <c r="B101" s="5"/>
      <c r="C101" s="16"/>
      <c r="D101" s="80"/>
      <c r="E101" s="5"/>
    </row>
    <row r="102" spans="1:5" ht="12.5">
      <c r="A102" s="76"/>
      <c r="B102" s="5"/>
      <c r="C102" s="16"/>
      <c r="D102" s="80"/>
      <c r="E102" s="5"/>
    </row>
    <row r="103" spans="1:5" ht="12.5">
      <c r="A103" s="76"/>
      <c r="B103" s="5"/>
      <c r="C103" s="16"/>
      <c r="D103" s="80"/>
      <c r="E103" s="5"/>
    </row>
    <row r="104" spans="1:5" ht="12.5">
      <c r="A104" s="76"/>
      <c r="B104" s="5"/>
      <c r="C104" s="16"/>
      <c r="D104" s="80"/>
      <c r="E104" s="5"/>
    </row>
    <row r="105" spans="1:5" ht="12.5">
      <c r="A105" s="76"/>
      <c r="B105" s="5"/>
      <c r="C105" s="16"/>
      <c r="D105" s="80"/>
      <c r="E105" s="5"/>
    </row>
    <row r="106" spans="1:5" ht="12.5">
      <c r="A106" s="76"/>
      <c r="B106" s="5"/>
      <c r="C106" s="16"/>
      <c r="D106" s="80"/>
      <c r="E106" s="5"/>
    </row>
    <row r="107" spans="1:5" ht="12.5">
      <c r="A107" s="76"/>
      <c r="B107" s="5"/>
      <c r="C107" s="16"/>
      <c r="D107" s="80"/>
      <c r="E107" s="5"/>
    </row>
    <row r="108" spans="1:5" ht="12.5">
      <c r="A108" s="76"/>
      <c r="B108" s="5"/>
      <c r="C108" s="16"/>
      <c r="D108" s="80"/>
      <c r="E108" s="5"/>
    </row>
    <row r="109" spans="1:5" ht="12.5">
      <c r="A109" s="76"/>
      <c r="B109" s="5"/>
      <c r="C109" s="16"/>
      <c r="D109" s="80"/>
      <c r="E109" s="5"/>
    </row>
    <row r="110" spans="1:5" ht="12.5">
      <c r="A110" s="76"/>
      <c r="B110" s="5"/>
      <c r="C110" s="16"/>
      <c r="D110" s="80"/>
      <c r="E110" s="5"/>
    </row>
    <row r="111" spans="1:5" ht="12.5">
      <c r="A111" s="76"/>
      <c r="B111" s="5"/>
      <c r="C111" s="16"/>
      <c r="D111" s="80"/>
      <c r="E111" s="5"/>
    </row>
    <row r="112" spans="1:5" ht="12.5">
      <c r="A112" s="76"/>
      <c r="B112" s="5"/>
      <c r="C112" s="16"/>
      <c r="D112" s="80"/>
      <c r="E112" s="5"/>
    </row>
    <row r="113" spans="1:5" ht="12.5">
      <c r="A113" s="76"/>
      <c r="B113" s="5"/>
      <c r="C113" s="16"/>
      <c r="D113" s="80"/>
      <c r="E113" s="5"/>
    </row>
    <row r="114" spans="1:5" ht="12.5">
      <c r="A114" s="76"/>
      <c r="B114" s="5"/>
      <c r="C114" s="16"/>
      <c r="D114" s="80"/>
      <c r="E114" s="5"/>
    </row>
    <row r="115" spans="1:5" ht="12.5">
      <c r="A115" s="76"/>
      <c r="B115" s="5"/>
      <c r="C115" s="16"/>
      <c r="D115" s="80"/>
      <c r="E115" s="5"/>
    </row>
    <row r="116" spans="1:5" ht="12.5">
      <c r="A116" s="76"/>
      <c r="B116" s="5"/>
      <c r="C116" s="16"/>
      <c r="D116" s="80"/>
      <c r="E116" s="5"/>
    </row>
    <row r="117" spans="1:5" ht="12.5">
      <c r="A117" s="76"/>
      <c r="B117" s="5"/>
      <c r="C117" s="16"/>
      <c r="D117" s="80"/>
      <c r="E117" s="5"/>
    </row>
    <row r="118" spans="1:5" ht="12.5">
      <c r="A118" s="76"/>
      <c r="B118" s="5"/>
      <c r="C118" s="16"/>
      <c r="D118" s="80"/>
      <c r="E118" s="5"/>
    </row>
    <row r="119" spans="1:5" ht="12.5">
      <c r="A119" s="76"/>
      <c r="B119" s="5"/>
      <c r="C119" s="16"/>
      <c r="D119" s="80"/>
      <c r="E119" s="5"/>
    </row>
    <row r="120" spans="1:5" ht="12.5">
      <c r="A120" s="76"/>
      <c r="B120" s="5"/>
      <c r="C120" s="16"/>
      <c r="D120" s="80"/>
      <c r="E120" s="5"/>
    </row>
    <row r="121" spans="1:5" ht="12.5">
      <c r="A121" s="76"/>
      <c r="B121" s="5"/>
      <c r="C121" s="16"/>
      <c r="D121" s="80"/>
      <c r="E121" s="5"/>
    </row>
    <row r="122" spans="1:5" ht="12.5">
      <c r="A122" s="76"/>
      <c r="B122" s="5"/>
      <c r="C122" s="16"/>
      <c r="D122" s="80"/>
      <c r="E122" s="5"/>
    </row>
    <row r="123" spans="1:5" ht="12.5">
      <c r="A123" s="76"/>
      <c r="B123" s="5"/>
      <c r="C123" s="16"/>
      <c r="D123" s="80"/>
      <c r="E123" s="5"/>
    </row>
    <row r="124" spans="1:5" ht="12.5">
      <c r="A124" s="76"/>
      <c r="B124" s="5"/>
      <c r="C124" s="16"/>
      <c r="D124" s="80"/>
      <c r="E124" s="5"/>
    </row>
    <row r="125" spans="1:5" ht="12.5">
      <c r="A125" s="76"/>
      <c r="B125" s="5"/>
      <c r="C125" s="16"/>
      <c r="D125" s="80"/>
      <c r="E125" s="5"/>
    </row>
    <row r="126" spans="1:5" ht="12.5">
      <c r="A126" s="76"/>
      <c r="B126" s="5"/>
      <c r="C126" s="16"/>
      <c r="D126" s="80"/>
      <c r="E126" s="5"/>
    </row>
    <row r="127" spans="1:5" ht="12.5">
      <c r="A127" s="76"/>
      <c r="B127" s="5"/>
      <c r="C127" s="16"/>
      <c r="D127" s="80"/>
      <c r="E127" s="5"/>
    </row>
    <row r="128" spans="1:5" ht="12.5">
      <c r="A128" s="76"/>
      <c r="B128" s="5"/>
      <c r="C128" s="16"/>
      <c r="D128" s="80"/>
      <c r="E128" s="5"/>
    </row>
    <row r="129" spans="1:5" ht="12.5">
      <c r="A129" s="76"/>
      <c r="B129" s="5"/>
      <c r="C129" s="16"/>
      <c r="D129" s="80"/>
      <c r="E129" s="5"/>
    </row>
    <row r="130" spans="1:5" ht="12.5">
      <c r="A130" s="76"/>
      <c r="B130" s="5"/>
      <c r="C130" s="16"/>
      <c r="D130" s="80"/>
      <c r="E130" s="5"/>
    </row>
    <row r="131" spans="1:5" ht="12.5">
      <c r="A131" s="76"/>
      <c r="B131" s="5"/>
      <c r="C131" s="16"/>
      <c r="D131" s="80"/>
      <c r="E131" s="5"/>
    </row>
    <row r="132" spans="1:5" ht="12.5">
      <c r="A132" s="76"/>
      <c r="B132" s="5"/>
      <c r="C132" s="16"/>
      <c r="D132" s="80"/>
      <c r="E132" s="5"/>
    </row>
    <row r="133" spans="1:5" ht="12.5">
      <c r="A133" s="76"/>
      <c r="B133" s="5"/>
      <c r="C133" s="16"/>
      <c r="D133" s="80"/>
      <c r="E133" s="5"/>
    </row>
    <row r="134" spans="1:5" ht="12.5">
      <c r="A134" s="76"/>
      <c r="B134" s="5"/>
      <c r="C134" s="16"/>
      <c r="D134" s="80"/>
      <c r="E134" s="5"/>
    </row>
    <row r="135" spans="1:5" ht="12.5">
      <c r="A135" s="76"/>
      <c r="B135" s="5"/>
      <c r="C135" s="16"/>
      <c r="D135" s="80"/>
      <c r="E135" s="5"/>
    </row>
    <row r="136" spans="1:5" ht="12.5">
      <c r="A136" s="76"/>
      <c r="B136" s="5"/>
      <c r="C136" s="16"/>
      <c r="D136" s="80"/>
      <c r="E136" s="5"/>
    </row>
    <row r="137" spans="1:5" ht="12.5">
      <c r="A137" s="76"/>
      <c r="B137" s="5"/>
      <c r="C137" s="16"/>
      <c r="D137" s="80"/>
      <c r="E137" s="5"/>
    </row>
    <row r="138" spans="1:5" ht="12.5">
      <c r="A138" s="76"/>
      <c r="B138" s="5"/>
      <c r="C138" s="16"/>
      <c r="D138" s="80"/>
      <c r="E138" s="5"/>
    </row>
    <row r="139" spans="1:5" ht="12.5">
      <c r="A139" s="76"/>
      <c r="B139" s="5"/>
      <c r="C139" s="16"/>
      <c r="D139" s="80"/>
      <c r="E139" s="5"/>
    </row>
    <row r="140" spans="1:5" ht="12.5">
      <c r="A140" s="76"/>
      <c r="B140" s="5"/>
      <c r="C140" s="16"/>
      <c r="D140" s="80"/>
      <c r="E140" s="5"/>
    </row>
    <row r="141" spans="1:5" ht="12.5">
      <c r="A141" s="76"/>
      <c r="B141" s="5"/>
      <c r="C141" s="16"/>
      <c r="D141" s="80"/>
      <c r="E141" s="5"/>
    </row>
    <row r="142" spans="1:5" ht="12.5">
      <c r="A142" s="76"/>
      <c r="B142" s="5"/>
      <c r="C142" s="16"/>
      <c r="D142" s="80"/>
      <c r="E142" s="5"/>
    </row>
    <row r="143" spans="1:5" ht="12.5">
      <c r="A143" s="76"/>
      <c r="B143" s="5"/>
      <c r="C143" s="16"/>
      <c r="D143" s="80"/>
      <c r="E143" s="5"/>
    </row>
    <row r="144" spans="1:5" ht="12.5">
      <c r="A144" s="76"/>
      <c r="B144" s="5"/>
      <c r="C144" s="16"/>
      <c r="D144" s="80"/>
      <c r="E144" s="5"/>
    </row>
    <row r="145" spans="1:5" ht="12.5">
      <c r="A145" s="76"/>
      <c r="B145" s="5"/>
      <c r="C145" s="16"/>
      <c r="D145" s="80"/>
      <c r="E145" s="5"/>
    </row>
    <row r="146" spans="1:5" ht="12.5">
      <c r="A146" s="76"/>
      <c r="B146" s="5"/>
      <c r="C146" s="16"/>
      <c r="D146" s="80"/>
      <c r="E146" s="5"/>
    </row>
    <row r="147" spans="1:5" ht="12.5">
      <c r="A147" s="76"/>
      <c r="B147" s="5"/>
      <c r="C147" s="16"/>
      <c r="D147" s="80"/>
      <c r="E147" s="5"/>
    </row>
    <row r="148" spans="1:5" ht="12.5">
      <c r="A148" s="76"/>
      <c r="B148" s="5"/>
      <c r="C148" s="16"/>
      <c r="D148" s="80"/>
      <c r="E148" s="5"/>
    </row>
    <row r="149" spans="1:5" ht="12.5">
      <c r="A149" s="76"/>
      <c r="B149" s="5"/>
      <c r="C149" s="16"/>
      <c r="D149" s="80"/>
      <c r="E149" s="5"/>
    </row>
    <row r="150" spans="1:5" ht="12.5">
      <c r="A150" s="76"/>
      <c r="B150" s="5"/>
      <c r="C150" s="16"/>
      <c r="D150" s="80"/>
      <c r="E150" s="5"/>
    </row>
    <row r="151" spans="1:5" ht="12.5">
      <c r="A151" s="76"/>
      <c r="B151" s="5"/>
      <c r="C151" s="16"/>
      <c r="D151" s="80"/>
      <c r="E151" s="5"/>
    </row>
    <row r="152" spans="1:5" ht="12.5">
      <c r="A152" s="76"/>
      <c r="B152" s="5"/>
      <c r="C152" s="16"/>
      <c r="D152" s="80"/>
      <c r="E152" s="5"/>
    </row>
    <row r="153" spans="1:5" ht="12.5">
      <c r="A153" s="76"/>
      <c r="B153" s="5"/>
      <c r="C153" s="16"/>
      <c r="D153" s="80"/>
      <c r="E153" s="5"/>
    </row>
    <row r="154" spans="1:5" ht="12.5">
      <c r="A154" s="76"/>
      <c r="B154" s="5"/>
      <c r="C154" s="16"/>
      <c r="D154" s="80"/>
      <c r="E154" s="5"/>
    </row>
    <row r="155" spans="1:5" ht="12.5">
      <c r="A155" s="76"/>
      <c r="B155" s="5"/>
      <c r="C155" s="16"/>
      <c r="D155" s="80"/>
      <c r="E155" s="5"/>
    </row>
    <row r="156" spans="1:5" ht="12.5">
      <c r="A156" s="76"/>
      <c r="B156" s="5"/>
      <c r="C156" s="16"/>
      <c r="D156" s="80"/>
      <c r="E156" s="5"/>
    </row>
    <row r="157" spans="1:5" ht="12.5">
      <c r="A157" s="76"/>
      <c r="B157" s="5"/>
      <c r="C157" s="16"/>
      <c r="D157" s="80"/>
      <c r="E157" s="5"/>
    </row>
    <row r="158" spans="1:5" ht="12.5">
      <c r="A158" s="76"/>
      <c r="B158" s="5"/>
      <c r="C158" s="16"/>
      <c r="D158" s="80"/>
      <c r="E158" s="5"/>
    </row>
    <row r="159" spans="1:5" ht="12.5">
      <c r="A159" s="76"/>
      <c r="B159" s="5"/>
      <c r="C159" s="16"/>
      <c r="D159" s="80"/>
      <c r="E159" s="5"/>
    </row>
    <row r="160" spans="1:5" ht="12.5">
      <c r="A160" s="76"/>
      <c r="B160" s="5"/>
      <c r="C160" s="16"/>
      <c r="D160" s="80"/>
      <c r="E160" s="5"/>
    </row>
    <row r="161" spans="1:5" ht="12.5">
      <c r="A161" s="76"/>
      <c r="B161" s="5"/>
      <c r="C161" s="16"/>
      <c r="D161" s="80"/>
      <c r="E161" s="5"/>
    </row>
    <row r="162" spans="1:5" ht="12.5">
      <c r="A162" s="76"/>
      <c r="B162" s="5"/>
      <c r="C162" s="16"/>
      <c r="D162" s="80"/>
      <c r="E162" s="5"/>
    </row>
    <row r="163" spans="1:5" ht="12.5">
      <c r="A163" s="76"/>
      <c r="B163" s="5"/>
      <c r="C163" s="16"/>
      <c r="D163" s="80"/>
      <c r="E163" s="5"/>
    </row>
    <row r="164" spans="1:5" ht="12.5">
      <c r="A164" s="76"/>
      <c r="B164" s="5"/>
      <c r="C164" s="16"/>
      <c r="D164" s="80"/>
      <c r="E164" s="5"/>
    </row>
    <row r="165" spans="1:5" ht="12.5">
      <c r="A165" s="76"/>
      <c r="B165" s="5"/>
      <c r="C165" s="16"/>
      <c r="D165" s="80"/>
      <c r="E165" s="5"/>
    </row>
    <row r="166" spans="1:5" ht="12.5">
      <c r="A166" s="76"/>
      <c r="B166" s="5"/>
      <c r="C166" s="16"/>
      <c r="D166" s="80"/>
      <c r="E166" s="5"/>
    </row>
    <row r="167" spans="1:5" ht="12.5">
      <c r="A167" s="76"/>
      <c r="B167" s="5"/>
      <c r="C167" s="16"/>
      <c r="D167" s="80"/>
      <c r="E167" s="5"/>
    </row>
    <row r="168" spans="1:5" ht="12.5">
      <c r="A168" s="76"/>
      <c r="B168" s="5"/>
      <c r="C168" s="16"/>
      <c r="D168" s="80"/>
      <c r="E168" s="5"/>
    </row>
    <row r="169" spans="1:5" ht="12.5">
      <c r="A169" s="76"/>
      <c r="B169" s="5"/>
      <c r="C169" s="16"/>
      <c r="D169" s="80"/>
      <c r="E169" s="5"/>
    </row>
    <row r="170" spans="1:5" ht="12.5">
      <c r="A170" s="76"/>
      <c r="B170" s="5"/>
      <c r="C170" s="16"/>
      <c r="D170" s="80"/>
      <c r="E170" s="5"/>
    </row>
    <row r="171" spans="1:5" ht="12.5">
      <c r="A171" s="76"/>
      <c r="B171" s="5"/>
      <c r="C171" s="16"/>
      <c r="D171" s="80"/>
      <c r="E171" s="5"/>
    </row>
    <row r="172" spans="1:5" ht="12.5">
      <c r="A172" s="76"/>
      <c r="B172" s="5"/>
      <c r="C172" s="16"/>
      <c r="D172" s="80"/>
      <c r="E172" s="5"/>
    </row>
    <row r="173" spans="1:5" ht="12.5">
      <c r="A173" s="76"/>
      <c r="B173" s="5"/>
      <c r="C173" s="16"/>
      <c r="D173" s="80"/>
      <c r="E173" s="5"/>
    </row>
    <row r="174" spans="1:5" ht="12.5">
      <c r="A174" s="76"/>
      <c r="B174" s="5"/>
      <c r="C174" s="16"/>
      <c r="D174" s="80"/>
      <c r="E174" s="5"/>
    </row>
    <row r="175" spans="1:5" ht="12.5">
      <c r="A175" s="76"/>
      <c r="B175" s="5"/>
      <c r="C175" s="16"/>
      <c r="D175" s="80"/>
      <c r="E175" s="5"/>
    </row>
    <row r="176" spans="1:5" ht="12.5">
      <c r="A176" s="76"/>
      <c r="B176" s="5"/>
      <c r="C176" s="16"/>
      <c r="D176" s="80"/>
      <c r="E176" s="5"/>
    </row>
    <row r="177" spans="1:5" ht="12.5">
      <c r="A177" s="76"/>
      <c r="B177" s="5"/>
      <c r="C177" s="16"/>
      <c r="D177" s="80"/>
      <c r="E177" s="5"/>
    </row>
    <row r="178" spans="1:5" ht="12.5">
      <c r="A178" s="76"/>
      <c r="B178" s="5"/>
      <c r="C178" s="16"/>
      <c r="D178" s="80"/>
      <c r="E178" s="5"/>
    </row>
    <row r="179" spans="1:5" ht="12.5">
      <c r="A179" s="76"/>
      <c r="B179" s="5"/>
      <c r="C179" s="16"/>
      <c r="D179" s="80"/>
      <c r="E179" s="5"/>
    </row>
    <row r="180" spans="1:5" ht="12.5">
      <c r="A180" s="76"/>
      <c r="B180" s="5"/>
      <c r="C180" s="16"/>
      <c r="D180" s="80"/>
      <c r="E180" s="5"/>
    </row>
    <row r="181" spans="1:5" ht="12.5">
      <c r="A181" s="76"/>
      <c r="B181" s="5"/>
      <c r="C181" s="16"/>
      <c r="D181" s="80"/>
      <c r="E181" s="5"/>
    </row>
    <row r="182" spans="1:5" ht="12.5">
      <c r="A182" s="76"/>
      <c r="B182" s="5"/>
      <c r="C182" s="16"/>
      <c r="D182" s="80"/>
      <c r="E182" s="5"/>
    </row>
    <row r="183" spans="1:5" ht="12.5">
      <c r="A183" s="76"/>
      <c r="B183" s="5"/>
      <c r="C183" s="16"/>
      <c r="D183" s="80"/>
      <c r="E183" s="5"/>
    </row>
    <row r="184" spans="1:5" ht="12.5">
      <c r="A184" s="76"/>
      <c r="B184" s="5"/>
      <c r="C184" s="16"/>
      <c r="D184" s="80"/>
      <c r="E184" s="5"/>
    </row>
    <row r="185" spans="1:5" ht="12.5">
      <c r="A185" s="76"/>
      <c r="B185" s="5"/>
      <c r="C185" s="16"/>
      <c r="D185" s="80"/>
      <c r="E185" s="5"/>
    </row>
    <row r="186" spans="1:5" ht="12.5">
      <c r="A186" s="76"/>
      <c r="B186" s="5"/>
      <c r="C186" s="16"/>
      <c r="D186" s="80"/>
      <c r="E186" s="5"/>
    </row>
    <row r="187" spans="1:5" ht="12.5">
      <c r="A187" s="76"/>
      <c r="B187" s="5"/>
      <c r="C187" s="16"/>
      <c r="D187" s="80"/>
      <c r="E187" s="5"/>
    </row>
    <row r="188" spans="1:5" ht="12.5">
      <c r="A188" s="76"/>
      <c r="B188" s="5"/>
      <c r="C188" s="16"/>
      <c r="D188" s="80"/>
      <c r="E188" s="5"/>
    </row>
    <row r="189" spans="1:5" ht="12.5">
      <c r="A189" s="76"/>
      <c r="B189" s="5"/>
      <c r="C189" s="16"/>
      <c r="D189" s="80"/>
      <c r="E189" s="5"/>
    </row>
    <row r="190" spans="1:5" ht="12.5">
      <c r="A190" s="76"/>
      <c r="B190" s="5"/>
      <c r="C190" s="16"/>
      <c r="D190" s="80"/>
      <c r="E190" s="5"/>
    </row>
    <row r="191" spans="1:5" ht="12.5">
      <c r="A191" s="76"/>
      <c r="B191" s="5"/>
      <c r="C191" s="16"/>
      <c r="D191" s="80"/>
      <c r="E191" s="5"/>
    </row>
    <row r="192" spans="1:5" ht="12.5">
      <c r="A192" s="76"/>
      <c r="B192" s="5"/>
      <c r="C192" s="16"/>
      <c r="D192" s="80"/>
      <c r="E192" s="5"/>
    </row>
    <row r="193" spans="1:5" ht="12.5">
      <c r="A193" s="76"/>
      <c r="B193" s="5"/>
      <c r="C193" s="16"/>
      <c r="D193" s="80"/>
      <c r="E193" s="5"/>
    </row>
    <row r="194" spans="1:5" ht="12.5">
      <c r="A194" s="76"/>
      <c r="B194" s="5"/>
      <c r="C194" s="16"/>
      <c r="D194" s="80"/>
      <c r="E194" s="5"/>
    </row>
    <row r="195" spans="1:5" ht="12.5">
      <c r="A195" s="76"/>
      <c r="B195" s="5"/>
      <c r="C195" s="16"/>
      <c r="D195" s="80"/>
      <c r="E195" s="5"/>
    </row>
    <row r="196" spans="1:5" ht="12.5">
      <c r="A196" s="76"/>
      <c r="B196" s="5"/>
      <c r="C196" s="16"/>
      <c r="D196" s="80"/>
      <c r="E196" s="5"/>
    </row>
    <row r="197" spans="1:5" ht="12.5">
      <c r="A197" s="76"/>
      <c r="B197" s="5"/>
      <c r="C197" s="16"/>
      <c r="D197" s="80"/>
      <c r="E197" s="5"/>
    </row>
    <row r="198" spans="1:5" ht="12.5">
      <c r="A198" s="76"/>
      <c r="B198" s="5"/>
      <c r="C198" s="16"/>
      <c r="D198" s="80"/>
      <c r="E198" s="5"/>
    </row>
    <row r="199" spans="1:5" ht="12.5">
      <c r="A199" s="76"/>
      <c r="B199" s="5"/>
      <c r="C199" s="16"/>
      <c r="D199" s="80"/>
      <c r="E199" s="5"/>
    </row>
    <row r="200" spans="1:5" ht="12.5">
      <c r="A200" s="76"/>
      <c r="B200" s="5"/>
      <c r="C200" s="16"/>
      <c r="D200" s="80"/>
      <c r="E200" s="5"/>
    </row>
    <row r="201" spans="1:5" ht="12.5">
      <c r="A201" s="76"/>
      <c r="B201" s="5"/>
      <c r="C201" s="16"/>
      <c r="D201" s="80"/>
      <c r="E201" s="5"/>
    </row>
    <row r="202" spans="1:5" ht="12.5">
      <c r="A202" s="76"/>
      <c r="B202" s="5"/>
      <c r="C202" s="16"/>
      <c r="D202" s="80"/>
      <c r="E202" s="5"/>
    </row>
    <row r="203" spans="1:5" ht="12.5">
      <c r="A203" s="76"/>
      <c r="B203" s="5"/>
      <c r="C203" s="16"/>
      <c r="D203" s="80"/>
      <c r="E203" s="5"/>
    </row>
    <row r="204" spans="1:5" ht="12.5">
      <c r="A204" s="76"/>
      <c r="B204" s="5"/>
      <c r="C204" s="16"/>
      <c r="D204" s="80"/>
      <c r="E204" s="5"/>
    </row>
    <row r="205" spans="1:5" ht="12.5">
      <c r="A205" s="76"/>
      <c r="B205" s="5"/>
      <c r="C205" s="16"/>
      <c r="D205" s="80"/>
      <c r="E205" s="5"/>
    </row>
    <row r="206" spans="1:5" ht="12.5">
      <c r="A206" s="76"/>
      <c r="B206" s="5"/>
      <c r="C206" s="16"/>
      <c r="D206" s="80"/>
      <c r="E206" s="5"/>
    </row>
    <row r="207" spans="1:5" ht="12.5">
      <c r="A207" s="76"/>
      <c r="B207" s="5"/>
      <c r="C207" s="16"/>
      <c r="D207" s="80"/>
      <c r="E207" s="5"/>
    </row>
    <row r="208" spans="1:5" ht="12.5">
      <c r="A208" s="76"/>
      <c r="B208" s="5"/>
      <c r="C208" s="16"/>
      <c r="D208" s="80"/>
      <c r="E208" s="5"/>
    </row>
    <row r="209" spans="1:5" ht="12.5">
      <c r="A209" s="76"/>
      <c r="B209" s="5"/>
      <c r="C209" s="16"/>
      <c r="D209" s="80"/>
      <c r="E209" s="5"/>
    </row>
    <row r="210" spans="1:5" ht="12.5">
      <c r="A210" s="76"/>
      <c r="B210" s="5"/>
      <c r="C210" s="16"/>
      <c r="D210" s="80"/>
      <c r="E210" s="5"/>
    </row>
    <row r="211" spans="1:5" ht="12.5">
      <c r="A211" s="76"/>
      <c r="B211" s="5"/>
      <c r="C211" s="16"/>
      <c r="D211" s="80"/>
      <c r="E211" s="5"/>
    </row>
    <row r="212" spans="1:5" ht="12.5">
      <c r="A212" s="76"/>
      <c r="B212" s="5"/>
      <c r="C212" s="16"/>
      <c r="D212" s="80"/>
      <c r="E212" s="5"/>
    </row>
    <row r="213" spans="1:5" ht="12.5">
      <c r="A213" s="76"/>
      <c r="B213" s="5"/>
      <c r="C213" s="16"/>
      <c r="D213" s="80"/>
      <c r="E213" s="5"/>
    </row>
    <row r="214" spans="1:5" ht="12.5">
      <c r="A214" s="76"/>
      <c r="B214" s="5"/>
      <c r="C214" s="16"/>
      <c r="D214" s="80"/>
      <c r="E214" s="5"/>
    </row>
    <row r="215" spans="1:5" ht="12.5">
      <c r="A215" s="76"/>
      <c r="B215" s="5"/>
      <c r="C215" s="16"/>
      <c r="D215" s="80"/>
      <c r="E215" s="5"/>
    </row>
    <row r="216" spans="1:5" ht="12.5">
      <c r="A216" s="76"/>
      <c r="B216" s="5"/>
      <c r="C216" s="16"/>
      <c r="D216" s="80"/>
      <c r="E216" s="5"/>
    </row>
    <row r="217" spans="1:5" ht="12.5">
      <c r="A217" s="76"/>
      <c r="B217" s="5"/>
      <c r="C217" s="16"/>
      <c r="D217" s="80"/>
      <c r="E217" s="5"/>
    </row>
    <row r="218" spans="1:5" ht="12.5">
      <c r="A218" s="76"/>
      <c r="B218" s="5"/>
      <c r="C218" s="16"/>
      <c r="D218" s="80"/>
      <c r="E218" s="5"/>
    </row>
    <row r="219" spans="1:5" ht="12.5">
      <c r="A219" s="76"/>
      <c r="B219" s="5"/>
      <c r="C219" s="16"/>
      <c r="D219" s="80"/>
      <c r="E219" s="5"/>
    </row>
    <row r="220" spans="1:5" ht="12.5">
      <c r="A220" s="76"/>
      <c r="B220" s="5"/>
      <c r="C220" s="16"/>
      <c r="D220" s="80"/>
      <c r="E220" s="5"/>
    </row>
    <row r="221" spans="1:5" ht="12.5">
      <c r="A221" s="76"/>
      <c r="B221" s="5"/>
      <c r="C221" s="16"/>
      <c r="D221" s="80"/>
      <c r="E221" s="5"/>
    </row>
    <row r="222" spans="1:5" ht="12.5">
      <c r="A222" s="76"/>
      <c r="B222" s="5"/>
      <c r="C222" s="16"/>
      <c r="D222" s="80"/>
      <c r="E222" s="5"/>
    </row>
    <row r="223" spans="1:5" ht="12.5">
      <c r="A223" s="76"/>
      <c r="B223" s="5"/>
      <c r="C223" s="16"/>
      <c r="D223" s="80"/>
      <c r="E223" s="5"/>
    </row>
    <row r="224" spans="1:5" ht="12.5">
      <c r="A224" s="76"/>
      <c r="B224" s="5"/>
      <c r="C224" s="16"/>
      <c r="D224" s="80"/>
      <c r="E224" s="5"/>
    </row>
    <row r="225" spans="1:5" ht="12.5">
      <c r="A225" s="76"/>
      <c r="B225" s="5"/>
      <c r="C225" s="16"/>
      <c r="D225" s="80"/>
      <c r="E225" s="5"/>
    </row>
    <row r="226" spans="1:5" ht="12.5">
      <c r="A226" s="76"/>
      <c r="B226" s="5"/>
      <c r="C226" s="16"/>
      <c r="D226" s="80"/>
      <c r="E226" s="5"/>
    </row>
    <row r="227" spans="1:5" ht="12.5">
      <c r="A227" s="76"/>
      <c r="B227" s="5"/>
      <c r="C227" s="16"/>
      <c r="D227" s="80"/>
      <c r="E227" s="5"/>
    </row>
    <row r="228" spans="1:5" ht="12.5">
      <c r="A228" s="76"/>
      <c r="B228" s="5"/>
      <c r="C228" s="16"/>
      <c r="D228" s="80"/>
      <c r="E228" s="5"/>
    </row>
    <row r="229" spans="1:5" ht="12.5">
      <c r="A229" s="76"/>
      <c r="B229" s="5"/>
      <c r="C229" s="16"/>
      <c r="D229" s="80"/>
      <c r="E229" s="5"/>
    </row>
    <row r="230" spans="1:5" ht="12.5">
      <c r="A230" s="76"/>
      <c r="B230" s="5"/>
      <c r="C230" s="16"/>
      <c r="D230" s="80"/>
      <c r="E230" s="5"/>
    </row>
    <row r="231" spans="1:5" ht="12.5">
      <c r="A231" s="76"/>
      <c r="B231" s="5"/>
      <c r="C231" s="16"/>
      <c r="D231" s="80"/>
      <c r="E231" s="5"/>
    </row>
    <row r="232" spans="1:5" ht="12.5">
      <c r="A232" s="76"/>
      <c r="B232" s="5"/>
      <c r="C232" s="16"/>
      <c r="D232" s="80"/>
      <c r="E232" s="5"/>
    </row>
    <row r="233" spans="1:5" ht="12.5">
      <c r="A233" s="76"/>
      <c r="B233" s="5"/>
      <c r="C233" s="16"/>
      <c r="D233" s="80"/>
      <c r="E233" s="5"/>
    </row>
    <row r="234" spans="1:5" ht="12.5">
      <c r="A234" s="76"/>
      <c r="B234" s="5"/>
      <c r="C234" s="16"/>
      <c r="D234" s="80"/>
      <c r="E234" s="5"/>
    </row>
    <row r="235" spans="1:5" ht="12.5">
      <c r="A235" s="76"/>
      <c r="B235" s="5"/>
      <c r="C235" s="16"/>
      <c r="D235" s="80"/>
      <c r="E235" s="5"/>
    </row>
    <row r="236" spans="1:5" ht="12.5">
      <c r="A236" s="76"/>
      <c r="B236" s="5"/>
      <c r="C236" s="16"/>
      <c r="D236" s="80"/>
      <c r="E236" s="5"/>
    </row>
    <row r="237" spans="1:5" ht="12.5">
      <c r="A237" s="76"/>
      <c r="B237" s="5"/>
      <c r="C237" s="16"/>
      <c r="D237" s="80"/>
      <c r="E237" s="5"/>
    </row>
    <row r="238" spans="1:5" ht="12.5">
      <c r="A238" s="76"/>
      <c r="B238" s="5"/>
      <c r="C238" s="16"/>
      <c r="D238" s="80"/>
      <c r="E238" s="5"/>
    </row>
    <row r="239" spans="1:5" ht="12.5">
      <c r="A239" s="76"/>
      <c r="B239" s="5"/>
      <c r="C239" s="16"/>
      <c r="D239" s="80"/>
      <c r="E239" s="5"/>
    </row>
    <row r="240" spans="1:5" ht="12.5">
      <c r="A240" s="76"/>
      <c r="B240" s="5"/>
      <c r="C240" s="16"/>
      <c r="D240" s="80"/>
      <c r="E240" s="5"/>
    </row>
    <row r="241" spans="1:5" ht="12.5">
      <c r="A241" s="76"/>
      <c r="B241" s="5"/>
      <c r="C241" s="16"/>
      <c r="D241" s="80"/>
      <c r="E241" s="5"/>
    </row>
    <row r="242" spans="1:5" ht="12.5">
      <c r="A242" s="76"/>
      <c r="B242" s="5"/>
      <c r="C242" s="16"/>
      <c r="D242" s="80"/>
      <c r="E242" s="5"/>
    </row>
    <row r="243" spans="1:5" ht="12.5">
      <c r="A243" s="76"/>
      <c r="B243" s="5"/>
      <c r="C243" s="16"/>
      <c r="D243" s="80"/>
      <c r="E243" s="5"/>
    </row>
    <row r="244" spans="1:5" ht="12.5">
      <c r="A244" s="76"/>
      <c r="B244" s="5"/>
      <c r="C244" s="16"/>
      <c r="D244" s="80"/>
      <c r="E244" s="5"/>
    </row>
    <row r="245" spans="1:5" ht="12.5">
      <c r="A245" s="76"/>
      <c r="B245" s="5"/>
      <c r="C245" s="16"/>
      <c r="D245" s="80"/>
      <c r="E245" s="5"/>
    </row>
    <row r="246" spans="1:5" ht="12.5">
      <c r="A246" s="76"/>
      <c r="B246" s="5"/>
      <c r="C246" s="16"/>
      <c r="D246" s="80"/>
      <c r="E246" s="5"/>
    </row>
    <row r="247" spans="1:5" ht="12.5">
      <c r="A247" s="76"/>
      <c r="B247" s="5"/>
      <c r="C247" s="16"/>
      <c r="D247" s="80"/>
      <c r="E247" s="5"/>
    </row>
    <row r="248" spans="1:5" ht="12.5">
      <c r="A248" s="76"/>
      <c r="B248" s="5"/>
      <c r="C248" s="16"/>
      <c r="D248" s="80"/>
      <c r="E248" s="5"/>
    </row>
    <row r="249" spans="1:5" ht="12.5">
      <c r="A249" s="76"/>
      <c r="B249" s="5"/>
      <c r="C249" s="16"/>
      <c r="D249" s="80"/>
      <c r="E249" s="5"/>
    </row>
    <row r="250" spans="1:5" ht="12.5">
      <c r="A250" s="76"/>
      <c r="B250" s="5"/>
      <c r="C250" s="16"/>
      <c r="D250" s="80"/>
      <c r="E250" s="5"/>
    </row>
    <row r="251" spans="1:5" ht="12.5">
      <c r="A251" s="76"/>
      <c r="B251" s="5"/>
      <c r="C251" s="16"/>
      <c r="D251" s="80"/>
      <c r="E251" s="5"/>
    </row>
    <row r="252" spans="1:5" ht="12.5">
      <c r="A252" s="76"/>
      <c r="B252" s="5"/>
      <c r="C252" s="16"/>
      <c r="D252" s="80"/>
      <c r="E252" s="5"/>
    </row>
    <row r="253" spans="1:5" ht="12.5">
      <c r="A253" s="76"/>
      <c r="B253" s="5"/>
      <c r="C253" s="16"/>
      <c r="D253" s="80"/>
      <c r="E253" s="5"/>
    </row>
    <row r="254" spans="1:5" ht="12.5">
      <c r="A254" s="76"/>
      <c r="B254" s="5"/>
      <c r="C254" s="16"/>
      <c r="D254" s="80"/>
      <c r="E254" s="5"/>
    </row>
    <row r="255" spans="1:5" ht="12.5">
      <c r="A255" s="76"/>
      <c r="B255" s="5"/>
      <c r="C255" s="16"/>
      <c r="D255" s="80"/>
      <c r="E255" s="5"/>
    </row>
    <row r="256" spans="1:5" ht="12.5">
      <c r="A256" s="76"/>
      <c r="B256" s="5"/>
      <c r="C256" s="16"/>
      <c r="D256" s="80"/>
      <c r="E256" s="5"/>
    </row>
    <row r="257" spans="1:5" ht="12.5">
      <c r="A257" s="76"/>
      <c r="B257" s="5"/>
      <c r="C257" s="16"/>
      <c r="D257" s="80"/>
      <c r="E257" s="5"/>
    </row>
    <row r="258" spans="1:5" ht="12.5">
      <c r="A258" s="76"/>
      <c r="B258" s="5"/>
      <c r="C258" s="16"/>
      <c r="D258" s="80"/>
      <c r="E258" s="5"/>
    </row>
    <row r="259" spans="1:5" ht="12.5">
      <c r="A259" s="76"/>
      <c r="B259" s="5"/>
      <c r="C259" s="16"/>
      <c r="D259" s="80"/>
      <c r="E259" s="5"/>
    </row>
    <row r="260" spans="1:5" ht="12.5">
      <c r="A260" s="76"/>
      <c r="B260" s="5"/>
      <c r="C260" s="16"/>
      <c r="D260" s="80"/>
      <c r="E260" s="5"/>
    </row>
    <row r="261" spans="1:5" ht="12.5">
      <c r="A261" s="76"/>
      <c r="B261" s="5"/>
      <c r="C261" s="16"/>
      <c r="D261" s="80"/>
      <c r="E261" s="5"/>
    </row>
    <row r="262" spans="1:5" ht="12.5">
      <c r="A262" s="76"/>
      <c r="B262" s="5"/>
      <c r="C262" s="16"/>
      <c r="D262" s="80"/>
      <c r="E262" s="5"/>
    </row>
    <row r="263" spans="1:5" ht="12.5">
      <c r="A263" s="76"/>
      <c r="B263" s="5"/>
      <c r="C263" s="16"/>
      <c r="D263" s="80"/>
      <c r="E263" s="5"/>
    </row>
    <row r="264" spans="1:5" ht="12.5">
      <c r="A264" s="76"/>
      <c r="B264" s="5"/>
      <c r="C264" s="16"/>
      <c r="D264" s="80"/>
      <c r="E264" s="5"/>
    </row>
    <row r="265" spans="1:5" ht="12.5">
      <c r="A265" s="76"/>
      <c r="B265" s="5"/>
      <c r="C265" s="16"/>
      <c r="D265" s="80"/>
      <c r="E265" s="5"/>
    </row>
    <row r="266" spans="1:5" ht="12.5">
      <c r="A266" s="76"/>
      <c r="B266" s="5"/>
      <c r="C266" s="16"/>
      <c r="D266" s="80"/>
      <c r="E266" s="5"/>
    </row>
    <row r="267" spans="1:5" ht="12.5">
      <c r="A267" s="76"/>
      <c r="B267" s="5"/>
      <c r="C267" s="16"/>
      <c r="D267" s="80"/>
      <c r="E267" s="5"/>
    </row>
    <row r="268" spans="1:5" ht="12.5">
      <c r="A268" s="76"/>
      <c r="B268" s="5"/>
      <c r="C268" s="16"/>
      <c r="D268" s="80"/>
      <c r="E268" s="5"/>
    </row>
    <row r="269" spans="1:5" ht="12.5">
      <c r="A269" s="76"/>
      <c r="B269" s="5"/>
      <c r="C269" s="16"/>
      <c r="D269" s="80"/>
      <c r="E269" s="5"/>
    </row>
    <row r="270" spans="1:5" ht="12.5">
      <c r="A270" s="76"/>
      <c r="B270" s="5"/>
      <c r="C270" s="16"/>
      <c r="D270" s="80"/>
      <c r="E270" s="5"/>
    </row>
    <row r="271" spans="1:5" ht="12.5">
      <c r="A271" s="76"/>
      <c r="B271" s="5"/>
      <c r="C271" s="16"/>
      <c r="D271" s="80"/>
      <c r="E271" s="5"/>
    </row>
    <row r="272" spans="1:5" ht="12.5">
      <c r="A272" s="76"/>
      <c r="B272" s="5"/>
      <c r="C272" s="16"/>
      <c r="D272" s="80"/>
      <c r="E272" s="5"/>
    </row>
    <row r="273" spans="1:5" ht="12.5">
      <c r="A273" s="76"/>
      <c r="B273" s="5"/>
      <c r="C273" s="16"/>
      <c r="D273" s="80"/>
      <c r="E273" s="5"/>
    </row>
    <row r="274" spans="1:5" ht="12.5">
      <c r="A274" s="76"/>
      <c r="B274" s="5"/>
      <c r="C274" s="16"/>
      <c r="D274" s="80"/>
      <c r="E274" s="5"/>
    </row>
    <row r="275" spans="1:5" ht="12.5">
      <c r="A275" s="76"/>
      <c r="B275" s="5"/>
      <c r="C275" s="16"/>
      <c r="D275" s="80"/>
      <c r="E275" s="5"/>
    </row>
    <row r="276" spans="1:5" ht="12.5">
      <c r="A276" s="76"/>
      <c r="B276" s="5"/>
      <c r="C276" s="16"/>
      <c r="D276" s="80"/>
      <c r="E276" s="5"/>
    </row>
    <row r="277" spans="1:5" ht="12.5">
      <c r="A277" s="76"/>
      <c r="B277" s="5"/>
      <c r="C277" s="16"/>
      <c r="D277" s="80"/>
      <c r="E277" s="5"/>
    </row>
    <row r="278" spans="1:5" ht="12.5">
      <c r="A278" s="76"/>
      <c r="B278" s="5"/>
      <c r="C278" s="16"/>
      <c r="D278" s="80"/>
      <c r="E278" s="5"/>
    </row>
    <row r="279" spans="1:5" ht="12.5">
      <c r="A279" s="76"/>
      <c r="B279" s="5"/>
      <c r="C279" s="16"/>
      <c r="D279" s="80"/>
      <c r="E279" s="5"/>
    </row>
    <row r="280" spans="1:5" ht="12.5">
      <c r="A280" s="76"/>
      <c r="B280" s="5"/>
      <c r="C280" s="16"/>
      <c r="D280" s="80"/>
      <c r="E280" s="5"/>
    </row>
    <row r="281" spans="1:5" ht="12.5">
      <c r="A281" s="76"/>
      <c r="B281" s="5"/>
      <c r="C281" s="16"/>
      <c r="D281" s="80"/>
      <c r="E281" s="5"/>
    </row>
    <row r="282" spans="1:5" ht="12.5">
      <c r="A282" s="76"/>
      <c r="B282" s="5"/>
      <c r="C282" s="16"/>
      <c r="D282" s="80"/>
      <c r="E282" s="5"/>
    </row>
    <row r="283" spans="1:5" ht="12.5">
      <c r="A283" s="76"/>
      <c r="B283" s="5"/>
      <c r="C283" s="16"/>
      <c r="D283" s="80"/>
      <c r="E283" s="5"/>
    </row>
    <row r="284" spans="1:5" ht="12.5">
      <c r="A284" s="76"/>
      <c r="B284" s="5"/>
      <c r="C284" s="16"/>
      <c r="D284" s="80"/>
      <c r="E284" s="5"/>
    </row>
    <row r="285" spans="1:5" ht="12.5">
      <c r="A285" s="76"/>
      <c r="B285" s="5"/>
      <c r="C285" s="16"/>
      <c r="D285" s="80"/>
      <c r="E285" s="5"/>
    </row>
    <row r="286" spans="1:5" ht="12.5">
      <c r="A286" s="76"/>
      <c r="B286" s="5"/>
      <c r="C286" s="16"/>
      <c r="D286" s="80"/>
      <c r="E286" s="5"/>
    </row>
    <row r="287" spans="1:5" ht="12.5">
      <c r="A287" s="76"/>
      <c r="B287" s="5"/>
      <c r="C287" s="16"/>
      <c r="D287" s="80"/>
      <c r="E287" s="5"/>
    </row>
    <row r="288" spans="1:5" ht="12.5">
      <c r="A288" s="76"/>
      <c r="B288" s="5"/>
      <c r="C288" s="16"/>
      <c r="D288" s="80"/>
      <c r="E288" s="5"/>
    </row>
    <row r="289" spans="1:5" ht="12.5">
      <c r="A289" s="76"/>
      <c r="B289" s="5"/>
      <c r="C289" s="16"/>
      <c r="D289" s="80"/>
      <c r="E289" s="5"/>
    </row>
    <row r="290" spans="1:5" ht="12.5">
      <c r="A290" s="76"/>
      <c r="B290" s="5"/>
      <c r="C290" s="16"/>
      <c r="D290" s="80"/>
      <c r="E290" s="5"/>
    </row>
    <row r="291" spans="1:5" ht="12.5">
      <c r="A291" s="76"/>
      <c r="B291" s="5"/>
      <c r="C291" s="16"/>
      <c r="D291" s="80"/>
      <c r="E291" s="5"/>
    </row>
    <row r="292" spans="1:5" ht="12.5">
      <c r="A292" s="76"/>
      <c r="B292" s="5"/>
      <c r="C292" s="16"/>
      <c r="D292" s="80"/>
      <c r="E292" s="5"/>
    </row>
    <row r="293" spans="1:5" ht="12.5">
      <c r="A293" s="76"/>
      <c r="B293" s="5"/>
      <c r="C293" s="16"/>
      <c r="D293" s="80"/>
      <c r="E293" s="5"/>
    </row>
    <row r="294" spans="1:5" ht="12.5">
      <c r="A294" s="76"/>
      <c r="B294" s="5"/>
      <c r="C294" s="16"/>
      <c r="D294" s="80"/>
      <c r="E294" s="5"/>
    </row>
    <row r="295" spans="1:5" ht="12.5">
      <c r="A295" s="76"/>
      <c r="B295" s="5"/>
      <c r="C295" s="16"/>
      <c r="D295" s="80"/>
      <c r="E295" s="5"/>
    </row>
    <row r="296" spans="1:5" ht="12.5">
      <c r="A296" s="76"/>
      <c r="B296" s="5"/>
      <c r="C296" s="16"/>
      <c r="D296" s="80"/>
      <c r="E296" s="5"/>
    </row>
    <row r="297" spans="1:5" ht="12.5">
      <c r="A297" s="76"/>
      <c r="B297" s="5"/>
      <c r="C297" s="16"/>
      <c r="D297" s="80"/>
      <c r="E297" s="5"/>
    </row>
    <row r="298" spans="1:5" ht="12.5">
      <c r="A298" s="76"/>
      <c r="B298" s="5"/>
      <c r="C298" s="16"/>
      <c r="D298" s="80"/>
      <c r="E298" s="5"/>
    </row>
    <row r="299" spans="1:5" ht="12.5">
      <c r="A299" s="76"/>
      <c r="B299" s="5"/>
      <c r="C299" s="16"/>
      <c r="D299" s="80"/>
      <c r="E299" s="5"/>
    </row>
    <row r="300" spans="1:5" ht="12.5">
      <c r="A300" s="76"/>
      <c r="B300" s="5"/>
      <c r="C300" s="16"/>
      <c r="D300" s="80"/>
      <c r="E300" s="5"/>
    </row>
    <row r="301" spans="1:5" ht="12.5">
      <c r="A301" s="76"/>
      <c r="B301" s="5"/>
      <c r="C301" s="16"/>
      <c r="D301" s="80"/>
      <c r="E301" s="5"/>
    </row>
    <row r="302" spans="1:5" ht="12.5">
      <c r="A302" s="76"/>
      <c r="B302" s="5"/>
      <c r="C302" s="16"/>
      <c r="D302" s="80"/>
      <c r="E302" s="5"/>
    </row>
    <row r="303" spans="1:5" ht="12.5">
      <c r="A303" s="76"/>
      <c r="B303" s="5"/>
      <c r="C303" s="16"/>
      <c r="D303" s="80"/>
      <c r="E303" s="5"/>
    </row>
    <row r="304" spans="1:5" ht="12.5">
      <c r="A304" s="76"/>
      <c r="B304" s="5"/>
      <c r="C304" s="16"/>
      <c r="D304" s="80"/>
      <c r="E304" s="5"/>
    </row>
    <row r="305" spans="1:5" ht="12.5">
      <c r="A305" s="76"/>
      <c r="B305" s="5"/>
      <c r="C305" s="16"/>
      <c r="D305" s="80"/>
      <c r="E305" s="5"/>
    </row>
    <row r="306" spans="1:5" ht="12.5">
      <c r="A306" s="76"/>
      <c r="B306" s="5"/>
      <c r="C306" s="16"/>
      <c r="D306" s="80"/>
      <c r="E306" s="5"/>
    </row>
    <row r="307" spans="1:5" ht="12.5">
      <c r="A307" s="76"/>
      <c r="B307" s="5"/>
      <c r="C307" s="16"/>
      <c r="D307" s="80"/>
      <c r="E307" s="5"/>
    </row>
    <row r="308" spans="1:5" ht="12.5">
      <c r="A308" s="76"/>
      <c r="B308" s="5"/>
      <c r="C308" s="16"/>
      <c r="D308" s="80"/>
      <c r="E308" s="5"/>
    </row>
    <row r="309" spans="1:5" ht="12.5">
      <c r="A309" s="76"/>
      <c r="B309" s="5"/>
      <c r="C309" s="16"/>
      <c r="D309" s="80"/>
      <c r="E309" s="5"/>
    </row>
    <row r="310" spans="1:5" ht="12.5">
      <c r="A310" s="76"/>
      <c r="B310" s="5"/>
      <c r="C310" s="16"/>
      <c r="D310" s="80"/>
      <c r="E310" s="5"/>
    </row>
    <row r="311" spans="1:5" ht="12.5">
      <c r="A311" s="76"/>
      <c r="B311" s="5"/>
      <c r="C311" s="16"/>
      <c r="D311" s="80"/>
      <c r="E311" s="5"/>
    </row>
    <row r="312" spans="1:5" ht="12.5">
      <c r="A312" s="76"/>
      <c r="B312" s="5"/>
      <c r="C312" s="16"/>
      <c r="D312" s="80"/>
      <c r="E312" s="5"/>
    </row>
    <row r="313" spans="1:5" ht="12.5">
      <c r="A313" s="76"/>
      <c r="B313" s="5"/>
      <c r="C313" s="16"/>
      <c r="D313" s="80"/>
      <c r="E313" s="5"/>
    </row>
    <row r="314" spans="1:5" ht="12.5">
      <c r="A314" s="76"/>
      <c r="B314" s="5"/>
      <c r="C314" s="16"/>
      <c r="D314" s="80"/>
      <c r="E314" s="5"/>
    </row>
    <row r="315" spans="1:5" ht="12.5">
      <c r="A315" s="76"/>
      <c r="B315" s="5"/>
      <c r="C315" s="16"/>
      <c r="D315" s="80"/>
      <c r="E315" s="5"/>
    </row>
    <row r="316" spans="1:5" ht="12.5">
      <c r="A316" s="76"/>
      <c r="B316" s="5"/>
      <c r="C316" s="16"/>
      <c r="D316" s="80"/>
      <c r="E316" s="5"/>
    </row>
    <row r="317" spans="1:5" ht="12.5">
      <c r="A317" s="76"/>
      <c r="B317" s="5"/>
      <c r="C317" s="16"/>
      <c r="D317" s="80"/>
      <c r="E317" s="5"/>
    </row>
    <row r="318" spans="1:5" ht="12.5">
      <c r="A318" s="76"/>
      <c r="B318" s="5"/>
      <c r="C318" s="16"/>
      <c r="D318" s="80"/>
      <c r="E318" s="5"/>
    </row>
    <row r="319" spans="1:5" ht="12.5">
      <c r="A319" s="76"/>
      <c r="B319" s="5"/>
      <c r="C319" s="16"/>
      <c r="D319" s="80"/>
      <c r="E319" s="5"/>
    </row>
    <row r="320" spans="1:5" ht="12.5">
      <c r="A320" s="76"/>
      <c r="B320" s="5"/>
      <c r="C320" s="16"/>
      <c r="D320" s="80"/>
      <c r="E320" s="5"/>
    </row>
    <row r="321" spans="1:5" ht="12.5">
      <c r="A321" s="76"/>
      <c r="B321" s="5"/>
      <c r="C321" s="16"/>
      <c r="D321" s="80"/>
      <c r="E321" s="5"/>
    </row>
    <row r="322" spans="1:5" ht="12.5">
      <c r="A322" s="76"/>
      <c r="B322" s="5"/>
      <c r="C322" s="16"/>
      <c r="D322" s="80"/>
      <c r="E322" s="5"/>
    </row>
    <row r="323" spans="1:5" ht="12.5">
      <c r="A323" s="76"/>
      <c r="B323" s="5"/>
      <c r="C323" s="16"/>
      <c r="D323" s="80"/>
      <c r="E323" s="5"/>
    </row>
    <row r="324" spans="1:5" ht="12.5">
      <c r="A324" s="76"/>
      <c r="B324" s="5"/>
      <c r="C324" s="16"/>
      <c r="D324" s="80"/>
      <c r="E324" s="5"/>
    </row>
    <row r="325" spans="1:5" ht="12.5">
      <c r="A325" s="76"/>
      <c r="B325" s="5"/>
      <c r="C325" s="16"/>
      <c r="D325" s="80"/>
      <c r="E325" s="5"/>
    </row>
    <row r="326" spans="1:5" ht="12.5">
      <c r="A326" s="76"/>
      <c r="B326" s="5"/>
      <c r="C326" s="16"/>
      <c r="D326" s="80"/>
      <c r="E326" s="5"/>
    </row>
    <row r="327" spans="1:5" ht="12.5">
      <c r="A327" s="76"/>
      <c r="B327" s="5"/>
      <c r="C327" s="16"/>
      <c r="D327" s="80"/>
      <c r="E327" s="5"/>
    </row>
    <row r="328" spans="1:5" ht="12.5">
      <c r="A328" s="76"/>
      <c r="B328" s="5"/>
      <c r="C328" s="16"/>
      <c r="D328" s="80"/>
      <c r="E328" s="5"/>
    </row>
    <row r="329" spans="1:5" ht="12.5">
      <c r="A329" s="76"/>
      <c r="B329" s="5"/>
      <c r="C329" s="16"/>
      <c r="D329" s="80"/>
      <c r="E329" s="5"/>
    </row>
    <row r="330" spans="1:5" ht="12.5">
      <c r="A330" s="76"/>
      <c r="B330" s="5"/>
      <c r="C330" s="16"/>
      <c r="D330" s="80"/>
      <c r="E330" s="5"/>
    </row>
    <row r="331" spans="1:5" ht="12.5">
      <c r="A331" s="76"/>
      <c r="B331" s="5"/>
      <c r="C331" s="16"/>
      <c r="D331" s="80"/>
      <c r="E331" s="5"/>
    </row>
    <row r="332" spans="1:5" ht="12.5">
      <c r="A332" s="76"/>
      <c r="B332" s="5"/>
      <c r="C332" s="16"/>
      <c r="D332" s="80"/>
      <c r="E332" s="5"/>
    </row>
    <row r="333" spans="1:5" ht="12.5">
      <c r="A333" s="76"/>
      <c r="B333" s="5"/>
      <c r="C333" s="16"/>
      <c r="D333" s="80"/>
      <c r="E333" s="5"/>
    </row>
    <row r="334" spans="1:5" ht="12.5">
      <c r="A334" s="76"/>
      <c r="B334" s="5"/>
      <c r="C334" s="16"/>
      <c r="D334" s="80"/>
      <c r="E334" s="5"/>
    </row>
    <row r="335" spans="1:5" ht="12.5">
      <c r="A335" s="76"/>
      <c r="B335" s="5"/>
      <c r="C335" s="16"/>
      <c r="D335" s="80"/>
      <c r="E335" s="5"/>
    </row>
    <row r="336" spans="1:5" ht="12.5">
      <c r="A336" s="76"/>
      <c r="B336" s="5"/>
      <c r="C336" s="16"/>
      <c r="D336" s="80"/>
      <c r="E336" s="5"/>
    </row>
    <row r="337" spans="1:5" ht="12.5">
      <c r="A337" s="76"/>
      <c r="B337" s="5"/>
      <c r="C337" s="16"/>
      <c r="D337" s="80"/>
      <c r="E337" s="5"/>
    </row>
    <row r="338" spans="1:5" ht="12.5">
      <c r="A338" s="76"/>
      <c r="B338" s="5"/>
      <c r="C338" s="16"/>
      <c r="D338" s="80"/>
      <c r="E338" s="5"/>
    </row>
    <row r="339" spans="1:5" ht="12.5">
      <c r="A339" s="76"/>
      <c r="B339" s="5"/>
      <c r="C339" s="16"/>
      <c r="D339" s="80"/>
      <c r="E339" s="5"/>
    </row>
    <row r="340" spans="1:5" ht="12.5">
      <c r="A340" s="76"/>
      <c r="B340" s="5"/>
      <c r="C340" s="16"/>
      <c r="D340" s="80"/>
      <c r="E340" s="5"/>
    </row>
    <row r="341" spans="1:5" ht="12.5">
      <c r="A341" s="76"/>
      <c r="B341" s="5"/>
      <c r="C341" s="16"/>
      <c r="D341" s="80"/>
      <c r="E341" s="5"/>
    </row>
    <row r="342" spans="1:5" ht="12.5">
      <c r="A342" s="76"/>
      <c r="B342" s="5"/>
      <c r="C342" s="16"/>
      <c r="D342" s="80"/>
      <c r="E342" s="5"/>
    </row>
    <row r="343" spans="1:5" ht="12.5">
      <c r="A343" s="76"/>
      <c r="B343" s="5"/>
      <c r="C343" s="16"/>
      <c r="D343" s="80"/>
      <c r="E343" s="5"/>
    </row>
    <row r="344" spans="1:5" ht="12.5">
      <c r="A344" s="76"/>
      <c r="B344" s="5"/>
      <c r="C344" s="16"/>
      <c r="D344" s="80"/>
      <c r="E344" s="5"/>
    </row>
    <row r="345" spans="1:5" ht="12.5">
      <c r="A345" s="76"/>
      <c r="B345" s="5"/>
      <c r="C345" s="16"/>
      <c r="D345" s="80"/>
      <c r="E345" s="5"/>
    </row>
    <row r="346" spans="1:5" ht="12.5">
      <c r="A346" s="76"/>
      <c r="B346" s="5"/>
      <c r="C346" s="16"/>
      <c r="D346" s="80"/>
      <c r="E346" s="5"/>
    </row>
    <row r="347" spans="1:5" ht="12.5">
      <c r="A347" s="76"/>
      <c r="B347" s="5"/>
      <c r="C347" s="16"/>
      <c r="D347" s="80"/>
      <c r="E347" s="5"/>
    </row>
    <row r="348" spans="1:5" ht="12.5">
      <c r="A348" s="76"/>
      <c r="B348" s="5"/>
      <c r="C348" s="16"/>
      <c r="D348" s="80"/>
      <c r="E348" s="5"/>
    </row>
    <row r="349" spans="1:5" ht="12.5">
      <c r="A349" s="76"/>
      <c r="B349" s="5"/>
      <c r="C349" s="16"/>
      <c r="D349" s="80"/>
      <c r="E349" s="5"/>
    </row>
    <row r="350" spans="1:5" ht="12.5">
      <c r="A350" s="76"/>
      <c r="B350" s="5"/>
      <c r="C350" s="16"/>
      <c r="D350" s="80"/>
      <c r="E350" s="5"/>
    </row>
    <row r="351" spans="1:5" ht="12.5">
      <c r="A351" s="76"/>
      <c r="B351" s="5"/>
      <c r="C351" s="16"/>
      <c r="D351" s="80"/>
      <c r="E351" s="5"/>
    </row>
    <row r="352" spans="1:5" ht="12.5">
      <c r="A352" s="76"/>
      <c r="B352" s="5"/>
      <c r="C352" s="16"/>
      <c r="D352" s="80"/>
      <c r="E352" s="5"/>
    </row>
    <row r="353" spans="1:5" ht="12.5">
      <c r="A353" s="76"/>
      <c r="B353" s="5"/>
      <c r="C353" s="16"/>
      <c r="D353" s="80"/>
      <c r="E353" s="5"/>
    </row>
    <row r="354" spans="1:5" ht="12.5">
      <c r="A354" s="76"/>
      <c r="B354" s="5"/>
      <c r="C354" s="16"/>
      <c r="D354" s="80"/>
      <c r="E354" s="5"/>
    </row>
    <row r="355" spans="1:5" ht="12.5">
      <c r="A355" s="76"/>
      <c r="B355" s="5"/>
      <c r="C355" s="16"/>
      <c r="D355" s="80"/>
      <c r="E355" s="5"/>
    </row>
    <row r="356" spans="1:5" ht="12.5">
      <c r="A356" s="76"/>
      <c r="B356" s="5"/>
      <c r="C356" s="16"/>
      <c r="D356" s="80"/>
      <c r="E356" s="5"/>
    </row>
    <row r="357" spans="1:5" ht="12.5">
      <c r="A357" s="76"/>
      <c r="B357" s="5"/>
      <c r="C357" s="16"/>
      <c r="D357" s="80"/>
      <c r="E357" s="5"/>
    </row>
    <row r="358" spans="1:5" ht="12.5">
      <c r="A358" s="76"/>
      <c r="B358" s="5"/>
      <c r="C358" s="16"/>
      <c r="D358" s="80"/>
      <c r="E358" s="5"/>
    </row>
    <row r="359" spans="1:5" ht="12.5">
      <c r="A359" s="76"/>
      <c r="B359" s="5"/>
      <c r="C359" s="16"/>
      <c r="D359" s="80"/>
      <c r="E359" s="5"/>
    </row>
    <row r="360" spans="1:5" ht="12.5">
      <c r="A360" s="76"/>
      <c r="B360" s="5"/>
      <c r="C360" s="16"/>
      <c r="D360" s="80"/>
      <c r="E360" s="5"/>
    </row>
    <row r="361" spans="1:5" ht="12.5">
      <c r="A361" s="76"/>
      <c r="B361" s="5"/>
      <c r="C361" s="16"/>
      <c r="D361" s="80"/>
      <c r="E361" s="5"/>
    </row>
    <row r="362" spans="1:5" ht="12.5">
      <c r="A362" s="76"/>
      <c r="B362" s="5"/>
      <c r="C362" s="16"/>
      <c r="D362" s="80"/>
      <c r="E362" s="5"/>
    </row>
    <row r="363" spans="1:5" ht="12.5">
      <c r="A363" s="76"/>
      <c r="B363" s="5"/>
      <c r="C363" s="16"/>
      <c r="D363" s="80"/>
      <c r="E363" s="5"/>
    </row>
    <row r="364" spans="1:5" ht="12.5">
      <c r="A364" s="76"/>
      <c r="B364" s="5"/>
      <c r="C364" s="16"/>
      <c r="D364" s="80"/>
      <c r="E364" s="5"/>
    </row>
    <row r="365" spans="1:5" ht="12.5">
      <c r="A365" s="76"/>
      <c r="B365" s="5"/>
      <c r="C365" s="16"/>
      <c r="D365" s="80"/>
      <c r="E365" s="5"/>
    </row>
    <row r="366" spans="1:5" ht="12.5">
      <c r="A366" s="76"/>
      <c r="B366" s="5"/>
      <c r="C366" s="16"/>
      <c r="D366" s="80"/>
      <c r="E366" s="5"/>
    </row>
    <row r="367" spans="1:5" ht="12.5">
      <c r="A367" s="76"/>
      <c r="B367" s="5"/>
      <c r="C367" s="16"/>
      <c r="D367" s="80"/>
      <c r="E367" s="5"/>
    </row>
    <row r="368" spans="1:5" ht="12.5">
      <c r="A368" s="76"/>
      <c r="B368" s="5"/>
      <c r="C368" s="16"/>
      <c r="D368" s="80"/>
      <c r="E368" s="5"/>
    </row>
    <row r="369" spans="1:5" ht="12.5">
      <c r="A369" s="76"/>
      <c r="B369" s="5"/>
      <c r="C369" s="16"/>
      <c r="D369" s="80"/>
      <c r="E369" s="5"/>
    </row>
    <row r="370" spans="1:5" ht="12.5">
      <c r="A370" s="76"/>
      <c r="B370" s="5"/>
      <c r="C370" s="16"/>
      <c r="D370" s="80"/>
      <c r="E370" s="5"/>
    </row>
    <row r="371" spans="1:5" ht="12.5">
      <c r="A371" s="76"/>
      <c r="B371" s="5"/>
      <c r="C371" s="16"/>
      <c r="D371" s="80"/>
      <c r="E371" s="5"/>
    </row>
    <row r="372" spans="1:5" ht="12.5">
      <c r="A372" s="76"/>
      <c r="B372" s="5"/>
      <c r="C372" s="16"/>
      <c r="D372" s="80"/>
      <c r="E372" s="5"/>
    </row>
    <row r="373" spans="1:5" ht="12.5">
      <c r="A373" s="76"/>
      <c r="B373" s="5"/>
      <c r="C373" s="16"/>
      <c r="D373" s="80"/>
      <c r="E373" s="5"/>
    </row>
    <row r="374" spans="1:5" ht="12.5">
      <c r="A374" s="76"/>
      <c r="B374" s="5"/>
      <c r="C374" s="16"/>
      <c r="D374" s="80"/>
      <c r="E374" s="5"/>
    </row>
    <row r="375" spans="1:5" ht="12.5">
      <c r="A375" s="76"/>
      <c r="B375" s="5"/>
      <c r="C375" s="16"/>
      <c r="D375" s="80"/>
      <c r="E375" s="5"/>
    </row>
    <row r="376" spans="1:5" ht="12.5">
      <c r="A376" s="76"/>
      <c r="B376" s="5"/>
      <c r="C376" s="16"/>
      <c r="D376" s="80"/>
      <c r="E376" s="5"/>
    </row>
    <row r="377" spans="1:5" ht="12.5">
      <c r="A377" s="76"/>
      <c r="B377" s="5"/>
      <c r="C377" s="16"/>
      <c r="D377" s="80"/>
      <c r="E377" s="5"/>
    </row>
    <row r="378" spans="1:5" ht="12.5">
      <c r="A378" s="76"/>
      <c r="B378" s="5"/>
      <c r="C378" s="16"/>
      <c r="D378" s="80"/>
      <c r="E378" s="5"/>
    </row>
    <row r="379" spans="1:5" ht="12.5">
      <c r="A379" s="76"/>
      <c r="B379" s="5"/>
      <c r="C379" s="16"/>
      <c r="D379" s="80"/>
      <c r="E379" s="5"/>
    </row>
    <row r="380" spans="1:5" ht="12.5">
      <c r="A380" s="76"/>
      <c r="B380" s="5"/>
      <c r="C380" s="16"/>
      <c r="D380" s="80"/>
      <c r="E380" s="5"/>
    </row>
    <row r="381" spans="1:5" ht="12.5">
      <c r="A381" s="76"/>
      <c r="B381" s="5"/>
      <c r="C381" s="16"/>
      <c r="D381" s="80"/>
      <c r="E381" s="5"/>
    </row>
    <row r="382" spans="1:5" ht="12.5">
      <c r="A382" s="76"/>
      <c r="B382" s="5"/>
      <c r="C382" s="16"/>
      <c r="D382" s="80"/>
      <c r="E382" s="5"/>
    </row>
    <row r="383" spans="1:5" ht="12.5">
      <c r="A383" s="76"/>
      <c r="B383" s="5"/>
      <c r="C383" s="16"/>
      <c r="D383" s="80"/>
      <c r="E383" s="5"/>
    </row>
    <row r="384" spans="1:5" ht="12.5">
      <c r="A384" s="76"/>
      <c r="B384" s="5"/>
      <c r="C384" s="16"/>
      <c r="D384" s="80"/>
      <c r="E384" s="5"/>
    </row>
    <row r="385" spans="1:5" ht="12.5">
      <c r="A385" s="76"/>
      <c r="B385" s="5"/>
      <c r="C385" s="16"/>
      <c r="D385" s="80"/>
      <c r="E385" s="5"/>
    </row>
    <row r="386" spans="1:5" ht="12.5">
      <c r="A386" s="76"/>
      <c r="B386" s="5"/>
      <c r="C386" s="16"/>
      <c r="D386" s="80"/>
      <c r="E386" s="5"/>
    </row>
    <row r="387" spans="1:5" ht="12.5">
      <c r="A387" s="76"/>
      <c r="B387" s="5"/>
      <c r="C387" s="16"/>
      <c r="D387" s="80"/>
      <c r="E387" s="5"/>
    </row>
    <row r="388" spans="1:5" ht="12.5">
      <c r="A388" s="76"/>
      <c r="B388" s="5"/>
      <c r="C388" s="16"/>
      <c r="D388" s="80"/>
      <c r="E388" s="5"/>
    </row>
    <row r="389" spans="1:5" ht="12.5">
      <c r="A389" s="76"/>
      <c r="B389" s="5"/>
      <c r="C389" s="16"/>
      <c r="D389" s="80"/>
      <c r="E389" s="5"/>
    </row>
    <row r="390" spans="1:5" ht="12.5">
      <c r="A390" s="76"/>
      <c r="B390" s="5"/>
      <c r="C390" s="16"/>
      <c r="D390" s="80"/>
      <c r="E390" s="5"/>
    </row>
    <row r="391" spans="1:5" ht="12.5">
      <c r="A391" s="76"/>
      <c r="B391" s="5"/>
      <c r="C391" s="16"/>
      <c r="D391" s="80"/>
      <c r="E391" s="5"/>
    </row>
    <row r="392" spans="1:5" ht="12.5">
      <c r="A392" s="76"/>
      <c r="B392" s="5"/>
      <c r="C392" s="16"/>
      <c r="D392" s="80"/>
      <c r="E392" s="5"/>
    </row>
    <row r="393" spans="1:5" ht="12.5">
      <c r="A393" s="76"/>
      <c r="B393" s="5"/>
      <c r="C393" s="16"/>
      <c r="D393" s="80"/>
      <c r="E393" s="5"/>
    </row>
    <row r="394" spans="1:5" ht="12.5">
      <c r="A394" s="76"/>
      <c r="B394" s="5"/>
      <c r="C394" s="16"/>
      <c r="D394" s="80"/>
      <c r="E394" s="5"/>
    </row>
    <row r="395" spans="1:5" ht="12.5">
      <c r="A395" s="76"/>
      <c r="B395" s="5"/>
      <c r="C395" s="16"/>
      <c r="D395" s="80"/>
      <c r="E395" s="5"/>
    </row>
    <row r="396" spans="1:5" ht="12.5">
      <c r="A396" s="76"/>
      <c r="B396" s="5"/>
      <c r="C396" s="16"/>
      <c r="D396" s="80"/>
      <c r="E396" s="5"/>
    </row>
    <row r="397" spans="1:5" ht="12.5">
      <c r="A397" s="76"/>
      <c r="B397" s="5"/>
      <c r="C397" s="16"/>
      <c r="D397" s="80"/>
      <c r="E397" s="5"/>
    </row>
    <row r="398" spans="1:5" ht="12.5">
      <c r="A398" s="76"/>
      <c r="B398" s="5"/>
      <c r="C398" s="16"/>
      <c r="D398" s="80"/>
      <c r="E398" s="5"/>
    </row>
    <row r="399" spans="1:5" ht="12.5">
      <c r="A399" s="76"/>
      <c r="B399" s="5"/>
      <c r="C399" s="16"/>
      <c r="D399" s="80"/>
      <c r="E399" s="5"/>
    </row>
    <row r="400" spans="1:5" ht="12.5">
      <c r="A400" s="76"/>
      <c r="B400" s="5"/>
      <c r="C400" s="16"/>
      <c r="D400" s="80"/>
      <c r="E400" s="5"/>
    </row>
    <row r="401" spans="1:5" ht="12.5">
      <c r="A401" s="76"/>
      <c r="B401" s="5"/>
      <c r="C401" s="16"/>
      <c r="D401" s="80"/>
      <c r="E401" s="5"/>
    </row>
    <row r="402" spans="1:5" ht="12.5">
      <c r="A402" s="76"/>
      <c r="B402" s="5"/>
      <c r="C402" s="16"/>
      <c r="D402" s="80"/>
      <c r="E402" s="5"/>
    </row>
    <row r="403" spans="1:5" ht="12.5">
      <c r="A403" s="76"/>
      <c r="B403" s="5"/>
      <c r="C403" s="16"/>
      <c r="D403" s="80"/>
      <c r="E403" s="5"/>
    </row>
    <row r="404" spans="1:5" ht="12.5">
      <c r="A404" s="76"/>
      <c r="B404" s="5"/>
      <c r="C404" s="16"/>
      <c r="D404" s="80"/>
      <c r="E404" s="5"/>
    </row>
    <row r="405" spans="1:5" ht="12.5">
      <c r="A405" s="76"/>
      <c r="B405" s="5"/>
      <c r="C405" s="16"/>
      <c r="D405" s="80"/>
      <c r="E405" s="5"/>
    </row>
    <row r="406" spans="1:5" ht="12.5">
      <c r="A406" s="76"/>
      <c r="B406" s="5"/>
      <c r="C406" s="16"/>
      <c r="D406" s="80"/>
      <c r="E406" s="5"/>
    </row>
    <row r="407" spans="1:5" ht="12.5">
      <c r="A407" s="76"/>
      <c r="B407" s="5"/>
      <c r="C407" s="16"/>
      <c r="D407" s="80"/>
      <c r="E407" s="5"/>
    </row>
    <row r="408" spans="1:5" ht="12.5">
      <c r="A408" s="76"/>
      <c r="B408" s="5"/>
      <c r="C408" s="16"/>
      <c r="D408" s="80"/>
      <c r="E408" s="5"/>
    </row>
    <row r="409" spans="1:5" ht="12.5">
      <c r="A409" s="76"/>
      <c r="B409" s="5"/>
      <c r="C409" s="16"/>
      <c r="D409" s="80"/>
      <c r="E409" s="5"/>
    </row>
    <row r="410" spans="1:5" ht="12.5">
      <c r="A410" s="76"/>
      <c r="B410" s="5"/>
      <c r="C410" s="16"/>
      <c r="D410" s="80"/>
      <c r="E410" s="5"/>
    </row>
    <row r="411" spans="1:5" ht="12.5">
      <c r="A411" s="76"/>
      <c r="B411" s="5"/>
      <c r="C411" s="16"/>
      <c r="D411" s="80"/>
      <c r="E411" s="5"/>
    </row>
    <row r="412" spans="1:5" ht="12.5">
      <c r="A412" s="76"/>
      <c r="B412" s="5"/>
      <c r="C412" s="16"/>
      <c r="D412" s="80"/>
      <c r="E412" s="5"/>
    </row>
    <row r="413" spans="1:5" ht="12.5">
      <c r="A413" s="76"/>
      <c r="B413" s="5"/>
      <c r="C413" s="16"/>
      <c r="D413" s="80"/>
      <c r="E413" s="5"/>
    </row>
    <row r="414" spans="1:5" ht="12.5">
      <c r="A414" s="76"/>
      <c r="B414" s="5"/>
      <c r="C414" s="16"/>
      <c r="D414" s="80"/>
      <c r="E414" s="5"/>
    </row>
    <row r="415" spans="1:5" ht="12.5">
      <c r="A415" s="76"/>
      <c r="B415" s="5"/>
      <c r="C415" s="16"/>
      <c r="D415" s="80"/>
      <c r="E415" s="5"/>
    </row>
    <row r="416" spans="1:5" ht="12.5">
      <c r="A416" s="76"/>
      <c r="B416" s="5"/>
      <c r="C416" s="16"/>
      <c r="D416" s="80"/>
      <c r="E416" s="5"/>
    </row>
    <row r="417" spans="1:5" ht="12.5">
      <c r="A417" s="76"/>
      <c r="B417" s="5"/>
      <c r="C417" s="16"/>
      <c r="D417" s="80"/>
      <c r="E417" s="5"/>
    </row>
    <row r="418" spans="1:5" ht="12.5">
      <c r="A418" s="76"/>
      <c r="B418" s="5"/>
      <c r="C418" s="16"/>
      <c r="D418" s="80"/>
      <c r="E418" s="5"/>
    </row>
    <row r="419" spans="1:5" ht="12.5">
      <c r="A419" s="76"/>
      <c r="B419" s="5"/>
      <c r="C419" s="16"/>
      <c r="D419" s="80"/>
      <c r="E419" s="5"/>
    </row>
    <row r="420" spans="1:5" ht="12.5">
      <c r="A420" s="76"/>
      <c r="B420" s="5"/>
      <c r="C420" s="16"/>
      <c r="D420" s="80"/>
      <c r="E420" s="5"/>
    </row>
    <row r="421" spans="1:5" ht="12.5">
      <c r="A421" s="76"/>
      <c r="B421" s="5"/>
      <c r="C421" s="16"/>
      <c r="D421" s="80"/>
      <c r="E421" s="5"/>
    </row>
    <row r="422" spans="1:5" ht="12.5">
      <c r="A422" s="76"/>
      <c r="B422" s="5"/>
      <c r="C422" s="16"/>
      <c r="D422" s="80"/>
      <c r="E422" s="5"/>
    </row>
    <row r="423" spans="1:5" ht="12.5">
      <c r="A423" s="76"/>
      <c r="B423" s="5"/>
      <c r="C423" s="16"/>
      <c r="D423" s="80"/>
      <c r="E423" s="5"/>
    </row>
    <row r="424" spans="1:5" ht="12.5">
      <c r="A424" s="76"/>
      <c r="B424" s="5"/>
      <c r="C424" s="16"/>
      <c r="D424" s="80"/>
      <c r="E424" s="5"/>
    </row>
    <row r="425" spans="1:5" ht="12.5">
      <c r="A425" s="76"/>
      <c r="B425" s="5"/>
      <c r="C425" s="16"/>
      <c r="D425" s="80"/>
      <c r="E425" s="5"/>
    </row>
    <row r="426" spans="1:5" ht="12.5">
      <c r="A426" s="76"/>
      <c r="B426" s="5"/>
      <c r="C426" s="16"/>
      <c r="D426" s="80"/>
      <c r="E426" s="5"/>
    </row>
    <row r="427" spans="1:5" ht="12.5">
      <c r="A427" s="76"/>
      <c r="B427" s="5"/>
      <c r="C427" s="16"/>
      <c r="D427" s="80"/>
      <c r="E427" s="5"/>
    </row>
    <row r="428" spans="1:5" ht="12.5">
      <c r="A428" s="76"/>
      <c r="B428" s="5"/>
      <c r="C428" s="16"/>
      <c r="D428" s="80"/>
      <c r="E428" s="5"/>
    </row>
    <row r="429" spans="1:5" ht="12.5">
      <c r="A429" s="76"/>
      <c r="B429" s="5"/>
      <c r="C429" s="16"/>
      <c r="D429" s="80"/>
      <c r="E429" s="5"/>
    </row>
    <row r="430" spans="1:5" ht="12.5">
      <c r="A430" s="76"/>
      <c r="B430" s="5"/>
      <c r="C430" s="16"/>
      <c r="D430" s="80"/>
      <c r="E430" s="5"/>
    </row>
    <row r="431" spans="1:5" ht="12.5">
      <c r="A431" s="76"/>
      <c r="B431" s="5"/>
      <c r="C431" s="16"/>
      <c r="D431" s="80"/>
      <c r="E431" s="5"/>
    </row>
    <row r="432" spans="1:5" ht="12.5">
      <c r="A432" s="76"/>
      <c r="B432" s="5"/>
      <c r="C432" s="16"/>
      <c r="D432" s="80"/>
      <c r="E432" s="5"/>
    </row>
    <row r="433" spans="1:5" ht="12.5">
      <c r="A433" s="76"/>
      <c r="B433" s="5"/>
      <c r="C433" s="16"/>
      <c r="D433" s="80"/>
      <c r="E433" s="5"/>
    </row>
    <row r="434" spans="1:5" ht="12.5">
      <c r="A434" s="76"/>
      <c r="B434" s="5"/>
      <c r="C434" s="16"/>
      <c r="D434" s="80"/>
      <c r="E434" s="5"/>
    </row>
    <row r="435" spans="1:5" ht="12.5">
      <c r="A435" s="76"/>
      <c r="B435" s="5"/>
      <c r="C435" s="16"/>
      <c r="D435" s="80"/>
      <c r="E435" s="5"/>
    </row>
    <row r="436" spans="1:5" ht="12.5">
      <c r="A436" s="76"/>
      <c r="B436" s="5"/>
      <c r="C436" s="16"/>
      <c r="D436" s="80"/>
      <c r="E436" s="5"/>
    </row>
    <row r="437" spans="1:5" ht="12.5">
      <c r="A437" s="76"/>
      <c r="B437" s="5"/>
      <c r="C437" s="16"/>
      <c r="D437" s="80"/>
      <c r="E437" s="5"/>
    </row>
    <row r="438" spans="1:5" ht="12.5">
      <c r="A438" s="76"/>
      <c r="B438" s="5"/>
      <c r="C438" s="16"/>
      <c r="D438" s="80"/>
      <c r="E438" s="5"/>
    </row>
    <row r="439" spans="1:5" ht="12.5">
      <c r="A439" s="76"/>
      <c r="B439" s="5"/>
      <c r="C439" s="16"/>
      <c r="D439" s="80"/>
      <c r="E439" s="5"/>
    </row>
    <row r="440" spans="1:5" ht="12.5">
      <c r="A440" s="76"/>
      <c r="B440" s="5"/>
      <c r="C440" s="16"/>
      <c r="D440" s="80"/>
      <c r="E440" s="5"/>
    </row>
    <row r="441" spans="1:5" ht="12.5">
      <c r="A441" s="76"/>
      <c r="B441" s="5"/>
      <c r="C441" s="16"/>
      <c r="D441" s="80"/>
      <c r="E441" s="5"/>
    </row>
    <row r="442" spans="1:5" ht="12.5">
      <c r="A442" s="76"/>
      <c r="B442" s="5"/>
      <c r="C442" s="16"/>
      <c r="D442" s="80"/>
      <c r="E442" s="5"/>
    </row>
    <row r="443" spans="1:5" ht="12.5">
      <c r="A443" s="76"/>
      <c r="B443" s="5"/>
      <c r="C443" s="16"/>
      <c r="D443" s="80"/>
      <c r="E443" s="5"/>
    </row>
    <row r="444" spans="1:5" ht="12.5">
      <c r="A444" s="76"/>
      <c r="B444" s="5"/>
      <c r="C444" s="16"/>
      <c r="D444" s="80"/>
      <c r="E444" s="5"/>
    </row>
    <row r="445" spans="1:5" ht="12.5">
      <c r="A445" s="76"/>
      <c r="B445" s="5"/>
      <c r="C445" s="16"/>
      <c r="D445" s="80"/>
      <c r="E445" s="5"/>
    </row>
    <row r="446" spans="1:5" ht="12.5">
      <c r="A446" s="76"/>
      <c r="B446" s="5"/>
      <c r="C446" s="16"/>
      <c r="D446" s="80"/>
      <c r="E446" s="5"/>
    </row>
    <row r="447" spans="1:5" ht="12.5">
      <c r="A447" s="76"/>
      <c r="B447" s="5"/>
      <c r="C447" s="16"/>
      <c r="D447" s="80"/>
      <c r="E447" s="5"/>
    </row>
    <row r="448" spans="1:5" ht="12.5">
      <c r="A448" s="76"/>
      <c r="B448" s="5"/>
      <c r="C448" s="16"/>
      <c r="D448" s="80"/>
      <c r="E448" s="5"/>
    </row>
    <row r="449" spans="1:5" ht="12.5">
      <c r="A449" s="76"/>
      <c r="B449" s="5"/>
      <c r="C449" s="16"/>
      <c r="D449" s="80"/>
      <c r="E449" s="5"/>
    </row>
    <row r="450" spans="1:5" ht="12.5">
      <c r="A450" s="76"/>
      <c r="B450" s="5"/>
      <c r="C450" s="16"/>
      <c r="D450" s="80"/>
      <c r="E450" s="5"/>
    </row>
    <row r="451" spans="1:5" ht="12.5">
      <c r="A451" s="76"/>
      <c r="B451" s="5"/>
      <c r="C451" s="16"/>
      <c r="D451" s="80"/>
      <c r="E451" s="5"/>
    </row>
    <row r="452" spans="1:5" ht="12.5">
      <c r="A452" s="76"/>
      <c r="B452" s="5"/>
      <c r="C452" s="16"/>
      <c r="D452" s="80"/>
      <c r="E452" s="5"/>
    </row>
    <row r="453" spans="1:5" ht="12.5">
      <c r="A453" s="76"/>
      <c r="B453" s="5"/>
      <c r="C453" s="16"/>
      <c r="D453" s="80"/>
      <c r="E453" s="5"/>
    </row>
    <row r="454" spans="1:5" ht="12.5">
      <c r="A454" s="76"/>
      <c r="B454" s="5"/>
      <c r="C454" s="16"/>
      <c r="D454" s="80"/>
      <c r="E454" s="5"/>
    </row>
    <row r="455" spans="1:5" ht="12.5">
      <c r="A455" s="76"/>
      <c r="B455" s="5"/>
      <c r="C455" s="16"/>
      <c r="D455" s="80"/>
      <c r="E455" s="5"/>
    </row>
    <row r="456" spans="1:5" ht="12.5">
      <c r="A456" s="76"/>
      <c r="B456" s="5"/>
      <c r="C456" s="16"/>
      <c r="D456" s="80"/>
      <c r="E456" s="5"/>
    </row>
    <row r="457" spans="1:5" ht="12.5">
      <c r="A457" s="76"/>
      <c r="B457" s="5"/>
      <c r="C457" s="16"/>
      <c r="D457" s="80"/>
      <c r="E457" s="5"/>
    </row>
    <row r="458" spans="1:5" ht="12.5">
      <c r="A458" s="76"/>
      <c r="B458" s="5"/>
      <c r="C458" s="16"/>
      <c r="D458" s="80"/>
      <c r="E458" s="5"/>
    </row>
    <row r="459" spans="1:5" ht="12.5">
      <c r="A459" s="76"/>
      <c r="B459" s="5"/>
      <c r="C459" s="16"/>
      <c r="D459" s="80"/>
      <c r="E459" s="5"/>
    </row>
    <row r="460" spans="1:5" ht="12.5">
      <c r="A460" s="76"/>
      <c r="B460" s="5"/>
      <c r="C460" s="16"/>
      <c r="D460" s="80"/>
      <c r="E460" s="5"/>
    </row>
    <row r="461" spans="1:5" ht="12.5">
      <c r="A461" s="76"/>
      <c r="B461" s="5"/>
      <c r="C461" s="16"/>
      <c r="D461" s="80"/>
      <c r="E461" s="5"/>
    </row>
    <row r="462" spans="1:5" ht="12.5">
      <c r="A462" s="76"/>
      <c r="B462" s="5"/>
      <c r="C462" s="16"/>
      <c r="D462" s="80"/>
      <c r="E462" s="5"/>
    </row>
    <row r="463" spans="1:5" ht="12.5">
      <c r="A463" s="76"/>
      <c r="B463" s="5"/>
      <c r="C463" s="16"/>
      <c r="D463" s="80"/>
      <c r="E463" s="5"/>
    </row>
    <row r="464" spans="1:5" ht="12.5">
      <c r="A464" s="76"/>
      <c r="B464" s="5"/>
      <c r="C464" s="16"/>
      <c r="D464" s="80"/>
      <c r="E464" s="5"/>
    </row>
    <row r="465" spans="1:5" ht="12.5">
      <c r="A465" s="76"/>
      <c r="B465" s="5"/>
      <c r="C465" s="16"/>
      <c r="D465" s="80"/>
      <c r="E465" s="5"/>
    </row>
    <row r="466" spans="1:5" ht="12.5">
      <c r="A466" s="76"/>
      <c r="B466" s="5"/>
      <c r="C466" s="16"/>
      <c r="D466" s="80"/>
      <c r="E466" s="5"/>
    </row>
    <row r="467" spans="1:5" ht="12.5">
      <c r="A467" s="76"/>
      <c r="B467" s="5"/>
      <c r="C467" s="16"/>
      <c r="D467" s="80"/>
      <c r="E467" s="5"/>
    </row>
    <row r="468" spans="1:5" ht="12.5">
      <c r="A468" s="76"/>
      <c r="B468" s="5"/>
      <c r="C468" s="16"/>
      <c r="D468" s="80"/>
      <c r="E468" s="5"/>
    </row>
    <row r="469" spans="1:5" ht="12.5">
      <c r="A469" s="76"/>
      <c r="B469" s="5"/>
      <c r="C469" s="16"/>
      <c r="D469" s="80"/>
      <c r="E469" s="5"/>
    </row>
    <row r="470" spans="1:5" ht="12.5">
      <c r="A470" s="76"/>
      <c r="B470" s="5"/>
      <c r="C470" s="16"/>
      <c r="D470" s="80"/>
      <c r="E470" s="5"/>
    </row>
    <row r="471" spans="1:5" ht="12.5">
      <c r="A471" s="76"/>
      <c r="B471" s="5"/>
      <c r="C471" s="16"/>
      <c r="D471" s="80"/>
      <c r="E471" s="5"/>
    </row>
    <row r="472" spans="1:5" ht="12.5">
      <c r="A472" s="76"/>
      <c r="B472" s="5"/>
      <c r="C472" s="16"/>
      <c r="D472" s="80"/>
      <c r="E472" s="5"/>
    </row>
    <row r="473" spans="1:5" ht="12.5">
      <c r="A473" s="76"/>
      <c r="B473" s="5"/>
      <c r="C473" s="16"/>
      <c r="D473" s="80"/>
      <c r="E473" s="5"/>
    </row>
    <row r="474" spans="1:5" ht="12.5">
      <c r="A474" s="76"/>
      <c r="B474" s="5"/>
      <c r="C474" s="16"/>
      <c r="D474" s="80"/>
      <c r="E474" s="5"/>
    </row>
    <row r="475" spans="1:5" ht="12.5">
      <c r="A475" s="76"/>
      <c r="B475" s="5"/>
      <c r="C475" s="16"/>
      <c r="D475" s="80"/>
      <c r="E475" s="5"/>
    </row>
    <row r="476" spans="1:5" ht="12.5">
      <c r="A476" s="76"/>
      <c r="B476" s="5"/>
      <c r="C476" s="16"/>
      <c r="D476" s="80"/>
      <c r="E476" s="5"/>
    </row>
    <row r="477" spans="1:5" ht="12.5">
      <c r="A477" s="76"/>
      <c r="B477" s="5"/>
      <c r="C477" s="16"/>
      <c r="D477" s="80"/>
      <c r="E477" s="5"/>
    </row>
    <row r="478" spans="1:5" ht="12.5">
      <c r="A478" s="76"/>
      <c r="B478" s="5"/>
      <c r="C478" s="16"/>
      <c r="D478" s="80"/>
      <c r="E478" s="5"/>
    </row>
    <row r="479" spans="1:5" ht="12.5">
      <c r="A479" s="76"/>
      <c r="B479" s="5"/>
      <c r="C479" s="16"/>
      <c r="D479" s="80"/>
      <c r="E479" s="5"/>
    </row>
    <row r="480" spans="1:5" ht="12.5">
      <c r="A480" s="76"/>
      <c r="B480" s="5"/>
      <c r="C480" s="16"/>
      <c r="D480" s="80"/>
      <c r="E480" s="5"/>
    </row>
    <row r="481" spans="1:5" ht="12.5">
      <c r="A481" s="76"/>
      <c r="B481" s="5"/>
      <c r="C481" s="16"/>
      <c r="D481" s="80"/>
      <c r="E481" s="5"/>
    </row>
    <row r="482" spans="1:5" ht="12.5">
      <c r="A482" s="76"/>
      <c r="B482" s="5"/>
      <c r="C482" s="16"/>
      <c r="D482" s="80"/>
      <c r="E482" s="5"/>
    </row>
    <row r="483" spans="1:5" ht="12.5">
      <c r="A483" s="76"/>
      <c r="B483" s="5"/>
      <c r="C483" s="16"/>
      <c r="D483" s="80"/>
      <c r="E483" s="5"/>
    </row>
    <row r="484" spans="1:5" ht="12.5">
      <c r="A484" s="76"/>
      <c r="B484" s="5"/>
      <c r="C484" s="16"/>
      <c r="D484" s="80"/>
      <c r="E484" s="5"/>
    </row>
    <row r="485" spans="1:5" ht="12.5">
      <c r="A485" s="76"/>
      <c r="B485" s="5"/>
      <c r="C485" s="16"/>
      <c r="D485" s="80"/>
      <c r="E485" s="5"/>
    </row>
    <row r="486" spans="1:5" ht="12.5">
      <c r="A486" s="76"/>
      <c r="B486" s="5"/>
      <c r="C486" s="16"/>
      <c r="D486" s="80"/>
      <c r="E486" s="5"/>
    </row>
    <row r="487" spans="1:5" ht="12.5">
      <c r="A487" s="76"/>
      <c r="B487" s="5"/>
      <c r="C487" s="16"/>
      <c r="D487" s="80"/>
      <c r="E487" s="5"/>
    </row>
    <row r="488" spans="1:5" ht="12.5">
      <c r="A488" s="76"/>
      <c r="B488" s="5"/>
      <c r="C488" s="16"/>
      <c r="D488" s="80"/>
      <c r="E488" s="5"/>
    </row>
    <row r="489" spans="1:5" ht="12.5">
      <c r="A489" s="76"/>
      <c r="B489" s="5"/>
      <c r="C489" s="16"/>
      <c r="D489" s="80"/>
      <c r="E489" s="5"/>
    </row>
    <row r="490" spans="1:5" ht="12.5">
      <c r="A490" s="76"/>
      <c r="B490" s="5"/>
      <c r="C490" s="16"/>
      <c r="D490" s="80"/>
      <c r="E490" s="5"/>
    </row>
    <row r="491" spans="1:5" ht="12.5">
      <c r="A491" s="76"/>
      <c r="B491" s="5"/>
      <c r="C491" s="16"/>
      <c r="D491" s="80"/>
      <c r="E491" s="5"/>
    </row>
    <row r="492" spans="1:5" ht="12.5">
      <c r="A492" s="76"/>
      <c r="B492" s="5"/>
      <c r="C492" s="16"/>
      <c r="D492" s="80"/>
      <c r="E492" s="5"/>
    </row>
    <row r="493" spans="1:5" ht="12.5">
      <c r="A493" s="76"/>
      <c r="B493" s="5"/>
      <c r="C493" s="16"/>
      <c r="D493" s="80"/>
      <c r="E493" s="5"/>
    </row>
    <row r="494" spans="1:5" ht="12.5">
      <c r="A494" s="76"/>
      <c r="B494" s="5"/>
      <c r="C494" s="16"/>
      <c r="D494" s="80"/>
      <c r="E494" s="5"/>
    </row>
    <row r="495" spans="1:5" ht="12.5">
      <c r="A495" s="76"/>
      <c r="B495" s="5"/>
      <c r="C495" s="16"/>
      <c r="D495" s="80"/>
      <c r="E495" s="5"/>
    </row>
    <row r="496" spans="1:5" ht="12.5">
      <c r="A496" s="76"/>
      <c r="B496" s="5"/>
      <c r="C496" s="16"/>
      <c r="D496" s="80"/>
      <c r="E496" s="5"/>
    </row>
    <row r="497" spans="1:5" ht="12.5">
      <c r="A497" s="76"/>
      <c r="B497" s="5"/>
      <c r="C497" s="16"/>
      <c r="D497" s="80"/>
      <c r="E497" s="5"/>
    </row>
    <row r="498" spans="1:5" ht="12.5">
      <c r="A498" s="76"/>
      <c r="B498" s="5"/>
      <c r="C498" s="16"/>
      <c r="D498" s="80"/>
      <c r="E498" s="5"/>
    </row>
    <row r="499" spans="1:5" ht="12.5">
      <c r="A499" s="76"/>
      <c r="B499" s="5"/>
      <c r="C499" s="16"/>
      <c r="D499" s="80"/>
      <c r="E499" s="5"/>
    </row>
    <row r="500" spans="1:5" ht="12.5">
      <c r="A500" s="76"/>
      <c r="B500" s="5"/>
      <c r="C500" s="16"/>
      <c r="D500" s="80"/>
      <c r="E500" s="5"/>
    </row>
    <row r="501" spans="1:5" ht="12.5">
      <c r="A501" s="76"/>
      <c r="B501" s="5"/>
      <c r="C501" s="16"/>
      <c r="D501" s="80"/>
      <c r="E501" s="5"/>
    </row>
    <row r="502" spans="1:5" ht="12.5">
      <c r="A502" s="76"/>
      <c r="B502" s="5"/>
      <c r="C502" s="16"/>
      <c r="D502" s="80"/>
      <c r="E502" s="5"/>
    </row>
    <row r="503" spans="1:5" ht="12.5">
      <c r="A503" s="76"/>
      <c r="B503" s="5"/>
      <c r="C503" s="16"/>
      <c r="D503" s="80"/>
      <c r="E503" s="5"/>
    </row>
    <row r="504" spans="1:5" ht="12.5">
      <c r="A504" s="76"/>
      <c r="B504" s="5"/>
      <c r="C504" s="16"/>
      <c r="D504" s="80"/>
      <c r="E504" s="5"/>
    </row>
    <row r="505" spans="1:5" ht="12.5">
      <c r="A505" s="76"/>
      <c r="B505" s="5"/>
      <c r="C505" s="16"/>
      <c r="D505" s="80"/>
      <c r="E505" s="5"/>
    </row>
    <row r="506" spans="1:5" ht="12.5">
      <c r="A506" s="76"/>
      <c r="B506" s="5"/>
      <c r="C506" s="16"/>
      <c r="D506" s="80"/>
      <c r="E506" s="5"/>
    </row>
    <row r="507" spans="1:5" ht="12.5">
      <c r="A507" s="76"/>
      <c r="B507" s="5"/>
      <c r="C507" s="16"/>
      <c r="D507" s="80"/>
      <c r="E507" s="5"/>
    </row>
    <row r="508" spans="1:5" ht="12.5">
      <c r="A508" s="76"/>
      <c r="B508" s="5"/>
      <c r="C508" s="16"/>
      <c r="D508" s="80"/>
      <c r="E508" s="5"/>
    </row>
    <row r="509" spans="1:5" ht="12.5">
      <c r="A509" s="76"/>
      <c r="B509" s="5"/>
      <c r="C509" s="16"/>
      <c r="D509" s="80"/>
      <c r="E509" s="5"/>
    </row>
    <row r="510" spans="1:5" ht="12.5">
      <c r="A510" s="76"/>
      <c r="B510" s="5"/>
      <c r="C510" s="16"/>
      <c r="D510" s="80"/>
      <c r="E510" s="5"/>
    </row>
    <row r="511" spans="1:5" ht="12.5">
      <c r="A511" s="76"/>
      <c r="B511" s="5"/>
      <c r="C511" s="16"/>
      <c r="D511" s="80"/>
      <c r="E511" s="5"/>
    </row>
    <row r="512" spans="1:5" ht="12.5">
      <c r="A512" s="76"/>
      <c r="B512" s="5"/>
      <c r="C512" s="16"/>
      <c r="D512" s="80"/>
      <c r="E512" s="5"/>
    </row>
    <row r="513" spans="1:5" ht="12.5">
      <c r="A513" s="76"/>
      <c r="B513" s="5"/>
      <c r="C513" s="16"/>
      <c r="D513" s="80"/>
      <c r="E513" s="5"/>
    </row>
    <row r="514" spans="1:5" ht="12.5">
      <c r="A514" s="76"/>
      <c r="B514" s="5"/>
      <c r="C514" s="16"/>
      <c r="D514" s="80"/>
      <c r="E514" s="5"/>
    </row>
    <row r="515" spans="1:5" ht="12.5">
      <c r="A515" s="76"/>
      <c r="B515" s="5"/>
      <c r="C515" s="16"/>
      <c r="D515" s="80"/>
      <c r="E515" s="5"/>
    </row>
    <row r="516" spans="1:5" ht="12.5">
      <c r="A516" s="76"/>
      <c r="B516" s="5"/>
      <c r="C516" s="16"/>
      <c r="D516" s="80"/>
      <c r="E516" s="5"/>
    </row>
    <row r="517" spans="1:5" ht="12.5">
      <c r="A517" s="76"/>
      <c r="B517" s="5"/>
      <c r="C517" s="16"/>
      <c r="D517" s="80"/>
      <c r="E517" s="5"/>
    </row>
    <row r="518" spans="1:5" ht="12.5">
      <c r="A518" s="76"/>
      <c r="B518" s="5"/>
      <c r="C518" s="16"/>
      <c r="D518" s="80"/>
      <c r="E518" s="5"/>
    </row>
    <row r="519" spans="1:5" ht="12.5">
      <c r="A519" s="76"/>
      <c r="B519" s="5"/>
      <c r="C519" s="16"/>
      <c r="D519" s="80"/>
      <c r="E519" s="5"/>
    </row>
    <row r="520" spans="1:5" ht="12.5">
      <c r="A520" s="76"/>
      <c r="B520" s="5"/>
      <c r="C520" s="16"/>
      <c r="D520" s="80"/>
      <c r="E520" s="5"/>
    </row>
    <row r="521" spans="1:5" ht="12.5">
      <c r="A521" s="76"/>
      <c r="B521" s="5"/>
      <c r="C521" s="16"/>
      <c r="D521" s="80"/>
      <c r="E521" s="5"/>
    </row>
    <row r="522" spans="1:5" ht="12.5">
      <c r="A522" s="76"/>
      <c r="B522" s="5"/>
      <c r="C522" s="16"/>
      <c r="D522" s="80"/>
      <c r="E522" s="5"/>
    </row>
    <row r="523" spans="1:5" ht="12.5">
      <c r="A523" s="76"/>
      <c r="B523" s="5"/>
      <c r="C523" s="16"/>
      <c r="D523" s="80"/>
      <c r="E523" s="5"/>
    </row>
    <row r="524" spans="1:5" ht="12.5">
      <c r="A524" s="76"/>
      <c r="B524" s="5"/>
      <c r="C524" s="16"/>
      <c r="D524" s="80"/>
      <c r="E524" s="5"/>
    </row>
    <row r="525" spans="1:5" ht="12.5">
      <c r="A525" s="76"/>
      <c r="B525" s="5"/>
      <c r="C525" s="16"/>
      <c r="D525" s="80"/>
      <c r="E525" s="5"/>
    </row>
    <row r="526" spans="1:5" ht="12.5">
      <c r="A526" s="76"/>
      <c r="B526" s="5"/>
      <c r="C526" s="16"/>
      <c r="D526" s="80"/>
      <c r="E526" s="5"/>
    </row>
    <row r="527" spans="1:5" ht="12.5">
      <c r="A527" s="76"/>
      <c r="B527" s="5"/>
      <c r="C527" s="16"/>
      <c r="D527" s="80"/>
      <c r="E527" s="5"/>
    </row>
    <row r="528" spans="1:5" ht="12.5">
      <c r="A528" s="76"/>
      <c r="B528" s="5"/>
      <c r="C528" s="16"/>
      <c r="D528" s="80"/>
      <c r="E528" s="5"/>
    </row>
    <row r="529" spans="1:5" ht="12.5">
      <c r="A529" s="76"/>
      <c r="B529" s="5"/>
      <c r="C529" s="16"/>
      <c r="D529" s="80"/>
      <c r="E529" s="5"/>
    </row>
    <row r="530" spans="1:5" ht="12.5">
      <c r="A530" s="76"/>
      <c r="B530" s="5"/>
      <c r="C530" s="16"/>
      <c r="D530" s="80"/>
      <c r="E530" s="5"/>
    </row>
    <row r="531" spans="1:5" ht="12.5">
      <c r="A531" s="76"/>
      <c r="B531" s="5"/>
      <c r="C531" s="16"/>
      <c r="D531" s="80"/>
      <c r="E531" s="5"/>
    </row>
    <row r="532" spans="1:5" ht="12.5">
      <c r="A532" s="76"/>
      <c r="B532" s="5"/>
      <c r="C532" s="16"/>
      <c r="D532" s="80"/>
      <c r="E532" s="5"/>
    </row>
    <row r="533" spans="1:5" ht="12.5">
      <c r="A533" s="76"/>
      <c r="B533" s="5"/>
      <c r="C533" s="16"/>
      <c r="D533" s="80"/>
      <c r="E533" s="5"/>
    </row>
    <row r="534" spans="1:5" ht="12.5">
      <c r="A534" s="76"/>
      <c r="B534" s="5"/>
      <c r="C534" s="16"/>
      <c r="D534" s="80"/>
      <c r="E534" s="5"/>
    </row>
    <row r="535" spans="1:5" ht="12.5">
      <c r="A535" s="76"/>
      <c r="B535" s="5"/>
      <c r="C535" s="16"/>
      <c r="D535" s="80"/>
      <c r="E535" s="5"/>
    </row>
    <row r="536" spans="1:5" ht="12.5">
      <c r="A536" s="76"/>
      <c r="B536" s="5"/>
      <c r="C536" s="16"/>
      <c r="D536" s="80"/>
      <c r="E536" s="5"/>
    </row>
    <row r="537" spans="1:5" ht="12.5">
      <c r="A537" s="76"/>
      <c r="B537" s="5"/>
      <c r="C537" s="16"/>
      <c r="D537" s="80"/>
      <c r="E537" s="5"/>
    </row>
    <row r="538" spans="1:5" ht="12.5">
      <c r="A538" s="76"/>
      <c r="B538" s="5"/>
      <c r="C538" s="16"/>
      <c r="D538" s="80"/>
      <c r="E538" s="5"/>
    </row>
    <row r="539" spans="1:5" ht="12.5">
      <c r="A539" s="76"/>
      <c r="B539" s="5"/>
      <c r="C539" s="16"/>
      <c r="D539" s="80"/>
      <c r="E539" s="5"/>
    </row>
    <row r="540" spans="1:5" ht="12.5">
      <c r="A540" s="76"/>
      <c r="B540" s="5"/>
      <c r="C540" s="16"/>
      <c r="D540" s="80"/>
      <c r="E540" s="5"/>
    </row>
    <row r="541" spans="1:5" ht="12.5">
      <c r="A541" s="76"/>
      <c r="B541" s="5"/>
      <c r="C541" s="16"/>
      <c r="D541" s="80"/>
      <c r="E541" s="5"/>
    </row>
    <row r="542" spans="1:5" ht="12.5">
      <c r="A542" s="76"/>
      <c r="B542" s="5"/>
      <c r="C542" s="16"/>
      <c r="D542" s="80"/>
      <c r="E542" s="5"/>
    </row>
    <row r="543" spans="1:5" ht="12.5">
      <c r="A543" s="76"/>
      <c r="B543" s="5"/>
      <c r="C543" s="16"/>
      <c r="D543" s="80"/>
      <c r="E543" s="5"/>
    </row>
    <row r="544" spans="1:5" ht="12.5">
      <c r="A544" s="76"/>
      <c r="B544" s="5"/>
      <c r="C544" s="16"/>
      <c r="D544" s="80"/>
      <c r="E544" s="5"/>
    </row>
    <row r="545" spans="1:5" ht="12.5">
      <c r="A545" s="76"/>
      <c r="B545" s="5"/>
      <c r="C545" s="16"/>
      <c r="D545" s="80"/>
      <c r="E545" s="5"/>
    </row>
    <row r="546" spans="1:5" ht="12.5">
      <c r="A546" s="76"/>
      <c r="B546" s="5"/>
      <c r="C546" s="16"/>
      <c r="D546" s="80"/>
      <c r="E546" s="5"/>
    </row>
    <row r="547" spans="1:5" ht="12.5">
      <c r="A547" s="76"/>
      <c r="B547" s="5"/>
      <c r="C547" s="16"/>
      <c r="D547" s="80"/>
      <c r="E547" s="5"/>
    </row>
    <row r="548" spans="1:5" ht="12.5">
      <c r="A548" s="76"/>
      <c r="B548" s="5"/>
      <c r="C548" s="16"/>
      <c r="D548" s="80"/>
      <c r="E548" s="5"/>
    </row>
    <row r="549" spans="1:5" ht="12.5">
      <c r="A549" s="76"/>
      <c r="B549" s="5"/>
      <c r="C549" s="16"/>
      <c r="D549" s="80"/>
      <c r="E549" s="5"/>
    </row>
    <row r="550" spans="1:5" ht="12.5">
      <c r="A550" s="76"/>
      <c r="B550" s="5"/>
      <c r="C550" s="16"/>
      <c r="D550" s="80"/>
      <c r="E550" s="5"/>
    </row>
    <row r="551" spans="1:5" ht="12.5">
      <c r="A551" s="76"/>
      <c r="B551" s="5"/>
      <c r="C551" s="16"/>
      <c r="D551" s="80"/>
      <c r="E551" s="5"/>
    </row>
    <row r="552" spans="1:5" ht="12.5">
      <c r="A552" s="76"/>
      <c r="B552" s="5"/>
      <c r="C552" s="16"/>
      <c r="D552" s="80"/>
      <c r="E552" s="5"/>
    </row>
    <row r="553" spans="1:5" ht="12.5">
      <c r="A553" s="76"/>
      <c r="B553" s="5"/>
      <c r="C553" s="16"/>
      <c r="D553" s="80"/>
      <c r="E553" s="5"/>
    </row>
    <row r="554" spans="1:5" ht="12.5">
      <c r="A554" s="76"/>
      <c r="B554" s="5"/>
      <c r="C554" s="16"/>
      <c r="D554" s="80"/>
      <c r="E554" s="5"/>
    </row>
    <row r="555" spans="1:5" ht="12.5">
      <c r="A555" s="76"/>
      <c r="B555" s="5"/>
      <c r="C555" s="16"/>
      <c r="D555" s="80"/>
      <c r="E555" s="5"/>
    </row>
    <row r="556" spans="1:5" ht="12.5">
      <c r="A556" s="76"/>
      <c r="B556" s="5"/>
      <c r="C556" s="16"/>
      <c r="D556" s="80"/>
      <c r="E556" s="5"/>
    </row>
    <row r="557" spans="1:5" ht="12.5">
      <c r="A557" s="76"/>
      <c r="B557" s="5"/>
      <c r="C557" s="16"/>
      <c r="D557" s="80"/>
      <c r="E557" s="5"/>
    </row>
    <row r="558" spans="1:5" ht="12.5">
      <c r="A558" s="76"/>
      <c r="B558" s="5"/>
      <c r="C558" s="16"/>
      <c r="D558" s="80"/>
      <c r="E558" s="5"/>
    </row>
    <row r="559" spans="1:5" ht="12.5">
      <c r="A559" s="76"/>
      <c r="B559" s="5"/>
      <c r="C559" s="16"/>
      <c r="D559" s="80"/>
      <c r="E559" s="5"/>
    </row>
    <row r="560" spans="1:5" ht="12.5">
      <c r="A560" s="76"/>
      <c r="B560" s="5"/>
      <c r="C560" s="16"/>
      <c r="D560" s="80"/>
      <c r="E560" s="5"/>
    </row>
    <row r="561" spans="1:5" ht="12.5">
      <c r="A561" s="76"/>
      <c r="B561" s="5"/>
      <c r="C561" s="16"/>
      <c r="D561" s="80"/>
      <c r="E561" s="5"/>
    </row>
    <row r="562" spans="1:5" ht="12.5">
      <c r="A562" s="76"/>
      <c r="B562" s="5"/>
      <c r="C562" s="16"/>
      <c r="D562" s="80"/>
      <c r="E562" s="5"/>
    </row>
    <row r="563" spans="1:5" ht="12.5">
      <c r="A563" s="76"/>
      <c r="B563" s="5"/>
      <c r="C563" s="16"/>
      <c r="D563" s="80"/>
      <c r="E563" s="5"/>
    </row>
    <row r="564" spans="1:5" ht="12.5">
      <c r="A564" s="76"/>
      <c r="B564" s="5"/>
      <c r="C564" s="16"/>
      <c r="D564" s="80"/>
      <c r="E564" s="5"/>
    </row>
    <row r="565" spans="1:5" ht="12.5">
      <c r="A565" s="76"/>
      <c r="B565" s="5"/>
      <c r="C565" s="16"/>
      <c r="D565" s="80"/>
      <c r="E565" s="5"/>
    </row>
    <row r="566" spans="1:5" ht="12.5">
      <c r="A566" s="76"/>
      <c r="B566" s="5"/>
      <c r="C566" s="16"/>
      <c r="D566" s="80"/>
      <c r="E566" s="5"/>
    </row>
    <row r="567" spans="1:5" ht="12.5">
      <c r="A567" s="76"/>
      <c r="B567" s="5"/>
      <c r="C567" s="16"/>
      <c r="D567" s="80"/>
      <c r="E567" s="5"/>
    </row>
    <row r="568" spans="1:5" ht="12.5">
      <c r="A568" s="76"/>
      <c r="B568" s="5"/>
      <c r="C568" s="16"/>
      <c r="D568" s="80"/>
      <c r="E568" s="5"/>
    </row>
    <row r="569" spans="1:5" ht="12.5">
      <c r="A569" s="76"/>
      <c r="B569" s="5"/>
      <c r="C569" s="16"/>
      <c r="D569" s="80"/>
      <c r="E569" s="5"/>
    </row>
    <row r="570" spans="1:5" ht="12.5">
      <c r="A570" s="76"/>
      <c r="B570" s="5"/>
      <c r="C570" s="16"/>
      <c r="D570" s="80"/>
      <c r="E570" s="5"/>
    </row>
    <row r="571" spans="1:5" ht="12.5">
      <c r="A571" s="76"/>
      <c r="B571" s="5"/>
      <c r="C571" s="16"/>
      <c r="D571" s="80"/>
      <c r="E571" s="5"/>
    </row>
    <row r="572" spans="1:5" ht="12.5">
      <c r="A572" s="76"/>
      <c r="B572" s="5"/>
      <c r="C572" s="16"/>
      <c r="D572" s="80"/>
      <c r="E572" s="5"/>
    </row>
    <row r="573" spans="1:5" ht="12.5">
      <c r="A573" s="76"/>
      <c r="B573" s="5"/>
      <c r="C573" s="16"/>
      <c r="D573" s="80"/>
      <c r="E573" s="5"/>
    </row>
    <row r="574" spans="1:5" ht="12.5">
      <c r="A574" s="76"/>
      <c r="B574" s="5"/>
      <c r="C574" s="16"/>
      <c r="D574" s="80"/>
      <c r="E574" s="5"/>
    </row>
    <row r="575" spans="1:5" ht="12.5">
      <c r="A575" s="76"/>
      <c r="B575" s="5"/>
      <c r="C575" s="16"/>
      <c r="D575" s="80"/>
      <c r="E575" s="5"/>
    </row>
    <row r="576" spans="1:5" ht="12.5">
      <c r="A576" s="76"/>
      <c r="B576" s="5"/>
      <c r="C576" s="16"/>
      <c r="D576" s="80"/>
      <c r="E576" s="5"/>
    </row>
    <row r="577" spans="1:5" ht="12.5">
      <c r="A577" s="76"/>
      <c r="B577" s="5"/>
      <c r="C577" s="16"/>
      <c r="D577" s="80"/>
      <c r="E577" s="5"/>
    </row>
    <row r="578" spans="1:5" ht="12.5">
      <c r="A578" s="76"/>
      <c r="B578" s="5"/>
      <c r="C578" s="16"/>
      <c r="D578" s="80"/>
      <c r="E578" s="5"/>
    </row>
    <row r="579" spans="1:5" ht="12.5">
      <c r="A579" s="76"/>
      <c r="B579" s="5"/>
      <c r="C579" s="16"/>
      <c r="D579" s="80"/>
      <c r="E579" s="5"/>
    </row>
    <row r="580" spans="1:5" ht="12.5">
      <c r="A580" s="76"/>
      <c r="B580" s="5"/>
      <c r="C580" s="16"/>
      <c r="D580" s="80"/>
      <c r="E580" s="5"/>
    </row>
    <row r="581" spans="1:5" ht="12.5">
      <c r="A581" s="76"/>
      <c r="B581" s="5"/>
      <c r="C581" s="16"/>
      <c r="D581" s="80"/>
      <c r="E581" s="5"/>
    </row>
    <row r="582" spans="1:5" ht="12.5">
      <c r="A582" s="76"/>
      <c r="B582" s="5"/>
      <c r="C582" s="16"/>
      <c r="D582" s="80"/>
      <c r="E582" s="5"/>
    </row>
    <row r="583" spans="1:5" ht="12.5">
      <c r="A583" s="76"/>
      <c r="B583" s="5"/>
      <c r="C583" s="16"/>
      <c r="D583" s="80"/>
      <c r="E583" s="5"/>
    </row>
    <row r="584" spans="1:5" ht="12.5">
      <c r="A584" s="76"/>
      <c r="B584" s="5"/>
      <c r="C584" s="16"/>
      <c r="D584" s="80"/>
      <c r="E584" s="5"/>
    </row>
    <row r="585" spans="1:5" ht="12.5">
      <c r="A585" s="76"/>
      <c r="B585" s="5"/>
      <c r="C585" s="16"/>
      <c r="D585" s="80"/>
      <c r="E585" s="5"/>
    </row>
    <row r="586" spans="1:5" ht="12.5">
      <c r="A586" s="76"/>
      <c r="B586" s="5"/>
      <c r="C586" s="16"/>
      <c r="D586" s="80"/>
      <c r="E586" s="5"/>
    </row>
    <row r="587" spans="1:5" ht="12.5">
      <c r="A587" s="76"/>
      <c r="B587" s="5"/>
      <c r="C587" s="16"/>
      <c r="D587" s="80"/>
      <c r="E587" s="5"/>
    </row>
    <row r="588" spans="1:5" ht="12.5">
      <c r="A588" s="76"/>
      <c r="B588" s="5"/>
      <c r="C588" s="16"/>
      <c r="D588" s="80"/>
      <c r="E588" s="5"/>
    </row>
    <row r="589" spans="1:5" ht="12.5">
      <c r="A589" s="76"/>
      <c r="B589" s="5"/>
      <c r="C589" s="16"/>
      <c r="D589" s="80"/>
      <c r="E589" s="5"/>
    </row>
    <row r="590" spans="1:5" ht="12.5">
      <c r="A590" s="76"/>
      <c r="B590" s="5"/>
      <c r="C590" s="16"/>
      <c r="D590" s="80"/>
      <c r="E590" s="5"/>
    </row>
    <row r="591" spans="1:5" ht="12.5">
      <c r="A591" s="76"/>
      <c r="B591" s="5"/>
      <c r="C591" s="16"/>
      <c r="D591" s="80"/>
      <c r="E591" s="5"/>
    </row>
    <row r="592" spans="1:5" ht="12.5">
      <c r="A592" s="76"/>
      <c r="B592" s="5"/>
      <c r="C592" s="16"/>
      <c r="D592" s="80"/>
      <c r="E592" s="5"/>
    </row>
    <row r="593" spans="1:5" ht="12.5">
      <c r="A593" s="76"/>
      <c r="B593" s="5"/>
      <c r="C593" s="16"/>
      <c r="D593" s="80"/>
      <c r="E593" s="5"/>
    </row>
    <row r="594" spans="1:5" ht="12.5">
      <c r="A594" s="76"/>
      <c r="B594" s="5"/>
      <c r="C594" s="16"/>
      <c r="D594" s="80"/>
      <c r="E594" s="5"/>
    </row>
    <row r="595" spans="1:5" ht="12.5">
      <c r="A595" s="76"/>
      <c r="B595" s="5"/>
      <c r="C595" s="16"/>
      <c r="D595" s="80"/>
      <c r="E595" s="5"/>
    </row>
    <row r="596" spans="1:5" ht="12.5">
      <c r="A596" s="76"/>
      <c r="B596" s="5"/>
      <c r="C596" s="16"/>
      <c r="D596" s="80"/>
      <c r="E596" s="5"/>
    </row>
    <row r="597" spans="1:5" ht="12.5">
      <c r="A597" s="76"/>
      <c r="B597" s="5"/>
      <c r="C597" s="16"/>
      <c r="D597" s="80"/>
      <c r="E597" s="5"/>
    </row>
    <row r="598" spans="1:5" ht="12.5">
      <c r="A598" s="76"/>
      <c r="B598" s="5"/>
      <c r="C598" s="16"/>
      <c r="D598" s="80"/>
      <c r="E598" s="5"/>
    </row>
    <row r="599" spans="1:5" ht="12.5">
      <c r="A599" s="76"/>
      <c r="B599" s="5"/>
      <c r="C599" s="16"/>
      <c r="D599" s="80"/>
      <c r="E599" s="5"/>
    </row>
    <row r="600" spans="1:5" ht="12.5">
      <c r="A600" s="76"/>
      <c r="B600" s="5"/>
      <c r="C600" s="16"/>
      <c r="D600" s="80"/>
      <c r="E600" s="5"/>
    </row>
    <row r="601" spans="1:5" ht="12.5">
      <c r="A601" s="76"/>
      <c r="B601" s="5"/>
      <c r="C601" s="16"/>
      <c r="D601" s="80"/>
      <c r="E601" s="5"/>
    </row>
    <row r="602" spans="1:5" ht="12.5">
      <c r="A602" s="76"/>
      <c r="B602" s="5"/>
      <c r="C602" s="16"/>
      <c r="D602" s="80"/>
      <c r="E602" s="5"/>
    </row>
    <row r="603" spans="1:5" ht="12.5">
      <c r="A603" s="76"/>
      <c r="B603" s="5"/>
      <c r="C603" s="16"/>
      <c r="D603" s="80"/>
      <c r="E603" s="5"/>
    </row>
    <row r="604" spans="1:5" ht="12.5">
      <c r="A604" s="76"/>
      <c r="B604" s="5"/>
      <c r="C604" s="16"/>
      <c r="D604" s="80"/>
      <c r="E604" s="5"/>
    </row>
    <row r="605" spans="1:5" ht="12.5">
      <c r="A605" s="76"/>
      <c r="B605" s="5"/>
      <c r="C605" s="16"/>
      <c r="D605" s="80"/>
      <c r="E605" s="5"/>
    </row>
    <row r="606" spans="1:5" ht="12.5">
      <c r="A606" s="76"/>
      <c r="B606" s="5"/>
      <c r="C606" s="16"/>
      <c r="D606" s="80"/>
      <c r="E606" s="5"/>
    </row>
    <row r="607" spans="1:5" ht="12.5">
      <c r="A607" s="76"/>
      <c r="B607" s="5"/>
      <c r="C607" s="16"/>
      <c r="D607" s="80"/>
      <c r="E607" s="5"/>
    </row>
    <row r="608" spans="1:5" ht="12.5">
      <c r="A608" s="76"/>
      <c r="B608" s="5"/>
      <c r="C608" s="16"/>
      <c r="D608" s="80"/>
      <c r="E608" s="5"/>
    </row>
    <row r="609" spans="1:5" ht="12.5">
      <c r="A609" s="76"/>
      <c r="B609" s="5"/>
      <c r="C609" s="16"/>
      <c r="D609" s="80"/>
      <c r="E609" s="5"/>
    </row>
    <row r="610" spans="1:5" ht="12.5">
      <c r="A610" s="76"/>
      <c r="B610" s="5"/>
      <c r="C610" s="16"/>
      <c r="D610" s="80"/>
      <c r="E610" s="5"/>
    </row>
    <row r="611" spans="1:5" ht="12.5">
      <c r="A611" s="76"/>
      <c r="B611" s="5"/>
      <c r="C611" s="16"/>
      <c r="D611" s="80"/>
      <c r="E611" s="5"/>
    </row>
    <row r="612" spans="1:5" ht="12.5">
      <c r="A612" s="76"/>
      <c r="B612" s="5"/>
      <c r="C612" s="16"/>
      <c r="D612" s="80"/>
      <c r="E612" s="5"/>
    </row>
    <row r="613" spans="1:5" ht="12.5">
      <c r="A613" s="76"/>
      <c r="B613" s="5"/>
      <c r="C613" s="16"/>
      <c r="D613" s="80"/>
      <c r="E613" s="5"/>
    </row>
    <row r="614" spans="1:5" ht="12.5">
      <c r="A614" s="76"/>
      <c r="B614" s="5"/>
      <c r="C614" s="16"/>
      <c r="D614" s="80"/>
      <c r="E614" s="5"/>
    </row>
    <row r="615" spans="1:5" ht="12.5">
      <c r="A615" s="76"/>
      <c r="B615" s="5"/>
      <c r="C615" s="16"/>
      <c r="D615" s="80"/>
      <c r="E615" s="5"/>
    </row>
    <row r="616" spans="1:5" ht="12.5">
      <c r="A616" s="76"/>
      <c r="B616" s="5"/>
      <c r="C616" s="16"/>
      <c r="D616" s="80"/>
      <c r="E616" s="5"/>
    </row>
    <row r="617" spans="1:5" ht="12.5">
      <c r="A617" s="76"/>
      <c r="B617" s="5"/>
      <c r="C617" s="16"/>
      <c r="D617" s="80"/>
      <c r="E617" s="5"/>
    </row>
    <row r="618" spans="1:5" ht="12.5">
      <c r="A618" s="76"/>
      <c r="B618" s="5"/>
      <c r="C618" s="16"/>
      <c r="D618" s="80"/>
      <c r="E618" s="5"/>
    </row>
    <row r="619" spans="1:5" ht="12.5">
      <c r="A619" s="76"/>
      <c r="B619" s="5"/>
      <c r="C619" s="16"/>
      <c r="D619" s="80"/>
      <c r="E619" s="5"/>
    </row>
    <row r="620" spans="1:5" ht="12.5">
      <c r="A620" s="76"/>
      <c r="B620" s="5"/>
      <c r="C620" s="16"/>
      <c r="D620" s="80"/>
      <c r="E620" s="5"/>
    </row>
    <row r="621" spans="1:5" ht="12.5">
      <c r="A621" s="76"/>
      <c r="B621" s="5"/>
      <c r="C621" s="16"/>
      <c r="D621" s="80"/>
      <c r="E621" s="5"/>
    </row>
    <row r="622" spans="1:5" ht="12.5">
      <c r="A622" s="76"/>
      <c r="B622" s="5"/>
      <c r="C622" s="16"/>
      <c r="D622" s="80"/>
      <c r="E622" s="5"/>
    </row>
    <row r="623" spans="1:5" ht="12.5">
      <c r="A623" s="76"/>
      <c r="B623" s="5"/>
      <c r="C623" s="16"/>
      <c r="D623" s="80"/>
      <c r="E623" s="5"/>
    </row>
    <row r="624" spans="1:5" ht="12.5">
      <c r="A624" s="76"/>
      <c r="B624" s="5"/>
      <c r="C624" s="16"/>
      <c r="D624" s="80"/>
      <c r="E624" s="5"/>
    </row>
    <row r="625" spans="1:5" ht="12.5">
      <c r="A625" s="76"/>
      <c r="B625" s="5"/>
      <c r="C625" s="16"/>
      <c r="D625" s="80"/>
      <c r="E625" s="5"/>
    </row>
    <row r="626" spans="1:5" ht="12.5">
      <c r="A626" s="76"/>
      <c r="B626" s="5"/>
      <c r="C626" s="16"/>
      <c r="D626" s="80"/>
      <c r="E626" s="5"/>
    </row>
    <row r="627" spans="1:5" ht="12.5">
      <c r="A627" s="76"/>
      <c r="B627" s="5"/>
      <c r="C627" s="16"/>
      <c r="D627" s="80"/>
      <c r="E627" s="5"/>
    </row>
    <row r="628" spans="1:5" ht="12.5">
      <c r="A628" s="76"/>
      <c r="B628" s="5"/>
      <c r="C628" s="16"/>
      <c r="D628" s="80"/>
      <c r="E628" s="5"/>
    </row>
    <row r="629" spans="1:5" ht="12.5">
      <c r="A629" s="76"/>
      <c r="B629" s="5"/>
      <c r="C629" s="16"/>
      <c r="D629" s="80"/>
      <c r="E629" s="5"/>
    </row>
    <row r="630" spans="1:5" ht="12.5">
      <c r="A630" s="76"/>
      <c r="B630" s="5"/>
      <c r="C630" s="16"/>
      <c r="D630" s="80"/>
      <c r="E630" s="5"/>
    </row>
    <row r="631" spans="1:5" ht="12.5">
      <c r="A631" s="76"/>
      <c r="B631" s="5"/>
      <c r="C631" s="16"/>
      <c r="D631" s="80"/>
      <c r="E631" s="5"/>
    </row>
    <row r="632" spans="1:5" ht="12.5">
      <c r="A632" s="76"/>
      <c r="B632" s="5"/>
      <c r="C632" s="16"/>
      <c r="D632" s="80"/>
      <c r="E632" s="5"/>
    </row>
    <row r="633" spans="1:5" ht="12.5">
      <c r="A633" s="76"/>
      <c r="B633" s="5"/>
      <c r="C633" s="16"/>
      <c r="D633" s="80"/>
      <c r="E633" s="5"/>
    </row>
    <row r="634" spans="1:5" ht="12.5">
      <c r="A634" s="76"/>
      <c r="B634" s="5"/>
      <c r="C634" s="16"/>
      <c r="D634" s="80"/>
      <c r="E634" s="5"/>
    </row>
    <row r="635" spans="1:5" ht="12.5">
      <c r="A635" s="76"/>
      <c r="B635" s="5"/>
      <c r="C635" s="16"/>
      <c r="D635" s="80"/>
      <c r="E635" s="5"/>
    </row>
    <row r="636" spans="1:5" ht="12.5">
      <c r="A636" s="76"/>
      <c r="B636" s="5"/>
      <c r="C636" s="16"/>
      <c r="D636" s="80"/>
      <c r="E636" s="5"/>
    </row>
    <row r="637" spans="1:5" ht="12.5">
      <c r="A637" s="76"/>
      <c r="B637" s="5"/>
      <c r="C637" s="16"/>
      <c r="D637" s="80"/>
      <c r="E637" s="5"/>
    </row>
    <row r="638" spans="1:5" ht="12.5">
      <c r="A638" s="76"/>
      <c r="B638" s="5"/>
      <c r="C638" s="16"/>
      <c r="D638" s="80"/>
      <c r="E638" s="5"/>
    </row>
    <row r="639" spans="1:5" ht="12.5">
      <c r="A639" s="76"/>
      <c r="B639" s="5"/>
      <c r="C639" s="16"/>
      <c r="D639" s="80"/>
      <c r="E639" s="5"/>
    </row>
    <row r="640" spans="1:5" ht="12.5">
      <c r="A640" s="76"/>
      <c r="B640" s="5"/>
      <c r="C640" s="16"/>
      <c r="D640" s="80"/>
      <c r="E640" s="5"/>
    </row>
    <row r="641" spans="1:5" ht="12.5">
      <c r="A641" s="76"/>
      <c r="B641" s="5"/>
      <c r="C641" s="16"/>
      <c r="D641" s="80"/>
      <c r="E641" s="5"/>
    </row>
    <row r="642" spans="1:5" ht="12.5">
      <c r="A642" s="76"/>
      <c r="B642" s="5"/>
      <c r="C642" s="16"/>
      <c r="D642" s="80"/>
      <c r="E642" s="5"/>
    </row>
    <row r="643" spans="1:5" ht="12.5">
      <c r="A643" s="76"/>
      <c r="B643" s="5"/>
      <c r="C643" s="16"/>
      <c r="D643" s="80"/>
      <c r="E643" s="5"/>
    </row>
    <row r="644" spans="1:5" ht="12.5">
      <c r="A644" s="76"/>
      <c r="B644" s="5"/>
      <c r="C644" s="16"/>
      <c r="D644" s="80"/>
      <c r="E644" s="5"/>
    </row>
    <row r="645" spans="1:5" ht="12.5">
      <c r="A645" s="76"/>
      <c r="B645" s="5"/>
      <c r="C645" s="16"/>
      <c r="D645" s="80"/>
      <c r="E645" s="5"/>
    </row>
    <row r="646" spans="1:5" ht="12.5">
      <c r="A646" s="76"/>
      <c r="B646" s="5"/>
      <c r="C646" s="16"/>
      <c r="D646" s="80"/>
      <c r="E646" s="5"/>
    </row>
    <row r="647" spans="1:5" ht="12.5">
      <c r="A647" s="76"/>
      <c r="B647" s="5"/>
      <c r="C647" s="16"/>
      <c r="D647" s="80"/>
      <c r="E647" s="5"/>
    </row>
    <row r="648" spans="1:5" ht="12.5">
      <c r="A648" s="76"/>
      <c r="B648" s="5"/>
      <c r="C648" s="16"/>
      <c r="D648" s="80"/>
      <c r="E648" s="5"/>
    </row>
    <row r="649" spans="1:5" ht="12.5">
      <c r="A649" s="76"/>
      <c r="B649" s="5"/>
      <c r="C649" s="16"/>
      <c r="D649" s="80"/>
      <c r="E649" s="5"/>
    </row>
    <row r="650" spans="1:5" ht="12.5">
      <c r="A650" s="76"/>
      <c r="B650" s="5"/>
      <c r="C650" s="16"/>
      <c r="D650" s="80"/>
      <c r="E650" s="5"/>
    </row>
    <row r="651" spans="1:5" ht="12.5">
      <c r="A651" s="76"/>
      <c r="B651" s="5"/>
      <c r="C651" s="16"/>
      <c r="D651" s="80"/>
      <c r="E651" s="5"/>
    </row>
    <row r="652" spans="1:5" ht="12.5">
      <c r="A652" s="76"/>
      <c r="B652" s="5"/>
      <c r="C652" s="16"/>
      <c r="D652" s="80"/>
      <c r="E652" s="5"/>
    </row>
    <row r="653" spans="1:5" ht="12.5">
      <c r="A653" s="76"/>
      <c r="B653" s="5"/>
      <c r="C653" s="16"/>
      <c r="D653" s="80"/>
      <c r="E653" s="5"/>
    </row>
    <row r="654" spans="1:5" ht="12.5">
      <c r="A654" s="76"/>
      <c r="B654" s="5"/>
      <c r="C654" s="16"/>
      <c r="D654" s="80"/>
      <c r="E654" s="5"/>
    </row>
    <row r="655" spans="1:5" ht="12.5">
      <c r="A655" s="76"/>
      <c r="B655" s="5"/>
      <c r="C655" s="16"/>
      <c r="D655" s="80"/>
      <c r="E655" s="5"/>
    </row>
    <row r="656" spans="1:5" ht="12.5">
      <c r="A656" s="76"/>
      <c r="B656" s="5"/>
      <c r="C656" s="16"/>
      <c r="D656" s="80"/>
      <c r="E656" s="5"/>
    </row>
    <row r="657" spans="1:5" ht="12.5">
      <c r="A657" s="76"/>
      <c r="B657" s="5"/>
      <c r="C657" s="16"/>
      <c r="D657" s="80"/>
      <c r="E657" s="5"/>
    </row>
    <row r="658" spans="1:5" ht="12.5">
      <c r="A658" s="76"/>
      <c r="B658" s="5"/>
      <c r="C658" s="16"/>
      <c r="D658" s="80"/>
      <c r="E658" s="5"/>
    </row>
    <row r="659" spans="1:5" ht="12.5">
      <c r="A659" s="76"/>
      <c r="B659" s="5"/>
      <c r="C659" s="16"/>
      <c r="D659" s="80"/>
      <c r="E659" s="5"/>
    </row>
    <row r="660" spans="1:5" ht="12.5">
      <c r="A660" s="76"/>
      <c r="B660" s="5"/>
      <c r="C660" s="16"/>
      <c r="D660" s="80"/>
      <c r="E660" s="5"/>
    </row>
    <row r="661" spans="1:5" ht="12.5">
      <c r="A661" s="76"/>
      <c r="B661" s="5"/>
      <c r="C661" s="16"/>
      <c r="D661" s="80"/>
      <c r="E661" s="5"/>
    </row>
    <row r="662" spans="1:5" ht="12.5">
      <c r="A662" s="76"/>
      <c r="B662" s="5"/>
      <c r="C662" s="16"/>
      <c r="D662" s="80"/>
      <c r="E662" s="5"/>
    </row>
    <row r="663" spans="1:5" ht="12.5">
      <c r="A663" s="76"/>
      <c r="B663" s="5"/>
      <c r="C663" s="16"/>
      <c r="D663" s="80"/>
      <c r="E663" s="5"/>
    </row>
    <row r="664" spans="1:5" ht="12.5">
      <c r="A664" s="76"/>
      <c r="B664" s="5"/>
      <c r="C664" s="16"/>
      <c r="D664" s="80"/>
      <c r="E664" s="5"/>
    </row>
    <row r="665" spans="1:5" ht="12.5">
      <c r="A665" s="76"/>
      <c r="B665" s="5"/>
      <c r="C665" s="16"/>
      <c r="D665" s="80"/>
      <c r="E665" s="5"/>
    </row>
    <row r="666" spans="1:5" ht="12.5">
      <c r="A666" s="76"/>
      <c r="B666" s="5"/>
      <c r="C666" s="16"/>
      <c r="D666" s="80"/>
      <c r="E666" s="5"/>
    </row>
    <row r="667" spans="1:5" ht="12.5">
      <c r="A667" s="76"/>
      <c r="B667" s="5"/>
      <c r="C667" s="16"/>
      <c r="D667" s="80"/>
      <c r="E667" s="5"/>
    </row>
    <row r="668" spans="1:5" ht="12.5">
      <c r="A668" s="76"/>
      <c r="B668" s="5"/>
      <c r="C668" s="16"/>
      <c r="D668" s="80"/>
      <c r="E668" s="5"/>
    </row>
    <row r="669" spans="1:5" ht="12.5">
      <c r="A669" s="76"/>
      <c r="B669" s="5"/>
      <c r="C669" s="16"/>
      <c r="D669" s="80"/>
      <c r="E669" s="5"/>
    </row>
    <row r="670" spans="1:5" ht="12.5">
      <c r="A670" s="76"/>
      <c r="B670" s="5"/>
      <c r="C670" s="16"/>
      <c r="D670" s="80"/>
      <c r="E670" s="5"/>
    </row>
    <row r="671" spans="1:5" ht="12.5">
      <c r="A671" s="76"/>
      <c r="B671" s="5"/>
      <c r="C671" s="16"/>
      <c r="D671" s="80"/>
      <c r="E671" s="5"/>
    </row>
    <row r="672" spans="1:5" ht="12.5">
      <c r="A672" s="76"/>
      <c r="B672" s="5"/>
      <c r="C672" s="16"/>
      <c r="D672" s="80"/>
      <c r="E672" s="5"/>
    </row>
    <row r="673" spans="1:5" ht="12.5">
      <c r="A673" s="76"/>
      <c r="B673" s="5"/>
      <c r="C673" s="16"/>
      <c r="D673" s="80"/>
      <c r="E673" s="5"/>
    </row>
    <row r="674" spans="1:5" ht="12.5">
      <c r="A674" s="76"/>
      <c r="B674" s="5"/>
      <c r="C674" s="16"/>
      <c r="D674" s="80"/>
      <c r="E674" s="5"/>
    </row>
    <row r="675" spans="1:5" ht="12.5">
      <c r="A675" s="76"/>
      <c r="B675" s="5"/>
      <c r="C675" s="16"/>
      <c r="D675" s="80"/>
      <c r="E675" s="5"/>
    </row>
    <row r="676" spans="1:5" ht="12.5">
      <c r="A676" s="76"/>
      <c r="B676" s="5"/>
      <c r="C676" s="16"/>
      <c r="D676" s="80"/>
      <c r="E676" s="5"/>
    </row>
    <row r="677" spans="1:5" ht="12.5">
      <c r="A677" s="76"/>
      <c r="B677" s="5"/>
      <c r="C677" s="16"/>
      <c r="D677" s="80"/>
      <c r="E677" s="5"/>
    </row>
    <row r="678" spans="1:5" ht="12.5">
      <c r="A678" s="76"/>
      <c r="B678" s="5"/>
      <c r="C678" s="16"/>
      <c r="D678" s="80"/>
      <c r="E678" s="5"/>
    </row>
    <row r="679" spans="1:5" ht="12.5">
      <c r="A679" s="76"/>
      <c r="B679" s="5"/>
      <c r="C679" s="16"/>
      <c r="D679" s="80"/>
      <c r="E679" s="5"/>
    </row>
    <row r="680" spans="1:5" ht="12.5">
      <c r="A680" s="76"/>
      <c r="B680" s="5"/>
      <c r="C680" s="16"/>
      <c r="D680" s="80"/>
      <c r="E680" s="5"/>
    </row>
    <row r="681" spans="1:5" ht="12.5">
      <c r="A681" s="76"/>
      <c r="B681" s="5"/>
      <c r="C681" s="16"/>
      <c r="D681" s="80"/>
      <c r="E681" s="5"/>
    </row>
    <row r="682" spans="1:5" ht="12.5">
      <c r="A682" s="76"/>
      <c r="B682" s="5"/>
      <c r="C682" s="16"/>
      <c r="D682" s="80"/>
      <c r="E682" s="5"/>
    </row>
    <row r="683" spans="1:5" ht="12.5">
      <c r="A683" s="76"/>
      <c r="B683" s="5"/>
      <c r="C683" s="16"/>
      <c r="D683" s="80"/>
      <c r="E683" s="5"/>
    </row>
    <row r="684" spans="1:5" ht="12.5">
      <c r="A684" s="76"/>
      <c r="B684" s="5"/>
      <c r="C684" s="16"/>
      <c r="D684" s="80"/>
      <c r="E684" s="5"/>
    </row>
    <row r="685" spans="1:5" ht="12.5">
      <c r="A685" s="76"/>
      <c r="B685" s="5"/>
      <c r="C685" s="16"/>
      <c r="D685" s="80"/>
      <c r="E685" s="5"/>
    </row>
    <row r="686" spans="1:5" ht="12.5">
      <c r="A686" s="76"/>
      <c r="B686" s="5"/>
      <c r="C686" s="16"/>
      <c r="D686" s="80"/>
      <c r="E686" s="5"/>
    </row>
    <row r="687" spans="1:5" ht="12.5">
      <c r="A687" s="76"/>
      <c r="B687" s="5"/>
      <c r="C687" s="16"/>
      <c r="D687" s="80"/>
      <c r="E687" s="5"/>
    </row>
    <row r="688" spans="1:5" ht="12.5">
      <c r="A688" s="76"/>
      <c r="B688" s="5"/>
      <c r="C688" s="16"/>
      <c r="D688" s="80"/>
      <c r="E688" s="5"/>
    </row>
    <row r="689" spans="1:5" ht="12.5">
      <c r="A689" s="76"/>
      <c r="B689" s="5"/>
      <c r="C689" s="16"/>
      <c r="D689" s="80"/>
      <c r="E689" s="5"/>
    </row>
    <row r="690" spans="1:5" ht="12.5">
      <c r="A690" s="76"/>
      <c r="B690" s="5"/>
      <c r="C690" s="16"/>
      <c r="D690" s="80"/>
      <c r="E690" s="5"/>
    </row>
    <row r="691" spans="1:5" ht="12.5">
      <c r="A691" s="76"/>
      <c r="B691" s="5"/>
      <c r="C691" s="16"/>
      <c r="D691" s="80"/>
      <c r="E691" s="5"/>
    </row>
    <row r="692" spans="1:5" ht="12.5">
      <c r="A692" s="76"/>
      <c r="B692" s="5"/>
      <c r="C692" s="16"/>
      <c r="D692" s="80"/>
      <c r="E692" s="5"/>
    </row>
    <row r="693" spans="1:5" ht="12.5">
      <c r="A693" s="76"/>
      <c r="B693" s="5"/>
      <c r="C693" s="16"/>
      <c r="D693" s="80"/>
      <c r="E693" s="5"/>
    </row>
    <row r="694" spans="1:5" ht="12.5">
      <c r="A694" s="76"/>
      <c r="B694" s="5"/>
      <c r="C694" s="16"/>
      <c r="D694" s="80"/>
      <c r="E694" s="5"/>
    </row>
    <row r="695" spans="1:5" ht="12.5">
      <c r="A695" s="76"/>
      <c r="B695" s="5"/>
      <c r="C695" s="16"/>
      <c r="D695" s="80"/>
      <c r="E695" s="5"/>
    </row>
    <row r="696" spans="1:5" ht="12.5">
      <c r="A696" s="76"/>
      <c r="B696" s="5"/>
      <c r="C696" s="16"/>
      <c r="D696" s="80"/>
      <c r="E696" s="5"/>
    </row>
    <row r="697" spans="1:5" ht="12.5">
      <c r="A697" s="76"/>
      <c r="B697" s="5"/>
      <c r="C697" s="16"/>
      <c r="D697" s="80"/>
      <c r="E697" s="5"/>
    </row>
    <row r="698" spans="1:5" ht="12.5">
      <c r="A698" s="76"/>
      <c r="B698" s="5"/>
      <c r="C698" s="16"/>
      <c r="D698" s="80"/>
      <c r="E698" s="5"/>
    </row>
    <row r="699" spans="1:5" ht="12.5">
      <c r="A699" s="76"/>
      <c r="B699" s="5"/>
      <c r="C699" s="16"/>
      <c r="D699" s="80"/>
      <c r="E699" s="5"/>
    </row>
    <row r="700" spans="1:5" ht="12.5">
      <c r="A700" s="76"/>
      <c r="B700" s="5"/>
      <c r="C700" s="16"/>
      <c r="D700" s="80"/>
      <c r="E700" s="5"/>
    </row>
    <row r="701" spans="1:5" ht="12.5">
      <c r="A701" s="76"/>
      <c r="B701" s="5"/>
      <c r="C701" s="16"/>
      <c r="D701" s="80"/>
      <c r="E701" s="5"/>
    </row>
    <row r="702" spans="1:5" ht="12.5">
      <c r="A702" s="76"/>
      <c r="B702" s="5"/>
      <c r="C702" s="16"/>
      <c r="D702" s="80"/>
      <c r="E702" s="5"/>
    </row>
    <row r="703" spans="1:5" ht="12.5">
      <c r="A703" s="76"/>
      <c r="B703" s="5"/>
      <c r="C703" s="16"/>
      <c r="D703" s="80"/>
      <c r="E703" s="5"/>
    </row>
    <row r="704" spans="1:5" ht="12.5">
      <c r="A704" s="76"/>
      <c r="B704" s="5"/>
      <c r="C704" s="16"/>
      <c r="D704" s="80"/>
      <c r="E704" s="5"/>
    </row>
    <row r="705" spans="1:5" ht="12.5">
      <c r="A705" s="76"/>
      <c r="B705" s="5"/>
      <c r="C705" s="16"/>
      <c r="D705" s="80"/>
      <c r="E705" s="5"/>
    </row>
    <row r="706" spans="1:5" ht="12.5">
      <c r="A706" s="76"/>
      <c r="B706" s="5"/>
      <c r="C706" s="16"/>
      <c r="D706" s="80"/>
      <c r="E706" s="5"/>
    </row>
    <row r="707" spans="1:5" ht="12.5">
      <c r="A707" s="76"/>
      <c r="B707" s="5"/>
      <c r="C707" s="16"/>
      <c r="D707" s="80"/>
      <c r="E707" s="5"/>
    </row>
    <row r="708" spans="1:5" ht="12.5">
      <c r="A708" s="76"/>
      <c r="B708" s="5"/>
      <c r="C708" s="16"/>
      <c r="D708" s="80"/>
      <c r="E708" s="5"/>
    </row>
    <row r="709" spans="1:5" ht="12.5">
      <c r="A709" s="76"/>
      <c r="B709" s="5"/>
      <c r="C709" s="16"/>
      <c r="D709" s="80"/>
      <c r="E709" s="5"/>
    </row>
    <row r="710" spans="1:5" ht="12.5">
      <c r="A710" s="76"/>
      <c r="B710" s="5"/>
      <c r="C710" s="16"/>
      <c r="D710" s="80"/>
      <c r="E710" s="5"/>
    </row>
    <row r="711" spans="1:5" ht="12.5">
      <c r="A711" s="76"/>
      <c r="B711" s="5"/>
      <c r="C711" s="16"/>
      <c r="D711" s="80"/>
      <c r="E711" s="5"/>
    </row>
    <row r="712" spans="1:5" ht="12.5">
      <c r="A712" s="76"/>
      <c r="B712" s="5"/>
      <c r="C712" s="16"/>
      <c r="D712" s="80"/>
      <c r="E712" s="5"/>
    </row>
    <row r="713" spans="1:5" ht="12.5">
      <c r="A713" s="76"/>
      <c r="B713" s="5"/>
      <c r="C713" s="16"/>
      <c r="D713" s="80"/>
      <c r="E713" s="5"/>
    </row>
    <row r="714" spans="1:5" ht="12.5">
      <c r="A714" s="76"/>
      <c r="B714" s="5"/>
      <c r="C714" s="16"/>
      <c r="D714" s="80"/>
      <c r="E714" s="5"/>
    </row>
    <row r="715" spans="1:5" ht="12.5">
      <c r="A715" s="76"/>
      <c r="B715" s="5"/>
      <c r="C715" s="16"/>
      <c r="D715" s="80"/>
      <c r="E715" s="5"/>
    </row>
    <row r="716" spans="1:5" ht="12.5">
      <c r="A716" s="76"/>
      <c r="B716" s="5"/>
      <c r="C716" s="16"/>
      <c r="D716" s="80"/>
      <c r="E716" s="5"/>
    </row>
    <row r="717" spans="1:5" ht="12.5">
      <c r="A717" s="76"/>
      <c r="B717" s="5"/>
      <c r="C717" s="16"/>
      <c r="D717" s="80"/>
      <c r="E717" s="5"/>
    </row>
    <row r="718" spans="1:5" ht="12.5">
      <c r="A718" s="76"/>
      <c r="B718" s="5"/>
      <c r="C718" s="16"/>
      <c r="D718" s="80"/>
      <c r="E718" s="5"/>
    </row>
    <row r="719" spans="1:5" ht="12.5">
      <c r="A719" s="76"/>
      <c r="B719" s="5"/>
      <c r="C719" s="16"/>
      <c r="D719" s="80"/>
      <c r="E719" s="5"/>
    </row>
    <row r="720" spans="1:5" ht="12.5">
      <c r="A720" s="76"/>
      <c r="B720" s="5"/>
      <c r="C720" s="16"/>
      <c r="D720" s="80"/>
      <c r="E720" s="5"/>
    </row>
    <row r="721" spans="1:5" ht="12.5">
      <c r="A721" s="76"/>
      <c r="B721" s="5"/>
      <c r="C721" s="16"/>
      <c r="D721" s="80"/>
      <c r="E721" s="5"/>
    </row>
    <row r="722" spans="1:5" ht="12.5">
      <c r="A722" s="76"/>
      <c r="B722" s="5"/>
      <c r="C722" s="16"/>
      <c r="D722" s="80"/>
      <c r="E722" s="5"/>
    </row>
    <row r="723" spans="1:5" ht="12.5">
      <c r="A723" s="76"/>
      <c r="B723" s="5"/>
      <c r="C723" s="16"/>
      <c r="D723" s="80"/>
      <c r="E723" s="5"/>
    </row>
    <row r="724" spans="1:5" ht="12.5">
      <c r="A724" s="76"/>
      <c r="B724" s="5"/>
      <c r="C724" s="16"/>
      <c r="D724" s="80"/>
      <c r="E724" s="5"/>
    </row>
    <row r="725" spans="1:5" ht="12.5">
      <c r="A725" s="76"/>
      <c r="B725" s="5"/>
      <c r="C725" s="16"/>
      <c r="D725" s="80"/>
      <c r="E725" s="5"/>
    </row>
    <row r="726" spans="1:5" ht="12.5">
      <c r="A726" s="76"/>
      <c r="B726" s="5"/>
      <c r="C726" s="16"/>
      <c r="D726" s="80"/>
      <c r="E726" s="5"/>
    </row>
    <row r="727" spans="1:5" ht="12.5">
      <c r="A727" s="76"/>
      <c r="B727" s="5"/>
      <c r="C727" s="16"/>
      <c r="D727" s="80"/>
      <c r="E727" s="5"/>
    </row>
    <row r="728" spans="1:5" ht="12.5">
      <c r="A728" s="76"/>
      <c r="B728" s="5"/>
      <c r="C728" s="16"/>
      <c r="D728" s="80"/>
      <c r="E728" s="5"/>
    </row>
    <row r="729" spans="1:5" ht="12.5">
      <c r="A729" s="76"/>
      <c r="B729" s="5"/>
      <c r="C729" s="16"/>
      <c r="D729" s="80"/>
      <c r="E729" s="5"/>
    </row>
    <row r="730" spans="1:5" ht="12.5">
      <c r="A730" s="76"/>
      <c r="B730" s="5"/>
      <c r="C730" s="16"/>
      <c r="D730" s="80"/>
      <c r="E730" s="5"/>
    </row>
    <row r="731" spans="1:5" ht="12.5">
      <c r="A731" s="76"/>
      <c r="B731" s="5"/>
      <c r="C731" s="16"/>
      <c r="D731" s="80"/>
      <c r="E731" s="5"/>
    </row>
    <row r="732" spans="1:5" ht="12.5">
      <c r="A732" s="76"/>
      <c r="B732" s="5"/>
      <c r="C732" s="16"/>
      <c r="D732" s="80"/>
      <c r="E732" s="5"/>
    </row>
    <row r="733" spans="1:5" ht="12.5">
      <c r="A733" s="76"/>
      <c r="B733" s="5"/>
      <c r="C733" s="16"/>
      <c r="D733" s="80"/>
      <c r="E733" s="5"/>
    </row>
    <row r="734" spans="1:5" ht="12.5">
      <c r="A734" s="76"/>
      <c r="B734" s="5"/>
      <c r="C734" s="16"/>
      <c r="D734" s="80"/>
      <c r="E734" s="5"/>
    </row>
    <row r="735" spans="1:5" ht="12.5">
      <c r="A735" s="76"/>
      <c r="B735" s="5"/>
      <c r="C735" s="16"/>
      <c r="D735" s="80"/>
      <c r="E735" s="5"/>
    </row>
    <row r="736" spans="1:5" ht="12.5">
      <c r="A736" s="76"/>
      <c r="B736" s="5"/>
      <c r="C736" s="16"/>
      <c r="D736" s="80"/>
      <c r="E736" s="5"/>
    </row>
    <row r="737" spans="1:5" ht="12.5">
      <c r="A737" s="76"/>
      <c r="B737" s="5"/>
      <c r="C737" s="16"/>
      <c r="D737" s="80"/>
      <c r="E737" s="5"/>
    </row>
    <row r="738" spans="1:5" ht="12.5">
      <c r="A738" s="76"/>
      <c r="B738" s="5"/>
      <c r="C738" s="16"/>
      <c r="D738" s="80"/>
      <c r="E738" s="5"/>
    </row>
    <row r="739" spans="1:5" ht="12.5">
      <c r="A739" s="76"/>
      <c r="B739" s="5"/>
      <c r="C739" s="16"/>
      <c r="D739" s="80"/>
      <c r="E739" s="5"/>
    </row>
    <row r="740" spans="1:5" ht="12.5">
      <c r="A740" s="76"/>
      <c r="B740" s="5"/>
      <c r="C740" s="16"/>
      <c r="D740" s="80"/>
      <c r="E740" s="5"/>
    </row>
    <row r="741" spans="1:5" ht="12.5">
      <c r="A741" s="76"/>
      <c r="B741" s="5"/>
      <c r="C741" s="16"/>
      <c r="D741" s="80"/>
      <c r="E741" s="5"/>
    </row>
    <row r="742" spans="1:5" ht="12.5">
      <c r="A742" s="76"/>
      <c r="B742" s="5"/>
      <c r="C742" s="16"/>
      <c r="D742" s="80"/>
      <c r="E742" s="5"/>
    </row>
    <row r="743" spans="1:5" ht="12.5">
      <c r="A743" s="76"/>
      <c r="B743" s="5"/>
      <c r="C743" s="16"/>
      <c r="D743" s="80"/>
      <c r="E743" s="5"/>
    </row>
    <row r="744" spans="1:5" ht="12.5">
      <c r="A744" s="76"/>
      <c r="B744" s="5"/>
      <c r="C744" s="16"/>
      <c r="D744" s="80"/>
      <c r="E744" s="5"/>
    </row>
    <row r="745" spans="1:5" ht="12.5">
      <c r="A745" s="76"/>
      <c r="B745" s="5"/>
      <c r="C745" s="16"/>
      <c r="D745" s="80"/>
      <c r="E745" s="5"/>
    </row>
    <row r="746" spans="1:5" ht="12.5">
      <c r="A746" s="76"/>
      <c r="B746" s="5"/>
      <c r="C746" s="16"/>
      <c r="D746" s="80"/>
      <c r="E746" s="5"/>
    </row>
    <row r="747" spans="1:5" ht="12.5">
      <c r="A747" s="76"/>
      <c r="B747" s="5"/>
      <c r="C747" s="16"/>
      <c r="D747" s="80"/>
      <c r="E747" s="5"/>
    </row>
    <row r="748" spans="1:5" ht="12.5">
      <c r="A748" s="76"/>
      <c r="B748" s="5"/>
      <c r="C748" s="16"/>
      <c r="D748" s="80"/>
      <c r="E748" s="5"/>
    </row>
    <row r="749" spans="1:5" ht="12.5">
      <c r="A749" s="76"/>
      <c r="B749" s="5"/>
      <c r="C749" s="16"/>
      <c r="D749" s="80"/>
      <c r="E749" s="5"/>
    </row>
    <row r="750" spans="1:5" ht="12.5">
      <c r="A750" s="76"/>
      <c r="B750" s="5"/>
      <c r="C750" s="16"/>
      <c r="D750" s="80"/>
      <c r="E750" s="5"/>
    </row>
    <row r="751" spans="1:5" ht="12.5">
      <c r="A751" s="76"/>
      <c r="B751" s="5"/>
      <c r="C751" s="16"/>
      <c r="D751" s="80"/>
      <c r="E751" s="5"/>
    </row>
    <row r="752" spans="1:5" ht="12.5">
      <c r="A752" s="76"/>
      <c r="B752" s="5"/>
      <c r="C752" s="16"/>
      <c r="D752" s="80"/>
      <c r="E752" s="5"/>
    </row>
    <row r="753" spans="1:5" ht="12.5">
      <c r="A753" s="76"/>
      <c r="B753" s="5"/>
      <c r="C753" s="16"/>
      <c r="D753" s="80"/>
      <c r="E753" s="5"/>
    </row>
    <row r="754" spans="1:5" ht="12.5">
      <c r="A754" s="76"/>
      <c r="B754" s="5"/>
      <c r="C754" s="16"/>
      <c r="D754" s="80"/>
      <c r="E754" s="5"/>
    </row>
    <row r="755" spans="1:5" ht="12.5">
      <c r="A755" s="76"/>
      <c r="B755" s="5"/>
      <c r="C755" s="16"/>
      <c r="D755" s="80"/>
      <c r="E755" s="5"/>
    </row>
    <row r="756" spans="1:5" ht="12.5">
      <c r="A756" s="76"/>
      <c r="B756" s="5"/>
      <c r="C756" s="16"/>
      <c r="D756" s="80"/>
      <c r="E756" s="5"/>
    </row>
    <row r="757" spans="1:5" ht="12.5">
      <c r="A757" s="76"/>
      <c r="B757" s="5"/>
      <c r="C757" s="16"/>
      <c r="D757" s="80"/>
      <c r="E757" s="5"/>
    </row>
    <row r="758" spans="1:5" ht="12.5">
      <c r="A758" s="76"/>
      <c r="B758" s="5"/>
      <c r="C758" s="16"/>
      <c r="D758" s="80"/>
      <c r="E758" s="5"/>
    </row>
    <row r="759" spans="1:5" ht="12.5">
      <c r="A759" s="76"/>
      <c r="B759" s="5"/>
      <c r="C759" s="16"/>
      <c r="D759" s="80"/>
      <c r="E759" s="5"/>
    </row>
    <row r="760" spans="1:5" ht="12.5">
      <c r="A760" s="76"/>
      <c r="B760" s="5"/>
      <c r="C760" s="16"/>
      <c r="D760" s="80"/>
      <c r="E760" s="5"/>
    </row>
    <row r="761" spans="1:5" ht="12.5">
      <c r="A761" s="76"/>
      <c r="B761" s="5"/>
      <c r="C761" s="16"/>
      <c r="D761" s="80"/>
      <c r="E761" s="5"/>
    </row>
    <row r="762" spans="1:5" ht="12.5">
      <c r="A762" s="76"/>
      <c r="B762" s="5"/>
      <c r="C762" s="16"/>
      <c r="D762" s="80"/>
      <c r="E762" s="5"/>
    </row>
    <row r="763" spans="1:5" ht="12.5">
      <c r="A763" s="76"/>
      <c r="B763" s="5"/>
      <c r="C763" s="16"/>
      <c r="D763" s="80"/>
      <c r="E763" s="5"/>
    </row>
    <row r="764" spans="1:5" ht="12.5">
      <c r="A764" s="76"/>
      <c r="B764" s="5"/>
      <c r="C764" s="16"/>
      <c r="D764" s="80"/>
      <c r="E764" s="5"/>
    </row>
    <row r="765" spans="1:5" ht="12.5">
      <c r="A765" s="76"/>
      <c r="B765" s="5"/>
      <c r="C765" s="16"/>
      <c r="D765" s="80"/>
      <c r="E765" s="5"/>
    </row>
    <row r="766" spans="1:5" ht="12.5">
      <c r="A766" s="76"/>
      <c r="B766" s="5"/>
      <c r="C766" s="16"/>
      <c r="D766" s="80"/>
      <c r="E766" s="5"/>
    </row>
    <row r="767" spans="1:5" ht="12.5">
      <c r="A767" s="76"/>
      <c r="B767" s="5"/>
      <c r="C767" s="16"/>
      <c r="D767" s="80"/>
      <c r="E767" s="5"/>
    </row>
    <row r="768" spans="1:5" ht="12.5">
      <c r="A768" s="76"/>
      <c r="B768" s="5"/>
      <c r="C768" s="16"/>
      <c r="D768" s="80"/>
      <c r="E768" s="5"/>
    </row>
    <row r="769" spans="1:5" ht="12.5">
      <c r="A769" s="76"/>
      <c r="B769" s="5"/>
      <c r="C769" s="16"/>
      <c r="D769" s="80"/>
      <c r="E769" s="5"/>
    </row>
    <row r="770" spans="1:5" ht="12.5">
      <c r="A770" s="76"/>
      <c r="B770" s="5"/>
      <c r="C770" s="16"/>
      <c r="D770" s="80"/>
      <c r="E770" s="5"/>
    </row>
    <row r="771" spans="1:5" ht="12.5">
      <c r="A771" s="76"/>
      <c r="B771" s="5"/>
      <c r="C771" s="16"/>
      <c r="D771" s="80"/>
      <c r="E771" s="5"/>
    </row>
    <row r="772" spans="1:5" ht="12.5">
      <c r="A772" s="76"/>
      <c r="B772" s="5"/>
      <c r="C772" s="16"/>
      <c r="D772" s="80"/>
      <c r="E772" s="5"/>
    </row>
    <row r="773" spans="1:5" ht="12.5">
      <c r="A773" s="76"/>
      <c r="B773" s="5"/>
      <c r="C773" s="16"/>
      <c r="D773" s="80"/>
      <c r="E773" s="5"/>
    </row>
    <row r="774" spans="1:5" ht="12.5">
      <c r="A774" s="76"/>
      <c r="B774" s="5"/>
      <c r="C774" s="16"/>
      <c r="D774" s="80"/>
      <c r="E774" s="5"/>
    </row>
    <row r="775" spans="1:5" ht="12.5">
      <c r="A775" s="76"/>
      <c r="B775" s="5"/>
      <c r="C775" s="16"/>
      <c r="D775" s="80"/>
      <c r="E775" s="5"/>
    </row>
    <row r="776" spans="1:5" ht="12.5">
      <c r="A776" s="76"/>
      <c r="B776" s="5"/>
      <c r="C776" s="16"/>
      <c r="D776" s="80"/>
      <c r="E776" s="5"/>
    </row>
    <row r="777" spans="1:5" ht="12.5">
      <c r="A777" s="76"/>
      <c r="B777" s="5"/>
      <c r="C777" s="16"/>
      <c r="D777" s="80"/>
      <c r="E777" s="5"/>
    </row>
    <row r="778" spans="1:5" ht="12.5">
      <c r="A778" s="76"/>
      <c r="B778" s="5"/>
      <c r="C778" s="16"/>
      <c r="D778" s="80"/>
      <c r="E778" s="5"/>
    </row>
    <row r="779" spans="1:5" ht="12.5">
      <c r="A779" s="76"/>
      <c r="B779" s="5"/>
      <c r="C779" s="16"/>
      <c r="D779" s="80"/>
      <c r="E779" s="5"/>
    </row>
    <row r="780" spans="1:5" ht="12.5">
      <c r="A780" s="76"/>
      <c r="B780" s="5"/>
      <c r="C780" s="16"/>
      <c r="D780" s="80"/>
      <c r="E780" s="5"/>
    </row>
    <row r="781" spans="1:5" ht="12.5">
      <c r="A781" s="76"/>
      <c r="B781" s="5"/>
      <c r="C781" s="16"/>
      <c r="D781" s="80"/>
      <c r="E781" s="5"/>
    </row>
    <row r="782" spans="1:5" ht="12.5">
      <c r="A782" s="76"/>
      <c r="B782" s="5"/>
      <c r="C782" s="16"/>
      <c r="D782" s="80"/>
      <c r="E782" s="5"/>
    </row>
    <row r="783" spans="1:5" ht="12.5">
      <c r="A783" s="76"/>
      <c r="B783" s="5"/>
      <c r="C783" s="16"/>
      <c r="D783" s="80"/>
      <c r="E783" s="5"/>
    </row>
    <row r="784" spans="1:5" ht="12.5">
      <c r="A784" s="76"/>
      <c r="B784" s="5"/>
      <c r="C784" s="16"/>
      <c r="D784" s="80"/>
      <c r="E784" s="5"/>
    </row>
    <row r="785" spans="1:5" ht="12.5">
      <c r="A785" s="76"/>
      <c r="B785" s="5"/>
      <c r="C785" s="16"/>
      <c r="D785" s="80"/>
      <c r="E785" s="5"/>
    </row>
    <row r="786" spans="1:5" ht="12.5">
      <c r="A786" s="76"/>
      <c r="B786" s="5"/>
      <c r="C786" s="16"/>
      <c r="D786" s="80"/>
      <c r="E786" s="5"/>
    </row>
    <row r="787" spans="1:5" ht="12.5">
      <c r="A787" s="76"/>
      <c r="B787" s="5"/>
      <c r="C787" s="16"/>
      <c r="D787" s="80"/>
      <c r="E787" s="5"/>
    </row>
    <row r="788" spans="1:5" ht="12.5">
      <c r="A788" s="76"/>
      <c r="B788" s="5"/>
      <c r="C788" s="16"/>
      <c r="D788" s="80"/>
      <c r="E788" s="5"/>
    </row>
    <row r="789" spans="1:5" ht="12.5">
      <c r="A789" s="76"/>
      <c r="B789" s="5"/>
      <c r="C789" s="16"/>
      <c r="D789" s="80"/>
      <c r="E789" s="5"/>
    </row>
    <row r="790" spans="1:5" ht="12.5">
      <c r="A790" s="76"/>
      <c r="B790" s="5"/>
      <c r="C790" s="16"/>
      <c r="D790" s="80"/>
      <c r="E790" s="5"/>
    </row>
    <row r="791" spans="1:5" ht="12.5">
      <c r="A791" s="76"/>
      <c r="B791" s="5"/>
      <c r="C791" s="16"/>
      <c r="D791" s="80"/>
      <c r="E791" s="5"/>
    </row>
    <row r="792" spans="1:5" ht="12.5">
      <c r="A792" s="76"/>
      <c r="B792" s="5"/>
      <c r="C792" s="16"/>
      <c r="D792" s="80"/>
      <c r="E792" s="5"/>
    </row>
    <row r="793" spans="1:5" ht="12.5">
      <c r="A793" s="76"/>
      <c r="B793" s="5"/>
      <c r="C793" s="16"/>
      <c r="D793" s="80"/>
      <c r="E793" s="5"/>
    </row>
    <row r="794" spans="1:5" ht="12.5">
      <c r="A794" s="76"/>
      <c r="B794" s="5"/>
      <c r="C794" s="16"/>
      <c r="D794" s="80"/>
      <c r="E794" s="5"/>
    </row>
    <row r="795" spans="1:5" ht="12.5">
      <c r="A795" s="76"/>
      <c r="B795" s="5"/>
      <c r="C795" s="16"/>
      <c r="D795" s="80"/>
      <c r="E795" s="5"/>
    </row>
    <row r="796" spans="1:5" ht="12.5">
      <c r="A796" s="76"/>
      <c r="B796" s="5"/>
      <c r="C796" s="16"/>
      <c r="D796" s="80"/>
      <c r="E796" s="5"/>
    </row>
    <row r="797" spans="1:5" ht="12.5">
      <c r="A797" s="76"/>
      <c r="B797" s="5"/>
      <c r="C797" s="16"/>
      <c r="D797" s="80"/>
      <c r="E797" s="5"/>
    </row>
    <row r="798" spans="1:5" ht="12.5">
      <c r="A798" s="76"/>
      <c r="B798" s="5"/>
      <c r="C798" s="16"/>
      <c r="D798" s="80"/>
      <c r="E798" s="5"/>
    </row>
    <row r="799" spans="1:5" ht="12.5">
      <c r="A799" s="76"/>
      <c r="B799" s="5"/>
      <c r="C799" s="16"/>
      <c r="D799" s="80"/>
      <c r="E799" s="5"/>
    </row>
    <row r="800" spans="1:5" ht="12.5">
      <c r="A800" s="76"/>
      <c r="B800" s="5"/>
      <c r="C800" s="16"/>
      <c r="D800" s="80"/>
      <c r="E800" s="5"/>
    </row>
    <row r="801" spans="1:5" ht="12.5">
      <c r="A801" s="76"/>
      <c r="B801" s="5"/>
      <c r="C801" s="16"/>
      <c r="D801" s="80"/>
      <c r="E801" s="5"/>
    </row>
    <row r="802" spans="1:5" ht="12.5">
      <c r="A802" s="76"/>
      <c r="B802" s="5"/>
      <c r="C802" s="16"/>
      <c r="D802" s="80"/>
      <c r="E802" s="5"/>
    </row>
    <row r="803" spans="1:5" ht="12.5">
      <c r="A803" s="76"/>
      <c r="B803" s="5"/>
      <c r="C803" s="16"/>
      <c r="D803" s="80"/>
      <c r="E803" s="5"/>
    </row>
    <row r="804" spans="1:5" ht="12.5">
      <c r="A804" s="76"/>
      <c r="B804" s="5"/>
      <c r="C804" s="16"/>
      <c r="D804" s="80"/>
      <c r="E804" s="5"/>
    </row>
    <row r="805" spans="1:5" ht="12.5">
      <c r="A805" s="76"/>
      <c r="B805" s="5"/>
      <c r="C805" s="16"/>
      <c r="D805" s="80"/>
      <c r="E805" s="5"/>
    </row>
    <row r="806" spans="1:5" ht="12.5">
      <c r="A806" s="76"/>
      <c r="B806" s="5"/>
      <c r="C806" s="16"/>
      <c r="D806" s="80"/>
      <c r="E806" s="5"/>
    </row>
    <row r="807" spans="1:5" ht="12.5">
      <c r="A807" s="76"/>
      <c r="B807" s="5"/>
      <c r="C807" s="16"/>
      <c r="D807" s="80"/>
      <c r="E807" s="5"/>
    </row>
    <row r="808" spans="1:5" ht="12.5">
      <c r="A808" s="76"/>
      <c r="B808" s="5"/>
      <c r="C808" s="16"/>
      <c r="D808" s="80"/>
      <c r="E808" s="5"/>
    </row>
    <row r="809" spans="1:5" ht="12.5">
      <c r="A809" s="76"/>
      <c r="B809" s="5"/>
      <c r="C809" s="16"/>
      <c r="D809" s="80"/>
      <c r="E809" s="5"/>
    </row>
    <row r="810" spans="1:5" ht="12.5">
      <c r="A810" s="76"/>
      <c r="B810" s="5"/>
      <c r="C810" s="16"/>
      <c r="D810" s="80"/>
      <c r="E810" s="5"/>
    </row>
    <row r="811" spans="1:5" ht="12.5">
      <c r="A811" s="76"/>
      <c r="B811" s="5"/>
      <c r="C811" s="16"/>
      <c r="D811" s="80"/>
      <c r="E811" s="5"/>
    </row>
    <row r="812" spans="1:5" ht="12.5">
      <c r="A812" s="76"/>
      <c r="B812" s="5"/>
      <c r="C812" s="16"/>
      <c r="D812" s="80"/>
      <c r="E812" s="5"/>
    </row>
    <row r="813" spans="1:5" ht="12.5">
      <c r="A813" s="76"/>
      <c r="B813" s="5"/>
      <c r="C813" s="16"/>
      <c r="D813" s="80"/>
      <c r="E813" s="5"/>
    </row>
    <row r="814" spans="1:5" ht="12.5">
      <c r="A814" s="76"/>
      <c r="B814" s="5"/>
      <c r="C814" s="16"/>
      <c r="D814" s="80"/>
      <c r="E814" s="5"/>
    </row>
    <row r="815" spans="1:5" ht="12.5">
      <c r="A815" s="76"/>
      <c r="B815" s="5"/>
      <c r="C815" s="16"/>
      <c r="D815" s="80"/>
      <c r="E815" s="5"/>
    </row>
    <row r="816" spans="1:5" ht="12.5">
      <c r="A816" s="76"/>
      <c r="B816" s="5"/>
      <c r="C816" s="16"/>
      <c r="D816" s="80"/>
      <c r="E816" s="5"/>
    </row>
    <row r="817" spans="1:5" ht="12.5">
      <c r="A817" s="76"/>
      <c r="B817" s="5"/>
      <c r="C817" s="16"/>
      <c r="D817" s="80"/>
      <c r="E817" s="5"/>
    </row>
    <row r="818" spans="1:5" ht="12.5">
      <c r="A818" s="76"/>
      <c r="B818" s="5"/>
      <c r="C818" s="16"/>
      <c r="D818" s="80"/>
      <c r="E818" s="5"/>
    </row>
    <row r="819" spans="1:5" ht="12.5">
      <c r="A819" s="76"/>
      <c r="B819" s="5"/>
      <c r="C819" s="16"/>
      <c r="D819" s="80"/>
      <c r="E819" s="5"/>
    </row>
    <row r="820" spans="1:5" ht="12.5">
      <c r="A820" s="76"/>
      <c r="B820" s="5"/>
      <c r="C820" s="16"/>
      <c r="D820" s="80"/>
      <c r="E820" s="5"/>
    </row>
    <row r="821" spans="1:5" ht="12.5">
      <c r="A821" s="76"/>
      <c r="B821" s="5"/>
      <c r="C821" s="16"/>
      <c r="D821" s="80"/>
      <c r="E821" s="5"/>
    </row>
    <row r="822" spans="1:5" ht="12.5">
      <c r="A822" s="76"/>
      <c r="B822" s="5"/>
      <c r="C822" s="16"/>
      <c r="D822" s="80"/>
      <c r="E822" s="5"/>
    </row>
    <row r="823" spans="1:5" ht="12.5">
      <c r="A823" s="76"/>
      <c r="B823" s="5"/>
      <c r="C823" s="16"/>
      <c r="D823" s="80"/>
      <c r="E823" s="5"/>
    </row>
    <row r="824" spans="1:5" ht="12.5">
      <c r="A824" s="76"/>
      <c r="B824" s="5"/>
      <c r="C824" s="16"/>
      <c r="D824" s="80"/>
      <c r="E824" s="5"/>
    </row>
    <row r="825" spans="1:5" ht="12.5">
      <c r="A825" s="76"/>
      <c r="B825" s="5"/>
      <c r="C825" s="16"/>
      <c r="D825" s="80"/>
      <c r="E825" s="5"/>
    </row>
    <row r="826" spans="1:5" ht="12.5">
      <c r="A826" s="76"/>
      <c r="B826" s="5"/>
      <c r="C826" s="16"/>
      <c r="D826" s="80"/>
      <c r="E826" s="5"/>
    </row>
    <row r="827" spans="1:5" ht="12.5">
      <c r="A827" s="76"/>
      <c r="B827" s="5"/>
      <c r="C827" s="16"/>
      <c r="D827" s="80"/>
      <c r="E827" s="5"/>
    </row>
    <row r="828" spans="1:5" ht="12.5">
      <c r="A828" s="76"/>
      <c r="B828" s="5"/>
      <c r="C828" s="16"/>
      <c r="D828" s="80"/>
      <c r="E828" s="5"/>
    </row>
    <row r="829" spans="1:5" ht="12.5">
      <c r="A829" s="76"/>
      <c r="B829" s="5"/>
      <c r="C829" s="16"/>
      <c r="D829" s="80"/>
      <c r="E829" s="5"/>
    </row>
    <row r="830" spans="1:5" ht="12.5">
      <c r="A830" s="76"/>
      <c r="B830" s="5"/>
      <c r="C830" s="16"/>
      <c r="D830" s="80"/>
      <c r="E830" s="5"/>
    </row>
    <row r="831" spans="1:5" ht="12.5">
      <c r="A831" s="76"/>
      <c r="B831" s="5"/>
      <c r="C831" s="16"/>
      <c r="D831" s="80"/>
      <c r="E831" s="5"/>
    </row>
    <row r="832" spans="1:5" ht="12.5">
      <c r="A832" s="76"/>
      <c r="B832" s="5"/>
      <c r="C832" s="16"/>
      <c r="D832" s="80"/>
      <c r="E832" s="5"/>
    </row>
    <row r="833" spans="1:5" ht="12.5">
      <c r="A833" s="76"/>
      <c r="B833" s="5"/>
      <c r="C833" s="16"/>
      <c r="D833" s="80"/>
      <c r="E833" s="5"/>
    </row>
    <row r="834" spans="1:5" ht="12.5">
      <c r="A834" s="76"/>
      <c r="B834" s="5"/>
      <c r="C834" s="16"/>
      <c r="D834" s="80"/>
      <c r="E834" s="5"/>
    </row>
    <row r="835" spans="1:5" ht="12.5">
      <c r="A835" s="76"/>
      <c r="B835" s="5"/>
      <c r="C835" s="16"/>
      <c r="D835" s="80"/>
      <c r="E835" s="5"/>
    </row>
    <row r="836" spans="1:5" ht="12.5">
      <c r="A836" s="76"/>
      <c r="B836" s="5"/>
      <c r="C836" s="16"/>
      <c r="D836" s="80"/>
      <c r="E836" s="5"/>
    </row>
    <row r="837" spans="1:5" ht="12.5">
      <c r="A837" s="76"/>
      <c r="B837" s="5"/>
      <c r="C837" s="16"/>
      <c r="D837" s="80"/>
      <c r="E837" s="5"/>
    </row>
    <row r="838" spans="1:5" ht="12.5">
      <c r="A838" s="76"/>
      <c r="B838" s="5"/>
      <c r="C838" s="16"/>
      <c r="D838" s="80"/>
      <c r="E838" s="5"/>
    </row>
    <row r="839" spans="1:5" ht="12.5">
      <c r="A839" s="76"/>
      <c r="B839" s="5"/>
      <c r="C839" s="16"/>
      <c r="D839" s="80"/>
      <c r="E839" s="5"/>
    </row>
    <row r="840" spans="1:5" ht="12.5">
      <c r="A840" s="76"/>
      <c r="B840" s="5"/>
      <c r="C840" s="16"/>
      <c r="D840" s="80"/>
      <c r="E840" s="5"/>
    </row>
    <row r="841" spans="1:5" ht="12.5">
      <c r="A841" s="76"/>
      <c r="B841" s="5"/>
      <c r="C841" s="16"/>
      <c r="D841" s="80"/>
      <c r="E841" s="5"/>
    </row>
    <row r="842" spans="1:5" ht="12.5">
      <c r="A842" s="76"/>
      <c r="B842" s="5"/>
      <c r="C842" s="16"/>
      <c r="D842" s="80"/>
      <c r="E842" s="5"/>
    </row>
    <row r="843" spans="1:5" ht="12.5">
      <c r="A843" s="76"/>
      <c r="B843" s="5"/>
      <c r="C843" s="16"/>
      <c r="D843" s="80"/>
      <c r="E843" s="5"/>
    </row>
    <row r="844" spans="1:5" ht="12.5">
      <c r="A844" s="76"/>
      <c r="B844" s="5"/>
      <c r="C844" s="16"/>
      <c r="D844" s="80"/>
      <c r="E844" s="5"/>
    </row>
    <row r="845" spans="1:5" ht="12.5">
      <c r="A845" s="76"/>
      <c r="B845" s="5"/>
      <c r="C845" s="16"/>
      <c r="D845" s="80"/>
      <c r="E845" s="5"/>
    </row>
    <row r="846" spans="1:5" ht="12.5">
      <c r="A846" s="76"/>
      <c r="B846" s="5"/>
      <c r="C846" s="16"/>
      <c r="D846" s="80"/>
      <c r="E846" s="5"/>
    </row>
    <row r="847" spans="1:5" ht="12.5">
      <c r="A847" s="76"/>
      <c r="B847" s="5"/>
      <c r="C847" s="16"/>
      <c r="D847" s="80"/>
      <c r="E847" s="5"/>
    </row>
    <row r="848" spans="1:5" ht="12.5">
      <c r="A848" s="76"/>
      <c r="B848" s="5"/>
      <c r="C848" s="16"/>
      <c r="D848" s="80"/>
      <c r="E848" s="5"/>
    </row>
    <row r="849" spans="1:5" ht="12.5">
      <c r="A849" s="76"/>
      <c r="B849" s="5"/>
      <c r="C849" s="16"/>
      <c r="D849" s="80"/>
      <c r="E849" s="5"/>
    </row>
    <row r="850" spans="1:5" ht="12.5">
      <c r="A850" s="76"/>
      <c r="B850" s="5"/>
      <c r="C850" s="16"/>
      <c r="D850" s="80"/>
      <c r="E850" s="5"/>
    </row>
    <row r="851" spans="1:5" ht="12.5">
      <c r="A851" s="76"/>
      <c r="B851" s="5"/>
      <c r="C851" s="16"/>
      <c r="D851" s="80"/>
      <c r="E851" s="5"/>
    </row>
    <row r="852" spans="1:5" ht="12.5">
      <c r="A852" s="76"/>
      <c r="B852" s="5"/>
      <c r="C852" s="16"/>
      <c r="D852" s="80"/>
      <c r="E852" s="5"/>
    </row>
    <row r="853" spans="1:5" ht="12.5">
      <c r="A853" s="76"/>
      <c r="B853" s="5"/>
      <c r="C853" s="16"/>
      <c r="D853" s="80"/>
      <c r="E853" s="5"/>
    </row>
    <row r="854" spans="1:5" ht="12.5">
      <c r="A854" s="76"/>
      <c r="B854" s="5"/>
      <c r="C854" s="16"/>
      <c r="D854" s="80"/>
      <c r="E854" s="5"/>
    </row>
    <row r="855" spans="1:5" ht="12.5">
      <c r="A855" s="76"/>
      <c r="B855" s="5"/>
      <c r="C855" s="16"/>
      <c r="D855" s="80"/>
      <c r="E855" s="5"/>
    </row>
    <row r="856" spans="1:5" ht="12.5">
      <c r="A856" s="76"/>
      <c r="B856" s="5"/>
      <c r="C856" s="16"/>
      <c r="D856" s="80"/>
      <c r="E856" s="5"/>
    </row>
    <row r="857" spans="1:5" ht="12.5">
      <c r="A857" s="76"/>
      <c r="B857" s="5"/>
      <c r="C857" s="16"/>
      <c r="D857" s="80"/>
      <c r="E857" s="5"/>
    </row>
    <row r="858" spans="1:5" ht="12.5">
      <c r="A858" s="76"/>
      <c r="B858" s="5"/>
      <c r="C858" s="16"/>
      <c r="D858" s="80"/>
      <c r="E858" s="5"/>
    </row>
    <row r="859" spans="1:5" ht="12.5">
      <c r="A859" s="76"/>
      <c r="B859" s="5"/>
      <c r="C859" s="16"/>
      <c r="D859" s="80"/>
      <c r="E859" s="5"/>
    </row>
    <row r="860" spans="1:5" ht="12.5">
      <c r="A860" s="76"/>
      <c r="B860" s="5"/>
      <c r="C860" s="16"/>
      <c r="D860" s="80"/>
      <c r="E860" s="5"/>
    </row>
    <row r="861" spans="1:5" ht="12.5">
      <c r="A861" s="76"/>
      <c r="B861" s="5"/>
      <c r="C861" s="16"/>
      <c r="D861" s="80"/>
      <c r="E861" s="5"/>
    </row>
    <row r="862" spans="1:5" ht="12.5">
      <c r="A862" s="76"/>
      <c r="B862" s="5"/>
      <c r="C862" s="16"/>
      <c r="D862" s="80"/>
      <c r="E862" s="5"/>
    </row>
    <row r="863" spans="1:5" ht="12.5">
      <c r="A863" s="76"/>
      <c r="B863" s="5"/>
      <c r="C863" s="16"/>
      <c r="D863" s="80"/>
      <c r="E863" s="5"/>
    </row>
    <row r="864" spans="1:5" ht="12.5">
      <c r="A864" s="76"/>
      <c r="B864" s="5"/>
      <c r="C864" s="16"/>
      <c r="D864" s="80"/>
      <c r="E864" s="5"/>
    </row>
    <row r="865" spans="1:5" ht="12.5">
      <c r="A865" s="76"/>
      <c r="B865" s="5"/>
      <c r="C865" s="16"/>
      <c r="D865" s="80"/>
      <c r="E865" s="5"/>
    </row>
    <row r="866" spans="1:5" ht="12.5">
      <c r="A866" s="76"/>
      <c r="B866" s="5"/>
      <c r="C866" s="16"/>
      <c r="D866" s="80"/>
      <c r="E866" s="5"/>
    </row>
    <row r="867" spans="1:5" ht="12.5">
      <c r="A867" s="76"/>
      <c r="B867" s="5"/>
      <c r="C867" s="16"/>
      <c r="D867" s="80"/>
      <c r="E867" s="5"/>
    </row>
    <row r="868" spans="1:5" ht="12.5">
      <c r="A868" s="76"/>
      <c r="B868" s="5"/>
      <c r="C868" s="16"/>
      <c r="D868" s="80"/>
      <c r="E868" s="5"/>
    </row>
    <row r="869" spans="1:5" ht="12.5">
      <c r="A869" s="76"/>
      <c r="B869" s="5"/>
      <c r="C869" s="16"/>
      <c r="D869" s="80"/>
      <c r="E869" s="5"/>
    </row>
    <row r="870" spans="1:5" ht="12.5">
      <c r="A870" s="76"/>
      <c r="B870" s="5"/>
      <c r="C870" s="16"/>
      <c r="D870" s="80"/>
      <c r="E870" s="5"/>
    </row>
    <row r="871" spans="1:5" ht="12.5">
      <c r="A871" s="76"/>
      <c r="B871" s="5"/>
      <c r="C871" s="16"/>
      <c r="D871" s="80"/>
      <c r="E871" s="5"/>
    </row>
    <row r="872" spans="1:5" ht="12.5">
      <c r="A872" s="76"/>
      <c r="B872" s="5"/>
      <c r="C872" s="16"/>
      <c r="D872" s="80"/>
      <c r="E872" s="5"/>
    </row>
    <row r="873" spans="1:5" ht="12.5">
      <c r="A873" s="76"/>
      <c r="B873" s="5"/>
      <c r="C873" s="16"/>
      <c r="D873" s="80"/>
      <c r="E873" s="5"/>
    </row>
    <row r="874" spans="1:5" ht="12.5">
      <c r="A874" s="76"/>
      <c r="B874" s="5"/>
      <c r="C874" s="16"/>
      <c r="D874" s="80"/>
      <c r="E874" s="5"/>
    </row>
    <row r="875" spans="1:5" ht="12.5">
      <c r="A875" s="76"/>
      <c r="B875" s="5"/>
      <c r="C875" s="16"/>
      <c r="D875" s="80"/>
      <c r="E875" s="5"/>
    </row>
    <row r="876" spans="1:5" ht="12.5">
      <c r="A876" s="76"/>
      <c r="B876" s="5"/>
      <c r="C876" s="16"/>
      <c r="D876" s="80"/>
      <c r="E876" s="5"/>
    </row>
    <row r="877" spans="1:5" ht="12.5">
      <c r="A877" s="76"/>
      <c r="B877" s="5"/>
      <c r="C877" s="16"/>
      <c r="D877" s="80"/>
      <c r="E877" s="5"/>
    </row>
    <row r="878" spans="1:5" ht="12.5">
      <c r="A878" s="76"/>
      <c r="B878" s="5"/>
      <c r="C878" s="16"/>
      <c r="D878" s="80"/>
      <c r="E878" s="5"/>
    </row>
    <row r="879" spans="1:5" ht="12.5">
      <c r="A879" s="76"/>
      <c r="B879" s="5"/>
      <c r="C879" s="16"/>
      <c r="D879" s="80"/>
      <c r="E879" s="5"/>
    </row>
    <row r="880" spans="1:5" ht="12.5">
      <c r="A880" s="76"/>
      <c r="B880" s="5"/>
      <c r="C880" s="16"/>
      <c r="D880" s="80"/>
      <c r="E880" s="5"/>
    </row>
    <row r="881" spans="1:5" ht="12.5">
      <c r="A881" s="76"/>
      <c r="B881" s="5"/>
      <c r="C881" s="16"/>
      <c r="D881" s="80"/>
      <c r="E881" s="5"/>
    </row>
    <row r="882" spans="1:5" ht="12.5">
      <c r="A882" s="76"/>
      <c r="B882" s="5"/>
      <c r="C882" s="16"/>
      <c r="D882" s="80"/>
      <c r="E882" s="5"/>
    </row>
    <row r="883" spans="1:5" ht="12.5">
      <c r="A883" s="76"/>
      <c r="B883" s="5"/>
      <c r="C883" s="16"/>
      <c r="D883" s="80"/>
      <c r="E883" s="5"/>
    </row>
    <row r="884" spans="1:5" ht="12.5">
      <c r="A884" s="76"/>
      <c r="B884" s="5"/>
      <c r="C884" s="16"/>
      <c r="D884" s="80"/>
      <c r="E884" s="5"/>
    </row>
    <row r="885" spans="1:5" ht="12.5">
      <c r="A885" s="76"/>
      <c r="B885" s="5"/>
      <c r="C885" s="16"/>
      <c r="D885" s="80"/>
      <c r="E885" s="5"/>
    </row>
    <row r="886" spans="1:5" ht="12.5">
      <c r="A886" s="76"/>
      <c r="B886" s="5"/>
      <c r="C886" s="16"/>
      <c r="D886" s="80"/>
      <c r="E886" s="5"/>
    </row>
    <row r="887" spans="1:5" ht="12.5">
      <c r="A887" s="76"/>
      <c r="B887" s="5"/>
      <c r="C887" s="16"/>
      <c r="D887" s="80"/>
      <c r="E887" s="5"/>
    </row>
    <row r="888" spans="1:5" ht="12.5">
      <c r="A888" s="76"/>
      <c r="B888" s="5"/>
      <c r="C888" s="16"/>
      <c r="D888" s="80"/>
      <c r="E888" s="5"/>
    </row>
    <row r="889" spans="1:5" ht="12.5">
      <c r="A889" s="76"/>
      <c r="B889" s="5"/>
      <c r="C889" s="16"/>
      <c r="D889" s="80"/>
      <c r="E889" s="5"/>
    </row>
    <row r="890" spans="1:5" ht="12.5">
      <c r="A890" s="76"/>
      <c r="B890" s="5"/>
      <c r="C890" s="16"/>
      <c r="D890" s="80"/>
      <c r="E890" s="5"/>
    </row>
    <row r="891" spans="1:5" ht="12.5">
      <c r="A891" s="76"/>
      <c r="B891" s="5"/>
      <c r="C891" s="16"/>
      <c r="D891" s="80"/>
      <c r="E891" s="5"/>
    </row>
    <row r="892" spans="1:5" ht="12.5">
      <c r="A892" s="76"/>
      <c r="B892" s="5"/>
      <c r="C892" s="16"/>
      <c r="D892" s="80"/>
      <c r="E892" s="5"/>
    </row>
    <row r="893" spans="1:5" ht="12.5">
      <c r="A893" s="76"/>
      <c r="B893" s="5"/>
      <c r="C893" s="16"/>
      <c r="D893" s="80"/>
      <c r="E893" s="5"/>
    </row>
    <row r="894" spans="1:5" ht="12.5">
      <c r="A894" s="76"/>
      <c r="B894" s="5"/>
      <c r="C894" s="16"/>
      <c r="D894" s="80"/>
      <c r="E894" s="5"/>
    </row>
    <row r="895" spans="1:5" ht="12.5">
      <c r="A895" s="76"/>
      <c r="B895" s="5"/>
      <c r="C895" s="16"/>
      <c r="D895" s="80"/>
      <c r="E895" s="5"/>
    </row>
    <row r="896" spans="1:5" ht="12.5">
      <c r="A896" s="76"/>
      <c r="B896" s="5"/>
      <c r="C896" s="16"/>
      <c r="D896" s="80"/>
      <c r="E896" s="5"/>
    </row>
    <row r="897" spans="1:5" ht="12.5">
      <c r="A897" s="76"/>
      <c r="B897" s="5"/>
      <c r="C897" s="16"/>
      <c r="D897" s="80"/>
      <c r="E897" s="5"/>
    </row>
    <row r="898" spans="1:5" ht="12.5">
      <c r="A898" s="76"/>
      <c r="B898" s="5"/>
      <c r="C898" s="16"/>
      <c r="D898" s="80"/>
      <c r="E898" s="5"/>
    </row>
    <row r="899" spans="1:5" ht="12.5">
      <c r="A899" s="76"/>
      <c r="B899" s="5"/>
      <c r="C899" s="16"/>
      <c r="D899" s="80"/>
      <c r="E899" s="5"/>
    </row>
    <row r="900" spans="1:5" ht="12.5">
      <c r="A900" s="76"/>
      <c r="B900" s="5"/>
      <c r="C900" s="16"/>
      <c r="D900" s="80"/>
      <c r="E900" s="5"/>
    </row>
    <row r="901" spans="1:5" ht="12.5">
      <c r="A901" s="76"/>
      <c r="B901" s="5"/>
      <c r="C901" s="16"/>
      <c r="D901" s="80"/>
      <c r="E901" s="5"/>
    </row>
    <row r="902" spans="1:5" ht="12.5">
      <c r="A902" s="76"/>
      <c r="B902" s="5"/>
      <c r="C902" s="16"/>
      <c r="D902" s="80"/>
      <c r="E902" s="5"/>
    </row>
    <row r="903" spans="1:5" ht="12.5">
      <c r="A903" s="76"/>
      <c r="B903" s="5"/>
      <c r="C903" s="16"/>
      <c r="D903" s="80"/>
      <c r="E903" s="5"/>
    </row>
    <row r="904" spans="1:5" ht="12.5">
      <c r="A904" s="76"/>
      <c r="B904" s="5"/>
      <c r="C904" s="16"/>
      <c r="D904" s="80"/>
      <c r="E904" s="5"/>
    </row>
    <row r="905" spans="1:5" ht="12.5">
      <c r="A905" s="76"/>
      <c r="B905" s="5"/>
      <c r="C905" s="16"/>
      <c r="D905" s="80"/>
      <c r="E905" s="5"/>
    </row>
    <row r="906" spans="1:5" ht="12.5">
      <c r="A906" s="76"/>
      <c r="B906" s="5"/>
      <c r="C906" s="16"/>
      <c r="D906" s="80"/>
      <c r="E906" s="5"/>
    </row>
    <row r="907" spans="1:5" ht="12.5">
      <c r="A907" s="76"/>
      <c r="B907" s="5"/>
      <c r="C907" s="16"/>
      <c r="D907" s="80"/>
      <c r="E907" s="5"/>
    </row>
    <row r="908" spans="1:5" ht="12.5">
      <c r="A908" s="76"/>
      <c r="B908" s="5"/>
      <c r="C908" s="16"/>
      <c r="D908" s="80"/>
      <c r="E908" s="5"/>
    </row>
    <row r="909" spans="1:5" ht="12.5">
      <c r="A909" s="76"/>
      <c r="B909" s="5"/>
      <c r="C909" s="16"/>
      <c r="D909" s="80"/>
      <c r="E909" s="5"/>
    </row>
    <row r="910" spans="1:5" ht="12.5">
      <c r="A910" s="76"/>
      <c r="B910" s="5"/>
      <c r="C910" s="16"/>
      <c r="D910" s="80"/>
      <c r="E910" s="5"/>
    </row>
    <row r="911" spans="1:5" ht="12.5">
      <c r="A911" s="76"/>
      <c r="B911" s="5"/>
      <c r="C911" s="16"/>
      <c r="D911" s="80"/>
      <c r="E911" s="5"/>
    </row>
    <row r="912" spans="1:5" ht="12.5">
      <c r="A912" s="76"/>
      <c r="B912" s="5"/>
      <c r="C912" s="16"/>
      <c r="D912" s="80"/>
      <c r="E912" s="5"/>
    </row>
    <row r="913" spans="1:5" ht="12.5">
      <c r="A913" s="76"/>
      <c r="B913" s="5"/>
      <c r="C913" s="16"/>
      <c r="D913" s="80"/>
      <c r="E913" s="5"/>
    </row>
    <row r="914" spans="1:5" ht="12.5">
      <c r="A914" s="76"/>
      <c r="B914" s="5"/>
      <c r="C914" s="16"/>
      <c r="D914" s="80"/>
      <c r="E914" s="5"/>
    </row>
    <row r="915" spans="1:5" ht="12.5">
      <c r="A915" s="76"/>
      <c r="B915" s="5"/>
      <c r="C915" s="16"/>
      <c r="D915" s="80"/>
      <c r="E915" s="5"/>
    </row>
    <row r="916" spans="1:5" ht="12.5">
      <c r="A916" s="76"/>
      <c r="B916" s="5"/>
      <c r="C916" s="16"/>
      <c r="D916" s="80"/>
      <c r="E916" s="5"/>
    </row>
    <row r="917" spans="1:5" ht="12.5">
      <c r="A917" s="76"/>
      <c r="B917" s="5"/>
      <c r="C917" s="16"/>
      <c r="D917" s="80"/>
      <c r="E917" s="5"/>
    </row>
    <row r="918" spans="1:5" ht="12.5">
      <c r="A918" s="76"/>
      <c r="B918" s="5"/>
      <c r="C918" s="16"/>
      <c r="D918" s="80"/>
      <c r="E918" s="5"/>
    </row>
    <row r="919" spans="1:5" ht="12.5">
      <c r="A919" s="76"/>
      <c r="B919" s="5"/>
      <c r="C919" s="16"/>
      <c r="D919" s="80"/>
      <c r="E919" s="5"/>
    </row>
    <row r="920" spans="1:5" ht="12.5">
      <c r="A920" s="76"/>
      <c r="B920" s="5"/>
      <c r="C920" s="16"/>
      <c r="D920" s="80"/>
      <c r="E920" s="5"/>
    </row>
    <row r="921" spans="1:5" ht="12.5">
      <c r="A921" s="76"/>
      <c r="B921" s="5"/>
      <c r="C921" s="16"/>
      <c r="D921" s="80"/>
      <c r="E921" s="5"/>
    </row>
    <row r="922" spans="1:5" ht="12.5">
      <c r="A922" s="76"/>
      <c r="B922" s="5"/>
      <c r="C922" s="16"/>
      <c r="D922" s="80"/>
      <c r="E922" s="5"/>
    </row>
    <row r="923" spans="1:5" ht="12.5">
      <c r="A923" s="76"/>
      <c r="B923" s="5"/>
      <c r="C923" s="16"/>
      <c r="D923" s="80"/>
      <c r="E923" s="5"/>
    </row>
    <row r="924" spans="1:5" ht="12.5">
      <c r="A924" s="76"/>
      <c r="B924" s="5"/>
      <c r="C924" s="16"/>
      <c r="D924" s="80"/>
      <c r="E924" s="5"/>
    </row>
    <row r="925" spans="1:5" ht="12.5">
      <c r="A925" s="76"/>
      <c r="B925" s="5"/>
      <c r="C925" s="16"/>
      <c r="D925" s="80"/>
      <c r="E925" s="5"/>
    </row>
    <row r="926" spans="1:5" ht="12.5">
      <c r="A926" s="76"/>
      <c r="B926" s="5"/>
      <c r="C926" s="16"/>
      <c r="D926" s="80"/>
      <c r="E926" s="5"/>
    </row>
    <row r="927" spans="1:5" ht="12.5">
      <c r="A927" s="76"/>
      <c r="B927" s="5"/>
      <c r="C927" s="16"/>
      <c r="D927" s="80"/>
      <c r="E927" s="5"/>
    </row>
    <row r="928" spans="1:5" ht="12.5">
      <c r="A928" s="76"/>
      <c r="B928" s="5"/>
      <c r="C928" s="16"/>
      <c r="D928" s="80"/>
      <c r="E928" s="5"/>
    </row>
    <row r="929" spans="1:5" ht="12.5">
      <c r="A929" s="76"/>
      <c r="B929" s="5"/>
      <c r="C929" s="16"/>
      <c r="D929" s="80"/>
      <c r="E929" s="5"/>
    </row>
    <row r="930" spans="1:5" ht="12.5">
      <c r="A930" s="76"/>
      <c r="B930" s="5"/>
      <c r="C930" s="16"/>
      <c r="D930" s="80"/>
      <c r="E930" s="5"/>
    </row>
    <row r="931" spans="1:5" ht="12.5">
      <c r="A931" s="76"/>
      <c r="B931" s="5"/>
      <c r="C931" s="16"/>
      <c r="D931" s="80"/>
      <c r="E931" s="5"/>
    </row>
    <row r="932" spans="1:5" ht="12.5">
      <c r="A932" s="76"/>
      <c r="B932" s="5"/>
      <c r="C932" s="16"/>
      <c r="D932" s="80"/>
      <c r="E932" s="5"/>
    </row>
    <row r="933" spans="1:5" ht="12.5">
      <c r="A933" s="76"/>
      <c r="B933" s="5"/>
      <c r="C933" s="16"/>
      <c r="D933" s="80"/>
      <c r="E933" s="5"/>
    </row>
    <row r="934" spans="1:5" ht="12.5">
      <c r="A934" s="76"/>
      <c r="B934" s="5"/>
      <c r="C934" s="16"/>
      <c r="D934" s="80"/>
      <c r="E934" s="5"/>
    </row>
    <row r="935" spans="1:5" ht="12.5">
      <c r="A935" s="76"/>
      <c r="B935" s="5"/>
      <c r="C935" s="16"/>
      <c r="D935" s="80"/>
      <c r="E935" s="5"/>
    </row>
    <row r="936" spans="1:5" ht="12.5">
      <c r="A936" s="76"/>
      <c r="B936" s="5"/>
      <c r="C936" s="16"/>
      <c r="D936" s="80"/>
      <c r="E936" s="5"/>
    </row>
    <row r="937" spans="1:5" ht="12.5">
      <c r="A937" s="76"/>
      <c r="B937" s="5"/>
      <c r="C937" s="16"/>
      <c r="D937" s="80"/>
      <c r="E937" s="5"/>
    </row>
    <row r="938" spans="1:5" ht="12.5">
      <c r="A938" s="76"/>
      <c r="B938" s="5"/>
      <c r="C938" s="16"/>
      <c r="D938" s="80"/>
      <c r="E938" s="5"/>
    </row>
    <row r="939" spans="1:5" ht="12.5">
      <c r="A939" s="76"/>
      <c r="B939" s="5"/>
      <c r="C939" s="16"/>
      <c r="D939" s="80"/>
      <c r="E939" s="5"/>
    </row>
    <row r="940" spans="1:5" ht="12.5">
      <c r="A940" s="76"/>
      <c r="B940" s="5"/>
      <c r="C940" s="16"/>
      <c r="D940" s="80"/>
      <c r="E940" s="5"/>
    </row>
    <row r="941" spans="1:5" ht="12.5">
      <c r="A941" s="76"/>
      <c r="B941" s="5"/>
      <c r="C941" s="16"/>
      <c r="D941" s="80"/>
      <c r="E941" s="5"/>
    </row>
    <row r="942" spans="1:5" ht="12.5">
      <c r="A942" s="76"/>
      <c r="B942" s="5"/>
      <c r="C942" s="16"/>
      <c r="D942" s="80"/>
      <c r="E942" s="5"/>
    </row>
    <row r="943" spans="1:5" ht="12.5">
      <c r="A943" s="76"/>
      <c r="B943" s="5"/>
      <c r="C943" s="16"/>
      <c r="D943" s="80"/>
      <c r="E943" s="5"/>
    </row>
    <row r="944" spans="1:5" ht="12.5">
      <c r="A944" s="76"/>
      <c r="B944" s="5"/>
      <c r="C944" s="16"/>
      <c r="D944" s="80"/>
      <c r="E944" s="5"/>
    </row>
    <row r="945" spans="1:5" ht="12.5">
      <c r="A945" s="76"/>
      <c r="B945" s="5"/>
      <c r="C945" s="16"/>
      <c r="D945" s="80"/>
      <c r="E945" s="5"/>
    </row>
    <row r="946" spans="1:5" ht="12.5">
      <c r="A946" s="76"/>
      <c r="B946" s="5"/>
      <c r="C946" s="16"/>
      <c r="D946" s="80"/>
      <c r="E946" s="5"/>
    </row>
    <row r="947" spans="1:5" ht="12.5">
      <c r="A947" s="76"/>
      <c r="B947" s="5"/>
      <c r="C947" s="16"/>
      <c r="D947" s="80"/>
      <c r="E947" s="5"/>
    </row>
    <row r="948" spans="1:5" ht="12.5">
      <c r="A948" s="76"/>
      <c r="B948" s="5"/>
      <c r="C948" s="16"/>
      <c r="D948" s="80"/>
      <c r="E948" s="5"/>
    </row>
    <row r="949" spans="1:5" ht="12.5">
      <c r="A949" s="76"/>
      <c r="B949" s="5"/>
      <c r="C949" s="16"/>
      <c r="D949" s="80"/>
      <c r="E949" s="5"/>
    </row>
    <row r="950" spans="1:5" ht="12.5">
      <c r="A950" s="76"/>
      <c r="B950" s="5"/>
      <c r="C950" s="16"/>
      <c r="D950" s="80"/>
      <c r="E950" s="5"/>
    </row>
    <row r="951" spans="1:5" ht="12.5">
      <c r="A951" s="76"/>
      <c r="B951" s="5"/>
      <c r="C951" s="16"/>
      <c r="D951" s="80"/>
      <c r="E951" s="5"/>
    </row>
    <row r="952" spans="1:5" ht="12.5">
      <c r="A952" s="76"/>
      <c r="B952" s="5"/>
      <c r="C952" s="16"/>
      <c r="D952" s="80"/>
      <c r="E952" s="5"/>
    </row>
    <row r="953" spans="1:5" ht="12.5">
      <c r="A953" s="76"/>
      <c r="B953" s="5"/>
      <c r="C953" s="16"/>
      <c r="D953" s="80"/>
      <c r="E953" s="5"/>
    </row>
    <row r="954" spans="1:5" ht="12.5">
      <c r="A954" s="76"/>
      <c r="B954" s="5"/>
      <c r="C954" s="16"/>
      <c r="D954" s="80"/>
      <c r="E954" s="5"/>
    </row>
    <row r="955" spans="1:5" ht="12.5">
      <c r="A955" s="76"/>
      <c r="B955" s="5"/>
      <c r="C955" s="16"/>
      <c r="D955" s="80"/>
      <c r="E955" s="5"/>
    </row>
    <row r="956" spans="1:5" ht="12.5">
      <c r="A956" s="76"/>
      <c r="B956" s="5"/>
      <c r="C956" s="16"/>
      <c r="D956" s="80"/>
      <c r="E956" s="5"/>
    </row>
    <row r="957" spans="1:5" ht="12.5">
      <c r="A957" s="76"/>
      <c r="B957" s="5"/>
      <c r="C957" s="16"/>
      <c r="D957" s="80"/>
      <c r="E957" s="5"/>
    </row>
    <row r="958" spans="1:5" ht="12.5">
      <c r="A958" s="76"/>
      <c r="B958" s="5"/>
      <c r="C958" s="16"/>
      <c r="D958" s="80"/>
      <c r="E958" s="5"/>
    </row>
    <row r="959" spans="1:5" ht="12.5">
      <c r="A959" s="76"/>
      <c r="B959" s="5"/>
      <c r="C959" s="16"/>
      <c r="D959" s="80"/>
      <c r="E959" s="5"/>
    </row>
    <row r="960" spans="1:5" ht="12.5">
      <c r="A960" s="76"/>
      <c r="B960" s="5"/>
      <c r="C960" s="16"/>
      <c r="D960" s="80"/>
      <c r="E960" s="5"/>
    </row>
    <row r="961" spans="1:5" ht="12.5">
      <c r="A961" s="76"/>
      <c r="B961" s="5"/>
      <c r="C961" s="16"/>
      <c r="D961" s="80"/>
      <c r="E961" s="5"/>
    </row>
    <row r="962" spans="1:5" ht="12.5">
      <c r="A962" s="76"/>
      <c r="B962" s="5"/>
      <c r="C962" s="16"/>
      <c r="D962" s="80"/>
      <c r="E962" s="5"/>
    </row>
    <row r="963" spans="1:5" ht="12.5">
      <c r="A963" s="76"/>
      <c r="B963" s="5"/>
      <c r="C963" s="16"/>
      <c r="D963" s="80"/>
      <c r="E963" s="5"/>
    </row>
    <row r="964" spans="1:5" ht="12.5">
      <c r="A964" s="76"/>
      <c r="B964" s="5"/>
      <c r="C964" s="16"/>
      <c r="D964" s="80"/>
      <c r="E964" s="5"/>
    </row>
    <row r="965" spans="1:5" ht="12.5">
      <c r="A965" s="76"/>
      <c r="B965" s="5"/>
      <c r="C965" s="16"/>
      <c r="D965" s="80"/>
      <c r="E965" s="5"/>
    </row>
    <row r="966" spans="1:5" ht="12.5">
      <c r="A966" s="76"/>
      <c r="B966" s="5"/>
      <c r="C966" s="16"/>
      <c r="D966" s="80"/>
      <c r="E966" s="5"/>
    </row>
    <row r="967" spans="1:5" ht="12.5">
      <c r="A967" s="76"/>
      <c r="B967" s="5"/>
      <c r="C967" s="16"/>
      <c r="D967" s="80"/>
      <c r="E967" s="5"/>
    </row>
    <row r="968" spans="1:5" ht="12.5">
      <c r="A968" s="76"/>
      <c r="B968" s="5"/>
      <c r="C968" s="16"/>
      <c r="D968" s="80"/>
      <c r="E968" s="5"/>
    </row>
    <row r="969" spans="1:5" ht="12.5">
      <c r="A969" s="76"/>
      <c r="B969" s="5"/>
      <c r="C969" s="16"/>
      <c r="D969" s="80"/>
      <c r="E969" s="5"/>
    </row>
    <row r="970" spans="1:5" ht="12.5">
      <c r="A970" s="76"/>
      <c r="B970" s="5"/>
      <c r="C970" s="16"/>
      <c r="D970" s="80"/>
      <c r="E970" s="5"/>
    </row>
    <row r="971" spans="1:5" ht="12.5">
      <c r="A971" s="76"/>
      <c r="B971" s="5"/>
      <c r="C971" s="16"/>
      <c r="D971" s="80"/>
      <c r="E971" s="5"/>
    </row>
    <row r="972" spans="1:5" ht="12.5">
      <c r="A972" s="76"/>
      <c r="B972" s="5"/>
      <c r="C972" s="16"/>
      <c r="D972" s="80"/>
      <c r="E972" s="5"/>
    </row>
    <row r="973" spans="1:5" ht="12.5">
      <c r="A973" s="76"/>
      <c r="B973" s="5"/>
      <c r="C973" s="16"/>
      <c r="D973" s="80"/>
      <c r="E973" s="5"/>
    </row>
    <row r="974" spans="1:5" ht="12.5">
      <c r="A974" s="76"/>
      <c r="B974" s="5"/>
      <c r="C974" s="16"/>
      <c r="D974" s="80"/>
      <c r="E974" s="5"/>
    </row>
    <row r="975" spans="1:5" ht="12.5">
      <c r="A975" s="76"/>
      <c r="B975" s="5"/>
      <c r="C975" s="16"/>
      <c r="D975" s="80"/>
      <c r="E975" s="5"/>
    </row>
    <row r="976" spans="1:5" ht="12.5">
      <c r="A976" s="76"/>
      <c r="B976" s="5"/>
      <c r="C976" s="16"/>
      <c r="D976" s="80"/>
      <c r="E976" s="5"/>
    </row>
    <row r="977" spans="1:5" ht="12.5">
      <c r="A977" s="76"/>
      <c r="B977" s="5"/>
      <c r="C977" s="16"/>
      <c r="D977" s="80"/>
      <c r="E977" s="5"/>
    </row>
    <row r="978" spans="1:5" ht="12.5">
      <c r="A978" s="76"/>
      <c r="B978" s="5"/>
      <c r="C978" s="16"/>
      <c r="D978" s="80"/>
      <c r="E978" s="5"/>
    </row>
    <row r="979" spans="1:5" ht="12.5">
      <c r="A979" s="76"/>
      <c r="B979" s="5"/>
      <c r="C979" s="16"/>
      <c r="D979" s="80"/>
      <c r="E979" s="5"/>
    </row>
    <row r="980" spans="1:5" ht="12.5">
      <c r="A980" s="76"/>
      <c r="B980" s="5"/>
      <c r="C980" s="16"/>
      <c r="D980" s="80"/>
      <c r="E980" s="5"/>
    </row>
    <row r="981" spans="1:5" ht="12.5">
      <c r="A981" s="76"/>
      <c r="B981" s="5"/>
      <c r="C981" s="16"/>
      <c r="D981" s="80"/>
      <c r="E981" s="5"/>
    </row>
    <row r="982" spans="1:5" ht="12.5">
      <c r="A982" s="76"/>
      <c r="B982" s="5"/>
      <c r="C982" s="16"/>
      <c r="D982" s="80"/>
      <c r="E982" s="5"/>
    </row>
    <row r="983" spans="1:5" ht="12.5">
      <c r="A983" s="76"/>
      <c r="B983" s="5"/>
      <c r="C983" s="16"/>
      <c r="D983" s="80"/>
      <c r="E983" s="5"/>
    </row>
    <row r="984" spans="1:5" ht="12.5">
      <c r="A984" s="76"/>
      <c r="B984" s="5"/>
      <c r="C984" s="16"/>
      <c r="D984" s="80"/>
      <c r="E984" s="5"/>
    </row>
    <row r="985" spans="1:5" ht="12.5">
      <c r="A985" s="76"/>
      <c r="B985" s="5"/>
      <c r="C985" s="16"/>
      <c r="D985" s="80"/>
      <c r="E985" s="5"/>
    </row>
    <row r="986" spans="1:5" ht="12.5">
      <c r="A986" s="76"/>
      <c r="B986" s="5"/>
      <c r="C986" s="16"/>
      <c r="D986" s="80"/>
      <c r="E986" s="5"/>
    </row>
    <row r="987" spans="1:5" ht="12.5">
      <c r="A987" s="76"/>
      <c r="B987" s="5"/>
      <c r="C987" s="16"/>
      <c r="D987" s="80"/>
      <c r="E987" s="5"/>
    </row>
    <row r="988" spans="1:5" ht="12.5">
      <c r="A988" s="76"/>
      <c r="B988" s="5"/>
      <c r="C988" s="16"/>
      <c r="D988" s="80"/>
      <c r="E988" s="5"/>
    </row>
    <row r="989" spans="1:5" ht="12.5">
      <c r="A989" s="76"/>
      <c r="B989" s="5"/>
      <c r="C989" s="16"/>
      <c r="D989" s="80"/>
      <c r="E989" s="5"/>
    </row>
    <row r="990" spans="1:5" ht="12.5">
      <c r="A990" s="76"/>
      <c r="B990" s="5"/>
      <c r="C990" s="16"/>
      <c r="D990" s="80"/>
      <c r="E990" s="5"/>
    </row>
    <row r="991" spans="1:5" ht="12.5">
      <c r="A991" s="76"/>
      <c r="B991" s="5"/>
      <c r="C991" s="16"/>
      <c r="D991" s="80"/>
      <c r="E991" s="5"/>
    </row>
    <row r="992" spans="1:5" ht="12.5">
      <c r="A992" s="76"/>
      <c r="B992" s="5"/>
      <c r="C992" s="16"/>
      <c r="D992" s="80"/>
      <c r="E992" s="5"/>
    </row>
    <row r="993" spans="1:5" ht="12.5">
      <c r="A993" s="76"/>
      <c r="B993" s="5"/>
      <c r="C993" s="16"/>
      <c r="D993" s="80"/>
      <c r="E993" s="5"/>
    </row>
    <row r="994" spans="1:5" ht="12.5">
      <c r="A994" s="76"/>
      <c r="B994" s="5"/>
      <c r="C994" s="16"/>
      <c r="D994" s="80"/>
      <c r="E994" s="5"/>
    </row>
    <row r="995" spans="1:5" ht="12.5">
      <c r="A995" s="76"/>
      <c r="B995" s="5"/>
      <c r="C995" s="16"/>
      <c r="D995" s="80"/>
      <c r="E995" s="5"/>
    </row>
    <row r="996" spans="1:5" ht="12.5">
      <c r="A996" s="76"/>
      <c r="B996" s="5"/>
      <c r="C996" s="16"/>
      <c r="D996" s="80"/>
      <c r="E996" s="5"/>
    </row>
    <row r="997" spans="1:5" ht="12.5">
      <c r="A997" s="76"/>
      <c r="B997" s="5"/>
      <c r="C997" s="16"/>
      <c r="D997" s="80"/>
      <c r="E997" s="5"/>
    </row>
    <row r="998" spans="1:5" ht="12.5">
      <c r="A998" s="76"/>
      <c r="B998" s="5"/>
      <c r="C998" s="16"/>
      <c r="D998" s="80"/>
      <c r="E998" s="5"/>
    </row>
    <row r="999" spans="1:5" ht="12.5">
      <c r="A999" s="76"/>
      <c r="B999" s="5"/>
      <c r="C999" s="16"/>
      <c r="D999" s="80"/>
      <c r="E999" s="5"/>
    </row>
    <row r="1000" spans="1:5" ht="12.5">
      <c r="A1000" s="76"/>
      <c r="B1000" s="5"/>
      <c r="C1000" s="16"/>
      <c r="D1000" s="80"/>
      <c r="E1000" s="5"/>
    </row>
    <row r="1001" spans="1:5" ht="12.5">
      <c r="A1001" s="76"/>
      <c r="C1001" s="16"/>
      <c r="D1001" s="80"/>
      <c r="E1001" s="5"/>
    </row>
  </sheetData>
  <conditionalFormatting sqref="A2:J1000">
    <cfRule type="expression" dxfId="13" priority="1">
      <formula>$E2="Pessoa 2"</formula>
    </cfRule>
    <cfRule type="expression" dxfId="12" priority="2">
      <formula>$E2="Pessoa 1"</formula>
    </cfRule>
  </conditionalFormatting>
  <dataValidations count="3">
    <dataValidation type="list" allowBlank="1" showErrorMessage="1" sqref="E2:E1001" xr:uid="{00000000-0002-0000-0800-000000000000}">
      <formula1>"Pessoa 1,Pessoa 2"</formula1>
    </dataValidation>
    <dataValidation type="list" allowBlank="1" showErrorMessage="1" sqref="B2:B1000" xr:uid="{00000000-0002-0000-0800-000001000000}">
      <formula1>"Aluguel_Cond,Home Supplies,Energia_Gás_Água_Esgoto,Internet_Telefonia,Comida_Alimentação,Manutenção_Casa,Móveis_Aparelhos_Decoração,Transporte Geral &amp; Coletivo,Transporte Uber &amp; Apps,Saúde,Academia &amp; Fitness,Educação,Roupa_Acessorios,Entretenimento_&amp;_Rest"&amp;"aurantes,Viagem/Vacation,Work-related,Imposto (IPVA-IPTU-etc),Outros,Investimento (aporte),Gasto Pessoal"</formula1>
    </dataValidation>
    <dataValidation type="custom" allowBlank="1" showDropDown="1" showErrorMessage="1" sqref="A2:A1001" xr:uid="{00000000-0002-0000-0800-000002000000}">
      <formula1>OR(NOT(ISERROR(DATEVALUE(A2))), AND(ISNUMBER(A2), LEFT(CELL("format", A2))="D"))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2</vt:i4>
      </vt:variant>
    </vt:vector>
  </HeadingPairs>
  <TitlesOfParts>
    <vt:vector size="17" baseType="lpstr">
      <vt:lpstr>Resumo</vt:lpstr>
      <vt:lpstr>Rendimentos</vt:lpstr>
      <vt:lpstr>Divisão de Custos</vt:lpstr>
      <vt:lpstr>Mes01</vt:lpstr>
      <vt:lpstr>Mes02</vt:lpstr>
      <vt:lpstr>Mes03</vt:lpstr>
      <vt:lpstr>Mes04</vt:lpstr>
      <vt:lpstr>Mes05</vt:lpstr>
      <vt:lpstr>Mes06</vt:lpstr>
      <vt:lpstr>Mes07</vt:lpstr>
      <vt:lpstr>Mes08</vt:lpstr>
      <vt:lpstr>Mes09</vt:lpstr>
      <vt:lpstr>Mes10</vt:lpstr>
      <vt:lpstr>Mes11</vt:lpstr>
      <vt:lpstr>Mes12</vt:lpstr>
      <vt:lpstr>OutputTotal</vt:lpstr>
      <vt:lpstr>TotalInvested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Gustavo Santos</cp:lastModifiedBy>
  <dcterms:modified xsi:type="dcterms:W3CDTF">2023-09-23T15:53:10Z</dcterms:modified>
</cp:coreProperties>
</file>