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eanda/Desktop/TRABAJOS SIM-MAT/PM1_deAndaG1_HernandezM2_GutierrezE3/"/>
    </mc:Choice>
  </mc:AlternateContent>
  <xr:revisionPtr revIDLastSave="0" documentId="8_{9FD12F6F-F5E9-BD40-9054-28C60183ABD2}" xr6:coauthVersionLast="47" xr6:coauthVersionMax="47" xr10:uidLastSave="{00000000-0000-0000-0000-000000000000}"/>
  <bookViews>
    <workbookView minimized="1" xWindow="0" yWindow="280" windowWidth="25440" windowHeight="15360" activeTab="7" xr2:uid="{066FC9F6-82FC-484C-BA26-755372AE7BF3}"/>
  </bookViews>
  <sheets>
    <sheet name="Conversión tasas" sheetId="1" r:id="rId1"/>
    <sheet name="TASAS 0" sheetId="2" r:id="rId2"/>
    <sheet name="Cupón bono 0 " sheetId="3" r:id="rId3"/>
    <sheet name="RENDIMIENTO PROMEDIO BONO " sheetId="4" r:id="rId4"/>
    <sheet name="RENDIMIENTO A LA PAR" sheetId="5" r:id="rId5"/>
    <sheet name="Hoja6" sheetId="6" r:id="rId6"/>
    <sheet name="Hoja1" sheetId="7" r:id="rId7"/>
    <sheet name="tasa 0 de interés bonos " sheetId="8" r:id="rId8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8" l="1"/>
  <c r="F8" i="8"/>
  <c r="E31" i="8"/>
  <c r="C30" i="8"/>
  <c r="A29" i="8"/>
  <c r="F28" i="8"/>
  <c r="E28" i="8"/>
  <c r="H25" i="8"/>
  <c r="G25" i="8"/>
  <c r="E25" i="8"/>
  <c r="F25" i="8"/>
  <c r="G27" i="8"/>
  <c r="F27" i="8"/>
  <c r="E27" i="8"/>
  <c r="C27" i="8"/>
  <c r="C28" i="8"/>
  <c r="C26" i="8"/>
  <c r="E20" i="8"/>
  <c r="C18" i="8"/>
  <c r="E17" i="8"/>
  <c r="C19" i="8"/>
  <c r="C17" i="8"/>
  <c r="C16" i="8"/>
  <c r="F17" i="8"/>
  <c r="F16" i="8"/>
  <c r="E16" i="8"/>
  <c r="C15" i="8"/>
  <c r="G14" i="8"/>
  <c r="F14" i="8"/>
  <c r="E14" i="8"/>
  <c r="F7" i="8"/>
  <c r="F6" i="8"/>
  <c r="F5" i="8"/>
  <c r="B14" i="7"/>
  <c r="B8" i="7"/>
  <c r="B13" i="7" s="1"/>
  <c r="B6" i="7"/>
  <c r="B12" i="7" s="1"/>
  <c r="B11" i="7"/>
  <c r="B5" i="7"/>
  <c r="D8" i="7"/>
  <c r="D6" i="7"/>
  <c r="D4" i="7"/>
  <c r="M7" i="5"/>
  <c r="M8" i="5"/>
  <c r="M9" i="5"/>
  <c r="M6" i="5"/>
  <c r="G5" i="5" s="1"/>
  <c r="G4" i="5"/>
  <c r="D8" i="4"/>
  <c r="E8" i="4" s="1"/>
  <c r="D9" i="4"/>
  <c r="E9" i="4" s="1"/>
  <c r="D10" i="4"/>
  <c r="E10" i="4" s="1"/>
  <c r="D7" i="4"/>
  <c r="E7" i="4" s="1"/>
  <c r="N16" i="3"/>
  <c r="L15" i="3"/>
  <c r="J15" i="3"/>
  <c r="H15" i="3"/>
  <c r="N19" i="3" s="1"/>
  <c r="E12" i="4" s="1"/>
  <c r="N14" i="3"/>
  <c r="E13" i="3"/>
  <c r="E4" i="3"/>
  <c r="C15" i="2"/>
  <c r="E7" i="1"/>
  <c r="C29" i="8" l="1"/>
  <c r="G7" i="5"/>
  <c r="G8" i="5" s="1"/>
  <c r="E11" i="4"/>
  <c r="D8" i="6"/>
  <c r="E8" i="6" s="1"/>
  <c r="D6" i="6"/>
  <c r="E6" i="6" s="1"/>
  <c r="D9" i="6"/>
  <c r="E9" i="6" s="1"/>
  <c r="D7" i="6"/>
  <c r="E7" i="6" s="1"/>
  <c r="D18" i="5" l="1"/>
  <c r="E18" i="5" s="1"/>
  <c r="D16" i="5"/>
  <c r="E16" i="5" s="1"/>
  <c r="D15" i="5"/>
  <c r="E15" i="5" s="1"/>
  <c r="E19" i="5" s="1"/>
  <c r="D17" i="5"/>
  <c r="E17" i="5" s="1"/>
  <c r="E10" i="6"/>
</calcChain>
</file>

<file path=xl/sharedStrings.xml><?xml version="1.0" encoding="utf-8"?>
<sst xmlns="http://schemas.openxmlformats.org/spreadsheetml/2006/main" count="101" uniqueCount="61">
  <si>
    <t>Rc</t>
  </si>
  <si>
    <t>m</t>
  </si>
  <si>
    <t xml:space="preserve">DE CONTINUA A PERIODOS </t>
  </si>
  <si>
    <t xml:space="preserve">DE PERIODOS A CONTINUAS </t>
  </si>
  <si>
    <t>TASAS 0</t>
  </si>
  <si>
    <t xml:space="preserve">LA TASA DE INTERES CUPON 0 ES AQUELLA QUE SE GANA SOBRE UNA INVERSIÓN QUE EMPEZÓ HOY TERMINA EN N TIEMPO, TODOS LOS INTERÉS Y CAPITAL SE OBTIENEN HASTA EL FINAL </t>
  </si>
  <si>
    <t xml:space="preserve">UN BONO CON TASA 0 DEL 10.536% A 1 AÑO CAPITALIZACIÓN CONTINUA </t>
  </si>
  <si>
    <t xml:space="preserve">CUANTO VALE AL FINAL </t>
  </si>
  <si>
    <t xml:space="preserve">CUANTO VALE AL INICIO </t>
  </si>
  <si>
    <t>UN BONO QUE PAGA CUPÓN DEL 6%</t>
  </si>
  <si>
    <t>TASA CUPON</t>
  </si>
  <si>
    <t>NOMINAL</t>
  </si>
  <si>
    <t>PERIODO</t>
  </si>
  <si>
    <t xml:space="preserve">VALOR DE CUPÓN </t>
  </si>
  <si>
    <t xml:space="preserve">TASA DEL PERIODO </t>
  </si>
  <si>
    <t xml:space="preserve">Valor total bono </t>
  </si>
  <si>
    <t xml:space="preserve">RENDIMIENTO </t>
  </si>
  <si>
    <t xml:space="preserve">PROMEDIO </t>
  </si>
  <si>
    <t xml:space="preserve">tiempo </t>
  </si>
  <si>
    <t>flujo</t>
  </si>
  <si>
    <t>rendimiento</t>
  </si>
  <si>
    <t>valor presente</t>
  </si>
  <si>
    <t xml:space="preserve">VALOR DEL BONO-X </t>
  </si>
  <si>
    <t xml:space="preserve">VALOR NOMINAL </t>
  </si>
  <si>
    <t>d</t>
  </si>
  <si>
    <t>tasas</t>
  </si>
  <si>
    <t>Periodo Pago</t>
  </si>
  <si>
    <t>Tasa</t>
  </si>
  <si>
    <t>unidad</t>
  </si>
  <si>
    <t>VP</t>
  </si>
  <si>
    <t>1 para todas</t>
  </si>
  <si>
    <t xml:space="preserve">A = </t>
  </si>
  <si>
    <t>C</t>
  </si>
  <si>
    <t>ANUAL</t>
  </si>
  <si>
    <t>SEMESTRAL</t>
  </si>
  <si>
    <t>FLUJOS------:</t>
  </si>
  <si>
    <t>vp</t>
  </si>
  <si>
    <t>CUPON SEMESTRAL</t>
  </si>
  <si>
    <t>Las tasas de hoy son</t>
  </si>
  <si>
    <t>tiempo meses</t>
  </si>
  <si>
    <t>tasa</t>
  </si>
  <si>
    <t>Un bono paga un cupón tasa 10% de manera semestral, la duración del bono es de 1.5 años</t>
  </si>
  <si>
    <t>nominal</t>
  </si>
  <si>
    <t xml:space="preserve">Valor presente del bono </t>
  </si>
  <si>
    <t>r</t>
  </si>
  <si>
    <t>cupón</t>
  </si>
  <si>
    <t xml:space="preserve">precio bono </t>
  </si>
  <si>
    <t>A</t>
  </si>
  <si>
    <t>B</t>
  </si>
  <si>
    <t>D</t>
  </si>
  <si>
    <t>E</t>
  </si>
  <si>
    <t>Bono</t>
  </si>
  <si>
    <t>principal</t>
  </si>
  <si>
    <t>tiempo</t>
  </si>
  <si>
    <t xml:space="preserve">4 EXP (-rT) + </t>
  </si>
  <si>
    <t xml:space="preserve">104 EXP (-rT) + </t>
  </si>
  <si>
    <t>=</t>
  </si>
  <si>
    <t>-</t>
  </si>
  <si>
    <t>DETERMINACIÓN TASA USANDO EL BONO D 1.5 AÑOS</t>
  </si>
  <si>
    <t>DETERMINACIÓN TASA USANDO EL BONO E 2 AÑOS</t>
  </si>
  <si>
    <t>EJERCICIO 4.8 TAREA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</si>
</sst>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%"/>
    <numFmt numFmtId="165" formatCode="0.00000"/>
    <numFmt numFmtId="166" formatCode="0.0000"/>
    <numFmt numFmtId="169" formatCode="0.0000%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0">
    <xf numFmtId="0" fontId="0" fillId="0" borderId="0" xfId="0"/>
    <xf numFmtId="9" fontId="0" fillId="0" borderId="0" xfId="0" applyNumberFormat="1"/>
    <xf numFmtId="9" fontId="0" fillId="0" borderId="0" xfId="1" applyFont="1"/>
    <xf numFmtId="164" fontId="0" fillId="0" borderId="0" xfId="1" applyNumberFormat="1" applyFont="1"/>
    <xf numFmtId="0" fontId="0" fillId="2" borderId="0" xfId="0" applyFill="1"/>
    <xf numFmtId="10" fontId="0" fillId="0" borderId="0" xfId="0" applyNumberFormat="1"/>
    <xf numFmtId="2" fontId="0" fillId="0" borderId="0" xfId="1" applyNumberFormat="1" applyFont="1"/>
    <xf numFmtId="0" fontId="0" fillId="0" borderId="0" xfId="0" applyFont="1"/>
    <xf numFmtId="165" fontId="0" fillId="0" borderId="0" xfId="0" applyNumberFormat="1"/>
    <xf numFmtId="166" fontId="0" fillId="0" borderId="0" xfId="0" applyNumberFormat="1"/>
    <xf numFmtId="165" fontId="0" fillId="0" borderId="1" xfId="0" applyNumberFormat="1" applyBorder="1"/>
    <xf numFmtId="2" fontId="0" fillId="0" borderId="0" xfId="0" applyNumberFormat="1"/>
    <xf numFmtId="0" fontId="0" fillId="0" borderId="2" xfId="0" applyBorder="1"/>
    <xf numFmtId="9" fontId="2" fillId="0" borderId="2" xfId="0" applyNumberFormat="1" applyFont="1" applyBorder="1"/>
    <xf numFmtId="10" fontId="2" fillId="0" borderId="2" xfId="0" applyNumberFormat="1" applyFont="1" applyBorder="1"/>
    <xf numFmtId="2" fontId="0" fillId="0" borderId="2" xfId="0" applyNumberFormat="1" applyBorder="1"/>
    <xf numFmtId="166" fontId="0" fillId="0" borderId="0" xfId="1" applyNumberFormat="1" applyFont="1"/>
    <xf numFmtId="2" fontId="0" fillId="0" borderId="0" xfId="0" applyNumberFormat="1" applyBorder="1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164" fontId="0" fillId="2" borderId="0" xfId="1" applyNumberFormat="1" applyFont="1" applyFill="1" applyAlignment="1">
      <alignment horizontal="center"/>
    </xf>
    <xf numFmtId="166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NumberFormat="1"/>
    <xf numFmtId="0" fontId="3" fillId="0" borderId="0" xfId="0" applyFont="1"/>
    <xf numFmtId="10" fontId="0" fillId="0" borderId="0" xfId="1" applyNumberFormat="1" applyFont="1"/>
    <xf numFmtId="0" fontId="0" fillId="0" borderId="0" xfId="1" applyNumberFormat="1" applyFont="1"/>
    <xf numFmtId="169" fontId="0" fillId="0" borderId="0" xfId="1" applyNumberFormat="1" applyFont="1"/>
    <xf numFmtId="0" fontId="0" fillId="0" borderId="0" xfId="0" quotePrefix="1"/>
    <xf numFmtId="169" fontId="0" fillId="0" borderId="0" xfId="0" applyNumberForma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E768F-C63B-7F4A-B42B-BF18726C1E08}">
  <dimension ref="B5:E10"/>
  <sheetViews>
    <sheetView workbookViewId="0">
      <selection activeCell="B12" sqref="B12"/>
    </sheetView>
  </sheetViews>
  <sheetFormatPr baseColWidth="10" defaultRowHeight="16" x14ac:dyDescent="0.2"/>
  <sheetData>
    <row r="5" spans="2:5" x14ac:dyDescent="0.2">
      <c r="B5" t="s">
        <v>2</v>
      </c>
    </row>
    <row r="7" spans="2:5" x14ac:dyDescent="0.2">
      <c r="B7" t="s">
        <v>0</v>
      </c>
      <c r="C7" s="1">
        <v>0.08</v>
      </c>
      <c r="E7" s="3">
        <f>C8*(EXP(C7/C8)-1)</f>
        <v>8.0805360107023105E-2</v>
      </c>
    </row>
    <row r="8" spans="2:5" x14ac:dyDescent="0.2">
      <c r="B8" t="s">
        <v>1</v>
      </c>
      <c r="C8">
        <v>4</v>
      </c>
    </row>
    <row r="10" spans="2:5" x14ac:dyDescent="0.2">
      <c r="B10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F42831-197C-6A48-AFA5-F7EF1969EA73}">
  <dimension ref="B2:E15"/>
  <sheetViews>
    <sheetView workbookViewId="0">
      <selection activeCell="C16" sqref="C16"/>
    </sheetView>
  </sheetViews>
  <sheetFormatPr baseColWidth="10" defaultRowHeight="16" x14ac:dyDescent="0.2"/>
  <sheetData>
    <row r="2" spans="2:5" x14ac:dyDescent="0.2">
      <c r="B2" t="s">
        <v>4</v>
      </c>
    </row>
    <row r="3" spans="2:5" x14ac:dyDescent="0.2">
      <c r="B3" s="18" t="s">
        <v>5</v>
      </c>
      <c r="C3" s="18"/>
      <c r="D3" s="18"/>
      <c r="E3" s="18"/>
    </row>
    <row r="4" spans="2:5" x14ac:dyDescent="0.2">
      <c r="B4" s="18"/>
      <c r="C4" s="18"/>
      <c r="D4" s="18"/>
      <c r="E4" s="18"/>
    </row>
    <row r="5" spans="2:5" x14ac:dyDescent="0.2">
      <c r="B5" s="18"/>
      <c r="C5" s="18"/>
      <c r="D5" s="18"/>
      <c r="E5" s="18"/>
    </row>
    <row r="6" spans="2:5" x14ac:dyDescent="0.2">
      <c r="B6" s="18"/>
      <c r="C6" s="18"/>
      <c r="D6" s="18"/>
      <c r="E6" s="18"/>
    </row>
    <row r="9" spans="2:5" x14ac:dyDescent="0.2">
      <c r="B9" s="19" t="s">
        <v>6</v>
      </c>
      <c r="C9" s="19"/>
      <c r="D9" s="19"/>
    </row>
    <row r="10" spans="2:5" x14ac:dyDescent="0.2">
      <c r="B10" s="19"/>
      <c r="C10" s="19"/>
      <c r="D10" s="19"/>
    </row>
    <row r="11" spans="2:5" x14ac:dyDescent="0.2">
      <c r="B11" s="19"/>
      <c r="C11" s="19"/>
      <c r="D11" s="19"/>
    </row>
    <row r="12" spans="2:5" x14ac:dyDescent="0.2">
      <c r="B12" s="19"/>
      <c r="C12" s="19"/>
      <c r="D12" s="19"/>
    </row>
    <row r="14" spans="2:5" x14ac:dyDescent="0.2">
      <c r="B14" t="s">
        <v>7</v>
      </c>
      <c r="C14">
        <v>100</v>
      </c>
    </row>
    <row r="15" spans="2:5" x14ac:dyDescent="0.2">
      <c r="B15" t="s">
        <v>8</v>
      </c>
      <c r="C15">
        <f>C14*EXP((10.536/100)*(1))</f>
        <v>111.11105381581186</v>
      </c>
    </row>
  </sheetData>
  <mergeCells count="2">
    <mergeCell ref="B3:E6"/>
    <mergeCell ref="B9:D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4DF38F-6C1D-6946-9D84-5CAF7146C6AE}">
  <dimension ref="A2:N19"/>
  <sheetViews>
    <sheetView workbookViewId="0">
      <selection activeCell="C8" sqref="C8:C11"/>
    </sheetView>
  </sheetViews>
  <sheetFormatPr baseColWidth="10" defaultRowHeight="16" x14ac:dyDescent="0.2"/>
  <sheetData>
    <row r="2" spans="1:14" x14ac:dyDescent="0.2">
      <c r="B2" t="s">
        <v>9</v>
      </c>
    </row>
    <row r="4" spans="1:14" x14ac:dyDescent="0.2">
      <c r="A4" t="s">
        <v>10</v>
      </c>
      <c r="B4" s="1">
        <v>0.08</v>
      </c>
      <c r="D4" t="s">
        <v>13</v>
      </c>
      <c r="E4">
        <f>B4*B5/2</f>
        <v>200</v>
      </c>
    </row>
    <row r="5" spans="1:14" x14ac:dyDescent="0.2">
      <c r="A5" t="s">
        <v>11</v>
      </c>
      <c r="B5">
        <v>5000</v>
      </c>
    </row>
    <row r="6" spans="1:14" x14ac:dyDescent="0.2">
      <c r="A6" t="s">
        <v>12</v>
      </c>
      <c r="B6">
        <v>2</v>
      </c>
    </row>
    <row r="8" spans="1:14" x14ac:dyDescent="0.2">
      <c r="B8">
        <v>0.5</v>
      </c>
      <c r="C8" s="2">
        <v>0.05</v>
      </c>
    </row>
    <row r="9" spans="1:14" x14ac:dyDescent="0.2">
      <c r="B9">
        <v>1</v>
      </c>
      <c r="C9" s="5">
        <v>5.8000000000000003E-2</v>
      </c>
    </row>
    <row r="10" spans="1:14" x14ac:dyDescent="0.2">
      <c r="B10">
        <v>1.5</v>
      </c>
      <c r="C10" s="5">
        <v>6.4000000000000001E-2</v>
      </c>
    </row>
    <row r="11" spans="1:14" x14ac:dyDescent="0.2">
      <c r="B11">
        <v>2</v>
      </c>
      <c r="C11" s="5">
        <v>6.8000000000000005E-2</v>
      </c>
    </row>
    <row r="13" spans="1:14" x14ac:dyDescent="0.2">
      <c r="A13" t="s">
        <v>10</v>
      </c>
      <c r="B13" s="1">
        <v>0.06</v>
      </c>
      <c r="D13" t="s">
        <v>13</v>
      </c>
      <c r="E13">
        <f>B13*B14/2</f>
        <v>3</v>
      </c>
      <c r="G13" s="4"/>
      <c r="H13" s="4"/>
      <c r="I13" s="4"/>
      <c r="J13" s="4"/>
      <c r="K13" s="4"/>
      <c r="L13" s="4"/>
      <c r="M13" s="4"/>
    </row>
    <row r="14" spans="1:14" x14ac:dyDescent="0.2">
      <c r="A14" t="s">
        <v>11</v>
      </c>
      <c r="B14">
        <v>100</v>
      </c>
      <c r="H14" s="1">
        <v>0.03</v>
      </c>
      <c r="J14" s="1">
        <v>0.03</v>
      </c>
      <c r="L14" s="1">
        <v>0.03</v>
      </c>
      <c r="N14">
        <f>B14</f>
        <v>100</v>
      </c>
    </row>
    <row r="15" spans="1:14" x14ac:dyDescent="0.2">
      <c r="A15" t="s">
        <v>12</v>
      </c>
      <c r="B15">
        <v>2</v>
      </c>
      <c r="H15">
        <f>B16*EXP((-C8)*(0.5))</f>
        <v>2.9259297360849978</v>
      </c>
      <c r="J15">
        <f>B16*EXP((-C8)*(1))</f>
        <v>2.8536882735021418</v>
      </c>
      <c r="L15">
        <f>B16*EXP((-C10)*(1.5))</f>
        <v>2.7253920482061185</v>
      </c>
      <c r="N15" s="1">
        <v>0.03</v>
      </c>
    </row>
    <row r="16" spans="1:14" x14ac:dyDescent="0.2">
      <c r="A16" t="s">
        <v>14</v>
      </c>
      <c r="B16" s="6">
        <v>3</v>
      </c>
      <c r="N16">
        <f>103*EXP((-C11)*(2))</f>
        <v>89.902791146338089</v>
      </c>
    </row>
    <row r="18" spans="14:14" x14ac:dyDescent="0.2">
      <c r="N18" t="s">
        <v>15</v>
      </c>
    </row>
    <row r="19" spans="14:14" x14ac:dyDescent="0.2">
      <c r="N19" s="7">
        <f>H15+J15+L15+N16</f>
        <v>98.407801204131346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2E153-0BE5-3C47-9DCD-FEE1F0D8C4A0}">
  <dimension ref="B3:E12"/>
  <sheetViews>
    <sheetView workbookViewId="0">
      <selection activeCell="D8" sqref="D8"/>
    </sheetView>
  </sheetViews>
  <sheetFormatPr baseColWidth="10" defaultRowHeight="16" x14ac:dyDescent="0.2"/>
  <cols>
    <col min="4" max="4" width="16.6640625" bestFit="1" customWidth="1"/>
    <col min="5" max="5" width="12.6640625" bestFit="1" customWidth="1"/>
  </cols>
  <sheetData>
    <row r="3" spans="2:5" x14ac:dyDescent="0.2">
      <c r="B3" t="s">
        <v>16</v>
      </c>
      <c r="C3" s="20">
        <v>6.7546684339315294E-2</v>
      </c>
    </row>
    <row r="4" spans="2:5" x14ac:dyDescent="0.2">
      <c r="B4" t="s">
        <v>17</v>
      </c>
      <c r="C4" s="20"/>
    </row>
    <row r="6" spans="2:5" x14ac:dyDescent="0.2">
      <c r="B6" t="s">
        <v>18</v>
      </c>
      <c r="C6" t="s">
        <v>19</v>
      </c>
      <c r="D6" t="s">
        <v>20</v>
      </c>
      <c r="E6" t="s">
        <v>21</v>
      </c>
    </row>
    <row r="7" spans="2:5" x14ac:dyDescent="0.2">
      <c r="B7">
        <v>0.5</v>
      </c>
      <c r="C7">
        <v>3</v>
      </c>
      <c r="D7">
        <f>$C$3</f>
        <v>6.7546684339315294E-2</v>
      </c>
      <c r="E7" s="8">
        <f>C7*EXP(-D7*B7)</f>
        <v>2.9003718314031195</v>
      </c>
    </row>
    <row r="8" spans="2:5" x14ac:dyDescent="0.2">
      <c r="B8">
        <v>1</v>
      </c>
      <c r="C8">
        <v>3</v>
      </c>
      <c r="D8">
        <f>$C$3</f>
        <v>6.7546684339315294E-2</v>
      </c>
      <c r="E8" s="8">
        <f>C8*EXP(-D8*B8)</f>
        <v>2.8040522534655619</v>
      </c>
    </row>
    <row r="9" spans="2:5" x14ac:dyDescent="0.2">
      <c r="B9">
        <v>1.5</v>
      </c>
      <c r="C9">
        <v>3</v>
      </c>
      <c r="D9">
        <f>$C$3</f>
        <v>6.7546684339315294E-2</v>
      </c>
      <c r="E9" s="8">
        <f>C9*EXP(-D9*B9)</f>
        <v>2.7109313899113192</v>
      </c>
    </row>
    <row r="10" spans="2:5" x14ac:dyDescent="0.2">
      <c r="B10">
        <v>2</v>
      </c>
      <c r="C10">
        <v>103</v>
      </c>
      <c r="D10">
        <f>$C$3</f>
        <v>6.7546684339315294E-2</v>
      </c>
      <c r="E10" s="10">
        <f>C10*EXP(-D10*B10)</f>
        <v>89.984336793002839</v>
      </c>
    </row>
    <row r="11" spans="2:5" x14ac:dyDescent="0.2">
      <c r="E11" s="8">
        <f>+SUM(E7:E10)</f>
        <v>98.399692267782839</v>
      </c>
    </row>
    <row r="12" spans="2:5" x14ac:dyDescent="0.2">
      <c r="D12" t="s">
        <v>22</v>
      </c>
      <c r="E12" s="8">
        <f>'Cupón bono 0 '!N19</f>
        <v>98.407801204131346</v>
      </c>
    </row>
  </sheetData>
  <mergeCells count="1">
    <mergeCell ref="C3:C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5E45F-02C3-A247-BBEC-03FB2AD75772}">
  <dimension ref="B2:M19"/>
  <sheetViews>
    <sheetView workbookViewId="0">
      <selection activeCell="B13" sqref="B13:E19"/>
    </sheetView>
  </sheetViews>
  <sheetFormatPr baseColWidth="10" defaultRowHeight="16" x14ac:dyDescent="0.2"/>
  <cols>
    <col min="5" max="5" width="12.6640625" bestFit="1" customWidth="1"/>
    <col min="7" max="7" width="11.6640625" bestFit="1" customWidth="1"/>
    <col min="8" max="8" width="11.6640625" customWidth="1"/>
    <col min="13" max="13" width="11.6640625" bestFit="1" customWidth="1"/>
  </cols>
  <sheetData>
    <row r="2" spans="2:13" x14ac:dyDescent="0.2">
      <c r="B2" s="12" t="s">
        <v>18</v>
      </c>
      <c r="C2" s="12" t="s">
        <v>19</v>
      </c>
      <c r="D2" s="12" t="s">
        <v>25</v>
      </c>
    </row>
    <row r="3" spans="2:13" x14ac:dyDescent="0.2">
      <c r="B3" s="12">
        <v>0.5</v>
      </c>
      <c r="C3" s="12">
        <v>3</v>
      </c>
      <c r="D3" s="13">
        <v>0.05</v>
      </c>
      <c r="F3" t="s">
        <v>1</v>
      </c>
      <c r="G3">
        <v>2</v>
      </c>
    </row>
    <row r="4" spans="2:13" x14ac:dyDescent="0.2">
      <c r="B4" s="12">
        <v>1</v>
      </c>
      <c r="C4" s="12">
        <v>3</v>
      </c>
      <c r="D4" s="14">
        <v>5.8000000000000003E-2</v>
      </c>
      <c r="F4" t="s">
        <v>24</v>
      </c>
      <c r="G4" s="11">
        <f>1*EXP(-D6*G3)</f>
        <v>0.87284263248871929</v>
      </c>
      <c r="H4" s="11"/>
    </row>
    <row r="5" spans="2:13" x14ac:dyDescent="0.2">
      <c r="B5" s="12">
        <v>1.5</v>
      </c>
      <c r="C5" s="12">
        <v>3</v>
      </c>
      <c r="D5" s="14">
        <v>6.4000000000000001E-2</v>
      </c>
      <c r="F5" s="12" t="s">
        <v>31</v>
      </c>
      <c r="G5" s="15">
        <f>+SUM(M6:M9)</f>
        <v>3.7002665080225565</v>
      </c>
      <c r="H5" s="17"/>
      <c r="J5" s="12" t="s">
        <v>26</v>
      </c>
      <c r="K5" s="12" t="s">
        <v>27</v>
      </c>
      <c r="L5" s="12" t="s">
        <v>28</v>
      </c>
      <c r="M5" s="12" t="s">
        <v>29</v>
      </c>
    </row>
    <row r="6" spans="2:13" x14ac:dyDescent="0.2">
      <c r="B6" s="12">
        <v>2</v>
      </c>
      <c r="C6" s="12">
        <v>103</v>
      </c>
      <c r="D6" s="14">
        <v>6.8000000000000005E-2</v>
      </c>
      <c r="J6" s="12">
        <v>0.5</v>
      </c>
      <c r="K6" s="13">
        <v>0.05</v>
      </c>
      <c r="L6" s="12">
        <v>1</v>
      </c>
      <c r="M6" s="15">
        <f>L6*EXP(-K6*J6)</f>
        <v>0.97530991202833262</v>
      </c>
    </row>
    <row r="7" spans="2:13" x14ac:dyDescent="0.2">
      <c r="F7" t="s">
        <v>32</v>
      </c>
      <c r="G7" s="16">
        <f>((C8-(C8*G4))*G3)/G5</f>
        <v>6.872876169086231</v>
      </c>
      <c r="H7" s="16" t="s">
        <v>33</v>
      </c>
      <c r="J7" s="12">
        <v>1</v>
      </c>
      <c r="K7" s="14">
        <v>5.8000000000000003E-2</v>
      </c>
      <c r="L7" s="12">
        <v>1</v>
      </c>
      <c r="M7" s="15">
        <f>L7*EXP(-K7*J7)</f>
        <v>0.94364994743679853</v>
      </c>
    </row>
    <row r="8" spans="2:13" x14ac:dyDescent="0.2">
      <c r="B8" s="12" t="s">
        <v>23</v>
      </c>
      <c r="C8" s="12">
        <v>100</v>
      </c>
      <c r="F8" t="s">
        <v>32</v>
      </c>
      <c r="G8" s="9">
        <f>G7/2</f>
        <v>3.4364380845431155</v>
      </c>
      <c r="H8" t="s">
        <v>34</v>
      </c>
      <c r="J8" s="12">
        <v>1.5</v>
      </c>
      <c r="K8" s="14">
        <v>6.4000000000000001E-2</v>
      </c>
      <c r="L8" s="12">
        <v>1</v>
      </c>
      <c r="M8" s="15">
        <f>L8*EXP(-K8*J8)</f>
        <v>0.90846401606870619</v>
      </c>
    </row>
    <row r="9" spans="2:13" x14ac:dyDescent="0.2">
      <c r="J9" s="12">
        <v>2</v>
      </c>
      <c r="K9" s="14">
        <v>6.8000000000000005E-2</v>
      </c>
      <c r="L9" s="12">
        <v>1</v>
      </c>
      <c r="M9" s="15">
        <f>L9*EXP(-K9*J9)</f>
        <v>0.87284263248871929</v>
      </c>
    </row>
    <row r="10" spans="2:13" x14ac:dyDescent="0.2">
      <c r="L10" t="s">
        <v>30</v>
      </c>
      <c r="M10" s="11"/>
    </row>
    <row r="13" spans="2:13" x14ac:dyDescent="0.2">
      <c r="B13" t="s">
        <v>35</v>
      </c>
    </row>
    <row r="14" spans="2:13" x14ac:dyDescent="0.2">
      <c r="B14" s="12" t="s">
        <v>26</v>
      </c>
      <c r="C14" s="12" t="s">
        <v>27</v>
      </c>
      <c r="D14" t="s">
        <v>19</v>
      </c>
      <c r="E14" t="s">
        <v>36</v>
      </c>
    </row>
    <row r="15" spans="2:13" x14ac:dyDescent="0.2">
      <c r="B15" s="12">
        <v>0.5</v>
      </c>
      <c r="C15" s="13">
        <v>0.05</v>
      </c>
      <c r="D15" s="9">
        <f>$G$8</f>
        <v>3.4364380845431155</v>
      </c>
      <c r="E15" s="11">
        <f>D15*EXP(-C15*B15)</f>
        <v>3.3515921259265578</v>
      </c>
    </row>
    <row r="16" spans="2:13" x14ac:dyDescent="0.2">
      <c r="B16" s="12">
        <v>1</v>
      </c>
      <c r="C16" s="14">
        <v>5.8000000000000003E-2</v>
      </c>
      <c r="D16" s="9">
        <f>$G$8</f>
        <v>3.4364380845431155</v>
      </c>
      <c r="E16" s="11">
        <f>D16*EXP(-C16*B16)</f>
        <v>3.2427946178489235</v>
      </c>
    </row>
    <row r="17" spans="2:5" x14ac:dyDescent="0.2">
      <c r="B17" s="12">
        <v>1.5</v>
      </c>
      <c r="C17" s="14">
        <v>6.4000000000000001E-2</v>
      </c>
      <c r="D17" s="9">
        <f>$G$8</f>
        <v>3.4364380845431155</v>
      </c>
      <c r="E17" s="11">
        <f>D17*EXP(-C17*B17)</f>
        <v>3.1218803432554907</v>
      </c>
    </row>
    <row r="18" spans="2:5" x14ac:dyDescent="0.2">
      <c r="B18" s="12">
        <v>2</v>
      </c>
      <c r="C18" s="14">
        <v>6.8000000000000005E-2</v>
      </c>
      <c r="D18" s="9">
        <f>$G$8+C8</f>
        <v>103.43643808454311</v>
      </c>
      <c r="E18" s="11">
        <f>D18*EXP(-C18*B18)</f>
        <v>90.283732912969029</v>
      </c>
    </row>
    <row r="19" spans="2:5" x14ac:dyDescent="0.2">
      <c r="E19" s="11">
        <f>SUM(E15:E18)</f>
        <v>100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46FF7-2FF3-FA49-AB62-5DCE594581FD}">
  <dimension ref="B2:E10"/>
  <sheetViews>
    <sheetView workbookViewId="0">
      <selection activeCell="C2" sqref="C2"/>
    </sheetView>
  </sheetViews>
  <sheetFormatPr baseColWidth="10" defaultRowHeight="16" x14ac:dyDescent="0.2"/>
  <sheetData>
    <row r="2" spans="2:5" x14ac:dyDescent="0.2">
      <c r="C2" t="s">
        <v>37</v>
      </c>
      <c r="D2" s="21">
        <v>3.4364380845431097</v>
      </c>
    </row>
    <row r="3" spans="2:5" x14ac:dyDescent="0.2">
      <c r="D3" s="22"/>
    </row>
    <row r="4" spans="2:5" x14ac:dyDescent="0.2">
      <c r="B4" t="s">
        <v>35</v>
      </c>
    </row>
    <row r="5" spans="2:5" x14ac:dyDescent="0.2">
      <c r="B5" s="12" t="s">
        <v>26</v>
      </c>
      <c r="C5" s="12" t="s">
        <v>27</v>
      </c>
      <c r="D5" t="s">
        <v>19</v>
      </c>
      <c r="E5" t="s">
        <v>36</v>
      </c>
    </row>
    <row r="6" spans="2:5" x14ac:dyDescent="0.2">
      <c r="B6" s="12">
        <v>0.5</v>
      </c>
      <c r="C6" s="13">
        <v>0.05</v>
      </c>
      <c r="D6" s="9">
        <f>+D2</f>
        <v>3.4364380845431097</v>
      </c>
      <c r="E6" s="11">
        <f>D6*EXP(-C6*B6)</f>
        <v>3.351592125926552</v>
      </c>
    </row>
    <row r="7" spans="2:5" x14ac:dyDescent="0.2">
      <c r="B7" s="12">
        <v>1</v>
      </c>
      <c r="C7" s="14">
        <v>5.8000000000000003E-2</v>
      </c>
      <c r="D7" s="9">
        <f>+D2</f>
        <v>3.4364380845431097</v>
      </c>
      <c r="E7" s="11">
        <f>D7*EXP(-C7*B7)</f>
        <v>3.2427946178489182</v>
      </c>
    </row>
    <row r="8" spans="2:5" x14ac:dyDescent="0.2">
      <c r="B8" s="12">
        <v>1.5</v>
      </c>
      <c r="C8" s="14">
        <v>6.4000000000000001E-2</v>
      </c>
      <c r="D8" s="9">
        <f>+D2</f>
        <v>3.4364380845431097</v>
      </c>
      <c r="E8" s="11">
        <f>D8*EXP(-C8*B8)</f>
        <v>3.1218803432554854</v>
      </c>
    </row>
    <row r="9" spans="2:5" x14ac:dyDescent="0.2">
      <c r="B9" s="12">
        <v>2</v>
      </c>
      <c r="C9" s="14">
        <v>6.8000000000000005E-2</v>
      </c>
      <c r="D9" s="9">
        <f>100+D2</f>
        <v>103.43643808454311</v>
      </c>
      <c r="E9" s="11">
        <f>D9*EXP(-C9*B9)</f>
        <v>90.283732912969029</v>
      </c>
    </row>
    <row r="10" spans="2:5" x14ac:dyDescent="0.2">
      <c r="E10" s="11">
        <f>SUM(E6:E9)</f>
        <v>99.999999999999986</v>
      </c>
    </row>
  </sheetData>
  <mergeCells count="1">
    <mergeCell ref="D2:D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AEBD4-A833-FA4F-9196-ACE2356C0339}">
  <dimension ref="A2:K14"/>
  <sheetViews>
    <sheetView workbookViewId="0">
      <selection activeCell="F28" sqref="F28"/>
    </sheetView>
  </sheetViews>
  <sheetFormatPr baseColWidth="10" defaultRowHeight="16" x14ac:dyDescent="0.2"/>
  <sheetData>
    <row r="2" spans="1:11" x14ac:dyDescent="0.2">
      <c r="B2" t="s">
        <v>38</v>
      </c>
      <c r="F2" s="19" t="s">
        <v>41</v>
      </c>
      <c r="G2" s="19"/>
      <c r="H2" s="19"/>
      <c r="I2" s="19"/>
      <c r="J2" s="19"/>
      <c r="K2" s="19"/>
    </row>
    <row r="3" spans="1:11" x14ac:dyDescent="0.2">
      <c r="B3" t="s">
        <v>39</v>
      </c>
      <c r="C3" t="s">
        <v>40</v>
      </c>
      <c r="D3" t="s">
        <v>42</v>
      </c>
      <c r="E3">
        <v>100</v>
      </c>
      <c r="F3" s="19"/>
      <c r="G3" s="19"/>
      <c r="H3" s="19"/>
      <c r="I3" s="19"/>
      <c r="J3" s="19"/>
      <c r="K3" s="19"/>
    </row>
    <row r="4" spans="1:11" x14ac:dyDescent="0.2">
      <c r="B4">
        <v>3</v>
      </c>
      <c r="C4" s="1">
        <v>0.05</v>
      </c>
      <c r="D4" s="23">
        <f>C4*E3</f>
        <v>5</v>
      </c>
      <c r="F4" s="19"/>
      <c r="G4" s="19"/>
      <c r="H4" s="19"/>
      <c r="I4" s="19"/>
      <c r="J4" s="19"/>
      <c r="K4" s="19"/>
    </row>
    <row r="5" spans="1:11" x14ac:dyDescent="0.2">
      <c r="B5">
        <f>6/12</f>
        <v>0.5</v>
      </c>
      <c r="C5" s="5">
        <v>5.0999999999999997E-2</v>
      </c>
      <c r="F5" s="19"/>
      <c r="G5" s="19"/>
      <c r="H5" s="19"/>
      <c r="I5" s="19"/>
      <c r="J5" s="19"/>
      <c r="K5" s="19"/>
    </row>
    <row r="6" spans="1:11" x14ac:dyDescent="0.2">
      <c r="B6">
        <f>12/12</f>
        <v>1</v>
      </c>
      <c r="C6" s="5">
        <v>5.1499999999999997E-2</v>
      </c>
      <c r="D6">
        <f>D4</f>
        <v>5</v>
      </c>
      <c r="F6" s="19"/>
      <c r="G6" s="19"/>
      <c r="H6" s="19"/>
      <c r="I6" s="19"/>
      <c r="J6" s="19"/>
      <c r="K6" s="19"/>
    </row>
    <row r="7" spans="1:11" x14ac:dyDescent="0.2">
      <c r="B7">
        <v>15</v>
      </c>
      <c r="C7" s="5">
        <v>5.21E-2</v>
      </c>
      <c r="F7" s="19"/>
      <c r="G7" s="19"/>
      <c r="H7" s="19"/>
      <c r="I7" s="19"/>
      <c r="J7" s="19"/>
      <c r="K7" s="19"/>
    </row>
    <row r="8" spans="1:11" x14ac:dyDescent="0.2">
      <c r="B8">
        <f>18/12</f>
        <v>1.5</v>
      </c>
      <c r="C8" s="5">
        <v>5.2999999999999999E-2</v>
      </c>
      <c r="D8">
        <f>D6+E3</f>
        <v>105</v>
      </c>
      <c r="F8" s="19"/>
      <c r="G8" s="19"/>
      <c r="H8" s="19"/>
      <c r="I8" s="19"/>
      <c r="J8" s="19"/>
      <c r="K8" s="19"/>
    </row>
    <row r="9" spans="1:11" x14ac:dyDescent="0.2">
      <c r="F9" s="19"/>
      <c r="G9" s="19"/>
      <c r="H9" s="19"/>
      <c r="I9" s="19"/>
      <c r="J9" s="19"/>
      <c r="K9" s="19"/>
    </row>
    <row r="11" spans="1:11" x14ac:dyDescent="0.2">
      <c r="B11">
        <f>+D4*EXP(-C5*B5)</f>
        <v>4.8741118948287054</v>
      </c>
    </row>
    <row r="12" spans="1:11" x14ac:dyDescent="0.2">
      <c r="B12">
        <f>+D4*EXP(-C6*B6)</f>
        <v>4.7490182498109981</v>
      </c>
    </row>
    <row r="13" spans="1:11" x14ac:dyDescent="0.2">
      <c r="B13">
        <f>+D8*EXP(-C8*B8)</f>
        <v>96.975692096703682</v>
      </c>
    </row>
    <row r="14" spans="1:11" x14ac:dyDescent="0.2">
      <c r="A14" t="s">
        <v>43</v>
      </c>
      <c r="B14" s="24">
        <f>+SUM(B11:B13)</f>
        <v>106.59882224134338</v>
      </c>
    </row>
  </sheetData>
  <mergeCells count="1">
    <mergeCell ref="F2:K9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7E9C4-C82C-4342-81B9-27D835B9825A}">
  <dimension ref="A4:H36"/>
  <sheetViews>
    <sheetView tabSelected="1" topLeftCell="A15" workbookViewId="0">
      <selection activeCell="H30" sqref="H30"/>
    </sheetView>
  </sheetViews>
  <sheetFormatPr baseColWidth="10" defaultRowHeight="16" x14ac:dyDescent="0.2"/>
  <cols>
    <col min="2" max="2" width="8.1640625" bestFit="1" customWidth="1"/>
    <col min="5" max="5" width="12.1640625" bestFit="1" customWidth="1"/>
  </cols>
  <sheetData>
    <row r="4" spans="1:7" x14ac:dyDescent="0.2">
      <c r="A4" t="s">
        <v>51</v>
      </c>
      <c r="B4" t="s">
        <v>52</v>
      </c>
      <c r="C4" s="26" t="s">
        <v>53</v>
      </c>
      <c r="D4" t="s">
        <v>45</v>
      </c>
      <c r="E4" t="s">
        <v>46</v>
      </c>
      <c r="F4" t="s">
        <v>27</v>
      </c>
    </row>
    <row r="5" spans="1:7" x14ac:dyDescent="0.2">
      <c r="A5" t="s">
        <v>47</v>
      </c>
      <c r="B5">
        <v>100</v>
      </c>
      <c r="C5" s="23">
        <v>0.25</v>
      </c>
      <c r="D5">
        <v>0</v>
      </c>
      <c r="E5">
        <v>97.5</v>
      </c>
      <c r="F5" s="27">
        <f>+LN(B5/E5)/C5</f>
        <v>0.10127123193715915</v>
      </c>
    </row>
    <row r="6" spans="1:7" x14ac:dyDescent="0.2">
      <c r="A6" t="s">
        <v>48</v>
      </c>
      <c r="B6">
        <v>100</v>
      </c>
      <c r="C6" s="23">
        <v>0.5</v>
      </c>
      <c r="D6">
        <v>0</v>
      </c>
      <c r="E6">
        <v>94.9</v>
      </c>
      <c r="F6" s="27">
        <f>+LN(B6/E6)/C6</f>
        <v>0.10469296074441839</v>
      </c>
    </row>
    <row r="7" spans="1:7" x14ac:dyDescent="0.2">
      <c r="A7" t="s">
        <v>32</v>
      </c>
      <c r="B7">
        <v>100</v>
      </c>
      <c r="C7" s="23">
        <v>1</v>
      </c>
      <c r="D7">
        <v>0</v>
      </c>
      <c r="E7">
        <v>90</v>
      </c>
      <c r="F7" s="27">
        <f>+LN(B7/E7)/C7</f>
        <v>0.10536051565782635</v>
      </c>
    </row>
    <row r="8" spans="1:7" x14ac:dyDescent="0.2">
      <c r="A8" t="s">
        <v>49</v>
      </c>
      <c r="B8">
        <v>100</v>
      </c>
      <c r="C8" s="23">
        <v>1.5</v>
      </c>
      <c r="D8">
        <v>8</v>
      </c>
      <c r="E8">
        <v>96</v>
      </c>
      <c r="F8" s="5">
        <f>E20</f>
        <v>0.10680926388170525</v>
      </c>
    </row>
    <row r="9" spans="1:7" x14ac:dyDescent="0.2">
      <c r="A9" t="s">
        <v>50</v>
      </c>
      <c r="B9">
        <v>100</v>
      </c>
      <c r="C9" s="23">
        <v>2</v>
      </c>
      <c r="D9">
        <v>12</v>
      </c>
      <c r="E9">
        <v>101.6</v>
      </c>
      <c r="F9" s="29">
        <f>E31</f>
        <v>0.10808027549746783</v>
      </c>
    </row>
    <row r="12" spans="1:7" x14ac:dyDescent="0.2">
      <c r="A12" t="s">
        <v>58</v>
      </c>
    </row>
    <row r="14" spans="1:7" x14ac:dyDescent="0.2">
      <c r="D14" s="28"/>
      <c r="E14">
        <f>$C6</f>
        <v>0.5</v>
      </c>
      <c r="F14">
        <f>C7</f>
        <v>1</v>
      </c>
      <c r="G14">
        <f>C8</f>
        <v>1.5</v>
      </c>
    </row>
    <row r="15" spans="1:7" x14ac:dyDescent="0.2">
      <c r="C15">
        <f>E8</f>
        <v>96</v>
      </c>
      <c r="D15" s="28" t="s">
        <v>56</v>
      </c>
      <c r="E15" t="s">
        <v>54</v>
      </c>
      <c r="F15" t="s">
        <v>54</v>
      </c>
      <c r="G15" t="s">
        <v>55</v>
      </c>
    </row>
    <row r="16" spans="1:7" x14ac:dyDescent="0.2">
      <c r="C16">
        <f>E8</f>
        <v>96</v>
      </c>
      <c r="D16" s="28" t="s">
        <v>56</v>
      </c>
      <c r="E16">
        <f>4*EXP(-F6*C6)</f>
        <v>3.7959999999999998</v>
      </c>
      <c r="F16">
        <f>4*EXP(-F7*C7)</f>
        <v>3.5999999999999996</v>
      </c>
      <c r="G16" t="s">
        <v>55</v>
      </c>
    </row>
    <row r="17" spans="1:8" x14ac:dyDescent="0.2">
      <c r="C17">
        <f>E8</f>
        <v>96</v>
      </c>
      <c r="D17" s="28" t="s">
        <v>56</v>
      </c>
      <c r="E17">
        <f>E16+F16</f>
        <v>7.395999999999999</v>
      </c>
      <c r="F17" t="str">
        <f>G16</f>
        <v xml:space="preserve">104 EXP (-rT) + </v>
      </c>
    </row>
    <row r="18" spans="1:8" x14ac:dyDescent="0.2">
      <c r="A18">
        <v>96</v>
      </c>
      <c r="B18" s="28" t="s">
        <v>57</v>
      </c>
      <c r="C18">
        <f>E17</f>
        <v>7.395999999999999</v>
      </c>
      <c r="D18" s="28" t="s">
        <v>56</v>
      </c>
    </row>
    <row r="19" spans="1:8" x14ac:dyDescent="0.2">
      <c r="C19">
        <f>C17-C18</f>
        <v>88.603999999999999</v>
      </c>
      <c r="D19" s="28" t="s">
        <v>56</v>
      </c>
    </row>
    <row r="20" spans="1:8" x14ac:dyDescent="0.2">
      <c r="A20" t="s">
        <v>44</v>
      </c>
      <c r="C20" t="s">
        <v>44</v>
      </c>
      <c r="D20" s="28" t="s">
        <v>56</v>
      </c>
      <c r="E20" s="25">
        <f>+LN(104/C19)/G14</f>
        <v>0.10680926388170525</v>
      </c>
    </row>
    <row r="23" spans="1:8" x14ac:dyDescent="0.2">
      <c r="A23" t="s">
        <v>59</v>
      </c>
    </row>
    <row r="25" spans="1:8" x14ac:dyDescent="0.2">
      <c r="D25" s="28"/>
      <c r="E25">
        <f>C6</f>
        <v>0.5</v>
      </c>
      <c r="F25">
        <f>C7</f>
        <v>1</v>
      </c>
      <c r="G25">
        <f>C8</f>
        <v>1.5</v>
      </c>
      <c r="H25">
        <f>C9</f>
        <v>2</v>
      </c>
    </row>
    <row r="26" spans="1:8" x14ac:dyDescent="0.2">
      <c r="C26">
        <f>$E$9</f>
        <v>101.6</v>
      </c>
      <c r="D26" s="28" t="s">
        <v>56</v>
      </c>
      <c r="E26" t="s">
        <v>54</v>
      </c>
      <c r="F26" t="s">
        <v>54</v>
      </c>
      <c r="G26" t="s">
        <v>55</v>
      </c>
      <c r="H26" t="s">
        <v>55</v>
      </c>
    </row>
    <row r="27" spans="1:8" x14ac:dyDescent="0.2">
      <c r="C27">
        <f t="shared" ref="C27:C28" si="0">$E$9</f>
        <v>101.6</v>
      </c>
      <c r="D27" s="28" t="s">
        <v>56</v>
      </c>
      <c r="E27">
        <f>6*EXP(-F6*C6)</f>
        <v>5.694</v>
      </c>
      <c r="F27">
        <f>6*EXP(-F7*C7)</f>
        <v>5.3999999999999995</v>
      </c>
      <c r="G27">
        <f>6*EXP(-E20*C8)</f>
        <v>5.1117692307692302</v>
      </c>
      <c r="H27" t="s">
        <v>55</v>
      </c>
    </row>
    <row r="28" spans="1:8" x14ac:dyDescent="0.2">
      <c r="C28">
        <f t="shared" si="0"/>
        <v>101.6</v>
      </c>
      <c r="D28" s="28" t="s">
        <v>56</v>
      </c>
      <c r="E28">
        <f>E27+F27+G27</f>
        <v>16.205769230769228</v>
      </c>
      <c r="F28" t="str">
        <f>H27</f>
        <v xml:space="preserve">104 EXP (-rT) + </v>
      </c>
    </row>
    <row r="29" spans="1:8" x14ac:dyDescent="0.2">
      <c r="A29">
        <f>C26</f>
        <v>101.6</v>
      </c>
      <c r="B29" s="28" t="s">
        <v>57</v>
      </c>
      <c r="C29">
        <f>E28</f>
        <v>16.205769230769228</v>
      </c>
      <c r="D29" s="28" t="s">
        <v>56</v>
      </c>
    </row>
    <row r="30" spans="1:8" x14ac:dyDescent="0.2">
      <c r="C30">
        <f>A29-C29</f>
        <v>85.394230769230774</v>
      </c>
      <c r="D30" s="28" t="s">
        <v>56</v>
      </c>
    </row>
    <row r="31" spans="1:8" x14ac:dyDescent="0.2">
      <c r="A31" t="s">
        <v>44</v>
      </c>
      <c r="C31" t="s">
        <v>44</v>
      </c>
      <c r="D31" s="28" t="s">
        <v>56</v>
      </c>
      <c r="E31" s="27">
        <f>+LN(106/C30)/H25</f>
        <v>0.10808027549746783</v>
      </c>
    </row>
    <row r="36" spans="2:2" x14ac:dyDescent="0.2">
      <c r="B36" t="s"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Conversión tasas</vt:lpstr>
      <vt:lpstr>TASAS 0</vt:lpstr>
      <vt:lpstr>Cupón bono 0 </vt:lpstr>
      <vt:lpstr>RENDIMIENTO PROMEDIO BONO </vt:lpstr>
      <vt:lpstr>RENDIMIENTO A LA PAR</vt:lpstr>
      <vt:lpstr>Hoja6</vt:lpstr>
      <vt:lpstr>Hoja1</vt:lpstr>
      <vt:lpstr>tasa 0 de interés bonos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2022-09-21T01:26:41Z</dcterms:created>
  <dcterms:modified xsi:type="dcterms:W3CDTF">2022-09-24T03:32:11Z</dcterms:modified>
</cp:coreProperties>
</file>