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5/"/>
    </mc:Choice>
  </mc:AlternateContent>
  <xr:revisionPtr revIDLastSave="533" documentId="11_1FFBEE88FB50DB8822D017DF7897F83640353E93" xr6:coauthVersionLast="47" xr6:coauthVersionMax="47" xr10:uidLastSave="{7694BF42-299C-400F-8FD3-EB8FF35E32E5}"/>
  <bookViews>
    <workbookView xWindow="-120" yWindow="-120" windowWidth="24240" windowHeight="13140" activeTab="1" xr2:uid="{00000000-000D-0000-FFFF-FFFF00000000}"/>
  </bookViews>
  <sheets>
    <sheet name="CADASTRO" sheetId="1" r:id="rId1"/>
    <sheet name="RELATÓRIO" sheetId="2" r:id="rId2"/>
    <sheet name="CRITÉRIOS" sheetId="3" r:id="rId3"/>
  </sheets>
  <definedNames>
    <definedName name="_xlnm._FilterDatabase" localSheetId="0" hidden="1">CADASTRO!$A$2:$F$104</definedName>
    <definedName name="Administrativo">CRITÉRIOS!$A$1:$A$2</definedName>
    <definedName name="Banco_Dados">CADASTRO!$A$2:$F$104</definedName>
    <definedName name="Cargo">CADASTRO!$C$2</definedName>
    <definedName name="cargo_analista">CRITÉRIOS!$A$16:$A$17</definedName>
    <definedName name="cargo_analista_maior_idade">CRITÉRIOS!$G$16:$H$17</definedName>
    <definedName name="cargo_analista_maior_salario">CRITÉRIOS!$A$16:$B$17</definedName>
    <definedName name="cargo_analista_menor_idade">CRITÉRIOS!$J$16:$K$17</definedName>
    <definedName name="cargo_analista_menor_salario">CRITÉRIOS!$D$16:$E$17</definedName>
    <definedName name="cargo_assistente">CRITÉRIOS!$A$19:$A$20</definedName>
    <definedName name="cargo_assistente_maior_idade">CRITÉRIOS!$G$19:$H$20</definedName>
    <definedName name="cargo_assistente_maior_salario">CRITÉRIOS!$A$19:$B$20</definedName>
    <definedName name="cargo_assistente_menor_idade">CRITÉRIOS!$J$19:$K$20</definedName>
    <definedName name="cargo_assistente_menor_salario">CRITÉRIOS!$D$19:$E$20</definedName>
    <definedName name="cargo_gerente">CRITÉRIOS!$A$22:$A$23</definedName>
    <definedName name="cargo_gerente_maior_idade">CRITÉRIOS!$G$22:$H$23</definedName>
    <definedName name="cargo_gerente_maior_salario">CRITÉRIOS!$A$22:$B$23</definedName>
    <definedName name="cargo_gerente_menor_idade">CRITÉRIOS!$J$22:$K$23</definedName>
    <definedName name="cargo_gerente_menor_salario">CRITÉRIOS!$D$22:$E$23</definedName>
    <definedName name="cargo_tecnico">CRITÉRIOS!$A$25:$A$26</definedName>
    <definedName name="cargo_tecnico_maior_idade">CRITÉRIOS!$G$25:$H$26</definedName>
    <definedName name="cargo_tecnico_maior_salario">CRITÉRIOS!$A$25:$B$26</definedName>
    <definedName name="cargo_tecnico_menor_idade">CRITÉRIOS!$J$25:$K$26</definedName>
    <definedName name="cargo_tecnico_menor_salario">CRITÉRIOS!$D$25:$E$26</definedName>
    <definedName name="Data_Nascimento">CADASTRO!$E$2</definedName>
    <definedName name="dep_adm">CRITÉRIOS!$A$1:$A$2</definedName>
    <definedName name="dep_adm_maior_idade">CRITÉRIOS!$G$1:$H$2</definedName>
    <definedName name="dep_adm_maior_salario">CRITÉRIOS!$A$1:$B$2</definedName>
    <definedName name="dep_adm_menor_idade">CRITÉRIOS!$J$1:$K$2</definedName>
    <definedName name="dep_adm_menor_salario">CRITÉRIOS!$D$1:$E$2</definedName>
    <definedName name="dep_fin_maior_idade">CRITÉRIOS!$G$4:$H$5</definedName>
    <definedName name="dep_fin_maior_salario">CRITÉRIOS!$A$4:$B$5</definedName>
    <definedName name="dep_fin_menor_idade">CRITÉRIOS!$J$4:$K$5</definedName>
    <definedName name="dep_fin_menor_salario">CRITÉRIOS!$D$4:$E$5</definedName>
    <definedName name="dep_inf_maior_idade">CRITÉRIOS!$G$7:$H$8</definedName>
    <definedName name="dep_inf_maior_salario">CRITÉRIOS!$A$7:$B$8</definedName>
    <definedName name="dep_inf_menor_idade">CRITÉRIOS!$J$7:$K$8</definedName>
    <definedName name="dep_inf_menor_salario">CRITÉRIOS!$D$7:$E$8</definedName>
    <definedName name="dep_RH_maior_idade">CRITÉRIOS!$G$10:$H$11</definedName>
    <definedName name="dep_RH_maior_salario">CRITÉRIOS!$A$10:$B$11</definedName>
    <definedName name="dep_RH_menor_idade">CRITÉRIOS!$J$10:$K$11</definedName>
    <definedName name="dep_RH_menor_salario">CRITÉRIOS!$D$10:$E$11</definedName>
    <definedName name="Departamento">CADASTRO!$B$2</definedName>
    <definedName name="Financeiro">CRITÉRIOS!$A$4:$A$5</definedName>
    <definedName name="Funcionario">CADASTRO!$A$2</definedName>
    <definedName name="Idade">CADASTRO!$F$2</definedName>
    <definedName name="Informática">CRITÉRIOS!$A$7:$A$8</definedName>
    <definedName name="RH">CRITÉRIOS!$A$10:$A$11</definedName>
    <definedName name="Salário">CADASTRO!$D$2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2" l="1"/>
  <c r="H13" i="2"/>
  <c r="H12" i="2"/>
  <c r="H11" i="2"/>
  <c r="F14" i="2"/>
  <c r="E26" i="3" s="1"/>
  <c r="G14" i="2" s="1"/>
  <c r="F13" i="2"/>
  <c r="E23" i="3" s="1"/>
  <c r="G13" i="2" s="1"/>
  <c r="F12" i="2"/>
  <c r="E20" i="3" s="1"/>
  <c r="G12" i="2" s="1"/>
  <c r="F11" i="2"/>
  <c r="E17" i="3" s="1"/>
  <c r="G11" i="2" s="1"/>
  <c r="D11" i="2"/>
  <c r="B17" i="3" s="1"/>
  <c r="E11" i="2" s="1"/>
  <c r="D14" i="2"/>
  <c r="B26" i="3" s="1"/>
  <c r="E14" i="2" s="1"/>
  <c r="D13" i="2"/>
  <c r="B23" i="3" s="1"/>
  <c r="E13" i="2" s="1"/>
  <c r="D12" i="2"/>
  <c r="B20" i="3" s="1"/>
  <c r="E12" i="2" s="1"/>
  <c r="C14" i="2"/>
  <c r="C13" i="2"/>
  <c r="C12" i="2"/>
  <c r="C11" i="2"/>
  <c r="B14" i="2"/>
  <c r="B13" i="2"/>
  <c r="B12" i="2"/>
  <c r="B11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3" i="1"/>
  <c r="H3" i="2"/>
  <c r="H6" i="2"/>
  <c r="H5" i="2"/>
  <c r="H4" i="2"/>
  <c r="F6" i="2"/>
  <c r="E11" i="3" s="1"/>
  <c r="G6" i="2" s="1"/>
  <c r="F5" i="2"/>
  <c r="E8" i="3" s="1"/>
  <c r="G5" i="2" s="1"/>
  <c r="F4" i="2"/>
  <c r="E5" i="3" s="1"/>
  <c r="G4" i="2" s="1"/>
  <c r="F3" i="2"/>
  <c r="E2" i="3" s="1"/>
  <c r="G3" i="2" s="1"/>
  <c r="D6" i="2"/>
  <c r="B11" i="3" s="1"/>
  <c r="E6" i="2" s="1"/>
  <c r="D5" i="2"/>
  <c r="B8" i="3" s="1"/>
  <c r="E5" i="2" s="1"/>
  <c r="D4" i="2"/>
  <c r="B5" i="3" s="1"/>
  <c r="E4" i="2" s="1"/>
  <c r="D3" i="2"/>
  <c r="B2" i="3" s="1"/>
  <c r="E3" i="2" s="1"/>
  <c r="C6" i="2"/>
  <c r="C5" i="2"/>
  <c r="C4" i="2"/>
  <c r="C3" i="2"/>
  <c r="B6" i="2"/>
  <c r="B3" i="2"/>
  <c r="B5" i="2"/>
  <c r="B4" i="2"/>
  <c r="I11" i="2" l="1"/>
  <c r="H17" i="3" s="1"/>
  <c r="J11" i="2" s="1"/>
  <c r="K12" i="2"/>
  <c r="K20" i="3" s="1"/>
  <c r="L12" i="2" s="1"/>
  <c r="I13" i="2"/>
  <c r="H23" i="3" s="1"/>
  <c r="J13" i="2" s="1"/>
  <c r="K11" i="2"/>
  <c r="K17" i="3" s="1"/>
  <c r="L11" i="2" s="1"/>
  <c r="K14" i="2"/>
  <c r="K26" i="3" s="1"/>
  <c r="L14" i="2" s="1"/>
  <c r="K13" i="2"/>
  <c r="K23" i="3" s="1"/>
  <c r="L13" i="2" s="1"/>
  <c r="I14" i="2"/>
  <c r="H26" i="3" s="1"/>
  <c r="J14" i="2" s="1"/>
  <c r="I12" i="2"/>
  <c r="H20" i="3" s="1"/>
  <c r="J12" i="2" s="1"/>
  <c r="K3" i="2"/>
  <c r="K2" i="3" s="1"/>
  <c r="L3" i="2" s="1"/>
  <c r="K5" i="2"/>
  <c r="K8" i="3" s="1"/>
  <c r="L5" i="2" s="1"/>
  <c r="K4" i="2"/>
  <c r="K5" i="3" s="1"/>
  <c r="L4" i="2" s="1"/>
  <c r="K6" i="2"/>
  <c r="K11" i="3" s="1"/>
  <c r="L6" i="2" s="1"/>
  <c r="I4" i="2"/>
  <c r="I3" i="2"/>
  <c r="I6" i="2"/>
  <c r="H11" i="3" s="1"/>
  <c r="J6" i="2" s="1"/>
  <c r="I5" i="2"/>
  <c r="H8" i="3" s="1"/>
  <c r="J5" i="2" s="1"/>
  <c r="J3" i="2" l="1"/>
  <c r="H2" i="3"/>
  <c r="H5" i="3"/>
  <c r="J4" i="2" s="1"/>
</calcChain>
</file>

<file path=xl/sharedStrings.xml><?xml version="1.0" encoding="utf-8"?>
<sst xmlns="http://schemas.openxmlformats.org/spreadsheetml/2006/main" count="451" uniqueCount="130">
  <si>
    <t>FUNCIONÁRIO</t>
  </si>
  <si>
    <t>DEPARTAMENTO</t>
  </si>
  <si>
    <t>CARGO</t>
  </si>
  <si>
    <t>SALÁRIO</t>
  </si>
  <si>
    <t>DATA NASCIMENTO</t>
  </si>
  <si>
    <t>IDADE</t>
  </si>
  <si>
    <t>Inês Souza</t>
  </si>
  <si>
    <t>Maria do Carmo Leal</t>
  </si>
  <si>
    <t>Sonia Ferreira</t>
  </si>
  <si>
    <t>Fernando Pas</t>
  </si>
  <si>
    <t>Aline Moreno</t>
  </si>
  <si>
    <t>Tomás Ferraz</t>
  </si>
  <si>
    <t>Angélica Bueno</t>
  </si>
  <si>
    <t>Jocelyn Camargo</t>
  </si>
  <si>
    <t>Karen Rodrigues</t>
  </si>
  <si>
    <t>Luis Gabriel Norub</t>
  </si>
  <si>
    <t>Heraldo Ferreira</t>
  </si>
  <si>
    <t>João Paulo Almeida</t>
  </si>
  <si>
    <t>Ursula Hiroshi</t>
  </si>
  <si>
    <t>Yeda Farias</t>
  </si>
  <si>
    <t>Gabriel Kresko</t>
  </si>
  <si>
    <t>Amanda Colares</t>
  </si>
  <si>
    <t>Hector Beliz</t>
  </si>
  <si>
    <t>Vanda Sueres</t>
  </si>
  <si>
    <t>Galdencio Hurita</t>
  </si>
  <si>
    <t>Bernardo Lima</t>
  </si>
  <si>
    <t>Catarina Big</t>
  </si>
  <si>
    <t>Lorival Hernandes</t>
  </si>
  <si>
    <t>Cecilia Nartolli</t>
  </si>
  <si>
    <t>Isabel Garcia</t>
  </si>
  <si>
    <t>Marcos Albuquerque</t>
  </si>
  <si>
    <t>Maria Lucia Medeiros</t>
  </si>
  <si>
    <t>Marina Santana</t>
  </si>
  <si>
    <t>Marli Farias</t>
  </si>
  <si>
    <t>Ronaldo Antunes</t>
  </si>
  <si>
    <t>Rosana Gabrielli</t>
  </si>
  <si>
    <t>Roseli Marcondes</t>
  </si>
  <si>
    <t>Stella Maris</t>
  </si>
  <si>
    <t>Vera Barroso</t>
  </si>
  <si>
    <t>Máximo Queiroz</t>
  </si>
  <si>
    <t>Maria Amélia Gouveia</t>
  </si>
  <si>
    <t>Fernando Augusto Martinez</t>
  </si>
  <si>
    <t>Solange Farias</t>
  </si>
  <si>
    <t>Luciana Meirelles</t>
  </si>
  <si>
    <t>Geraldo Maximiliano</t>
  </si>
  <si>
    <t>Stella Cruz e Souza</t>
  </si>
  <si>
    <t>Marineide Novais</t>
  </si>
  <si>
    <t>Gilda Soares</t>
  </si>
  <si>
    <t>Hector Mangiolii</t>
  </si>
  <si>
    <t xml:space="preserve">Marli Vieira </t>
  </si>
  <si>
    <t>Homero Gamberin</t>
  </si>
  <si>
    <t>Miriam Hashimoto</t>
  </si>
  <si>
    <t>Luci Pereira</t>
  </si>
  <si>
    <t>Marcela Gianotti</t>
  </si>
  <si>
    <t>Arlete Farias</t>
  </si>
  <si>
    <t>Beatriz Domingues</t>
  </si>
  <si>
    <t>Camila Gonçalves</t>
  </si>
  <si>
    <t>Rogério Hanibal Junior</t>
  </si>
  <si>
    <t>Katia Domenica Lira</t>
  </si>
  <si>
    <t>Ana Cristina Paiva</t>
  </si>
  <si>
    <t>Fernanda Marioni</t>
  </si>
  <si>
    <t>Isabella Raquieri</t>
  </si>
  <si>
    <t>Marcelo Aguiar</t>
  </si>
  <si>
    <t>Marco Aurélio da Silva</t>
  </si>
  <si>
    <t>Maria Luiza Nasser</t>
  </si>
  <si>
    <t>Roseli Mariachi</t>
  </si>
  <si>
    <t>Sonia Maria Pereira</t>
  </si>
  <si>
    <t>Tabata Genovich</t>
  </si>
  <si>
    <t>João Alves</t>
  </si>
  <si>
    <t>Maria Cilene Souza</t>
  </si>
  <si>
    <t>Joaquim Nabuco</t>
  </si>
  <si>
    <t>Fernando Alencar</t>
  </si>
  <si>
    <t>Roseli Hernandes</t>
  </si>
  <si>
    <t>Maraluce Gomes</t>
  </si>
  <si>
    <t>Marcos Assunção</t>
  </si>
  <si>
    <t>Henrique Girardi</t>
  </si>
  <si>
    <t>Manoel Guimarães</t>
  </si>
  <si>
    <t>Noeli Fernandes</t>
  </si>
  <si>
    <t>Nelson Cavaleiro</t>
  </si>
  <si>
    <t>Jurandir Ricce</t>
  </si>
  <si>
    <t>Maria Inês Fagundes</t>
  </si>
  <si>
    <t>Rosa Maria Garibaldo</t>
  </si>
  <si>
    <t>Alan Golden</t>
  </si>
  <si>
    <t>Fabiana Soares</t>
  </si>
  <si>
    <t>Ricardo Araras</t>
  </si>
  <si>
    <t>Katrina Feijó</t>
  </si>
  <si>
    <t>Ana Maria Bernardes</t>
  </si>
  <si>
    <t>Beatriz Saracena</t>
  </si>
  <si>
    <t>Diógenes Duarte Lima</t>
  </si>
  <si>
    <t>Fernando Coriolano</t>
  </si>
  <si>
    <t>Maria Carolina Braga</t>
  </si>
  <si>
    <t>Felipe dos Santos</t>
  </si>
  <si>
    <t>Vanderlei Higino</t>
  </si>
  <si>
    <t>Rodrigo Maia</t>
  </si>
  <si>
    <t>Alexandre Garcia Gomes</t>
  </si>
  <si>
    <t>Jussara Medeiros</t>
  </si>
  <si>
    <t>Rogerio Dias</t>
  </si>
  <si>
    <t>Jaciara Yonh</t>
  </si>
  <si>
    <t>Melina Mercurio</t>
  </si>
  <si>
    <t>Sofia Barros Maranhão</t>
  </si>
  <si>
    <t>Vanessa Silva e Souza</t>
  </si>
  <si>
    <t>Luiz André Ferreira</t>
  </si>
  <si>
    <t>Márcia Giuliani</t>
  </si>
  <si>
    <t>Jade Vinilitti</t>
  </si>
  <si>
    <t>Georgina Nythe</t>
  </si>
  <si>
    <t>Barbara Hioli</t>
  </si>
  <si>
    <t>Recursos Humanos</t>
  </si>
  <si>
    <t>Financeiro</t>
  </si>
  <si>
    <t>Administrativo</t>
  </si>
  <si>
    <t>Informática</t>
  </si>
  <si>
    <t>Assistente</t>
  </si>
  <si>
    <t>Analista</t>
  </si>
  <si>
    <t>Gerente</t>
  </si>
  <si>
    <t>Técnico</t>
  </si>
  <si>
    <t>João Moreira</t>
  </si>
  <si>
    <t>Karina Medeiros</t>
  </si>
  <si>
    <t>Soma Salários</t>
  </si>
  <si>
    <t>Média Salários</t>
  </si>
  <si>
    <t>Maior Salário</t>
  </si>
  <si>
    <t>Funcionário</t>
  </si>
  <si>
    <t>Menor Salário</t>
  </si>
  <si>
    <t>Qtd. Funcionários</t>
  </si>
  <si>
    <t>Maior Idade</t>
  </si>
  <si>
    <t>Menor Idade</t>
  </si>
  <si>
    <t>Departamento</t>
  </si>
  <si>
    <t>Cargo</t>
  </si>
  <si>
    <t>POR DEPARTAMENTO</t>
  </si>
  <si>
    <t>POR CARGO</t>
  </si>
  <si>
    <t>GOMES PEREIRA EMPREENDIMENTOS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</si>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</sst>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/>
    <xf numFmtId="164" fontId="6" fillId="0" borderId="0" applyFont="0" applyFill="0" applyBorder="0" applyAlignment="0" applyProtection="0"/>
  </cellStyleXfs>
  <cellXfs count="60">
    <xf numFmtId="0" fontId="0" fillId="0" borderId="0" xfId="0"/>
    <xf numFmtId="0" fontId="1" fillId="0" borderId="1" xfId="3" applyFont="1" applyFill="1" applyBorder="1" applyAlignment="1"/>
    <xf numFmtId="14" fontId="0" fillId="0" borderId="1" xfId="0" applyNumberFormat="1" applyBorder="1"/>
    <xf numFmtId="0" fontId="2" fillId="0" borderId="1" xfId="3" applyFont="1" applyBorder="1"/>
    <xf numFmtId="0" fontId="0" fillId="0" borderId="1" xfId="0" applyBorder="1"/>
    <xf numFmtId="0" fontId="0" fillId="0" borderId="1" xfId="0" applyFont="1" applyBorder="1"/>
    <xf numFmtId="44" fontId="0" fillId="0" borderId="1" xfId="2" applyFont="1" applyBorder="1"/>
    <xf numFmtId="44" fontId="0" fillId="0" borderId="0" xfId="2" applyFont="1"/>
    <xf numFmtId="0" fontId="0" fillId="0" borderId="0" xfId="0" applyFont="1" applyBorder="1"/>
    <xf numFmtId="1" fontId="0" fillId="0" borderId="0" xfId="0" applyNumberFormat="1" applyAlignment="1">
      <alignment horizontal="center"/>
    </xf>
    <xf numFmtId="1" fontId="9" fillId="0" borderId="1" xfId="1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44" fontId="4" fillId="2" borderId="1" xfId="2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4" fontId="9" fillId="0" borderId="0" xfId="1" applyNumberFormat="1" applyFont="1" applyBorder="1" applyAlignment="1">
      <alignment horizontal="center"/>
    </xf>
    <xf numFmtId="1" fontId="9" fillId="0" borderId="0" xfId="1" applyNumberFormat="1" applyFont="1" applyBorder="1" applyAlignment="1">
      <alignment horizontal="center"/>
    </xf>
    <xf numFmtId="1" fontId="4" fillId="3" borderId="5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4" fontId="4" fillId="4" borderId="1" xfId="2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4" borderId="0" xfId="0" applyFill="1"/>
    <xf numFmtId="0" fontId="4" fillId="5" borderId="1" xfId="0" applyFont="1" applyFill="1" applyBorder="1" applyAlignment="1">
      <alignment horizontal="center" vertical="center" wrapText="1"/>
    </xf>
    <xf numFmtId="44" fontId="4" fillId="5" borderId="1" xfId="2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0" xfId="0" applyFill="1"/>
    <xf numFmtId="44" fontId="0" fillId="4" borderId="0" xfId="0" applyNumberFormat="1" applyFill="1"/>
    <xf numFmtId="44" fontId="0" fillId="5" borderId="0" xfId="0" applyNumberFormat="1" applyFill="1"/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0" xfId="0" applyNumberFormat="1" applyFill="1"/>
    <xf numFmtId="0" fontId="0" fillId="6" borderId="0" xfId="0" applyFill="1"/>
    <xf numFmtId="0" fontId="4" fillId="7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7" borderId="0" xfId="0" applyNumberFormat="1" applyFill="1"/>
    <xf numFmtId="0" fontId="0" fillId="7" borderId="0" xfId="0" applyFill="1"/>
    <xf numFmtId="0" fontId="0" fillId="2" borderId="1" xfId="0" applyFill="1" applyBorder="1"/>
    <xf numFmtId="0" fontId="0" fillId="2" borderId="0" xfId="0" applyFill="1"/>
    <xf numFmtId="0" fontId="4" fillId="8" borderId="1" xfId="0" applyFont="1" applyFill="1" applyBorder="1" applyAlignment="1">
      <alignment horizontal="center" vertical="center" wrapText="1"/>
    </xf>
    <xf numFmtId="44" fontId="4" fillId="8" borderId="1" xfId="2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0" xfId="0" applyFill="1"/>
    <xf numFmtId="0" fontId="4" fillId="9" borderId="1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0" fillId="9" borderId="0" xfId="0" applyFill="1"/>
    <xf numFmtId="0" fontId="4" fillId="10" borderId="1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0" fillId="10" borderId="0" xfId="0" applyFill="1"/>
    <xf numFmtId="44" fontId="0" fillId="2" borderId="0" xfId="0" applyNumberFormat="1" applyFill="1"/>
    <xf numFmtId="44" fontId="0" fillId="8" borderId="0" xfId="0" applyNumberFormat="1" applyFill="1"/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</cellXfs>
  <cellStyles count="5">
    <cellStyle name="Moeda" xfId="2" builtinId="4"/>
    <cellStyle name="Moeda 2" xfId="4" xr:uid="{00000000-0005-0000-0000-000001000000}"/>
    <cellStyle name="Normal" xfId="0" builtinId="0"/>
    <cellStyle name="Normal 2" xfId="3" xr:uid="{00000000-0005-0000-0000-000003000000}"/>
    <cellStyle name="Vírgula" xfId="1" builtinId="3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04"/>
  <sheetViews>
    <sheetView workbookViewId="0">
      <selection activeCell="C18" sqref="C18:F21"/>
    </sheetView>
  </sheetViews>
  <sheetFormatPr defaultRowHeight="15" x14ac:dyDescent="0.25"/>
  <cols>
    <col min="1" max="1" width="26.42578125" style="8" bestFit="1" customWidth="1"/>
    <col min="2" max="2" width="17.85546875" bestFit="1" customWidth="1"/>
    <col min="3" max="3" width="13.5703125" customWidth="1"/>
    <col min="4" max="4" width="13.85546875" style="7" customWidth="1"/>
    <col min="5" max="5" width="14.7109375" customWidth="1"/>
    <col min="6" max="6" width="10.7109375" style="9" bestFit="1" customWidth="1"/>
    <col min="7" max="7" width="9.140625" style="9" customWidth="1"/>
    <col min="8" max="8" width="9.140625" customWidth="1"/>
  </cols>
  <sheetData>
    <row r="1" spans="1:9" ht="21" x14ac:dyDescent="0.35">
      <c r="A1" s="18" t="s">
        <v>128</v>
      </c>
      <c r="B1" s="18"/>
      <c r="C1" s="18"/>
      <c r="D1" s="18"/>
      <c r="E1" s="18"/>
      <c r="F1" s="18"/>
      <c r="G1" s="15"/>
    </row>
    <row r="2" spans="1:9" ht="30" x14ac:dyDescent="0.25">
      <c r="A2" s="11" t="s">
        <v>0</v>
      </c>
      <c r="B2" s="11" t="s">
        <v>1</v>
      </c>
      <c r="C2" s="11" t="s">
        <v>2</v>
      </c>
      <c r="D2" s="12" t="s">
        <v>3</v>
      </c>
      <c r="E2" s="11" t="s">
        <v>4</v>
      </c>
      <c r="F2" s="13" t="s">
        <v>5</v>
      </c>
      <c r="G2" s="24"/>
      <c r="H2" s="25"/>
      <c r="I2" s="16"/>
    </row>
    <row r="3" spans="1:9" hidden="1" x14ac:dyDescent="0.25">
      <c r="A3" s="5" t="s">
        <v>82</v>
      </c>
      <c r="B3" s="4" t="s">
        <v>106</v>
      </c>
      <c r="C3" s="4" t="s">
        <v>110</v>
      </c>
      <c r="D3" s="6">
        <v>2300</v>
      </c>
      <c r="E3" s="2">
        <v>33605</v>
      </c>
      <c r="F3" s="10">
        <f ca="1">INT((TODAY()-E3)/365.25)</f>
        <v>30</v>
      </c>
      <c r="G3" s="22"/>
      <c r="H3" s="17"/>
    </row>
    <row r="4" spans="1:9" hidden="1" x14ac:dyDescent="0.25">
      <c r="A4" s="5" t="s">
        <v>94</v>
      </c>
      <c r="B4" s="4" t="s">
        <v>107</v>
      </c>
      <c r="C4" s="4" t="s">
        <v>111</v>
      </c>
      <c r="D4" s="6">
        <v>2500</v>
      </c>
      <c r="E4" s="2">
        <v>31940</v>
      </c>
      <c r="F4" s="10">
        <f t="shared" ref="F4:F67" ca="1" si="0">INT((TODAY()-E4)/365.25)</f>
        <v>34</v>
      </c>
      <c r="G4" s="23"/>
    </row>
    <row r="5" spans="1:9" hidden="1" x14ac:dyDescent="0.25">
      <c r="A5" s="1" t="s">
        <v>10</v>
      </c>
      <c r="B5" s="4" t="s">
        <v>106</v>
      </c>
      <c r="C5" s="4" t="s">
        <v>110</v>
      </c>
      <c r="D5" s="6">
        <v>2100</v>
      </c>
      <c r="E5" s="2">
        <v>28623</v>
      </c>
      <c r="F5" s="10">
        <f t="shared" ca="1" si="0"/>
        <v>43</v>
      </c>
      <c r="G5" s="23"/>
    </row>
    <row r="6" spans="1:9" hidden="1" x14ac:dyDescent="0.25">
      <c r="A6" s="1" t="s">
        <v>21</v>
      </c>
      <c r="B6" s="4" t="s">
        <v>108</v>
      </c>
      <c r="C6" s="4" t="s">
        <v>110</v>
      </c>
      <c r="D6" s="6">
        <v>1250</v>
      </c>
      <c r="E6" s="2">
        <v>33501</v>
      </c>
      <c r="F6" s="10">
        <f t="shared" ca="1" si="0"/>
        <v>30</v>
      </c>
      <c r="G6" s="23"/>
    </row>
    <row r="7" spans="1:9" x14ac:dyDescent="0.25">
      <c r="A7" s="5" t="s">
        <v>59</v>
      </c>
      <c r="B7" s="4" t="s">
        <v>108</v>
      </c>
      <c r="C7" s="4" t="s">
        <v>112</v>
      </c>
      <c r="D7" s="6">
        <v>3500</v>
      </c>
      <c r="E7" s="2">
        <v>24027</v>
      </c>
      <c r="F7" s="10">
        <f t="shared" ca="1" si="0"/>
        <v>56</v>
      </c>
      <c r="G7" s="23"/>
    </row>
    <row r="8" spans="1:9" hidden="1" x14ac:dyDescent="0.25">
      <c r="A8" s="5" t="s">
        <v>86</v>
      </c>
      <c r="B8" s="4" t="s">
        <v>107</v>
      </c>
      <c r="C8" s="4" t="s">
        <v>111</v>
      </c>
      <c r="D8" s="6">
        <v>2700</v>
      </c>
      <c r="E8" s="2">
        <v>32827</v>
      </c>
      <c r="F8" s="10">
        <f t="shared" ca="1" si="0"/>
        <v>32</v>
      </c>
      <c r="G8" s="23"/>
    </row>
    <row r="9" spans="1:9" hidden="1" x14ac:dyDescent="0.25">
      <c r="A9" s="1" t="s">
        <v>12</v>
      </c>
      <c r="B9" s="4" t="s">
        <v>109</v>
      </c>
      <c r="C9" s="4" t="s">
        <v>113</v>
      </c>
      <c r="D9" s="6">
        <v>1800</v>
      </c>
      <c r="E9" s="2">
        <v>28302</v>
      </c>
      <c r="F9" s="10">
        <f t="shared" ca="1" si="0"/>
        <v>44</v>
      </c>
      <c r="G9" s="23"/>
    </row>
    <row r="10" spans="1:9" hidden="1" x14ac:dyDescent="0.25">
      <c r="A10" s="3" t="s">
        <v>54</v>
      </c>
      <c r="B10" s="4" t="s">
        <v>109</v>
      </c>
      <c r="C10" s="4" t="s">
        <v>113</v>
      </c>
      <c r="D10" s="6">
        <v>1750</v>
      </c>
      <c r="E10" s="2">
        <v>24209</v>
      </c>
      <c r="F10" s="10">
        <f t="shared" ca="1" si="0"/>
        <v>55</v>
      </c>
      <c r="G10" s="23"/>
    </row>
    <row r="11" spans="1:9" hidden="1" x14ac:dyDescent="0.25">
      <c r="A11" s="5" t="s">
        <v>105</v>
      </c>
      <c r="B11" s="4" t="s">
        <v>106</v>
      </c>
      <c r="C11" s="4" t="s">
        <v>110</v>
      </c>
      <c r="D11" s="6">
        <v>2470</v>
      </c>
      <c r="E11" s="2">
        <v>24531</v>
      </c>
      <c r="F11" s="10">
        <f t="shared" ca="1" si="0"/>
        <v>55</v>
      </c>
      <c r="G11" s="23"/>
    </row>
    <row r="12" spans="1:9" hidden="1" x14ac:dyDescent="0.25">
      <c r="A12" s="3" t="s">
        <v>55</v>
      </c>
      <c r="B12" s="4" t="s">
        <v>108</v>
      </c>
      <c r="C12" s="4" t="s">
        <v>111</v>
      </c>
      <c r="D12" s="6">
        <v>1678</v>
      </c>
      <c r="E12" s="2">
        <v>30759</v>
      </c>
      <c r="F12" s="10">
        <f t="shared" ca="1" si="0"/>
        <v>38</v>
      </c>
      <c r="G12" s="23"/>
    </row>
    <row r="13" spans="1:9" hidden="1" x14ac:dyDescent="0.25">
      <c r="A13" s="5" t="s">
        <v>87</v>
      </c>
      <c r="B13" s="4" t="s">
        <v>107</v>
      </c>
      <c r="C13" s="4" t="s">
        <v>111</v>
      </c>
      <c r="D13" s="6">
        <v>2790</v>
      </c>
      <c r="E13" s="2">
        <v>33053</v>
      </c>
      <c r="F13" s="10">
        <f t="shared" ca="1" si="0"/>
        <v>31</v>
      </c>
      <c r="G13" s="23"/>
    </row>
    <row r="14" spans="1:9" hidden="1" x14ac:dyDescent="0.25">
      <c r="A14" s="1" t="s">
        <v>25</v>
      </c>
      <c r="B14" s="4" t="s">
        <v>109</v>
      </c>
      <c r="C14" s="4" t="s">
        <v>113</v>
      </c>
      <c r="D14" s="6">
        <v>2000</v>
      </c>
      <c r="E14" s="2">
        <v>31258</v>
      </c>
      <c r="F14" s="10">
        <f t="shared" ca="1" si="0"/>
        <v>36</v>
      </c>
      <c r="G14" s="23"/>
    </row>
    <row r="15" spans="1:9" hidden="1" x14ac:dyDescent="0.25">
      <c r="A15" s="3" t="s">
        <v>56</v>
      </c>
      <c r="B15" s="4" t="s">
        <v>109</v>
      </c>
      <c r="C15" s="4" t="s">
        <v>111</v>
      </c>
      <c r="D15" s="6">
        <v>3500</v>
      </c>
      <c r="E15" s="2">
        <v>30905</v>
      </c>
      <c r="F15" s="10">
        <f t="shared" ca="1" si="0"/>
        <v>37</v>
      </c>
      <c r="G15" s="23"/>
    </row>
    <row r="16" spans="1:9" hidden="1" x14ac:dyDescent="0.25">
      <c r="A16" s="1" t="s">
        <v>26</v>
      </c>
      <c r="B16" s="4" t="s">
        <v>106</v>
      </c>
      <c r="C16" s="4" t="s">
        <v>110</v>
      </c>
      <c r="D16" s="6">
        <v>2700</v>
      </c>
      <c r="E16" s="2">
        <v>28867</v>
      </c>
      <c r="F16" s="10">
        <f t="shared" ca="1" si="0"/>
        <v>43</v>
      </c>
      <c r="G16" s="23"/>
    </row>
    <row r="17" spans="1:7" hidden="1" x14ac:dyDescent="0.25">
      <c r="A17" s="5" t="s">
        <v>28</v>
      </c>
      <c r="B17" s="4" t="s">
        <v>106</v>
      </c>
      <c r="C17" s="4" t="s">
        <v>111</v>
      </c>
      <c r="D17" s="6">
        <v>2780</v>
      </c>
      <c r="E17" s="2">
        <v>29265</v>
      </c>
      <c r="F17" s="10">
        <f t="shared" ca="1" si="0"/>
        <v>42</v>
      </c>
      <c r="G17" s="23"/>
    </row>
    <row r="18" spans="1:7" x14ac:dyDescent="0.25">
      <c r="A18" s="5" t="s">
        <v>88</v>
      </c>
      <c r="B18" s="4" t="s">
        <v>109</v>
      </c>
      <c r="C18" s="4" t="s">
        <v>112</v>
      </c>
      <c r="D18" s="6">
        <v>4500</v>
      </c>
      <c r="E18" s="2">
        <v>21681</v>
      </c>
      <c r="F18" s="10">
        <f t="shared" ca="1" si="0"/>
        <v>62</v>
      </c>
      <c r="G18" s="23"/>
    </row>
    <row r="19" spans="1:7" hidden="1" x14ac:dyDescent="0.25">
      <c r="A19" s="5" t="s">
        <v>83</v>
      </c>
      <c r="B19" s="4" t="s">
        <v>108</v>
      </c>
      <c r="C19" s="4" t="s">
        <v>113</v>
      </c>
      <c r="D19" s="6">
        <v>1200</v>
      </c>
      <c r="E19" s="2">
        <v>32006</v>
      </c>
      <c r="F19" s="10">
        <f t="shared" ca="1" si="0"/>
        <v>34</v>
      </c>
      <c r="G19" s="23"/>
    </row>
    <row r="20" spans="1:7" hidden="1" x14ac:dyDescent="0.25">
      <c r="A20" s="5" t="s">
        <v>91</v>
      </c>
      <c r="B20" s="4" t="s">
        <v>108</v>
      </c>
      <c r="C20" s="4" t="s">
        <v>113</v>
      </c>
      <c r="D20" s="6">
        <v>1207</v>
      </c>
      <c r="E20" s="2">
        <v>32493</v>
      </c>
      <c r="F20" s="10">
        <f t="shared" ca="1" si="0"/>
        <v>33</v>
      </c>
      <c r="G20" s="23"/>
    </row>
    <row r="21" spans="1:7" x14ac:dyDescent="0.25">
      <c r="A21" s="5" t="s">
        <v>60</v>
      </c>
      <c r="B21" s="4" t="s">
        <v>107</v>
      </c>
      <c r="C21" s="4" t="s">
        <v>112</v>
      </c>
      <c r="D21" s="6">
        <v>4780</v>
      </c>
      <c r="E21" s="2">
        <v>21936</v>
      </c>
      <c r="F21" s="10">
        <f t="shared" ca="1" si="0"/>
        <v>62</v>
      </c>
      <c r="G21" s="23"/>
    </row>
    <row r="22" spans="1:7" hidden="1" x14ac:dyDescent="0.25">
      <c r="A22" s="5" t="s">
        <v>71</v>
      </c>
      <c r="B22" s="4" t="s">
        <v>106</v>
      </c>
      <c r="C22" s="4" t="s">
        <v>111</v>
      </c>
      <c r="D22" s="6">
        <v>3200</v>
      </c>
      <c r="E22" s="2">
        <v>32947</v>
      </c>
      <c r="F22" s="10">
        <f t="shared" ca="1" si="0"/>
        <v>32</v>
      </c>
      <c r="G22" s="23"/>
    </row>
    <row r="23" spans="1:7" hidden="1" x14ac:dyDescent="0.25">
      <c r="A23" s="3" t="s">
        <v>41</v>
      </c>
      <c r="B23" s="4" t="s">
        <v>109</v>
      </c>
      <c r="C23" s="4" t="s">
        <v>110</v>
      </c>
      <c r="D23" s="6">
        <v>1450</v>
      </c>
      <c r="E23" s="2">
        <v>31072</v>
      </c>
      <c r="F23" s="10">
        <f t="shared" ca="1" si="0"/>
        <v>37</v>
      </c>
      <c r="G23" s="23"/>
    </row>
    <row r="24" spans="1:7" hidden="1" x14ac:dyDescent="0.25">
      <c r="A24" s="5" t="s">
        <v>89</v>
      </c>
      <c r="B24" s="4" t="s">
        <v>107</v>
      </c>
      <c r="C24" s="4" t="s">
        <v>111</v>
      </c>
      <c r="D24" s="6">
        <v>2769</v>
      </c>
      <c r="E24" s="2">
        <v>24958</v>
      </c>
      <c r="F24" s="10">
        <f t="shared" ca="1" si="0"/>
        <v>53</v>
      </c>
      <c r="G24" s="23"/>
    </row>
    <row r="25" spans="1:7" hidden="1" x14ac:dyDescent="0.25">
      <c r="A25" s="1" t="s">
        <v>9</v>
      </c>
      <c r="B25" s="4" t="s">
        <v>108</v>
      </c>
      <c r="C25" s="4" t="s">
        <v>113</v>
      </c>
      <c r="D25" s="6">
        <v>1560</v>
      </c>
      <c r="E25" s="2">
        <v>33199</v>
      </c>
      <c r="F25" s="10">
        <f t="shared" ca="1" si="0"/>
        <v>31</v>
      </c>
      <c r="G25" s="23"/>
    </row>
    <row r="26" spans="1:7" hidden="1" x14ac:dyDescent="0.25">
      <c r="A26" s="1" t="s">
        <v>20</v>
      </c>
      <c r="B26" s="4" t="s">
        <v>108</v>
      </c>
      <c r="C26" s="4" t="s">
        <v>113</v>
      </c>
      <c r="D26" s="6">
        <v>1564</v>
      </c>
      <c r="E26" s="2">
        <v>28777</v>
      </c>
      <c r="F26" s="10">
        <f t="shared" ca="1" si="0"/>
        <v>43</v>
      </c>
      <c r="G26" s="23"/>
    </row>
    <row r="27" spans="1:7" hidden="1" x14ac:dyDescent="0.25">
      <c r="A27" s="1" t="s">
        <v>24</v>
      </c>
      <c r="B27" s="4" t="s">
        <v>108</v>
      </c>
      <c r="C27" s="4" t="s">
        <v>110</v>
      </c>
      <c r="D27" s="6">
        <v>1800</v>
      </c>
      <c r="E27" s="2">
        <v>28029</v>
      </c>
      <c r="F27" s="10">
        <f t="shared" ca="1" si="0"/>
        <v>45</v>
      </c>
      <c r="G27" s="23"/>
    </row>
    <row r="28" spans="1:7" x14ac:dyDescent="0.25">
      <c r="A28" s="5" t="s">
        <v>104</v>
      </c>
      <c r="B28" s="4" t="s">
        <v>106</v>
      </c>
      <c r="C28" s="4" t="s">
        <v>112</v>
      </c>
      <c r="D28" s="6">
        <v>4200</v>
      </c>
      <c r="E28" s="2">
        <v>32640</v>
      </c>
      <c r="F28" s="10">
        <f t="shared" ca="1" si="0"/>
        <v>32</v>
      </c>
      <c r="G28" s="23"/>
    </row>
    <row r="29" spans="1:7" hidden="1" x14ac:dyDescent="0.25">
      <c r="A29" s="3" t="s">
        <v>44</v>
      </c>
      <c r="B29" s="4" t="s">
        <v>106</v>
      </c>
      <c r="C29" s="4" t="s">
        <v>110</v>
      </c>
      <c r="D29" s="6">
        <v>1458</v>
      </c>
      <c r="E29" s="2">
        <v>29022</v>
      </c>
      <c r="F29" s="10">
        <f t="shared" ca="1" si="0"/>
        <v>42</v>
      </c>
      <c r="G29" s="23"/>
    </row>
    <row r="30" spans="1:7" hidden="1" x14ac:dyDescent="0.25">
      <c r="A30" s="3" t="s">
        <v>47</v>
      </c>
      <c r="B30" s="4" t="s">
        <v>107</v>
      </c>
      <c r="C30" s="4" t="s">
        <v>111</v>
      </c>
      <c r="D30" s="6">
        <v>3200</v>
      </c>
      <c r="E30" s="2">
        <v>22235</v>
      </c>
      <c r="F30" s="10">
        <f t="shared" ca="1" si="0"/>
        <v>61</v>
      </c>
      <c r="G30" s="23"/>
    </row>
    <row r="31" spans="1:7" hidden="1" x14ac:dyDescent="0.25">
      <c r="A31" s="1" t="s">
        <v>22</v>
      </c>
      <c r="B31" s="4" t="s">
        <v>109</v>
      </c>
      <c r="C31" s="4" t="s">
        <v>111</v>
      </c>
      <c r="D31" s="6">
        <v>3600</v>
      </c>
      <c r="E31" s="2">
        <v>30406</v>
      </c>
      <c r="F31" s="10">
        <f t="shared" ca="1" si="0"/>
        <v>38</v>
      </c>
      <c r="G31" s="23"/>
    </row>
    <row r="32" spans="1:7" hidden="1" x14ac:dyDescent="0.25">
      <c r="A32" s="3" t="s">
        <v>48</v>
      </c>
      <c r="B32" s="4" t="s">
        <v>107</v>
      </c>
      <c r="C32" s="4" t="s">
        <v>111</v>
      </c>
      <c r="D32" s="6">
        <v>3190</v>
      </c>
      <c r="E32" s="2">
        <v>30136</v>
      </c>
      <c r="F32" s="10">
        <f t="shared" ca="1" si="0"/>
        <v>39</v>
      </c>
      <c r="G32" s="23"/>
    </row>
    <row r="33" spans="1:7" hidden="1" x14ac:dyDescent="0.25">
      <c r="A33" s="5" t="s">
        <v>75</v>
      </c>
      <c r="B33" s="4" t="s">
        <v>106</v>
      </c>
      <c r="C33" s="4" t="s">
        <v>113</v>
      </c>
      <c r="D33" s="6">
        <v>1400</v>
      </c>
      <c r="E33" s="2">
        <v>31412</v>
      </c>
      <c r="F33" s="10">
        <f t="shared" ca="1" si="0"/>
        <v>36</v>
      </c>
      <c r="G33" s="23"/>
    </row>
    <row r="34" spans="1:7" hidden="1" x14ac:dyDescent="0.25">
      <c r="A34" s="1" t="s">
        <v>16</v>
      </c>
      <c r="B34" s="4" t="s">
        <v>108</v>
      </c>
      <c r="C34" s="4" t="s">
        <v>110</v>
      </c>
      <c r="D34" s="6">
        <v>2180</v>
      </c>
      <c r="E34" s="2">
        <v>29530</v>
      </c>
      <c r="F34" s="10">
        <f t="shared" ca="1" si="0"/>
        <v>41</v>
      </c>
      <c r="G34" s="23"/>
    </row>
    <row r="35" spans="1:7" hidden="1" x14ac:dyDescent="0.25">
      <c r="A35" s="3" t="s">
        <v>50</v>
      </c>
      <c r="B35" s="4" t="s">
        <v>108</v>
      </c>
      <c r="C35" s="4" t="s">
        <v>111</v>
      </c>
      <c r="D35" s="6">
        <v>2570</v>
      </c>
      <c r="E35" s="2">
        <v>30776</v>
      </c>
      <c r="F35" s="10">
        <f t="shared" ca="1" si="0"/>
        <v>37</v>
      </c>
      <c r="G35" s="23"/>
    </row>
    <row r="36" spans="1:7" hidden="1" x14ac:dyDescent="0.25">
      <c r="A36" s="1" t="s">
        <v>6</v>
      </c>
      <c r="B36" s="4" t="s">
        <v>107</v>
      </c>
      <c r="C36" s="4" t="s">
        <v>113</v>
      </c>
      <c r="D36" s="6">
        <v>1320</v>
      </c>
      <c r="E36" s="2">
        <v>28756</v>
      </c>
      <c r="F36" s="10">
        <f t="shared" ca="1" si="0"/>
        <v>43</v>
      </c>
      <c r="G36" s="23"/>
    </row>
    <row r="37" spans="1:7" hidden="1" x14ac:dyDescent="0.25">
      <c r="A37" s="5" t="s">
        <v>29</v>
      </c>
      <c r="B37" s="4" t="s">
        <v>109</v>
      </c>
      <c r="C37" s="4" t="s">
        <v>113</v>
      </c>
      <c r="D37" s="6">
        <v>1600</v>
      </c>
      <c r="E37" s="2">
        <v>31707</v>
      </c>
      <c r="F37" s="10">
        <f t="shared" ca="1" si="0"/>
        <v>35</v>
      </c>
      <c r="G37" s="23"/>
    </row>
    <row r="38" spans="1:7" hidden="1" x14ac:dyDescent="0.25">
      <c r="A38" s="5" t="s">
        <v>61</v>
      </c>
      <c r="B38" s="4" t="s">
        <v>109</v>
      </c>
      <c r="C38" s="4" t="s">
        <v>111</v>
      </c>
      <c r="D38" s="6">
        <v>3200</v>
      </c>
      <c r="E38" s="2">
        <v>24635</v>
      </c>
      <c r="F38" s="10">
        <f t="shared" ca="1" si="0"/>
        <v>54</v>
      </c>
      <c r="G38" s="23"/>
    </row>
    <row r="39" spans="1:7" hidden="1" x14ac:dyDescent="0.25">
      <c r="A39" s="5" t="s">
        <v>97</v>
      </c>
      <c r="B39" s="4" t="s">
        <v>107</v>
      </c>
      <c r="C39" s="4" t="s">
        <v>110</v>
      </c>
      <c r="D39" s="6">
        <v>2100</v>
      </c>
      <c r="E39" s="2">
        <v>20714</v>
      </c>
      <c r="F39" s="10">
        <f t="shared" ca="1" si="0"/>
        <v>65</v>
      </c>
      <c r="G39" s="23"/>
    </row>
    <row r="40" spans="1:7" hidden="1" x14ac:dyDescent="0.25">
      <c r="A40" s="5" t="s">
        <v>103</v>
      </c>
      <c r="B40" s="4" t="s">
        <v>106</v>
      </c>
      <c r="C40" s="4" t="s">
        <v>113</v>
      </c>
      <c r="D40" s="6">
        <v>1890</v>
      </c>
      <c r="E40" s="2">
        <v>29738</v>
      </c>
      <c r="F40" s="10">
        <f t="shared" ca="1" si="0"/>
        <v>40</v>
      </c>
      <c r="G40" s="23"/>
    </row>
    <row r="41" spans="1:7" hidden="1" x14ac:dyDescent="0.25">
      <c r="A41" s="5" t="s">
        <v>68</v>
      </c>
      <c r="B41" s="4" t="s">
        <v>108</v>
      </c>
      <c r="C41" s="4" t="s">
        <v>110</v>
      </c>
      <c r="D41" s="6">
        <v>2650</v>
      </c>
      <c r="E41" s="2">
        <v>24762</v>
      </c>
      <c r="F41" s="10">
        <f t="shared" ca="1" si="0"/>
        <v>54</v>
      </c>
      <c r="G41" s="23"/>
    </row>
    <row r="42" spans="1:7" hidden="1" x14ac:dyDescent="0.25">
      <c r="A42" s="5" t="s">
        <v>114</v>
      </c>
      <c r="B42" s="4" t="s">
        <v>109</v>
      </c>
      <c r="C42" s="4" t="s">
        <v>111</v>
      </c>
      <c r="D42" s="6">
        <v>2850</v>
      </c>
      <c r="E42" s="2">
        <v>29504</v>
      </c>
      <c r="F42" s="10">
        <f t="shared" ca="1" si="0"/>
        <v>41</v>
      </c>
      <c r="G42" s="23"/>
    </row>
    <row r="43" spans="1:7" hidden="1" x14ac:dyDescent="0.25">
      <c r="A43" s="1" t="s">
        <v>17</v>
      </c>
      <c r="B43" s="4" t="s">
        <v>108</v>
      </c>
      <c r="C43" s="4" t="s">
        <v>110</v>
      </c>
      <c r="D43" s="6">
        <v>2176</v>
      </c>
      <c r="E43" s="2">
        <v>33018</v>
      </c>
      <c r="F43" s="10">
        <f t="shared" ca="1" si="0"/>
        <v>31</v>
      </c>
      <c r="G43" s="23"/>
    </row>
    <row r="44" spans="1:7" hidden="1" x14ac:dyDescent="0.25">
      <c r="A44" s="5" t="s">
        <v>70</v>
      </c>
      <c r="B44" s="4" t="s">
        <v>109</v>
      </c>
      <c r="C44" s="4" t="s">
        <v>113</v>
      </c>
      <c r="D44" s="6">
        <v>1050</v>
      </c>
      <c r="E44" s="2">
        <v>30279</v>
      </c>
      <c r="F44" s="10">
        <f t="shared" ca="1" si="0"/>
        <v>39</v>
      </c>
      <c r="G44" s="23"/>
    </row>
    <row r="45" spans="1:7" hidden="1" x14ac:dyDescent="0.25">
      <c r="A45" s="1" t="s">
        <v>13</v>
      </c>
      <c r="B45" s="4" t="s">
        <v>109</v>
      </c>
      <c r="C45" s="4" t="s">
        <v>113</v>
      </c>
      <c r="D45" s="6">
        <v>1320</v>
      </c>
      <c r="E45" s="2">
        <v>31756</v>
      </c>
      <c r="F45" s="10">
        <f t="shared" ca="1" si="0"/>
        <v>35</v>
      </c>
      <c r="G45" s="23"/>
    </row>
    <row r="46" spans="1:7" hidden="1" x14ac:dyDescent="0.25">
      <c r="A46" s="5" t="s">
        <v>79</v>
      </c>
      <c r="B46" s="4" t="s">
        <v>108</v>
      </c>
      <c r="C46" s="4" t="s">
        <v>111</v>
      </c>
      <c r="D46" s="6">
        <v>2100</v>
      </c>
      <c r="E46" s="2">
        <v>28207</v>
      </c>
      <c r="F46" s="10">
        <f t="shared" ca="1" si="0"/>
        <v>45</v>
      </c>
      <c r="G46" s="23"/>
    </row>
    <row r="47" spans="1:7" hidden="1" x14ac:dyDescent="0.25">
      <c r="A47" s="5" t="s">
        <v>95</v>
      </c>
      <c r="B47" s="4" t="s">
        <v>107</v>
      </c>
      <c r="C47" s="4" t="s">
        <v>111</v>
      </c>
      <c r="D47" s="6">
        <v>2640</v>
      </c>
      <c r="E47" s="2">
        <v>33505</v>
      </c>
      <c r="F47" s="10">
        <f t="shared" ca="1" si="0"/>
        <v>30</v>
      </c>
      <c r="G47" s="23"/>
    </row>
    <row r="48" spans="1:7" hidden="1" x14ac:dyDescent="0.25">
      <c r="A48" s="1" t="s">
        <v>14</v>
      </c>
      <c r="B48" s="4" t="s">
        <v>106</v>
      </c>
      <c r="C48" s="4" t="s">
        <v>113</v>
      </c>
      <c r="D48" s="6">
        <v>1000</v>
      </c>
      <c r="E48" s="2">
        <v>27166</v>
      </c>
      <c r="F48" s="10">
        <f t="shared" ca="1" si="0"/>
        <v>47</v>
      </c>
      <c r="G48" s="23"/>
    </row>
    <row r="49" spans="1:7" hidden="1" x14ac:dyDescent="0.25">
      <c r="A49" s="5" t="s">
        <v>115</v>
      </c>
      <c r="B49" s="4" t="s">
        <v>106</v>
      </c>
      <c r="C49" s="4" t="s">
        <v>111</v>
      </c>
      <c r="D49" s="6">
        <v>2980</v>
      </c>
      <c r="E49" s="2">
        <v>32948</v>
      </c>
      <c r="F49" s="10">
        <f t="shared" ca="1" si="0"/>
        <v>32</v>
      </c>
      <c r="G49" s="23"/>
    </row>
    <row r="50" spans="1:7" hidden="1" x14ac:dyDescent="0.25">
      <c r="A50" s="3" t="s">
        <v>58</v>
      </c>
      <c r="B50" s="4" t="s">
        <v>107</v>
      </c>
      <c r="C50" s="4" t="s">
        <v>110</v>
      </c>
      <c r="D50" s="6">
        <v>2000</v>
      </c>
      <c r="E50" s="2">
        <v>30289</v>
      </c>
      <c r="F50" s="10">
        <f t="shared" ca="1" si="0"/>
        <v>39</v>
      </c>
      <c r="G50" s="23"/>
    </row>
    <row r="51" spans="1:7" hidden="1" x14ac:dyDescent="0.25">
      <c r="A51" s="5" t="s">
        <v>85</v>
      </c>
      <c r="B51" s="4" t="s">
        <v>108</v>
      </c>
      <c r="C51" s="4" t="s">
        <v>110</v>
      </c>
      <c r="D51" s="6">
        <v>2100</v>
      </c>
      <c r="E51" s="2">
        <v>32442</v>
      </c>
      <c r="F51" s="10">
        <f t="shared" ca="1" si="0"/>
        <v>33</v>
      </c>
      <c r="G51" s="23"/>
    </row>
    <row r="52" spans="1:7" hidden="1" x14ac:dyDescent="0.25">
      <c r="A52" s="1" t="s">
        <v>27</v>
      </c>
      <c r="B52" s="4" t="s">
        <v>108</v>
      </c>
      <c r="C52" s="4" t="s">
        <v>113</v>
      </c>
      <c r="D52" s="6">
        <v>1250</v>
      </c>
      <c r="E52" s="2">
        <v>25308</v>
      </c>
      <c r="F52" s="10">
        <f t="shared" ca="1" si="0"/>
        <v>52</v>
      </c>
      <c r="G52" s="23"/>
    </row>
    <row r="53" spans="1:7" hidden="1" x14ac:dyDescent="0.25">
      <c r="A53" s="3" t="s">
        <v>52</v>
      </c>
      <c r="B53" s="4" t="s">
        <v>106</v>
      </c>
      <c r="C53" s="4" t="s">
        <v>111</v>
      </c>
      <c r="D53" s="6">
        <v>3000</v>
      </c>
      <c r="E53" s="2">
        <v>32391</v>
      </c>
      <c r="F53" s="10">
        <f t="shared" ca="1" si="0"/>
        <v>33</v>
      </c>
      <c r="G53" s="23"/>
    </row>
    <row r="54" spans="1:7" hidden="1" x14ac:dyDescent="0.25">
      <c r="A54" s="3" t="s">
        <v>43</v>
      </c>
      <c r="B54" s="4" t="s">
        <v>107</v>
      </c>
      <c r="C54" s="4" t="s">
        <v>111</v>
      </c>
      <c r="D54" s="6">
        <v>3010</v>
      </c>
      <c r="E54" s="2">
        <v>28215</v>
      </c>
      <c r="F54" s="10">
        <f t="shared" ca="1" si="0"/>
        <v>44</v>
      </c>
      <c r="G54" s="23"/>
    </row>
    <row r="55" spans="1:7" hidden="1" x14ac:dyDescent="0.25">
      <c r="A55" s="1" t="s">
        <v>15</v>
      </c>
      <c r="B55" s="4" t="s">
        <v>108</v>
      </c>
      <c r="C55" s="4" t="s">
        <v>113</v>
      </c>
      <c r="D55" s="6">
        <v>1100</v>
      </c>
      <c r="E55" s="2">
        <v>28708</v>
      </c>
      <c r="F55" s="10">
        <f t="shared" ca="1" si="0"/>
        <v>43</v>
      </c>
      <c r="G55" s="23"/>
    </row>
    <row r="56" spans="1:7" hidden="1" x14ac:dyDescent="0.25">
      <c r="A56" s="5" t="s">
        <v>101</v>
      </c>
      <c r="B56" s="4" t="s">
        <v>108</v>
      </c>
      <c r="C56" s="4" t="s">
        <v>110</v>
      </c>
      <c r="D56" s="6">
        <v>2040</v>
      </c>
      <c r="E56" s="2">
        <v>29771</v>
      </c>
      <c r="F56" s="10">
        <f t="shared" ca="1" si="0"/>
        <v>40</v>
      </c>
      <c r="G56" s="23"/>
    </row>
    <row r="57" spans="1:7" hidden="1" x14ac:dyDescent="0.25">
      <c r="A57" s="5" t="s">
        <v>76</v>
      </c>
      <c r="B57" s="4" t="s">
        <v>109</v>
      </c>
      <c r="C57" s="4" t="s">
        <v>113</v>
      </c>
      <c r="D57" s="6">
        <v>1020</v>
      </c>
      <c r="E57" s="2">
        <v>32052</v>
      </c>
      <c r="F57" s="10">
        <f t="shared" ca="1" si="0"/>
        <v>34</v>
      </c>
      <c r="G57" s="23"/>
    </row>
    <row r="58" spans="1:7" hidden="1" x14ac:dyDescent="0.25">
      <c r="A58" s="5" t="s">
        <v>73</v>
      </c>
      <c r="B58" s="4" t="s">
        <v>108</v>
      </c>
      <c r="C58" s="4" t="s">
        <v>110</v>
      </c>
      <c r="D58" s="6">
        <v>2100</v>
      </c>
      <c r="E58" s="2">
        <v>30662</v>
      </c>
      <c r="F58" s="10">
        <f t="shared" ca="1" si="0"/>
        <v>38</v>
      </c>
      <c r="G58" s="23"/>
    </row>
    <row r="59" spans="1:7" hidden="1" x14ac:dyDescent="0.25">
      <c r="A59" s="3" t="s">
        <v>53</v>
      </c>
      <c r="B59" s="4" t="s">
        <v>106</v>
      </c>
      <c r="C59" s="4" t="s">
        <v>110</v>
      </c>
      <c r="D59" s="6">
        <v>2900</v>
      </c>
      <c r="E59" s="2">
        <v>29782</v>
      </c>
      <c r="F59" s="10">
        <f t="shared" ca="1" si="0"/>
        <v>40</v>
      </c>
      <c r="G59" s="23"/>
    </row>
    <row r="60" spans="1:7" hidden="1" x14ac:dyDescent="0.25">
      <c r="A60" s="5" t="s">
        <v>62</v>
      </c>
      <c r="B60" s="4" t="s">
        <v>107</v>
      </c>
      <c r="C60" s="4" t="s">
        <v>113</v>
      </c>
      <c r="D60" s="6">
        <v>2000</v>
      </c>
      <c r="E60" s="2">
        <v>28161</v>
      </c>
      <c r="F60" s="10">
        <f t="shared" ca="1" si="0"/>
        <v>45</v>
      </c>
      <c r="G60" s="23"/>
    </row>
    <row r="61" spans="1:7" hidden="1" x14ac:dyDescent="0.25">
      <c r="A61" s="5" t="s">
        <v>102</v>
      </c>
      <c r="B61" s="4" t="s">
        <v>108</v>
      </c>
      <c r="C61" s="4" t="s">
        <v>113</v>
      </c>
      <c r="D61" s="6">
        <v>1980</v>
      </c>
      <c r="E61" s="2">
        <v>30994</v>
      </c>
      <c r="F61" s="10">
        <f t="shared" ca="1" si="0"/>
        <v>37</v>
      </c>
      <c r="G61" s="23"/>
    </row>
    <row r="62" spans="1:7" hidden="1" x14ac:dyDescent="0.25">
      <c r="A62" s="5" t="s">
        <v>63</v>
      </c>
      <c r="B62" s="4" t="s">
        <v>106</v>
      </c>
      <c r="C62" s="4" t="s">
        <v>111</v>
      </c>
      <c r="D62" s="6">
        <v>3100</v>
      </c>
      <c r="E62" s="2">
        <v>32273</v>
      </c>
      <c r="F62" s="10">
        <f t="shared" ca="1" si="0"/>
        <v>33</v>
      </c>
      <c r="G62" s="23"/>
    </row>
    <row r="63" spans="1:7" hidden="1" x14ac:dyDescent="0.25">
      <c r="A63" s="5" t="s">
        <v>30</v>
      </c>
      <c r="B63" s="4" t="s">
        <v>107</v>
      </c>
      <c r="C63" s="4" t="s">
        <v>111</v>
      </c>
      <c r="D63" s="6">
        <v>2980</v>
      </c>
      <c r="E63" s="2">
        <v>24882</v>
      </c>
      <c r="F63" s="10">
        <f t="shared" ca="1" si="0"/>
        <v>54</v>
      </c>
      <c r="G63" s="23"/>
    </row>
    <row r="64" spans="1:7" hidden="1" x14ac:dyDescent="0.25">
      <c r="A64" s="5" t="s">
        <v>74</v>
      </c>
      <c r="B64" s="4" t="s">
        <v>109</v>
      </c>
      <c r="C64" s="4" t="s">
        <v>111</v>
      </c>
      <c r="D64" s="6">
        <v>2890</v>
      </c>
      <c r="E64" s="2">
        <v>30953</v>
      </c>
      <c r="F64" s="10">
        <f t="shared" ca="1" si="0"/>
        <v>37</v>
      </c>
      <c r="G64" s="23"/>
    </row>
    <row r="65" spans="1:7" hidden="1" x14ac:dyDescent="0.25">
      <c r="A65" s="3" t="s">
        <v>40</v>
      </c>
      <c r="B65" s="4" t="s">
        <v>108</v>
      </c>
      <c r="C65" s="4" t="s">
        <v>110</v>
      </c>
      <c r="D65" s="6">
        <v>1100</v>
      </c>
      <c r="E65" s="2">
        <v>27017</v>
      </c>
      <c r="F65" s="10">
        <f t="shared" ca="1" si="0"/>
        <v>48</v>
      </c>
      <c r="G65" s="23"/>
    </row>
    <row r="66" spans="1:7" hidden="1" x14ac:dyDescent="0.25">
      <c r="A66" s="5" t="s">
        <v>90</v>
      </c>
      <c r="B66" s="4" t="s">
        <v>106</v>
      </c>
      <c r="C66" s="4" t="s">
        <v>111</v>
      </c>
      <c r="D66" s="6">
        <v>2950</v>
      </c>
      <c r="E66" s="2">
        <v>29486</v>
      </c>
      <c r="F66" s="10">
        <f t="shared" ca="1" si="0"/>
        <v>41</v>
      </c>
      <c r="G66" s="23"/>
    </row>
    <row r="67" spans="1:7" hidden="1" x14ac:dyDescent="0.25">
      <c r="A67" s="5" t="s">
        <v>69</v>
      </c>
      <c r="B67" s="4" t="s">
        <v>108</v>
      </c>
      <c r="C67" s="4" t="s">
        <v>110</v>
      </c>
      <c r="D67" s="6">
        <v>2400</v>
      </c>
      <c r="E67" s="2">
        <v>25402</v>
      </c>
      <c r="F67" s="10">
        <f t="shared" ca="1" si="0"/>
        <v>52</v>
      </c>
      <c r="G67" s="23"/>
    </row>
    <row r="68" spans="1:7" hidden="1" x14ac:dyDescent="0.25">
      <c r="A68" s="1" t="s">
        <v>7</v>
      </c>
      <c r="B68" s="4" t="s">
        <v>107</v>
      </c>
      <c r="C68" s="4" t="s">
        <v>113</v>
      </c>
      <c r="D68" s="6">
        <v>980</v>
      </c>
      <c r="E68" s="2">
        <v>30458</v>
      </c>
      <c r="F68" s="10">
        <f t="shared" ref="F68:F104" ca="1" si="1">INT((TODAY()-E68)/365.25)</f>
        <v>38</v>
      </c>
      <c r="G68" s="23"/>
    </row>
    <row r="69" spans="1:7" hidden="1" x14ac:dyDescent="0.25">
      <c r="A69" s="5" t="s">
        <v>80</v>
      </c>
      <c r="B69" s="4" t="s">
        <v>109</v>
      </c>
      <c r="C69" s="4" t="s">
        <v>113</v>
      </c>
      <c r="D69" s="6">
        <v>950</v>
      </c>
      <c r="E69" s="2">
        <v>29221</v>
      </c>
      <c r="F69" s="10">
        <f t="shared" ca="1" si="1"/>
        <v>42</v>
      </c>
      <c r="G69" s="23"/>
    </row>
    <row r="70" spans="1:7" hidden="1" x14ac:dyDescent="0.25">
      <c r="A70" s="5" t="s">
        <v>31</v>
      </c>
      <c r="B70" s="4" t="s">
        <v>108</v>
      </c>
      <c r="C70" s="4" t="s">
        <v>110</v>
      </c>
      <c r="D70" s="6">
        <v>1945</v>
      </c>
      <c r="E70" s="2">
        <v>30240</v>
      </c>
      <c r="F70" s="10">
        <f t="shared" ca="1" si="1"/>
        <v>39</v>
      </c>
      <c r="G70" s="23"/>
    </row>
    <row r="71" spans="1:7" hidden="1" x14ac:dyDescent="0.25">
      <c r="A71" s="5" t="s">
        <v>64</v>
      </c>
      <c r="B71" s="4" t="s">
        <v>107</v>
      </c>
      <c r="C71" s="4" t="s">
        <v>111</v>
      </c>
      <c r="D71" s="6">
        <v>3000</v>
      </c>
      <c r="E71" s="2">
        <v>32363</v>
      </c>
      <c r="F71" s="10">
        <f t="shared" ca="1" si="1"/>
        <v>33</v>
      </c>
      <c r="G71" s="23"/>
    </row>
    <row r="72" spans="1:7" hidden="1" x14ac:dyDescent="0.25">
      <c r="A72" s="5" t="s">
        <v>32</v>
      </c>
      <c r="B72" s="4" t="s">
        <v>106</v>
      </c>
      <c r="C72" s="4" t="s">
        <v>111</v>
      </c>
      <c r="D72" s="6">
        <v>3050</v>
      </c>
      <c r="E72" s="2">
        <v>30943</v>
      </c>
      <c r="F72" s="10">
        <f t="shared" ca="1" si="1"/>
        <v>37</v>
      </c>
      <c r="G72" s="23"/>
    </row>
    <row r="73" spans="1:7" hidden="1" x14ac:dyDescent="0.25">
      <c r="A73" s="3" t="s">
        <v>46</v>
      </c>
      <c r="B73" s="4" t="s">
        <v>106</v>
      </c>
      <c r="C73" s="4" t="s">
        <v>113</v>
      </c>
      <c r="D73" s="6">
        <v>956</v>
      </c>
      <c r="E73" s="2">
        <v>27144</v>
      </c>
      <c r="F73" s="10">
        <f t="shared" ca="1" si="1"/>
        <v>47</v>
      </c>
      <c r="G73" s="23"/>
    </row>
    <row r="74" spans="1:7" hidden="1" x14ac:dyDescent="0.25">
      <c r="A74" s="5" t="s">
        <v>33</v>
      </c>
      <c r="B74" s="4" t="s">
        <v>109</v>
      </c>
      <c r="C74" s="4" t="s">
        <v>113</v>
      </c>
      <c r="D74" s="6">
        <v>990</v>
      </c>
      <c r="E74" s="2">
        <v>25086</v>
      </c>
      <c r="F74" s="10">
        <f t="shared" ca="1" si="1"/>
        <v>53</v>
      </c>
      <c r="G74" s="23"/>
    </row>
    <row r="75" spans="1:7" hidden="1" x14ac:dyDescent="0.25">
      <c r="A75" s="3" t="s">
        <v>49</v>
      </c>
      <c r="B75" s="4" t="s">
        <v>107</v>
      </c>
      <c r="C75" s="4" t="s">
        <v>111</v>
      </c>
      <c r="D75" s="6">
        <v>2560</v>
      </c>
      <c r="E75" s="2">
        <v>32832</v>
      </c>
      <c r="F75" s="10">
        <f t="shared" ca="1" si="1"/>
        <v>32</v>
      </c>
      <c r="G75" s="23"/>
    </row>
    <row r="76" spans="1:7" hidden="1" x14ac:dyDescent="0.25">
      <c r="A76" s="3" t="s">
        <v>39</v>
      </c>
      <c r="B76" s="4" t="s">
        <v>108</v>
      </c>
      <c r="C76" s="4" t="s">
        <v>110</v>
      </c>
      <c r="D76" s="6">
        <v>2760</v>
      </c>
      <c r="E76" s="2">
        <v>29033</v>
      </c>
      <c r="F76" s="10">
        <f t="shared" ca="1" si="1"/>
        <v>42</v>
      </c>
      <c r="G76" s="23"/>
    </row>
    <row r="77" spans="1:7" hidden="1" x14ac:dyDescent="0.25">
      <c r="A77" s="5" t="s">
        <v>98</v>
      </c>
      <c r="B77" s="4" t="s">
        <v>108</v>
      </c>
      <c r="C77" s="4" t="s">
        <v>110</v>
      </c>
      <c r="D77" s="6">
        <v>2780</v>
      </c>
      <c r="E77" s="2">
        <v>30584</v>
      </c>
      <c r="F77" s="10">
        <f t="shared" ca="1" si="1"/>
        <v>38</v>
      </c>
      <c r="G77" s="23"/>
    </row>
    <row r="78" spans="1:7" hidden="1" x14ac:dyDescent="0.25">
      <c r="A78" s="3" t="s">
        <v>51</v>
      </c>
      <c r="B78" s="4" t="s">
        <v>107</v>
      </c>
      <c r="C78" s="4" t="s">
        <v>111</v>
      </c>
      <c r="D78" s="6">
        <v>2850</v>
      </c>
      <c r="E78" s="2">
        <v>25857</v>
      </c>
      <c r="F78" s="10">
        <f t="shared" ca="1" si="1"/>
        <v>51</v>
      </c>
      <c r="G78" s="23"/>
    </row>
    <row r="79" spans="1:7" hidden="1" x14ac:dyDescent="0.25">
      <c r="A79" s="5" t="s">
        <v>78</v>
      </c>
      <c r="B79" s="4" t="s">
        <v>106</v>
      </c>
      <c r="C79" s="4" t="s">
        <v>113</v>
      </c>
      <c r="D79" s="6">
        <v>1060</v>
      </c>
      <c r="E79" s="2">
        <v>32514</v>
      </c>
      <c r="F79" s="10">
        <f t="shared" ca="1" si="1"/>
        <v>33</v>
      </c>
      <c r="G79" s="23"/>
    </row>
    <row r="80" spans="1:7" hidden="1" x14ac:dyDescent="0.25">
      <c r="A80" s="5" t="s">
        <v>77</v>
      </c>
      <c r="B80" s="4" t="s">
        <v>109</v>
      </c>
      <c r="C80" s="4" t="s">
        <v>113</v>
      </c>
      <c r="D80" s="6">
        <v>1000</v>
      </c>
      <c r="E80" s="2">
        <v>29540</v>
      </c>
      <c r="F80" s="10">
        <f t="shared" ca="1" si="1"/>
        <v>41</v>
      </c>
      <c r="G80" s="23"/>
    </row>
    <row r="81" spans="1:7" hidden="1" x14ac:dyDescent="0.25">
      <c r="A81" s="5" t="s">
        <v>84</v>
      </c>
      <c r="B81" s="4" t="s">
        <v>108</v>
      </c>
      <c r="C81" s="4" t="s">
        <v>110</v>
      </c>
      <c r="D81" s="6">
        <v>2450</v>
      </c>
      <c r="E81" s="2">
        <v>29194</v>
      </c>
      <c r="F81" s="10">
        <f t="shared" ca="1" si="1"/>
        <v>42</v>
      </c>
      <c r="G81" s="23"/>
    </row>
    <row r="82" spans="1:7" hidden="1" x14ac:dyDescent="0.25">
      <c r="A82" s="5" t="s">
        <v>93</v>
      </c>
      <c r="B82" s="4" t="s">
        <v>108</v>
      </c>
      <c r="C82" s="4" t="s">
        <v>111</v>
      </c>
      <c r="D82" s="6">
        <v>2900</v>
      </c>
      <c r="E82" s="2">
        <v>30378</v>
      </c>
      <c r="F82" s="10">
        <f t="shared" ca="1" si="1"/>
        <v>39</v>
      </c>
      <c r="G82" s="23"/>
    </row>
    <row r="83" spans="1:7" hidden="1" x14ac:dyDescent="0.25">
      <c r="A83" s="5" t="s">
        <v>96</v>
      </c>
      <c r="B83" s="4" t="s">
        <v>108</v>
      </c>
      <c r="C83" s="4" t="s">
        <v>113</v>
      </c>
      <c r="D83" s="6">
        <v>890</v>
      </c>
      <c r="E83" s="2">
        <v>28826</v>
      </c>
      <c r="F83" s="10">
        <f t="shared" ca="1" si="1"/>
        <v>43</v>
      </c>
      <c r="G83" s="23"/>
    </row>
    <row r="84" spans="1:7" hidden="1" x14ac:dyDescent="0.25">
      <c r="A84" s="3" t="s">
        <v>57</v>
      </c>
      <c r="B84" s="4" t="s">
        <v>107</v>
      </c>
      <c r="C84" s="4" t="s">
        <v>111</v>
      </c>
      <c r="D84" s="6">
        <v>2100</v>
      </c>
      <c r="E84" s="2">
        <v>32703</v>
      </c>
      <c r="F84" s="10">
        <f t="shared" ca="1" si="1"/>
        <v>32</v>
      </c>
      <c r="G84" s="23"/>
    </row>
    <row r="85" spans="1:7" hidden="1" x14ac:dyDescent="0.25">
      <c r="A85" s="5" t="s">
        <v>34</v>
      </c>
      <c r="B85" s="4" t="s">
        <v>106</v>
      </c>
      <c r="C85" s="4" t="s">
        <v>111</v>
      </c>
      <c r="D85" s="6">
        <v>2764</v>
      </c>
      <c r="E85" s="2">
        <v>29369</v>
      </c>
      <c r="F85" s="10">
        <f t="shared" ca="1" si="1"/>
        <v>41</v>
      </c>
      <c r="G85" s="23"/>
    </row>
    <row r="86" spans="1:7" hidden="1" x14ac:dyDescent="0.25">
      <c r="A86" s="5" t="s">
        <v>81</v>
      </c>
      <c r="B86" s="4" t="s">
        <v>108</v>
      </c>
      <c r="C86" s="4" t="s">
        <v>110</v>
      </c>
      <c r="D86" s="6">
        <v>1560</v>
      </c>
      <c r="E86" s="2">
        <v>32783</v>
      </c>
      <c r="F86" s="10">
        <f t="shared" ca="1" si="1"/>
        <v>32</v>
      </c>
      <c r="G86" s="23"/>
    </row>
    <row r="87" spans="1:7" hidden="1" x14ac:dyDescent="0.25">
      <c r="A87" s="5" t="s">
        <v>35</v>
      </c>
      <c r="B87" s="4" t="s">
        <v>109</v>
      </c>
      <c r="C87" s="4" t="s">
        <v>113</v>
      </c>
      <c r="D87" s="6">
        <v>1035</v>
      </c>
      <c r="E87" s="2">
        <v>31067</v>
      </c>
      <c r="F87" s="10">
        <f t="shared" ca="1" si="1"/>
        <v>37</v>
      </c>
      <c r="G87" s="23"/>
    </row>
    <row r="88" spans="1:7" hidden="1" x14ac:dyDescent="0.25">
      <c r="A88" s="5" t="s">
        <v>72</v>
      </c>
      <c r="B88" s="4" t="s">
        <v>108</v>
      </c>
      <c r="C88" s="4" t="s">
        <v>113</v>
      </c>
      <c r="D88" s="6">
        <v>1790</v>
      </c>
      <c r="E88" s="2">
        <v>31109</v>
      </c>
      <c r="F88" s="10">
        <f t="shared" ca="1" si="1"/>
        <v>37</v>
      </c>
      <c r="G88" s="23"/>
    </row>
    <row r="89" spans="1:7" hidden="1" x14ac:dyDescent="0.25">
      <c r="A89" s="5" t="s">
        <v>36</v>
      </c>
      <c r="B89" s="4" t="s">
        <v>108</v>
      </c>
      <c r="C89" s="4" t="s">
        <v>111</v>
      </c>
      <c r="D89" s="6">
        <v>1945</v>
      </c>
      <c r="E89" s="2">
        <v>28767</v>
      </c>
      <c r="F89" s="10">
        <f t="shared" ca="1" si="1"/>
        <v>43</v>
      </c>
      <c r="G89" s="23"/>
    </row>
    <row r="90" spans="1:7" hidden="1" x14ac:dyDescent="0.25">
      <c r="A90" s="5" t="s">
        <v>65</v>
      </c>
      <c r="B90" s="4" t="s">
        <v>106</v>
      </c>
      <c r="C90" s="4" t="s">
        <v>111</v>
      </c>
      <c r="D90" s="6">
        <v>2740</v>
      </c>
      <c r="E90" s="2">
        <v>32803</v>
      </c>
      <c r="F90" s="10">
        <f t="shared" ca="1" si="1"/>
        <v>32</v>
      </c>
      <c r="G90" s="23"/>
    </row>
    <row r="91" spans="1:7" hidden="1" x14ac:dyDescent="0.25">
      <c r="A91" s="5" t="s">
        <v>99</v>
      </c>
      <c r="B91" s="4" t="s">
        <v>109</v>
      </c>
      <c r="C91" s="4" t="s">
        <v>111</v>
      </c>
      <c r="D91" s="6">
        <v>3100</v>
      </c>
      <c r="E91" s="2">
        <v>31192</v>
      </c>
      <c r="F91" s="10">
        <f t="shared" ca="1" si="1"/>
        <v>36</v>
      </c>
      <c r="G91" s="23"/>
    </row>
    <row r="92" spans="1:7" hidden="1" x14ac:dyDescent="0.25">
      <c r="A92" s="3" t="s">
        <v>42</v>
      </c>
      <c r="B92" s="4" t="s">
        <v>107</v>
      </c>
      <c r="C92" s="4" t="s">
        <v>113</v>
      </c>
      <c r="D92" s="6">
        <v>2109</v>
      </c>
      <c r="E92" s="2">
        <v>29789</v>
      </c>
      <c r="F92" s="10">
        <f t="shared" ca="1" si="1"/>
        <v>40</v>
      </c>
      <c r="G92" s="23"/>
    </row>
    <row r="93" spans="1:7" hidden="1" x14ac:dyDescent="0.25">
      <c r="A93" s="1" t="s">
        <v>8</v>
      </c>
      <c r="B93" s="4" t="s">
        <v>107</v>
      </c>
      <c r="C93" s="4" t="s">
        <v>111</v>
      </c>
      <c r="D93" s="6">
        <v>2900</v>
      </c>
      <c r="E93" s="2">
        <v>31900</v>
      </c>
      <c r="F93" s="10">
        <f t="shared" ca="1" si="1"/>
        <v>34</v>
      </c>
      <c r="G93" s="23"/>
    </row>
    <row r="94" spans="1:7" hidden="1" x14ac:dyDescent="0.25">
      <c r="A94" s="5" t="s">
        <v>66</v>
      </c>
      <c r="B94" s="4" t="s">
        <v>108</v>
      </c>
      <c r="C94" s="4" t="s">
        <v>110</v>
      </c>
      <c r="D94" s="6">
        <v>2100</v>
      </c>
      <c r="E94" s="2">
        <v>30267</v>
      </c>
      <c r="F94" s="10">
        <f t="shared" ca="1" si="1"/>
        <v>39</v>
      </c>
      <c r="G94" s="23"/>
    </row>
    <row r="95" spans="1:7" hidden="1" x14ac:dyDescent="0.25">
      <c r="A95" s="3" t="s">
        <v>45</v>
      </c>
      <c r="B95" s="4" t="s">
        <v>106</v>
      </c>
      <c r="C95" s="4" t="s">
        <v>113</v>
      </c>
      <c r="D95" s="6">
        <v>1090</v>
      </c>
      <c r="E95" s="2">
        <v>31212</v>
      </c>
      <c r="F95" s="10">
        <f t="shared" ca="1" si="1"/>
        <v>36</v>
      </c>
      <c r="G95" s="23"/>
    </row>
    <row r="96" spans="1:7" hidden="1" x14ac:dyDescent="0.25">
      <c r="A96" s="5" t="s">
        <v>37</v>
      </c>
      <c r="B96" s="4" t="s">
        <v>106</v>
      </c>
      <c r="C96" s="4" t="s">
        <v>111</v>
      </c>
      <c r="D96" s="6">
        <v>3120</v>
      </c>
      <c r="E96" s="2">
        <v>32721</v>
      </c>
      <c r="F96" s="10">
        <f t="shared" ca="1" si="1"/>
        <v>32</v>
      </c>
      <c r="G96" s="23"/>
    </row>
    <row r="97" spans="1:7" hidden="1" x14ac:dyDescent="0.25">
      <c r="A97" s="5" t="s">
        <v>67</v>
      </c>
      <c r="B97" s="4" t="s">
        <v>107</v>
      </c>
      <c r="C97" s="4" t="s">
        <v>113</v>
      </c>
      <c r="D97" s="6">
        <v>2100</v>
      </c>
      <c r="E97" s="2">
        <v>30806</v>
      </c>
      <c r="F97" s="10">
        <f t="shared" ca="1" si="1"/>
        <v>37</v>
      </c>
      <c r="G97" s="23"/>
    </row>
    <row r="98" spans="1:7" hidden="1" x14ac:dyDescent="0.25">
      <c r="A98" s="1" t="s">
        <v>11</v>
      </c>
      <c r="B98" s="4" t="s">
        <v>109</v>
      </c>
      <c r="C98" s="4" t="s">
        <v>111</v>
      </c>
      <c r="D98" s="6">
        <v>3000</v>
      </c>
      <c r="E98" s="2">
        <v>25117</v>
      </c>
      <c r="F98" s="10">
        <f t="shared" ca="1" si="1"/>
        <v>53</v>
      </c>
      <c r="G98" s="23"/>
    </row>
    <row r="99" spans="1:7" hidden="1" x14ac:dyDescent="0.25">
      <c r="A99" s="1" t="s">
        <v>18</v>
      </c>
      <c r="B99" s="4" t="s">
        <v>108</v>
      </c>
      <c r="C99" s="4" t="s">
        <v>110</v>
      </c>
      <c r="D99" s="6">
        <v>896</v>
      </c>
      <c r="E99" s="2">
        <v>32749</v>
      </c>
      <c r="F99" s="10">
        <f t="shared" ca="1" si="1"/>
        <v>32</v>
      </c>
      <c r="G99" s="23"/>
    </row>
    <row r="100" spans="1:7" hidden="1" x14ac:dyDescent="0.25">
      <c r="A100" s="1" t="s">
        <v>23</v>
      </c>
      <c r="B100" s="4" t="s">
        <v>107</v>
      </c>
      <c r="C100" s="4" t="s">
        <v>113</v>
      </c>
      <c r="D100" s="6">
        <v>1000</v>
      </c>
      <c r="E100" s="2">
        <v>27487</v>
      </c>
      <c r="F100" s="10">
        <f t="shared" ca="1" si="1"/>
        <v>46</v>
      </c>
      <c r="G100" s="23"/>
    </row>
    <row r="101" spans="1:7" hidden="1" x14ac:dyDescent="0.25">
      <c r="A101" s="5" t="s">
        <v>92</v>
      </c>
      <c r="B101" s="4" t="s">
        <v>106</v>
      </c>
      <c r="C101" s="4" t="s">
        <v>113</v>
      </c>
      <c r="D101" s="6">
        <v>1107</v>
      </c>
      <c r="E101" s="2">
        <v>30405</v>
      </c>
      <c r="F101" s="10">
        <f t="shared" ca="1" si="1"/>
        <v>38</v>
      </c>
      <c r="G101" s="23"/>
    </row>
    <row r="102" spans="1:7" hidden="1" x14ac:dyDescent="0.25">
      <c r="A102" s="5" t="s">
        <v>100</v>
      </c>
      <c r="B102" s="4" t="s">
        <v>109</v>
      </c>
      <c r="C102" s="4" t="s">
        <v>113</v>
      </c>
      <c r="D102" s="6">
        <v>1980</v>
      </c>
      <c r="E102" s="2">
        <v>28914</v>
      </c>
      <c r="F102" s="10">
        <f t="shared" ca="1" si="1"/>
        <v>43</v>
      </c>
      <c r="G102" s="23"/>
    </row>
    <row r="103" spans="1:7" hidden="1" x14ac:dyDescent="0.25">
      <c r="A103" s="5" t="s">
        <v>38</v>
      </c>
      <c r="B103" s="4" t="s">
        <v>108</v>
      </c>
      <c r="C103" s="4" t="s">
        <v>110</v>
      </c>
      <c r="D103" s="6">
        <v>2390</v>
      </c>
      <c r="E103" s="2">
        <v>31753</v>
      </c>
      <c r="F103" s="10">
        <f t="shared" ca="1" si="1"/>
        <v>35</v>
      </c>
      <c r="G103" s="23"/>
    </row>
    <row r="104" spans="1:7" hidden="1" x14ac:dyDescent="0.25">
      <c r="A104" s="1" t="s">
        <v>19</v>
      </c>
      <c r="B104" s="4" t="s">
        <v>108</v>
      </c>
      <c r="C104" s="4" t="s">
        <v>110</v>
      </c>
      <c r="D104" s="6">
        <v>2480</v>
      </c>
      <c r="E104" s="2">
        <v>32835</v>
      </c>
      <c r="F104" s="10">
        <f t="shared" ca="1" si="1"/>
        <v>32</v>
      </c>
      <c r="G104" s="23"/>
    </row>
  </sheetData>
  <autoFilter ref="A2:F104" xr:uid="{00000000-0001-0000-0000-000000000000}">
    <filterColumn colId="2">
      <filters>
        <filter val="Gerente"/>
      </filters>
    </filterColumn>
  </autoFilter>
  <sortState xmlns:xlrd2="http://schemas.microsoft.com/office/spreadsheetml/2017/richdata2" ref="A3:F104">
    <sortCondition ref="A3"/>
  </sortState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tabSelected="1" workbookViewId="0">
      <selection activeCell="A9" sqref="A9:L9"/>
    </sheetView>
  </sheetViews>
  <sheetFormatPr defaultRowHeight="15" x14ac:dyDescent="0.25"/>
  <cols>
    <col min="1" max="1" width="18.28515625" customWidth="1"/>
    <col min="2" max="2" width="14.28515625" style="7" bestFit="1" customWidth="1"/>
    <col min="3" max="3" width="14" style="7" customWidth="1"/>
    <col min="4" max="4" width="12.140625" style="7" customWidth="1"/>
    <col min="5" max="5" width="20.5703125" bestFit="1" customWidth="1"/>
    <col min="6" max="6" width="13" style="7" customWidth="1"/>
    <col min="7" max="7" width="19.140625" bestFit="1" customWidth="1"/>
    <col min="8" max="8" width="12.140625" customWidth="1"/>
    <col min="9" max="9" width="8.5703125" bestFit="1" customWidth="1"/>
    <col min="10" max="10" width="20.5703125" bestFit="1" customWidth="1"/>
    <col min="11" max="11" width="8.5703125" bestFit="1" customWidth="1"/>
    <col min="12" max="12" width="17.85546875" bestFit="1" customWidth="1"/>
  </cols>
  <sheetData>
    <row r="1" spans="1:12" ht="18.75" x14ac:dyDescent="0.3">
      <c r="A1" s="19" t="s">
        <v>126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</row>
    <row r="2" spans="1:12" ht="33" customHeight="1" x14ac:dyDescent="0.25">
      <c r="A2" s="14" t="s">
        <v>124</v>
      </c>
      <c r="B2" s="12" t="s">
        <v>116</v>
      </c>
      <c r="C2" s="12" t="s">
        <v>117</v>
      </c>
      <c r="D2" s="12" t="s">
        <v>118</v>
      </c>
      <c r="E2" s="11" t="s">
        <v>119</v>
      </c>
      <c r="F2" s="12" t="s">
        <v>120</v>
      </c>
      <c r="G2" s="11" t="s">
        <v>119</v>
      </c>
      <c r="H2" s="11" t="s">
        <v>121</v>
      </c>
      <c r="I2" s="11" t="s">
        <v>122</v>
      </c>
      <c r="J2" s="11" t="s">
        <v>119</v>
      </c>
      <c r="K2" s="11" t="s">
        <v>123</v>
      </c>
      <c r="L2" s="11" t="s">
        <v>119</v>
      </c>
    </row>
    <row r="3" spans="1:12" x14ac:dyDescent="0.25">
      <c r="A3" s="4" t="s">
        <v>108</v>
      </c>
      <c r="B3" s="6">
        <f>DSUM(CADASTRO!A2:F104,CADASTRO!D2,CRITÉRIOS!A1:A2)</f>
        <v>66391</v>
      </c>
      <c r="C3" s="6">
        <f>DAVERAGE(CADASTRO!A2:E104,CADASTRO!D2,CRITÉRIOS!A1:A2)</f>
        <v>1952.6764705882354</v>
      </c>
      <c r="D3" s="6">
        <f>DMAX(CADASTRO!A2:F104,CADASTRO!D2,CRITÉRIOS!A1:A2)</f>
        <v>3500</v>
      </c>
      <c r="E3" s="4" t="str">
        <f>DGET(Banco_Dados,Funcionario,dep_adm_maior_salario)</f>
        <v>Ana Cristina Paiva</v>
      </c>
      <c r="F3" s="6">
        <f>DMIN(Banco_Dados,Salário,Administrativo)</f>
        <v>890</v>
      </c>
      <c r="G3" s="4" t="str">
        <f>DGET(Banco_Dados,Funcionario,dep_adm_menor_salario)</f>
        <v>Rogerio Dias</v>
      </c>
      <c r="H3" s="4">
        <f>DCOUNTA(Banco_Dados,Departamento,Administrativo)</f>
        <v>34</v>
      </c>
      <c r="I3" s="4">
        <f ca="1">DMAX(Banco_Dados,Idade,Administrativo)</f>
        <v>56</v>
      </c>
      <c r="J3" s="4" t="str">
        <f ca="1">DGET(Banco_Dados,Funcionario,dep_adm_maior_idade)</f>
        <v>Ana Cristina Paiva</v>
      </c>
      <c r="K3" s="4">
        <f ca="1">DMIN(Banco_Dados,Idade,Administrativo)</f>
        <v>30</v>
      </c>
      <c r="L3" s="4" t="str">
        <f ca="1">DGET(Banco_Dados,Funcionario,dep_adm_menor_idade)</f>
        <v>Amanda Colares</v>
      </c>
    </row>
    <row r="4" spans="1:12" x14ac:dyDescent="0.25">
      <c r="A4" s="4" t="s">
        <v>107</v>
      </c>
      <c r="B4" s="6">
        <f>DSUM(CADASTRO!A2:E104,CADASTRO!D2,CRITÉRIOS!A4:A5)</f>
        <v>57578</v>
      </c>
      <c r="C4" s="6">
        <f>DAVERAGE(CADASTRO!A2:E104,CADASTRO!D2,CRITÉRIOS!A4:A5)</f>
        <v>2503.391304347826</v>
      </c>
      <c r="D4" s="6">
        <f>DMAX(CADASTRO!A2:F104,CADASTRO!D2,CRITÉRIOS!A4:A5)</f>
        <v>4780</v>
      </c>
      <c r="E4" s="4" t="str">
        <f>DGET(Banco_Dados,Funcionario,dep_fin_maior_salario)</f>
        <v>Fernanda Marioni</v>
      </c>
      <c r="F4" s="6">
        <f>DMIN(CADASTRO!A2:F104,CADASTRO!D2,Financeiro)</f>
        <v>980</v>
      </c>
      <c r="G4" s="4" t="str">
        <f>DGET(Banco_Dados,Funcionario,dep_fin_menor_salario)</f>
        <v>Maria do Carmo Leal</v>
      </c>
      <c r="H4" s="4">
        <f>DCOUNTA(Banco_Dados,Departamento,Financeiro)</f>
        <v>23</v>
      </c>
      <c r="I4" s="4">
        <f ca="1">DMAX(Banco_Dados,Idade,Financeiro)</f>
        <v>65</v>
      </c>
      <c r="J4" s="4" t="str">
        <f ca="1">DGET(Banco_Dados,Funcionario,dep_fin_maior_idade)</f>
        <v>Jaciara Yonh</v>
      </c>
      <c r="K4" s="4">
        <f ca="1">DMIN(Banco_Dados,Idade,Financeiro)</f>
        <v>30</v>
      </c>
      <c r="L4" s="4" t="str">
        <f ca="1">DGET(Banco_Dados,Funcionario,dep_fin_menor_idade)</f>
        <v>Jussara Medeiros</v>
      </c>
    </row>
    <row r="5" spans="1:12" x14ac:dyDescent="0.25">
      <c r="A5" s="4" t="s">
        <v>109</v>
      </c>
      <c r="B5" s="6">
        <f>DSUM(CADASTRO!A2:E104,CADASTRO!D2,CRITÉRIOS!A7:A8)</f>
        <v>44585</v>
      </c>
      <c r="C5" s="6">
        <f>DAVERAGE(CADASTRO!A2:E104,CADASTRO!D2,CRITÉRIOS!A7:A8)</f>
        <v>2123.0952380952381</v>
      </c>
      <c r="D5" s="6">
        <f>DMAX(CADASTRO!A2:F104,CADASTRO!D2,CRITÉRIOS!A7:A8)</f>
        <v>4500</v>
      </c>
      <c r="E5" s="4" t="str">
        <f>DGET(Banco_Dados,Funcionario,dep_inf_maior_salario)</f>
        <v>Diógenes Duarte Lima</v>
      </c>
      <c r="F5" s="6">
        <f>DMIN(Banco_Dados,Salário,Informática)</f>
        <v>950</v>
      </c>
      <c r="G5" s="4" t="str">
        <f>DGET(Banco_Dados,Funcionario,dep_inf_menor_salario)</f>
        <v>Maria Inês Fagundes</v>
      </c>
      <c r="H5" s="4">
        <f>DCOUNTA(Banco_Dados,Departamento,Informática)</f>
        <v>21</v>
      </c>
      <c r="I5" s="4">
        <f ca="1">DMAX(Banco_Dados,Idade,Informática)</f>
        <v>62</v>
      </c>
      <c r="J5" s="4" t="str">
        <f ca="1">DGET(Banco_Dados,Funcionario,dep_inf_maior_idade)</f>
        <v>Diógenes Duarte Lima</v>
      </c>
      <c r="K5" s="4">
        <f ca="1">DMIN(Banco_Dados,Idade,Informática)</f>
        <v>34</v>
      </c>
      <c r="L5" s="4" t="str">
        <f ca="1">DGET(Banco_Dados,Funcionario,dep_inf_menor_idade)</f>
        <v>Manoel Guimarães</v>
      </c>
    </row>
    <row r="6" spans="1:12" x14ac:dyDescent="0.25">
      <c r="A6" s="4" t="s">
        <v>106</v>
      </c>
      <c r="B6" s="6">
        <f>DSUM(CADASTRO!A2:E104,CADASTRO!D2,CRITÉRIOS!A10:A11)</f>
        <v>56315</v>
      </c>
      <c r="C6" s="6">
        <f>DAVERAGE(CADASTRO!A2:F104,CADASTRO!D2,CRITÉRIOS!A10:A11)</f>
        <v>2346.4583333333335</v>
      </c>
      <c r="D6" s="6">
        <f>DMAX(CADASTRO!A2:F104,CADASTRO!D2,CRITÉRIOS!A10:A11)</f>
        <v>4200</v>
      </c>
      <c r="E6" s="4" t="str">
        <f>DGET(Banco_Dados,Funcionario,dep_RH_maior_salario)</f>
        <v>Georgina Nythe</v>
      </c>
      <c r="F6" s="6">
        <f>DMIN(Banco_Dados,Salário,RH)</f>
        <v>956</v>
      </c>
      <c r="G6" s="4" t="str">
        <f>DGET(Banco_Dados,Funcionario,dep_RH_menor_salario)</f>
        <v>Marineide Novais</v>
      </c>
      <c r="H6" s="4">
        <f>DCOUNTA(Banco_Dados,Departamento,RH)</f>
        <v>24</v>
      </c>
      <c r="I6" s="4">
        <f ca="1">DMAX(Banco_Dados,Idade,RH)</f>
        <v>55</v>
      </c>
      <c r="J6" s="4" t="str">
        <f ca="1">DGET(Banco_Dados,Funcionario,dep_RH_maior_idade)</f>
        <v>Barbara Hioli</v>
      </c>
      <c r="K6" s="4">
        <f ca="1">DMIN(Banco_Dados,Idade,RH)</f>
        <v>30</v>
      </c>
      <c r="L6" s="4" t="str">
        <f ca="1">DGET(Banco_Dados,Funcionario,dep_RH_menor_idade)</f>
        <v>Alan Golden</v>
      </c>
    </row>
    <row r="9" spans="1:12" ht="18.75" x14ac:dyDescent="0.3">
      <c r="A9" s="19" t="s">
        <v>127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1"/>
    </row>
    <row r="10" spans="1:12" ht="39" customHeight="1" x14ac:dyDescent="0.25">
      <c r="A10" s="11" t="s">
        <v>125</v>
      </c>
      <c r="B10" s="12" t="s">
        <v>116</v>
      </c>
      <c r="C10" s="12" t="s">
        <v>117</v>
      </c>
      <c r="D10" s="12" t="s">
        <v>118</v>
      </c>
      <c r="E10" s="11" t="s">
        <v>124</v>
      </c>
      <c r="F10" s="12" t="s">
        <v>120</v>
      </c>
      <c r="G10" s="11" t="s">
        <v>124</v>
      </c>
      <c r="H10" s="11" t="s">
        <v>121</v>
      </c>
      <c r="I10" s="11" t="s">
        <v>122</v>
      </c>
      <c r="J10" s="11" t="s">
        <v>124</v>
      </c>
      <c r="K10" s="11" t="s">
        <v>123</v>
      </c>
      <c r="L10" s="11" t="s">
        <v>124</v>
      </c>
    </row>
    <row r="11" spans="1:12" x14ac:dyDescent="0.25">
      <c r="A11" s="4" t="s">
        <v>111</v>
      </c>
      <c r="B11" s="6">
        <f>DSUM(Banco_Dados,Salário,cargo_analista)</f>
        <v>102206</v>
      </c>
      <c r="C11" s="6">
        <f>DAVERAGE(Banco_Dados,Salário,cargo_analista)</f>
        <v>2839.0555555555557</v>
      </c>
      <c r="D11" s="6">
        <f>DMAX(Banco_Dados,Salário,cargo_analista)</f>
        <v>3600</v>
      </c>
      <c r="E11" s="4" t="str">
        <f>DGET(Banco_Dados,Funcionario,cargo_analista_maior_salario)</f>
        <v>Hector Beliz</v>
      </c>
      <c r="F11" s="6">
        <f>DMIN(Banco_Dados,Salário,cargo_analista)</f>
        <v>1678</v>
      </c>
      <c r="G11" s="4" t="str">
        <f>DGET(Banco_Dados,Funcionario,cargo_analista_menor_salario)</f>
        <v>Beatriz Domingues</v>
      </c>
      <c r="H11" s="4">
        <f>DCOUNTA(Banco_Dados,Funcionario,cargo_analista)</f>
        <v>36</v>
      </c>
      <c r="I11" s="4">
        <f ca="1">DMAX(Banco_Dados,Idade,cargo_analista)</f>
        <v>61</v>
      </c>
      <c r="J11" s="4" t="str">
        <f ca="1">DGET(Banco_Dados,Funcionario,cargo_analista_maior_idade)</f>
        <v>Gilda Soares</v>
      </c>
      <c r="K11" s="4">
        <f ca="1">DMIN(Banco_Dados,Idade,cargo_analista)</f>
        <v>30</v>
      </c>
      <c r="L11" s="4" t="str">
        <f ca="1">DGET(Banco_Dados,Funcionario,cargo_analista_menor_idade)</f>
        <v>Jussara Medeiros</v>
      </c>
    </row>
    <row r="12" spans="1:12" x14ac:dyDescent="0.25">
      <c r="A12" s="4" t="s">
        <v>110</v>
      </c>
      <c r="B12" s="6">
        <f>DSUM(Banco_Dados,Salário,cargo_assistente)</f>
        <v>58635</v>
      </c>
      <c r="C12" s="6">
        <f>DAVERAGE(Banco_Dados,Salário,cargo_assistente)</f>
        <v>2094.1071428571427</v>
      </c>
      <c r="D12" s="6">
        <f>DMAX(Banco_Dados,Salário,cargo_assistente)</f>
        <v>2900</v>
      </c>
      <c r="E12" s="4" t="str">
        <f>DGET(Banco_Dados,Funcionario,cargo_assistente_maior_salario)</f>
        <v>Marcela Gianotti</v>
      </c>
      <c r="F12" s="6">
        <f>DMIN(Banco_Dados,Salário,cargo_assistente)</f>
        <v>896</v>
      </c>
      <c r="G12" s="4" t="str">
        <f>DGET(Banco_Dados,Funcionario,cargo_assistente_menor_salario)</f>
        <v>Ursula Hiroshi</v>
      </c>
      <c r="H12" s="4">
        <f>DCOUNTA(Banco_Dados,Funcionario,cargo_assistente)</f>
        <v>28</v>
      </c>
      <c r="I12" s="4">
        <f ca="1">DMAX(Banco_Dados,Idade,cargo_assistente)</f>
        <v>65</v>
      </c>
      <c r="J12" s="4" t="str">
        <f ca="1">DGET(Banco_Dados,Funcionario,cargo_assistente_maior_idade)</f>
        <v>Jaciara Yonh</v>
      </c>
      <c r="K12" s="4">
        <f ca="1">DMIN(Banco_Dados,Idade,cargo_assistente)</f>
        <v>30</v>
      </c>
      <c r="L12" s="4" t="e">
        <f ca="1">DGET(Banco_Dados,Funcionario,cargo_assistente_menor_idade)</f>
        <v>#NUM!</v>
      </c>
    </row>
    <row r="13" spans="1:12" x14ac:dyDescent="0.25">
      <c r="A13" s="4" t="s">
        <v>112</v>
      </c>
      <c r="B13" s="6">
        <f>DSUM(Banco_Dados,Salário,cargo_gerente)</f>
        <v>16980</v>
      </c>
      <c r="C13" s="6">
        <f>DAVERAGE(Banco_Dados,Salário,cargo_gerente)</f>
        <v>4245</v>
      </c>
      <c r="D13" s="6">
        <f>DMAX(Banco_Dados,Salário,cargo_gerente)</f>
        <v>4780</v>
      </c>
      <c r="E13" s="4" t="str">
        <f>DGET(Banco_Dados,Funcionario,cargo_gerente_maior_salario)</f>
        <v>Fernanda Marioni</v>
      </c>
      <c r="F13" s="6">
        <f>DMIN(Banco_Dados,Salário,cargo_gerente)</f>
        <v>3500</v>
      </c>
      <c r="G13" s="4" t="str">
        <f>DGET(Banco_Dados,Funcionario,cargo_gerente_menor_salario)</f>
        <v>Ana Cristina Paiva</v>
      </c>
      <c r="H13" s="4">
        <f>DCOUNTA(Banco_Dados,Funcionario,cargo_gerente)</f>
        <v>4</v>
      </c>
      <c r="I13" s="4">
        <f ca="1">DMAX(Banco_Dados,Idade,cargo_gerente)</f>
        <v>62</v>
      </c>
      <c r="J13" s="4" t="e">
        <f ca="1">DGET(Banco_Dados,Funcionario,cargo_gerente_maior_idade)</f>
        <v>#NUM!</v>
      </c>
      <c r="K13" s="4">
        <f ca="1">DMIN(Banco_Dados,Idade,cargo_gerente)</f>
        <v>32</v>
      </c>
      <c r="L13" s="4" t="str">
        <f ca="1">DGET(Banco_Dados,Funcionario,cargo_gerente_menor_idade)</f>
        <v>Georgina Nythe</v>
      </c>
    </row>
    <row r="14" spans="1:12" x14ac:dyDescent="0.25">
      <c r="A14" s="4" t="s">
        <v>113</v>
      </c>
      <c r="B14" s="6">
        <f>DSUM(Banco_Dados,Salário,cargo_tecnico)</f>
        <v>47048</v>
      </c>
      <c r="C14" s="6">
        <f>DAVERAGE(Banco_Dados,Salário,cargo_tecnico)</f>
        <v>1383.7647058823529</v>
      </c>
      <c r="D14" s="6">
        <f>DMAX(Banco_Dados,Salário,cargo_tecnico)</f>
        <v>2109</v>
      </c>
      <c r="E14" s="4" t="str">
        <f>DGET(Banco_Dados,Funcionario,cargo_tecnico_maior_salario)</f>
        <v>Solange Farias</v>
      </c>
      <c r="F14" s="6">
        <f>DMIN(Banco_Dados,Salário,cargo_tecnico)</f>
        <v>890</v>
      </c>
      <c r="G14" s="4" t="str">
        <f>DGET(Banco_Dados,Funcionario,cargo_tecnico_menor_salario)</f>
        <v>Rogerio Dias</v>
      </c>
      <c r="H14" s="4">
        <f>DCOUNTA(Banco_Dados,Funcionario,cargo_tecnico)</f>
        <v>34</v>
      </c>
      <c r="I14" s="4">
        <f ca="1">DMAX(Banco_Dados,Idade,cargo_tecnico)</f>
        <v>55</v>
      </c>
      <c r="J14" s="4" t="str">
        <f ca="1">DGET(Banco_Dados,Funcionario,cargo_tecnico_maior_idade)</f>
        <v>Arlete Farias</v>
      </c>
      <c r="K14" s="4">
        <f ca="1">DMIN(Banco_Dados,Idade,cargo_tecnico)</f>
        <v>31</v>
      </c>
      <c r="L14" s="4" t="str">
        <f ca="1">DGET(Banco_Dados,Funcionario,cargo_tecnico_menor_idade)</f>
        <v>Fernando Pas</v>
      </c>
    </row>
    <row r="15" spans="1:12" x14ac:dyDescent="0.25">
      <c r="B15"/>
      <c r="C15"/>
      <c r="D15"/>
      <c r="F15"/>
    </row>
    <row r="16" spans="1:12" x14ac:dyDescent="0.25">
      <c r="B16"/>
      <c r="C16"/>
      <c r="D16"/>
      <c r="F16"/>
    </row>
    <row r="17" customFormat="1" x14ac:dyDescent="0.25"/>
    <row r="18" customFormat="1" x14ac:dyDescent="0.25"/>
  </sheetData>
  <sortState xmlns:xlrd2="http://schemas.microsoft.com/office/spreadsheetml/2017/richdata2" ref="A11:A14">
    <sortCondition ref="A11"/>
  </sortState>
  <mergeCells count="2">
    <mergeCell ref="A1:L1"/>
    <mergeCell ref="A9:L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"/>
  <sheetViews>
    <sheetView workbookViewId="0">
      <selection activeCell="L16" sqref="L16"/>
    </sheetView>
  </sheetViews>
  <sheetFormatPr defaultRowHeight="15" x14ac:dyDescent="0.25"/>
  <cols>
    <col min="1" max="1" width="17.85546875" bestFit="1" customWidth="1"/>
    <col min="2" max="2" width="12.140625" bestFit="1" customWidth="1"/>
    <col min="4" max="4" width="17.85546875" bestFit="1" customWidth="1"/>
    <col min="5" max="5" width="12.140625" customWidth="1"/>
    <col min="7" max="7" width="17.85546875" customWidth="1"/>
    <col min="8" max="8" width="12.140625" customWidth="1"/>
    <col min="10" max="10" width="17.85546875" bestFit="1" customWidth="1"/>
    <col min="11" max="11" width="12.140625" customWidth="1"/>
  </cols>
  <sheetData>
    <row r="1" spans="1:11" x14ac:dyDescent="0.25">
      <c r="A1" s="26" t="s">
        <v>1</v>
      </c>
      <c r="B1" s="27" t="s">
        <v>3</v>
      </c>
      <c r="D1" s="30" t="s">
        <v>1</v>
      </c>
      <c r="E1" s="31" t="s">
        <v>3</v>
      </c>
      <c r="G1" s="36" t="s">
        <v>1</v>
      </c>
      <c r="H1" s="36" t="s">
        <v>129</v>
      </c>
      <c r="J1" s="40" t="s">
        <v>1</v>
      </c>
      <c r="K1" s="40" t="s">
        <v>129</v>
      </c>
    </row>
    <row r="2" spans="1:11" x14ac:dyDescent="0.25">
      <c r="A2" s="28" t="s">
        <v>108</v>
      </c>
      <c r="B2" s="34">
        <f>RELATÓRIO!D3</f>
        <v>3500</v>
      </c>
      <c r="D2" s="32" t="s">
        <v>108</v>
      </c>
      <c r="E2" s="35">
        <f>RELATÓRIO!F3</f>
        <v>890</v>
      </c>
      <c r="G2" s="37" t="s">
        <v>108</v>
      </c>
      <c r="H2" s="38">
        <f ca="1">RELATÓRIO!I3</f>
        <v>56</v>
      </c>
      <c r="J2" s="41" t="s">
        <v>108</v>
      </c>
      <c r="K2" s="42">
        <f ca="1">RELATÓRIO!K3</f>
        <v>30</v>
      </c>
    </row>
    <row r="3" spans="1:11" x14ac:dyDescent="0.25">
      <c r="A3" s="29"/>
      <c r="B3" s="29"/>
      <c r="D3" s="33"/>
      <c r="E3" s="33"/>
      <c r="G3" s="39"/>
      <c r="H3" s="39"/>
      <c r="J3" s="43"/>
      <c r="K3" s="43"/>
    </row>
    <row r="4" spans="1:11" x14ac:dyDescent="0.25">
      <c r="A4" s="26" t="s">
        <v>1</v>
      </c>
      <c r="B4" s="27" t="s">
        <v>3</v>
      </c>
      <c r="D4" s="30" t="s">
        <v>1</v>
      </c>
      <c r="E4" s="31" t="s">
        <v>3</v>
      </c>
      <c r="G4" s="36" t="s">
        <v>1</v>
      </c>
      <c r="H4" s="36" t="s">
        <v>129</v>
      </c>
      <c r="J4" s="40" t="s">
        <v>1</v>
      </c>
      <c r="K4" s="40" t="s">
        <v>129</v>
      </c>
    </row>
    <row r="5" spans="1:11" x14ac:dyDescent="0.25">
      <c r="A5" s="28" t="s">
        <v>107</v>
      </c>
      <c r="B5" s="34">
        <f>RELATÓRIO!D4</f>
        <v>4780</v>
      </c>
      <c r="D5" s="32" t="s">
        <v>107</v>
      </c>
      <c r="E5" s="35">
        <f>RELATÓRIO!F4</f>
        <v>980</v>
      </c>
      <c r="G5" s="37" t="s">
        <v>107</v>
      </c>
      <c r="H5" s="38">
        <f ca="1">RELATÓRIO!I4</f>
        <v>65</v>
      </c>
      <c r="J5" s="41" t="s">
        <v>107</v>
      </c>
      <c r="K5" s="42">
        <f ca="1">RELATÓRIO!K4</f>
        <v>30</v>
      </c>
    </row>
    <row r="6" spans="1:11" x14ac:dyDescent="0.25">
      <c r="A6" s="29"/>
      <c r="B6" s="29"/>
      <c r="D6" s="33"/>
      <c r="E6" s="33"/>
      <c r="G6" s="39"/>
      <c r="H6" s="39"/>
      <c r="J6" s="43"/>
      <c r="K6" s="43"/>
    </row>
    <row r="7" spans="1:11" x14ac:dyDescent="0.25">
      <c r="A7" s="26" t="s">
        <v>1</v>
      </c>
      <c r="B7" s="27" t="s">
        <v>3</v>
      </c>
      <c r="D7" s="30" t="s">
        <v>1</v>
      </c>
      <c r="E7" s="31" t="s">
        <v>3</v>
      </c>
      <c r="G7" s="36" t="s">
        <v>1</v>
      </c>
      <c r="H7" s="36" t="s">
        <v>129</v>
      </c>
      <c r="J7" s="40" t="s">
        <v>1</v>
      </c>
      <c r="K7" s="40" t="s">
        <v>129</v>
      </c>
    </row>
    <row r="8" spans="1:11" x14ac:dyDescent="0.25">
      <c r="A8" s="28" t="s">
        <v>109</v>
      </c>
      <c r="B8" s="34">
        <f>RELATÓRIO!D5</f>
        <v>4500</v>
      </c>
      <c r="D8" s="32" t="s">
        <v>109</v>
      </c>
      <c r="E8" s="35">
        <f>RELATÓRIO!F5</f>
        <v>950</v>
      </c>
      <c r="G8" s="37" t="s">
        <v>109</v>
      </c>
      <c r="H8" s="38">
        <f ca="1">RELATÓRIO!I5</f>
        <v>62</v>
      </c>
      <c r="J8" s="41" t="s">
        <v>109</v>
      </c>
      <c r="K8" s="42">
        <f ca="1">RELATÓRIO!K5</f>
        <v>34</v>
      </c>
    </row>
    <row r="9" spans="1:11" x14ac:dyDescent="0.25">
      <c r="A9" s="29"/>
      <c r="B9" s="29"/>
      <c r="D9" s="33"/>
      <c r="E9" s="33"/>
      <c r="G9" s="39"/>
      <c r="H9" s="39"/>
      <c r="J9" s="43"/>
      <c r="K9" s="43"/>
    </row>
    <row r="10" spans="1:11" x14ac:dyDescent="0.25">
      <c r="A10" s="26" t="s">
        <v>1</v>
      </c>
      <c r="B10" s="27" t="s">
        <v>3</v>
      </c>
      <c r="D10" s="30" t="s">
        <v>1</v>
      </c>
      <c r="E10" s="31" t="s">
        <v>3</v>
      </c>
      <c r="G10" s="36" t="s">
        <v>1</v>
      </c>
      <c r="H10" s="36" t="s">
        <v>129</v>
      </c>
      <c r="J10" s="40" t="s">
        <v>1</v>
      </c>
      <c r="K10" s="40" t="s">
        <v>129</v>
      </c>
    </row>
    <row r="11" spans="1:11" x14ac:dyDescent="0.25">
      <c r="A11" s="28" t="s">
        <v>106</v>
      </c>
      <c r="B11" s="34">
        <f>RELATÓRIO!D6</f>
        <v>4200</v>
      </c>
      <c r="D11" s="32" t="s">
        <v>106</v>
      </c>
      <c r="E11" s="35">
        <f>RELATÓRIO!F6</f>
        <v>956</v>
      </c>
      <c r="G11" s="37" t="s">
        <v>106</v>
      </c>
      <c r="H11" s="38">
        <f ca="1">RELATÓRIO!I6</f>
        <v>55</v>
      </c>
      <c r="J11" s="41" t="s">
        <v>106</v>
      </c>
      <c r="K11" s="42">
        <f ca="1">RELATÓRIO!K6</f>
        <v>30</v>
      </c>
    </row>
    <row r="12" spans="1:11" x14ac:dyDescent="0.25">
      <c r="A12" s="29"/>
      <c r="B12" s="29"/>
      <c r="D12" s="33"/>
      <c r="E12" s="33"/>
      <c r="G12" s="39"/>
      <c r="H12" s="39"/>
      <c r="J12" s="43"/>
      <c r="K12" s="43"/>
    </row>
    <row r="13" spans="1:11" x14ac:dyDescent="0.25">
      <c r="A13" s="29" t="s">
        <v>118</v>
      </c>
      <c r="B13" s="29"/>
      <c r="D13" s="33" t="s">
        <v>120</v>
      </c>
      <c r="E13" s="33"/>
      <c r="G13" s="39" t="s">
        <v>122</v>
      </c>
      <c r="H13" s="39"/>
      <c r="J13" s="43" t="s">
        <v>123</v>
      </c>
      <c r="K13" s="43"/>
    </row>
    <row r="16" spans="1:11" x14ac:dyDescent="0.25">
      <c r="A16" s="11" t="s">
        <v>125</v>
      </c>
      <c r="B16" s="12" t="s">
        <v>3</v>
      </c>
      <c r="D16" s="46" t="s">
        <v>125</v>
      </c>
      <c r="E16" s="47" t="s">
        <v>3</v>
      </c>
      <c r="G16" s="50" t="s">
        <v>125</v>
      </c>
      <c r="H16" s="58" t="s">
        <v>5</v>
      </c>
      <c r="J16" s="53" t="s">
        <v>125</v>
      </c>
      <c r="K16" s="59" t="s">
        <v>5</v>
      </c>
    </row>
    <row r="17" spans="1:11" x14ac:dyDescent="0.25">
      <c r="A17" s="44" t="s">
        <v>111</v>
      </c>
      <c r="B17" s="56">
        <f>RELATÓRIO!D11</f>
        <v>3600</v>
      </c>
      <c r="D17" s="48" t="s">
        <v>111</v>
      </c>
      <c r="E17" s="57">
        <f>RELATÓRIO!F11</f>
        <v>1678</v>
      </c>
      <c r="G17" s="51" t="s">
        <v>111</v>
      </c>
      <c r="H17" s="52">
        <f ca="1">RELATÓRIO!I11</f>
        <v>61</v>
      </c>
      <c r="J17" s="54" t="s">
        <v>111</v>
      </c>
      <c r="K17" s="55">
        <f ca="1">RELATÓRIO!K11</f>
        <v>30</v>
      </c>
    </row>
    <row r="18" spans="1:11" x14ac:dyDescent="0.25">
      <c r="A18" s="45"/>
      <c r="B18" s="45"/>
      <c r="D18" s="49"/>
      <c r="E18" s="49"/>
      <c r="G18" s="52"/>
      <c r="H18" s="52"/>
      <c r="J18" s="55"/>
      <c r="K18" s="55"/>
    </row>
    <row r="19" spans="1:11" x14ac:dyDescent="0.25">
      <c r="A19" s="11" t="s">
        <v>125</v>
      </c>
      <c r="B19" s="12" t="s">
        <v>3</v>
      </c>
      <c r="D19" s="46" t="s">
        <v>125</v>
      </c>
      <c r="E19" s="47" t="s">
        <v>3</v>
      </c>
      <c r="G19" s="50" t="s">
        <v>125</v>
      </c>
      <c r="H19" s="58" t="s">
        <v>5</v>
      </c>
      <c r="J19" s="53" t="s">
        <v>125</v>
      </c>
      <c r="K19" s="59" t="s">
        <v>5</v>
      </c>
    </row>
    <row r="20" spans="1:11" x14ac:dyDescent="0.25">
      <c r="A20" s="44" t="s">
        <v>110</v>
      </c>
      <c r="B20" s="56">
        <f>RELATÓRIO!D12</f>
        <v>2900</v>
      </c>
      <c r="D20" s="48" t="s">
        <v>110</v>
      </c>
      <c r="E20" s="57">
        <f>RELATÓRIO!F12</f>
        <v>896</v>
      </c>
      <c r="G20" s="51" t="s">
        <v>110</v>
      </c>
      <c r="H20" s="52">
        <f ca="1">RELATÓRIO!I12</f>
        <v>65</v>
      </c>
      <c r="J20" s="54" t="s">
        <v>110</v>
      </c>
      <c r="K20" s="55">
        <f ca="1">RELATÓRIO!K12</f>
        <v>30</v>
      </c>
    </row>
    <row r="21" spans="1:11" x14ac:dyDescent="0.25">
      <c r="A21" s="45"/>
      <c r="B21" s="45"/>
      <c r="D21" s="49"/>
      <c r="E21" s="49"/>
      <c r="G21" s="52"/>
      <c r="H21" s="52"/>
      <c r="J21" s="55"/>
      <c r="K21" s="55"/>
    </row>
    <row r="22" spans="1:11" x14ac:dyDescent="0.25">
      <c r="A22" s="11" t="s">
        <v>125</v>
      </c>
      <c r="B22" s="12" t="s">
        <v>3</v>
      </c>
      <c r="D22" s="46" t="s">
        <v>125</v>
      </c>
      <c r="E22" s="47" t="s">
        <v>3</v>
      </c>
      <c r="G22" s="50" t="s">
        <v>125</v>
      </c>
      <c r="H22" s="58" t="s">
        <v>5</v>
      </c>
      <c r="J22" s="53" t="s">
        <v>125</v>
      </c>
      <c r="K22" s="59" t="s">
        <v>5</v>
      </c>
    </row>
    <row r="23" spans="1:11" x14ac:dyDescent="0.25">
      <c r="A23" s="44" t="s">
        <v>112</v>
      </c>
      <c r="B23" s="56">
        <f>RELATÓRIO!D13</f>
        <v>4780</v>
      </c>
      <c r="D23" s="48" t="s">
        <v>112</v>
      </c>
      <c r="E23" s="57">
        <f>RELATÓRIO!F13</f>
        <v>3500</v>
      </c>
      <c r="G23" s="51" t="s">
        <v>112</v>
      </c>
      <c r="H23" s="52">
        <f ca="1">RELATÓRIO!I13</f>
        <v>62</v>
      </c>
      <c r="J23" s="54" t="s">
        <v>112</v>
      </c>
      <c r="K23" s="55">
        <f ca="1">RELATÓRIO!K13</f>
        <v>32</v>
      </c>
    </row>
    <row r="24" spans="1:11" x14ac:dyDescent="0.25">
      <c r="A24" s="45"/>
      <c r="B24" s="45"/>
      <c r="D24" s="49"/>
      <c r="E24" s="49"/>
      <c r="G24" s="52"/>
      <c r="H24" s="52"/>
      <c r="J24" s="55"/>
      <c r="K24" s="55"/>
    </row>
    <row r="25" spans="1:11" x14ac:dyDescent="0.25">
      <c r="A25" s="11" t="s">
        <v>125</v>
      </c>
      <c r="B25" s="12" t="s">
        <v>3</v>
      </c>
      <c r="D25" s="46" t="s">
        <v>125</v>
      </c>
      <c r="E25" s="47" t="s">
        <v>3</v>
      </c>
      <c r="G25" s="50" t="s">
        <v>125</v>
      </c>
      <c r="H25" s="58" t="s">
        <v>5</v>
      </c>
      <c r="J25" s="53" t="s">
        <v>125</v>
      </c>
      <c r="K25" s="59" t="s">
        <v>5</v>
      </c>
    </row>
    <row r="26" spans="1:11" x14ac:dyDescent="0.25">
      <c r="A26" s="44" t="s">
        <v>113</v>
      </c>
      <c r="B26" s="56">
        <f>RELATÓRIO!D14</f>
        <v>2109</v>
      </c>
      <c r="D26" s="48" t="s">
        <v>113</v>
      </c>
      <c r="E26" s="57">
        <f>RELATÓRIO!F14</f>
        <v>890</v>
      </c>
      <c r="G26" s="51" t="s">
        <v>113</v>
      </c>
      <c r="H26" s="52">
        <f ca="1">RELATÓRIO!I14</f>
        <v>55</v>
      </c>
      <c r="J26" s="54" t="s">
        <v>113</v>
      </c>
      <c r="K26" s="55">
        <f ca="1">RELATÓRIO!K14</f>
        <v>31</v>
      </c>
    </row>
    <row r="27" spans="1:11" x14ac:dyDescent="0.25">
      <c r="A27" s="45"/>
      <c r="B27" s="45"/>
      <c r="D27" s="49"/>
      <c r="E27" s="49"/>
      <c r="G27" s="52"/>
      <c r="H27" s="52"/>
      <c r="J27" s="55"/>
      <c r="K27" s="55"/>
    </row>
    <row r="28" spans="1:11" x14ac:dyDescent="0.25">
      <c r="A28" s="45" t="s">
        <v>118</v>
      </c>
      <c r="B28" s="45"/>
      <c r="D28" s="49" t="s">
        <v>120</v>
      </c>
      <c r="E28" s="49"/>
      <c r="G28" s="52" t="s">
        <v>122</v>
      </c>
      <c r="H28" s="52"/>
      <c r="J28" s="55" t="s">
        <v>123</v>
      </c>
      <c r="K28" s="55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9C9E6E-5607-447A-A804-A76F75F0A68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9DA7882-B81F-4204-ABA1-89F591716C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F218A3-DBA1-403E-81A6-6955D99043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48</vt:i4>
      </vt:variant>
    </vt:vector>
  </HeadingPairs>
  <TitlesOfParts>
    <vt:vector size="51" baseType="lpstr">
      <vt:lpstr>CADASTRO</vt:lpstr>
      <vt:lpstr>RELATÓRIO</vt:lpstr>
      <vt:lpstr>CRITÉRIOS</vt:lpstr>
      <vt:lpstr>Administrativo</vt:lpstr>
      <vt:lpstr>Banco_Dados</vt:lpstr>
      <vt:lpstr>Cargo</vt:lpstr>
      <vt:lpstr>cargo_analista</vt:lpstr>
      <vt:lpstr>cargo_analista_maior_idade</vt:lpstr>
      <vt:lpstr>cargo_analista_maior_salario</vt:lpstr>
      <vt:lpstr>cargo_analista_menor_idade</vt:lpstr>
      <vt:lpstr>cargo_analista_menor_salario</vt:lpstr>
      <vt:lpstr>cargo_assistente</vt:lpstr>
      <vt:lpstr>cargo_assistente_maior_idade</vt:lpstr>
      <vt:lpstr>cargo_assistente_maior_salario</vt:lpstr>
      <vt:lpstr>cargo_assistente_menor_idade</vt:lpstr>
      <vt:lpstr>cargo_assistente_menor_salario</vt:lpstr>
      <vt:lpstr>cargo_gerente</vt:lpstr>
      <vt:lpstr>cargo_gerente_maior_idade</vt:lpstr>
      <vt:lpstr>cargo_gerente_maior_salario</vt:lpstr>
      <vt:lpstr>cargo_gerente_menor_idade</vt:lpstr>
      <vt:lpstr>cargo_gerente_menor_salario</vt:lpstr>
      <vt:lpstr>cargo_tecnico</vt:lpstr>
      <vt:lpstr>cargo_tecnico_maior_idade</vt:lpstr>
      <vt:lpstr>cargo_tecnico_maior_salario</vt:lpstr>
      <vt:lpstr>cargo_tecnico_menor_idade</vt:lpstr>
      <vt:lpstr>cargo_tecnico_menor_salario</vt:lpstr>
      <vt:lpstr>Data_Nascimento</vt:lpstr>
      <vt:lpstr>dep_adm</vt:lpstr>
      <vt:lpstr>dep_adm_maior_idade</vt:lpstr>
      <vt:lpstr>dep_adm_maior_salario</vt:lpstr>
      <vt:lpstr>dep_adm_menor_idade</vt:lpstr>
      <vt:lpstr>dep_adm_menor_salario</vt:lpstr>
      <vt:lpstr>dep_fin_maior_idade</vt:lpstr>
      <vt:lpstr>dep_fin_maior_salario</vt:lpstr>
      <vt:lpstr>dep_fin_menor_idade</vt:lpstr>
      <vt:lpstr>dep_fin_menor_salario</vt:lpstr>
      <vt:lpstr>dep_inf_maior_idade</vt:lpstr>
      <vt:lpstr>dep_inf_maior_salario</vt:lpstr>
      <vt:lpstr>dep_inf_menor_idade</vt:lpstr>
      <vt:lpstr>dep_inf_menor_salario</vt:lpstr>
      <vt:lpstr>dep_RH_maior_idade</vt:lpstr>
      <vt:lpstr>dep_RH_maior_salario</vt:lpstr>
      <vt:lpstr>dep_RH_menor_idade</vt:lpstr>
      <vt:lpstr>dep_RH_menor_salario</vt:lpstr>
      <vt:lpstr>Departamento</vt:lpstr>
      <vt:lpstr>Financeiro</vt:lpstr>
      <vt:lpstr>Funcionario</vt:lpstr>
      <vt:lpstr>Idade</vt:lpstr>
      <vt:lpstr>Informática</vt:lpstr>
      <vt:lpstr>RH</vt:lpstr>
      <vt:lpstr>Salário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GUSTAVO SILVA DE OLIVEIRA</cp:lastModifiedBy>
  <dcterms:created xsi:type="dcterms:W3CDTF">2011-07-12T16:34:05Z</dcterms:created>
  <dcterms:modified xsi:type="dcterms:W3CDTF">2022-03-26T01:16:41Z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