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fif" ContentType="image/jpeg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tables/table2.xml" ContentType="application/vnd.openxmlformats-officedocument.spreadsheetml.table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hidePivotFieldList="1"/>
  <mc:AlternateContent xmlns:mc="http://schemas.openxmlformats.org/markup-compatibility/2006">
    <mc:Choice Requires="x15">
      <x15ac:absPath xmlns:x15ac="http://schemas.microsoft.com/office/spreadsheetml/2010/11/ac" url="H:\Meu Drive\Projetos ODS\Projetos\"/>
    </mc:Choice>
  </mc:AlternateContent>
  <xr:revisionPtr revIDLastSave="0" documentId="13_ncr:1_{5EE1C7BB-1117-437A-B920-AF6467F93BAD}" xr6:coauthVersionLast="43" xr6:coauthVersionMax="43" xr10:uidLastSave="{00000000-0000-0000-0000-000000000000}"/>
  <bookViews>
    <workbookView xWindow="-110" yWindow="-110" windowWidth="19420" windowHeight="10420" tabRatio="746" firstSheet="1" activeTab="4" xr2:uid="{2B4C1D25-2C3B-4AAD-8D1F-9AC16D599B40}"/>
  </bookViews>
  <sheets>
    <sheet name="Gestão com IDS e ODS" sheetId="12" r:id="rId1"/>
    <sheet name="Metas 2030" sheetId="19" r:id="rId2"/>
    <sheet name="Vantagens" sheetId="20" r:id="rId3"/>
    <sheet name="Dashboard" sheetId="16" r:id="rId4"/>
    <sheet name="Comparativo" sheetId="17" r:id="rId5"/>
    <sheet name="Tabela Dinamica" sheetId="11" r:id="rId6"/>
    <sheet name="Eixos WELL" sheetId="18" r:id="rId7"/>
    <sheet name="Econômico" sheetId="21" r:id="rId8"/>
    <sheet name="Infraestrutura" sheetId="23" r:id="rId9"/>
    <sheet name="Educação" sheetId="24" r:id="rId10"/>
    <sheet name="Saúde" sheetId="25" r:id="rId11"/>
    <sheet name="Sustentabilidade" sheetId="26" r:id="rId12"/>
    <sheet name="Transparência" sheetId="27" r:id="rId13"/>
    <sheet name="Dados Tabela Din" sheetId="4" r:id="rId14"/>
    <sheet name="ODS Municipios" sheetId="9" r:id="rId15"/>
    <sheet name="Planilha1" sheetId="22" state="hidden" r:id="rId16"/>
    <sheet name="Estudos ODS" sheetId="3" state="hidden" r:id="rId17"/>
    <sheet name="ImagensODS" sheetId="13" state="hidden" r:id="rId18"/>
    <sheet name="Tabela Dados" sheetId="6" state="hidden" r:id="rId19"/>
    <sheet name="Planejamento Estratégico " sheetId="5" state="hidden" r:id="rId20"/>
    <sheet name="Cargos e Salários" sheetId="2" state="hidden" r:id="rId21"/>
    <sheet name="Repasses Governo Fed" sheetId="8" state="hidden" r:id="rId22"/>
    <sheet name="Fontes de Estudos" sheetId="1" state="hidden" r:id="rId23"/>
  </sheets>
  <definedNames>
    <definedName name="_xlnm._FilterDatabase" localSheetId="20" hidden="1">'Cargos e Salários'!$G$2:$J$158</definedName>
    <definedName name="ImagemEscolhida">INDIRECT('Tabela Dinamica'!$AH$1)</definedName>
    <definedName name="ImagemODS_Dinamica">INDEX(ImagensODS!$B$3:$B$19,MATCH('Tabela Dinamica'!$AH$7,ImagensODS!$A$3:$A$19,0))</definedName>
    <definedName name="SegmentaçãodeDados_Nº_ODS">#N/A</definedName>
  </definedNames>
  <calcPr calcId="191029"/>
  <pivotCaches>
    <pivotCache cacheId="0" r:id="rId24"/>
  </pivotCaches>
  <extLst>
    <ext xmlns:x14="http://schemas.microsoft.com/office/spreadsheetml/2009/9/main" uri="{BBE1A952-AA13-448e-AADC-164F8A28A991}">
      <x14:slicerCaches>
        <x14:slicerCache r:id="rId2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" i="9" l="1"/>
  <c r="D28" i="9"/>
  <c r="AC3" i="9"/>
  <c r="AC4" i="9"/>
  <c r="AC5" i="9"/>
  <c r="AC6" i="9"/>
  <c r="AC7" i="9"/>
  <c r="AC8" i="9"/>
  <c r="AC9" i="9"/>
  <c r="AC10" i="9"/>
  <c r="AC11" i="9"/>
  <c r="AC12" i="9"/>
  <c r="AC13" i="9"/>
  <c r="AC14" i="9"/>
  <c r="AC15" i="9"/>
  <c r="AC16" i="9"/>
  <c r="AC17" i="9"/>
  <c r="AC18" i="9"/>
  <c r="AC19" i="9"/>
  <c r="CC22" i="4"/>
  <c r="CC5" i="4"/>
  <c r="CC6" i="4"/>
  <c r="CC7" i="4"/>
  <c r="CC8" i="4"/>
  <c r="CC9" i="4"/>
  <c r="CC10" i="4"/>
  <c r="CC11" i="4"/>
  <c r="CC12" i="4"/>
  <c r="CC13" i="4"/>
  <c r="CC14" i="4"/>
  <c r="CC15" i="4"/>
  <c r="CC16" i="4"/>
  <c r="CC17" i="4"/>
  <c r="CC18" i="4"/>
  <c r="CC19" i="4"/>
  <c r="CC20" i="4"/>
  <c r="CC4" i="4"/>
  <c r="BW24" i="4"/>
  <c r="BW23" i="4"/>
  <c r="BC22" i="4"/>
  <c r="BD22" i="4"/>
  <c r="BE22" i="4"/>
  <c r="BF22" i="4"/>
  <c r="BG22" i="4"/>
  <c r="BI22" i="4"/>
  <c r="BP22" i="4"/>
  <c r="BQ22" i="4"/>
  <c r="BR22" i="4"/>
  <c r="BS22" i="4"/>
  <c r="BT22" i="4"/>
  <c r="BU22" i="4"/>
  <c r="BW22" i="4"/>
  <c r="BY22" i="4"/>
  <c r="AS22" i="4"/>
  <c r="AT22" i="4"/>
  <c r="AU22" i="4"/>
  <c r="AV22" i="4"/>
  <c r="AX22" i="4"/>
  <c r="X1" i="9"/>
  <c r="Y1" i="9"/>
  <c r="Z1" i="9"/>
  <c r="V1" i="9"/>
  <c r="W1" i="9"/>
  <c r="AA1" i="9"/>
  <c r="AB1" i="9"/>
  <c r="AB4" i="9"/>
  <c r="AB5" i="9"/>
  <c r="AB6" i="9"/>
  <c r="AB7" i="9"/>
  <c r="AB8" i="9"/>
  <c r="AB9" i="9"/>
  <c r="AB10" i="9"/>
  <c r="AB11" i="9"/>
  <c r="AB12" i="9"/>
  <c r="AB13" i="9"/>
  <c r="AB14" i="9"/>
  <c r="AB15" i="9"/>
  <c r="AB16" i="9"/>
  <c r="AB17" i="9"/>
  <c r="AB18" i="9"/>
  <c r="AB19" i="9"/>
  <c r="AB3" i="9"/>
  <c r="C34" i="9"/>
  <c r="J204" i="4" l="1"/>
  <c r="J205" i="4"/>
  <c r="J206" i="4"/>
  <c r="J207" i="4"/>
  <c r="J203" i="4"/>
  <c r="J202" i="4"/>
  <c r="C9" i="21"/>
  <c r="B9" i="21"/>
  <c r="C8" i="27"/>
  <c r="B8" i="27"/>
  <c r="C8" i="26"/>
  <c r="B8" i="26"/>
  <c r="C8" i="25"/>
  <c r="B8" i="25"/>
  <c r="C8" i="24"/>
  <c r="B8" i="24"/>
  <c r="C8" i="21"/>
  <c r="B8" i="21"/>
  <c r="B8" i="23"/>
  <c r="C8" i="23"/>
  <c r="F56" i="22"/>
  <c r="F54" i="22"/>
  <c r="F41" i="22"/>
  <c r="E38" i="22"/>
  <c r="L32" i="22"/>
  <c r="J32" i="22"/>
  <c r="H32" i="22"/>
  <c r="F38" i="22" l="1"/>
  <c r="F25" i="22" l="1"/>
  <c r="F16" i="22"/>
  <c r="F17" i="22"/>
  <c r="F18" i="22"/>
  <c r="F19" i="22"/>
  <c r="F20" i="22"/>
  <c r="F21" i="22"/>
  <c r="F15" i="22"/>
  <c r="D12" i="22"/>
  <c r="M25" i="22"/>
  <c r="J27" i="22"/>
  <c r="M22" i="22"/>
  <c r="G21" i="22"/>
  <c r="M16" i="22"/>
  <c r="M15" i="22"/>
  <c r="K14" i="22"/>
  <c r="K11" i="22"/>
  <c r="M5" i="22"/>
  <c r="K5" i="22"/>
  <c r="J5" i="22"/>
  <c r="I5" i="22"/>
  <c r="F80" i="11" l="1"/>
  <c r="D85" i="11"/>
  <c r="D84" i="11"/>
  <c r="D40" i="17" s="1"/>
  <c r="D83" i="11"/>
  <c r="D39" i="17" s="1"/>
  <c r="D82" i="11"/>
  <c r="D38" i="17" s="1"/>
  <c r="D81" i="11"/>
  <c r="D41" i="17" s="1"/>
  <c r="D80" i="11"/>
  <c r="D79" i="11"/>
  <c r="D37" i="17" s="1"/>
  <c r="D78" i="11"/>
  <c r="E78" i="11"/>
  <c r="E79" i="11"/>
  <c r="E80" i="11"/>
  <c r="E81" i="11"/>
  <c r="E82" i="11"/>
  <c r="E83" i="11"/>
  <c r="E84" i="11"/>
  <c r="E85" i="11"/>
  <c r="E77" i="11"/>
  <c r="D77" i="11"/>
  <c r="D36" i="17" s="1"/>
  <c r="G57" i="11"/>
  <c r="G84" i="11" s="1"/>
  <c r="F57" i="11"/>
  <c r="F85" i="11" s="1"/>
  <c r="E1" i="9"/>
  <c r="F1" i="9"/>
  <c r="G1" i="9"/>
  <c r="H1" i="9"/>
  <c r="C1" i="9"/>
  <c r="J1" i="9"/>
  <c r="K1" i="9"/>
  <c r="L1" i="9"/>
  <c r="M1" i="9"/>
  <c r="N1" i="9"/>
  <c r="O1" i="9"/>
  <c r="P1" i="9"/>
  <c r="Q1" i="9"/>
  <c r="R1" i="9"/>
  <c r="I1" i="9"/>
  <c r="D13" i="17"/>
  <c r="C13" i="17"/>
  <c r="F77" i="11" l="1"/>
  <c r="J36" i="17" s="1"/>
  <c r="F81" i="11"/>
  <c r="J41" i="17" s="1"/>
  <c r="F78" i="11"/>
  <c r="F82" i="11"/>
  <c r="J38" i="17" s="1"/>
  <c r="F79" i="11"/>
  <c r="J37" i="17" s="1"/>
  <c r="F83" i="11"/>
  <c r="J39" i="17" s="1"/>
  <c r="F84" i="11"/>
  <c r="J40" i="17" s="1"/>
  <c r="H84" i="11"/>
  <c r="P40" i="17" s="1"/>
  <c r="M40" i="17"/>
  <c r="G77" i="11"/>
  <c r="G81" i="11"/>
  <c r="G85" i="11"/>
  <c r="H85" i="11" s="1"/>
  <c r="G78" i="11"/>
  <c r="G82" i="11"/>
  <c r="G79" i="11"/>
  <c r="G83" i="11"/>
  <c r="G80" i="11"/>
  <c r="H80" i="11" s="1"/>
  <c r="F39" i="11"/>
  <c r="G39" i="11" s="1"/>
  <c r="F59" i="11"/>
  <c r="E43" i="11"/>
  <c r="E42" i="11"/>
  <c r="F58" i="11"/>
  <c r="F61" i="11"/>
  <c r="F62" i="11"/>
  <c r="F65" i="11"/>
  <c r="F66" i="11"/>
  <c r="F68" i="11"/>
  <c r="F69" i="11"/>
  <c r="F70" i="11"/>
  <c r="F72" i="11"/>
  <c r="F73" i="11"/>
  <c r="F74" i="11"/>
  <c r="E50" i="11"/>
  <c r="E49" i="11"/>
  <c r="E48" i="11"/>
  <c r="E47" i="11"/>
  <c r="E46" i="11"/>
  <c r="E45" i="11"/>
  <c r="E44" i="11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C28" i="9"/>
  <c r="H78" i="11" l="1"/>
  <c r="M39" i="17"/>
  <c r="H83" i="11"/>
  <c r="P39" i="17" s="1"/>
  <c r="H79" i="11"/>
  <c r="P37" i="17" s="1"/>
  <c r="M37" i="17"/>
  <c r="H81" i="11"/>
  <c r="P41" i="17" s="1"/>
  <c r="M41" i="17"/>
  <c r="M38" i="17"/>
  <c r="H82" i="11"/>
  <c r="P38" i="17" s="1"/>
  <c r="H77" i="11"/>
  <c r="P36" i="17" s="1"/>
  <c r="M36" i="17"/>
  <c r="J22" i="17"/>
  <c r="J31" i="17"/>
  <c r="J26" i="17"/>
  <c r="J19" i="17"/>
  <c r="J30" i="17"/>
  <c r="J25" i="17"/>
  <c r="J18" i="17"/>
  <c r="J16" i="17"/>
  <c r="J27" i="17"/>
  <c r="J29" i="17"/>
  <c r="J23" i="17"/>
  <c r="J15" i="17"/>
  <c r="F64" i="11"/>
  <c r="F60" i="11"/>
  <c r="F71" i="11"/>
  <c r="F67" i="11"/>
  <c r="F63" i="11"/>
  <c r="B2" i="11"/>
  <c r="J24" i="17" l="1"/>
  <c r="J28" i="17"/>
  <c r="J17" i="17"/>
  <c r="J20" i="17"/>
  <c r="J21" i="17"/>
  <c r="AL4" i="11"/>
  <c r="I8" i="13"/>
  <c r="AH1" i="11"/>
  <c r="I2" i="6" l="1"/>
  <c r="D2" i="6"/>
  <c r="A2" i="11"/>
  <c r="B4" i="9"/>
  <c r="E59" i="11" s="1"/>
  <c r="D16" i="17" s="1"/>
  <c r="B5" i="9"/>
  <c r="E60" i="11" s="1"/>
  <c r="D17" i="17" s="1"/>
  <c r="B6" i="9"/>
  <c r="E61" i="11" s="1"/>
  <c r="D18" i="17" s="1"/>
  <c r="B7" i="9"/>
  <c r="E62" i="11" s="1"/>
  <c r="D19" i="17" s="1"/>
  <c r="B8" i="9"/>
  <c r="E63" i="11" s="1"/>
  <c r="D20" i="17" s="1"/>
  <c r="B9" i="9"/>
  <c r="E64" i="11" s="1"/>
  <c r="D21" i="17" s="1"/>
  <c r="B10" i="9"/>
  <c r="E65" i="11" s="1"/>
  <c r="D22" i="17" s="1"/>
  <c r="B11" i="9"/>
  <c r="E66" i="11" s="1"/>
  <c r="D23" i="17" s="1"/>
  <c r="B12" i="9"/>
  <c r="E67" i="11" s="1"/>
  <c r="D24" i="17" s="1"/>
  <c r="B13" i="9"/>
  <c r="E68" i="11" s="1"/>
  <c r="D25" i="17" s="1"/>
  <c r="B14" i="9"/>
  <c r="E69" i="11" s="1"/>
  <c r="D26" i="17" s="1"/>
  <c r="B15" i="9"/>
  <c r="E70" i="11" s="1"/>
  <c r="D27" i="17" s="1"/>
  <c r="B16" i="9"/>
  <c r="E71" i="11" s="1"/>
  <c r="D28" i="17" s="1"/>
  <c r="B17" i="9"/>
  <c r="E72" i="11" s="1"/>
  <c r="D29" i="17" s="1"/>
  <c r="B18" i="9"/>
  <c r="E73" i="11" s="1"/>
  <c r="D30" i="17" s="1"/>
  <c r="B19" i="9"/>
  <c r="E74" i="11" s="1"/>
  <c r="D31" i="17" s="1"/>
  <c r="B3" i="9"/>
  <c r="E58" i="11" s="1"/>
  <c r="D15" i="17" s="1"/>
  <c r="A4" i="9"/>
  <c r="D59" i="11" s="1"/>
  <c r="C16" i="17" s="1"/>
  <c r="A5" i="9"/>
  <c r="D60" i="11" s="1"/>
  <c r="C17" i="17" s="1"/>
  <c r="A6" i="9"/>
  <c r="D61" i="11" s="1"/>
  <c r="C18" i="17" s="1"/>
  <c r="A7" i="9"/>
  <c r="D62" i="11" s="1"/>
  <c r="C19" i="17" s="1"/>
  <c r="A8" i="9"/>
  <c r="D63" i="11" s="1"/>
  <c r="C20" i="17" s="1"/>
  <c r="A9" i="9"/>
  <c r="D64" i="11" s="1"/>
  <c r="C21" i="17" s="1"/>
  <c r="A10" i="9"/>
  <c r="D65" i="11" s="1"/>
  <c r="C22" i="17" s="1"/>
  <c r="A11" i="9"/>
  <c r="D66" i="11" s="1"/>
  <c r="C23" i="17" s="1"/>
  <c r="A12" i="9"/>
  <c r="D67" i="11" s="1"/>
  <c r="C24" i="17" s="1"/>
  <c r="A13" i="9"/>
  <c r="D68" i="11" s="1"/>
  <c r="C25" i="17" s="1"/>
  <c r="A14" i="9"/>
  <c r="D69" i="11" s="1"/>
  <c r="C26" i="17" s="1"/>
  <c r="A15" i="9"/>
  <c r="D70" i="11" s="1"/>
  <c r="C27" i="17" s="1"/>
  <c r="A16" i="9"/>
  <c r="D71" i="11" s="1"/>
  <c r="C28" i="17" s="1"/>
  <c r="A17" i="9"/>
  <c r="D72" i="11" s="1"/>
  <c r="C29" i="17" s="1"/>
  <c r="A18" i="9"/>
  <c r="D73" i="11" s="1"/>
  <c r="C30" i="17" s="1"/>
  <c r="A19" i="9"/>
  <c r="D74" i="11" s="1"/>
  <c r="C31" i="17" s="1"/>
  <c r="A3" i="9"/>
  <c r="D58" i="11" s="1"/>
  <c r="C15" i="17" s="1"/>
  <c r="BY5" i="4"/>
  <c r="BY6" i="4"/>
  <c r="BY7" i="4"/>
  <c r="BY8" i="4"/>
  <c r="BY9" i="4"/>
  <c r="BY10" i="4"/>
  <c r="BY11" i="4"/>
  <c r="BY12" i="4"/>
  <c r="BY13" i="4"/>
  <c r="BY14" i="4"/>
  <c r="BY15" i="4"/>
  <c r="BY16" i="4"/>
  <c r="BY17" i="4"/>
  <c r="BY18" i="4"/>
  <c r="BY19" i="4"/>
  <c r="BY20" i="4"/>
  <c r="BY23" i="4"/>
  <c r="BY2" i="4"/>
  <c r="BY4" i="4"/>
  <c r="BW2" i="4"/>
  <c r="BW5" i="4"/>
  <c r="BW6" i="4"/>
  <c r="BW7" i="4"/>
  <c r="BW8" i="4"/>
  <c r="BW9" i="4"/>
  <c r="BW10" i="4"/>
  <c r="BW11" i="4"/>
  <c r="BW12" i="4"/>
  <c r="BW13" i="4"/>
  <c r="BW14" i="4"/>
  <c r="BW15" i="4"/>
  <c r="BW16" i="4"/>
  <c r="BW17" i="4"/>
  <c r="BW18" i="4"/>
  <c r="BW19" i="4"/>
  <c r="BW20" i="4"/>
  <c r="BW4" i="4"/>
  <c r="R34" i="11" l="1"/>
  <c r="R41" i="11"/>
  <c r="R38" i="11"/>
  <c r="D2" i="11"/>
  <c r="F34" i="11"/>
  <c r="AH7" i="11"/>
  <c r="L2" i="11"/>
  <c r="BI23" i="4" l="1"/>
  <c r="BI5" i="4"/>
  <c r="H5" i="4" s="1"/>
  <c r="BI6" i="4"/>
  <c r="BI7" i="4"/>
  <c r="H7" i="4" s="1"/>
  <c r="BI8" i="4"/>
  <c r="H8" i="4" s="1"/>
  <c r="BI9" i="4"/>
  <c r="H9" i="4" s="1"/>
  <c r="BI10" i="4"/>
  <c r="BI11" i="4"/>
  <c r="H11" i="4" s="1"/>
  <c r="BI12" i="4"/>
  <c r="H12" i="4" s="1"/>
  <c r="BI13" i="4"/>
  <c r="H13" i="4" s="1"/>
  <c r="BI14" i="4"/>
  <c r="H14" i="4" s="1"/>
  <c r="BI15" i="4"/>
  <c r="H15" i="4" s="1"/>
  <c r="BI16" i="4"/>
  <c r="H16" i="4" s="1"/>
  <c r="BI17" i="4"/>
  <c r="H17" i="4" s="1"/>
  <c r="BI18" i="4"/>
  <c r="H18" i="4" s="1"/>
  <c r="BI19" i="4"/>
  <c r="H19" i="4" s="1"/>
  <c r="BI20" i="4"/>
  <c r="H20" i="4" s="1"/>
  <c r="BI4" i="4"/>
  <c r="H4" i="4" s="1"/>
  <c r="H6" i="4"/>
  <c r="H10" i="4"/>
  <c r="BI2" i="4"/>
  <c r="AX2" i="4"/>
  <c r="AX23" i="4"/>
  <c r="AX5" i="4"/>
  <c r="G5" i="4" s="1"/>
  <c r="AX6" i="4"/>
  <c r="G6" i="4" s="1"/>
  <c r="AX7" i="4"/>
  <c r="G7" i="4" s="1"/>
  <c r="AX8" i="4"/>
  <c r="G8" i="4" s="1"/>
  <c r="AX9" i="4"/>
  <c r="G9" i="4" s="1"/>
  <c r="AX10" i="4"/>
  <c r="G10" i="4" s="1"/>
  <c r="AX11" i="4"/>
  <c r="G11" i="4" s="1"/>
  <c r="AX12" i="4"/>
  <c r="G12" i="4" s="1"/>
  <c r="AX13" i="4"/>
  <c r="G13" i="4" s="1"/>
  <c r="AX14" i="4"/>
  <c r="G14" i="4" s="1"/>
  <c r="AX15" i="4"/>
  <c r="G15" i="4" s="1"/>
  <c r="AX16" i="4"/>
  <c r="G16" i="4" s="1"/>
  <c r="AX17" i="4"/>
  <c r="G17" i="4" s="1"/>
  <c r="AX18" i="4"/>
  <c r="G18" i="4" s="1"/>
  <c r="AX19" i="4"/>
  <c r="G19" i="4" s="1"/>
  <c r="AX20" i="4"/>
  <c r="G20" i="4" s="1"/>
  <c r="AX4" i="4"/>
  <c r="G4" i="4" s="1"/>
  <c r="G30" i="8" l="1"/>
  <c r="G31" i="8"/>
  <c r="G32" i="8"/>
  <c r="G33" i="8"/>
  <c r="G34" i="8"/>
  <c r="G35" i="8"/>
  <c r="G36" i="8"/>
  <c r="G37" i="8"/>
  <c r="G38" i="8"/>
  <c r="G39" i="8"/>
  <c r="G40" i="8"/>
  <c r="G29" i="8"/>
  <c r="G28" i="8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M34" i="4" a="1"/>
  <c r="B5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E3" i="6"/>
  <c r="F3" i="6"/>
  <c r="K3" i="6" s="1"/>
  <c r="G3" i="6"/>
  <c r="H3" i="6"/>
  <c r="I3" i="6"/>
  <c r="E4" i="6"/>
  <c r="F4" i="6"/>
  <c r="K4" i="6" s="1"/>
  <c r="G4" i="6"/>
  <c r="H4" i="6"/>
  <c r="I4" i="6"/>
  <c r="E5" i="6"/>
  <c r="F5" i="6"/>
  <c r="K5" i="6" s="1"/>
  <c r="G5" i="6"/>
  <c r="H5" i="6"/>
  <c r="I5" i="6"/>
  <c r="E6" i="6"/>
  <c r="F6" i="6"/>
  <c r="K6" i="6" s="1"/>
  <c r="G6" i="6"/>
  <c r="H6" i="6"/>
  <c r="I6" i="6"/>
  <c r="E7" i="6"/>
  <c r="F7" i="6"/>
  <c r="K7" i="6" s="1"/>
  <c r="G7" i="6"/>
  <c r="H7" i="6"/>
  <c r="I7" i="6"/>
  <c r="E8" i="6"/>
  <c r="F8" i="6"/>
  <c r="K8" i="6" s="1"/>
  <c r="G8" i="6"/>
  <c r="H8" i="6"/>
  <c r="I8" i="6"/>
  <c r="E9" i="6"/>
  <c r="F9" i="6"/>
  <c r="K9" i="6" s="1"/>
  <c r="G9" i="6"/>
  <c r="H9" i="6"/>
  <c r="I9" i="6"/>
  <c r="E10" i="6"/>
  <c r="F10" i="6"/>
  <c r="K10" i="6" s="1"/>
  <c r="G10" i="6"/>
  <c r="H10" i="6"/>
  <c r="I10" i="6"/>
  <c r="E11" i="6"/>
  <c r="F11" i="6"/>
  <c r="K11" i="6" s="1"/>
  <c r="G11" i="6"/>
  <c r="H11" i="6"/>
  <c r="I11" i="6"/>
  <c r="E12" i="6"/>
  <c r="F12" i="6"/>
  <c r="K12" i="6" s="1"/>
  <c r="G12" i="6"/>
  <c r="H12" i="6"/>
  <c r="I12" i="6"/>
  <c r="E13" i="6"/>
  <c r="F13" i="6"/>
  <c r="K13" i="6" s="1"/>
  <c r="G13" i="6"/>
  <c r="H13" i="6"/>
  <c r="I13" i="6"/>
  <c r="E14" i="6"/>
  <c r="F14" i="6"/>
  <c r="K14" i="6" s="1"/>
  <c r="G14" i="6"/>
  <c r="H14" i="6"/>
  <c r="I14" i="6"/>
  <c r="E15" i="6"/>
  <c r="F15" i="6"/>
  <c r="K15" i="6" s="1"/>
  <c r="G15" i="6"/>
  <c r="H15" i="6"/>
  <c r="I15" i="6"/>
  <c r="E16" i="6"/>
  <c r="F16" i="6"/>
  <c r="K16" i="6" s="1"/>
  <c r="G16" i="6"/>
  <c r="H16" i="6"/>
  <c r="I16" i="6"/>
  <c r="E17" i="6"/>
  <c r="F17" i="6"/>
  <c r="K17" i="6" s="1"/>
  <c r="G17" i="6"/>
  <c r="H17" i="6"/>
  <c r="I17" i="6"/>
  <c r="E18" i="6"/>
  <c r="F18" i="6"/>
  <c r="K18" i="6" s="1"/>
  <c r="G18" i="6"/>
  <c r="H18" i="6"/>
  <c r="I18" i="6"/>
  <c r="E19" i="6"/>
  <c r="F19" i="6"/>
  <c r="K19" i="6" s="1"/>
  <c r="G19" i="6"/>
  <c r="H19" i="6"/>
  <c r="I19" i="6"/>
  <c r="E20" i="6"/>
  <c r="F20" i="6"/>
  <c r="K20" i="6" s="1"/>
  <c r="G20" i="6"/>
  <c r="H20" i="6"/>
  <c r="I20" i="6"/>
  <c r="E21" i="6"/>
  <c r="F21" i="6"/>
  <c r="K21" i="6" s="1"/>
  <c r="G21" i="6"/>
  <c r="H21" i="6"/>
  <c r="I21" i="6"/>
  <c r="E22" i="6"/>
  <c r="F22" i="6"/>
  <c r="K22" i="6" s="1"/>
  <c r="G22" i="6"/>
  <c r="H22" i="6"/>
  <c r="I22" i="6"/>
  <c r="E23" i="6"/>
  <c r="F23" i="6"/>
  <c r="K23" i="6" s="1"/>
  <c r="G23" i="6"/>
  <c r="H23" i="6"/>
  <c r="I23" i="6"/>
  <c r="E24" i="6"/>
  <c r="F24" i="6"/>
  <c r="K24" i="6" s="1"/>
  <c r="G24" i="6"/>
  <c r="H24" i="6"/>
  <c r="I24" i="6"/>
  <c r="E25" i="6"/>
  <c r="F25" i="6"/>
  <c r="K25" i="6" s="1"/>
  <c r="G25" i="6"/>
  <c r="H25" i="6"/>
  <c r="I25" i="6"/>
  <c r="E26" i="6"/>
  <c r="F26" i="6"/>
  <c r="K26" i="6" s="1"/>
  <c r="G26" i="6"/>
  <c r="H26" i="6"/>
  <c r="I26" i="6"/>
  <c r="E27" i="6"/>
  <c r="F27" i="6"/>
  <c r="K27" i="6" s="1"/>
  <c r="G27" i="6"/>
  <c r="H27" i="6"/>
  <c r="I27" i="6"/>
  <c r="E28" i="6"/>
  <c r="F28" i="6"/>
  <c r="K28" i="6" s="1"/>
  <c r="G28" i="6"/>
  <c r="H28" i="6"/>
  <c r="I28" i="6"/>
  <c r="E29" i="6"/>
  <c r="F29" i="6"/>
  <c r="K29" i="6" s="1"/>
  <c r="G29" i="6"/>
  <c r="H29" i="6"/>
  <c r="I29" i="6"/>
  <c r="E30" i="6"/>
  <c r="F30" i="6"/>
  <c r="K30" i="6" s="1"/>
  <c r="G30" i="6"/>
  <c r="H30" i="6"/>
  <c r="I30" i="6"/>
  <c r="E31" i="6"/>
  <c r="F31" i="6"/>
  <c r="K31" i="6" s="1"/>
  <c r="G31" i="6"/>
  <c r="H31" i="6"/>
  <c r="I31" i="6"/>
  <c r="E32" i="6"/>
  <c r="F32" i="6"/>
  <c r="K32" i="6" s="1"/>
  <c r="G32" i="6"/>
  <c r="H32" i="6"/>
  <c r="I32" i="6"/>
  <c r="E33" i="6"/>
  <c r="F33" i="6"/>
  <c r="K33" i="6" s="1"/>
  <c r="G33" i="6"/>
  <c r="H33" i="6"/>
  <c r="I33" i="6"/>
  <c r="E34" i="6"/>
  <c r="F34" i="6"/>
  <c r="K34" i="6" s="1"/>
  <c r="G34" i="6"/>
  <c r="H34" i="6"/>
  <c r="I34" i="6"/>
  <c r="E35" i="6"/>
  <c r="F35" i="6"/>
  <c r="K35" i="6" s="1"/>
  <c r="G35" i="6"/>
  <c r="H35" i="6"/>
  <c r="I35" i="6"/>
  <c r="E36" i="6"/>
  <c r="F36" i="6"/>
  <c r="K36" i="6" s="1"/>
  <c r="G36" i="6"/>
  <c r="H36" i="6"/>
  <c r="I36" i="6"/>
  <c r="E37" i="6"/>
  <c r="F37" i="6"/>
  <c r="K37" i="6" s="1"/>
  <c r="G37" i="6"/>
  <c r="H37" i="6"/>
  <c r="I37" i="6"/>
  <c r="E38" i="6"/>
  <c r="F38" i="6"/>
  <c r="K38" i="6" s="1"/>
  <c r="G38" i="6"/>
  <c r="H38" i="6"/>
  <c r="I38" i="6"/>
  <c r="E39" i="6"/>
  <c r="F39" i="6"/>
  <c r="K39" i="6" s="1"/>
  <c r="G39" i="6"/>
  <c r="H39" i="6"/>
  <c r="I39" i="6"/>
  <c r="E40" i="6"/>
  <c r="F40" i="6"/>
  <c r="K40" i="6" s="1"/>
  <c r="G40" i="6"/>
  <c r="H40" i="6"/>
  <c r="I40" i="6"/>
  <c r="E41" i="6"/>
  <c r="F41" i="6"/>
  <c r="K41" i="6" s="1"/>
  <c r="G41" i="6"/>
  <c r="H41" i="6"/>
  <c r="I41" i="6"/>
  <c r="E42" i="6"/>
  <c r="F42" i="6"/>
  <c r="K42" i="6" s="1"/>
  <c r="G42" i="6"/>
  <c r="H42" i="6"/>
  <c r="I42" i="6"/>
  <c r="E43" i="6"/>
  <c r="F43" i="6"/>
  <c r="K43" i="6" s="1"/>
  <c r="G43" i="6"/>
  <c r="H43" i="6"/>
  <c r="I43" i="6"/>
  <c r="E44" i="6"/>
  <c r="F44" i="6"/>
  <c r="K44" i="6" s="1"/>
  <c r="G44" i="6"/>
  <c r="H44" i="6"/>
  <c r="I44" i="6"/>
  <c r="E45" i="6"/>
  <c r="F45" i="6"/>
  <c r="K45" i="6" s="1"/>
  <c r="G45" i="6"/>
  <c r="H45" i="6"/>
  <c r="I45" i="6"/>
  <c r="E46" i="6"/>
  <c r="F46" i="6"/>
  <c r="K46" i="6" s="1"/>
  <c r="G46" i="6"/>
  <c r="H46" i="6"/>
  <c r="I46" i="6"/>
  <c r="E47" i="6"/>
  <c r="F47" i="6"/>
  <c r="K47" i="6" s="1"/>
  <c r="G47" i="6"/>
  <c r="H47" i="6"/>
  <c r="I47" i="6"/>
  <c r="E48" i="6"/>
  <c r="F48" i="6"/>
  <c r="K48" i="6" s="1"/>
  <c r="G48" i="6"/>
  <c r="H48" i="6"/>
  <c r="I48" i="6"/>
  <c r="E49" i="6"/>
  <c r="F49" i="6"/>
  <c r="K49" i="6" s="1"/>
  <c r="G49" i="6"/>
  <c r="H49" i="6"/>
  <c r="I49" i="6"/>
  <c r="E50" i="6"/>
  <c r="F50" i="6"/>
  <c r="K50" i="6" s="1"/>
  <c r="G50" i="6"/>
  <c r="H50" i="6"/>
  <c r="I50" i="6"/>
  <c r="E51" i="6"/>
  <c r="F51" i="6"/>
  <c r="K51" i="6" s="1"/>
  <c r="G51" i="6"/>
  <c r="H51" i="6"/>
  <c r="I51" i="6"/>
  <c r="E52" i="6"/>
  <c r="F52" i="6"/>
  <c r="K52" i="6" s="1"/>
  <c r="G52" i="6"/>
  <c r="H52" i="6"/>
  <c r="I52" i="6"/>
  <c r="E53" i="6"/>
  <c r="F53" i="6"/>
  <c r="K53" i="6" s="1"/>
  <c r="G53" i="6"/>
  <c r="H53" i="6"/>
  <c r="I53" i="6"/>
  <c r="E54" i="6"/>
  <c r="F54" i="6"/>
  <c r="K54" i="6" s="1"/>
  <c r="G54" i="6"/>
  <c r="H54" i="6"/>
  <c r="I54" i="6"/>
  <c r="E55" i="6"/>
  <c r="F55" i="6"/>
  <c r="K55" i="6" s="1"/>
  <c r="G55" i="6"/>
  <c r="H55" i="6"/>
  <c r="I55" i="6"/>
  <c r="E56" i="6"/>
  <c r="F56" i="6"/>
  <c r="K56" i="6" s="1"/>
  <c r="G56" i="6"/>
  <c r="H56" i="6"/>
  <c r="I56" i="6"/>
  <c r="E57" i="6"/>
  <c r="F57" i="6"/>
  <c r="K57" i="6" s="1"/>
  <c r="G57" i="6"/>
  <c r="H57" i="6"/>
  <c r="I57" i="6"/>
  <c r="E58" i="6"/>
  <c r="F58" i="6"/>
  <c r="K58" i="6" s="1"/>
  <c r="G58" i="6"/>
  <c r="H58" i="6"/>
  <c r="I58" i="6"/>
  <c r="E59" i="6"/>
  <c r="F59" i="6"/>
  <c r="K59" i="6" s="1"/>
  <c r="G59" i="6"/>
  <c r="H59" i="6"/>
  <c r="I59" i="6"/>
  <c r="E60" i="6"/>
  <c r="F60" i="6"/>
  <c r="K60" i="6" s="1"/>
  <c r="G60" i="6"/>
  <c r="H60" i="6"/>
  <c r="I60" i="6"/>
  <c r="E61" i="6"/>
  <c r="F61" i="6"/>
  <c r="K61" i="6" s="1"/>
  <c r="G61" i="6"/>
  <c r="H61" i="6"/>
  <c r="I61" i="6"/>
  <c r="E62" i="6"/>
  <c r="F62" i="6"/>
  <c r="K62" i="6" s="1"/>
  <c r="G62" i="6"/>
  <c r="H62" i="6"/>
  <c r="I62" i="6"/>
  <c r="E63" i="6"/>
  <c r="F63" i="6"/>
  <c r="K63" i="6" s="1"/>
  <c r="G63" i="6"/>
  <c r="H63" i="6"/>
  <c r="I63" i="6"/>
  <c r="E64" i="6"/>
  <c r="F64" i="6"/>
  <c r="K64" i="6" s="1"/>
  <c r="G64" i="6"/>
  <c r="H64" i="6"/>
  <c r="I64" i="6"/>
  <c r="E65" i="6"/>
  <c r="F65" i="6"/>
  <c r="K65" i="6" s="1"/>
  <c r="G65" i="6"/>
  <c r="H65" i="6"/>
  <c r="I65" i="6"/>
  <c r="E66" i="6"/>
  <c r="F66" i="6"/>
  <c r="K66" i="6" s="1"/>
  <c r="G66" i="6"/>
  <c r="H66" i="6"/>
  <c r="I66" i="6"/>
  <c r="E67" i="6"/>
  <c r="F67" i="6"/>
  <c r="K67" i="6" s="1"/>
  <c r="G67" i="6"/>
  <c r="H67" i="6"/>
  <c r="I67" i="6"/>
  <c r="E68" i="6"/>
  <c r="F68" i="6"/>
  <c r="K68" i="6" s="1"/>
  <c r="G68" i="6"/>
  <c r="H68" i="6"/>
  <c r="I68" i="6"/>
  <c r="E69" i="6"/>
  <c r="F69" i="6"/>
  <c r="K69" i="6" s="1"/>
  <c r="G69" i="6"/>
  <c r="H69" i="6"/>
  <c r="I69" i="6"/>
  <c r="E70" i="6"/>
  <c r="F70" i="6"/>
  <c r="K70" i="6" s="1"/>
  <c r="G70" i="6"/>
  <c r="H70" i="6"/>
  <c r="I70" i="6"/>
  <c r="E71" i="6"/>
  <c r="F71" i="6"/>
  <c r="K71" i="6" s="1"/>
  <c r="G71" i="6"/>
  <c r="H71" i="6"/>
  <c r="I71" i="6"/>
  <c r="E72" i="6"/>
  <c r="F72" i="6"/>
  <c r="K72" i="6" s="1"/>
  <c r="G72" i="6"/>
  <c r="H72" i="6"/>
  <c r="I72" i="6"/>
  <c r="E73" i="6"/>
  <c r="F73" i="6"/>
  <c r="K73" i="6" s="1"/>
  <c r="G73" i="6"/>
  <c r="H73" i="6"/>
  <c r="I73" i="6"/>
  <c r="E74" i="6"/>
  <c r="F74" i="6"/>
  <c r="K74" i="6" s="1"/>
  <c r="G74" i="6"/>
  <c r="H74" i="6"/>
  <c r="I74" i="6"/>
  <c r="E75" i="6"/>
  <c r="F75" i="6"/>
  <c r="K75" i="6" s="1"/>
  <c r="G75" i="6"/>
  <c r="H75" i="6"/>
  <c r="I75" i="6"/>
  <c r="E76" i="6"/>
  <c r="F76" i="6"/>
  <c r="K76" i="6" s="1"/>
  <c r="G76" i="6"/>
  <c r="H76" i="6"/>
  <c r="I76" i="6"/>
  <c r="E77" i="6"/>
  <c r="F77" i="6"/>
  <c r="K77" i="6" s="1"/>
  <c r="G77" i="6"/>
  <c r="H77" i="6"/>
  <c r="I77" i="6"/>
  <c r="E78" i="6"/>
  <c r="F78" i="6"/>
  <c r="K78" i="6" s="1"/>
  <c r="G78" i="6"/>
  <c r="H78" i="6"/>
  <c r="I78" i="6"/>
  <c r="E79" i="6"/>
  <c r="F79" i="6"/>
  <c r="K79" i="6" s="1"/>
  <c r="G79" i="6"/>
  <c r="H79" i="6"/>
  <c r="I79" i="6"/>
  <c r="E80" i="6"/>
  <c r="F80" i="6"/>
  <c r="K80" i="6" s="1"/>
  <c r="G80" i="6"/>
  <c r="H80" i="6"/>
  <c r="I80" i="6"/>
  <c r="E81" i="6"/>
  <c r="F81" i="6"/>
  <c r="K81" i="6" s="1"/>
  <c r="G81" i="6"/>
  <c r="H81" i="6"/>
  <c r="I81" i="6"/>
  <c r="E82" i="6"/>
  <c r="F82" i="6"/>
  <c r="K82" i="6" s="1"/>
  <c r="G82" i="6"/>
  <c r="H82" i="6"/>
  <c r="I82" i="6"/>
  <c r="E83" i="6"/>
  <c r="F83" i="6"/>
  <c r="K83" i="6" s="1"/>
  <c r="G83" i="6"/>
  <c r="H83" i="6"/>
  <c r="I83" i="6"/>
  <c r="E84" i="6"/>
  <c r="F84" i="6"/>
  <c r="K84" i="6" s="1"/>
  <c r="G84" i="6"/>
  <c r="H84" i="6"/>
  <c r="I84" i="6"/>
  <c r="E85" i="6"/>
  <c r="F85" i="6"/>
  <c r="K85" i="6" s="1"/>
  <c r="G85" i="6"/>
  <c r="H85" i="6"/>
  <c r="I85" i="6"/>
  <c r="E86" i="6"/>
  <c r="F86" i="6"/>
  <c r="K86" i="6" s="1"/>
  <c r="G86" i="6"/>
  <c r="H86" i="6"/>
  <c r="I86" i="6"/>
  <c r="E87" i="6"/>
  <c r="F87" i="6"/>
  <c r="K87" i="6" s="1"/>
  <c r="G87" i="6"/>
  <c r="H87" i="6"/>
  <c r="I87" i="6"/>
  <c r="E88" i="6"/>
  <c r="F88" i="6"/>
  <c r="K88" i="6" s="1"/>
  <c r="G88" i="6"/>
  <c r="H88" i="6"/>
  <c r="I88" i="6"/>
  <c r="E89" i="6"/>
  <c r="F89" i="6"/>
  <c r="K89" i="6" s="1"/>
  <c r="G89" i="6"/>
  <c r="H89" i="6"/>
  <c r="I89" i="6"/>
  <c r="E90" i="6"/>
  <c r="F90" i="6"/>
  <c r="K90" i="6" s="1"/>
  <c r="G90" i="6"/>
  <c r="H90" i="6"/>
  <c r="I90" i="6"/>
  <c r="E91" i="6"/>
  <c r="F91" i="6"/>
  <c r="K91" i="6" s="1"/>
  <c r="G91" i="6"/>
  <c r="H91" i="6"/>
  <c r="I91" i="6"/>
  <c r="E92" i="6"/>
  <c r="F92" i="6"/>
  <c r="K92" i="6" s="1"/>
  <c r="G92" i="6"/>
  <c r="H92" i="6"/>
  <c r="I92" i="6"/>
  <c r="E93" i="6"/>
  <c r="F93" i="6"/>
  <c r="K93" i="6" s="1"/>
  <c r="G93" i="6"/>
  <c r="H93" i="6"/>
  <c r="I93" i="6"/>
  <c r="E94" i="6"/>
  <c r="F94" i="6"/>
  <c r="K94" i="6" s="1"/>
  <c r="G94" i="6"/>
  <c r="H94" i="6"/>
  <c r="I94" i="6"/>
  <c r="E95" i="6"/>
  <c r="F95" i="6"/>
  <c r="K95" i="6" s="1"/>
  <c r="G95" i="6"/>
  <c r="H95" i="6"/>
  <c r="I95" i="6"/>
  <c r="E96" i="6"/>
  <c r="F96" i="6"/>
  <c r="K96" i="6" s="1"/>
  <c r="G96" i="6"/>
  <c r="H96" i="6"/>
  <c r="I96" i="6"/>
  <c r="E97" i="6"/>
  <c r="F97" i="6"/>
  <c r="K97" i="6" s="1"/>
  <c r="G97" i="6"/>
  <c r="H97" i="6"/>
  <c r="I97" i="6"/>
  <c r="E98" i="6"/>
  <c r="F98" i="6"/>
  <c r="K98" i="6" s="1"/>
  <c r="G98" i="6"/>
  <c r="H98" i="6"/>
  <c r="I98" i="6"/>
  <c r="E99" i="6"/>
  <c r="F99" i="6"/>
  <c r="K99" i="6" s="1"/>
  <c r="G99" i="6"/>
  <c r="H99" i="6"/>
  <c r="I99" i="6"/>
  <c r="E100" i="6"/>
  <c r="F100" i="6"/>
  <c r="K100" i="6" s="1"/>
  <c r="G100" i="6"/>
  <c r="H100" i="6"/>
  <c r="I100" i="6"/>
  <c r="H2" i="6"/>
  <c r="G2" i="6"/>
  <c r="F2" i="6"/>
  <c r="K2" i="6" s="1"/>
  <c r="E2" i="6"/>
  <c r="B3" i="6"/>
  <c r="B4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2" i="6"/>
  <c r="I206" i="2"/>
  <c r="H206" i="2"/>
  <c r="G3" i="2" a="1"/>
  <c r="G3" i="2" s="1"/>
  <c r="M34" i="4" l="1"/>
  <c r="N34" i="4" s="1"/>
  <c r="N6" i="2"/>
  <c r="N7" i="2"/>
  <c r="N8" i="2"/>
  <c r="N9" i="2"/>
  <c r="N5" i="2"/>
  <c r="I3" i="2"/>
  <c r="H3" i="2"/>
  <c r="J3" i="2" l="1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N46" i="4" s="1"/>
  <c r="M45" i="4"/>
  <c r="N45" i="4" s="1"/>
  <c r="M44" i="4"/>
  <c r="N44" i="4" s="1"/>
  <c r="M43" i="4"/>
  <c r="N43" i="4" s="1"/>
  <c r="M42" i="4"/>
  <c r="N42" i="4" s="1"/>
  <c r="M41" i="4"/>
  <c r="N41" i="4" s="1"/>
  <c r="M40" i="4"/>
  <c r="N40" i="4" s="1"/>
  <c r="M39" i="4"/>
  <c r="N39" i="4" s="1"/>
  <c r="M38" i="4"/>
  <c r="N38" i="4" s="1"/>
  <c r="M37" i="4"/>
  <c r="N37" i="4" s="1"/>
  <c r="M36" i="4"/>
  <c r="N36" i="4" s="1"/>
  <c r="M35" i="4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AL44" i="4" l="1"/>
  <c r="AL46" i="4"/>
  <c r="AL45" i="4"/>
  <c r="AL34" i="4"/>
  <c r="AL39" i="4"/>
  <c r="AL38" i="4"/>
  <c r="AL43" i="4"/>
  <c r="AL36" i="4"/>
  <c r="AL37" i="4"/>
  <c r="AL42" i="4"/>
  <c r="AL40" i="4"/>
  <c r="AL41" i="4"/>
  <c r="I10" i="2"/>
  <c r="H10" i="2"/>
  <c r="I18" i="2"/>
  <c r="H18" i="2"/>
  <c r="I26" i="2"/>
  <c r="H26" i="2"/>
  <c r="I34" i="2"/>
  <c r="H34" i="2"/>
  <c r="I38" i="2"/>
  <c r="H38" i="2"/>
  <c r="I46" i="2"/>
  <c r="H46" i="2"/>
  <c r="I50" i="2"/>
  <c r="H50" i="2"/>
  <c r="I54" i="2"/>
  <c r="H54" i="2"/>
  <c r="I58" i="2"/>
  <c r="H58" i="2"/>
  <c r="I66" i="2"/>
  <c r="H66" i="2"/>
  <c r="I70" i="2"/>
  <c r="H70" i="2"/>
  <c r="I74" i="2"/>
  <c r="H74" i="2"/>
  <c r="I78" i="2"/>
  <c r="H78" i="2"/>
  <c r="I82" i="2"/>
  <c r="H82" i="2"/>
  <c r="I86" i="2"/>
  <c r="H86" i="2"/>
  <c r="I90" i="2"/>
  <c r="H90" i="2"/>
  <c r="I94" i="2"/>
  <c r="H94" i="2"/>
  <c r="I98" i="2"/>
  <c r="H98" i="2"/>
  <c r="I102" i="2"/>
  <c r="H102" i="2"/>
  <c r="I106" i="2"/>
  <c r="H106" i="2"/>
  <c r="I110" i="2"/>
  <c r="H110" i="2"/>
  <c r="I114" i="2"/>
  <c r="H114" i="2"/>
  <c r="I118" i="2"/>
  <c r="H118" i="2"/>
  <c r="I122" i="2"/>
  <c r="H122" i="2"/>
  <c r="I126" i="2"/>
  <c r="H126" i="2"/>
  <c r="I130" i="2"/>
  <c r="H130" i="2"/>
  <c r="I134" i="2"/>
  <c r="H134" i="2"/>
  <c r="H138" i="2"/>
  <c r="I138" i="2"/>
  <c r="I142" i="2"/>
  <c r="H142" i="2"/>
  <c r="H146" i="2"/>
  <c r="I146" i="2"/>
  <c r="I150" i="2"/>
  <c r="H150" i="2"/>
  <c r="H154" i="2"/>
  <c r="I154" i="2"/>
  <c r="I6" i="2"/>
  <c r="H6" i="2"/>
  <c r="I14" i="2"/>
  <c r="H14" i="2"/>
  <c r="I22" i="2"/>
  <c r="H22" i="2"/>
  <c r="I30" i="2"/>
  <c r="H30" i="2"/>
  <c r="I42" i="2"/>
  <c r="H42" i="2"/>
  <c r="I62" i="2"/>
  <c r="H62" i="2"/>
  <c r="H11" i="2"/>
  <c r="I11" i="2"/>
  <c r="H19" i="2"/>
  <c r="I19" i="2"/>
  <c r="H27" i="2"/>
  <c r="I27" i="2"/>
  <c r="H35" i="2"/>
  <c r="I35" i="2"/>
  <c r="H43" i="2"/>
  <c r="I43" i="2"/>
  <c r="H51" i="2"/>
  <c r="I51" i="2"/>
  <c r="H59" i="2"/>
  <c r="I59" i="2"/>
  <c r="H67" i="2"/>
  <c r="I67" i="2"/>
  <c r="H75" i="2"/>
  <c r="I75" i="2"/>
  <c r="H83" i="2"/>
  <c r="I83" i="2"/>
  <c r="H91" i="2"/>
  <c r="I91" i="2"/>
  <c r="H99" i="2"/>
  <c r="I99" i="2"/>
  <c r="H107" i="2"/>
  <c r="I107" i="2"/>
  <c r="H115" i="2"/>
  <c r="I115" i="2"/>
  <c r="H123" i="2"/>
  <c r="I123" i="2"/>
  <c r="H131" i="2"/>
  <c r="I131" i="2"/>
  <c r="H135" i="2"/>
  <c r="I135" i="2"/>
  <c r="H139" i="2"/>
  <c r="I139" i="2"/>
  <c r="H147" i="2"/>
  <c r="I147" i="2"/>
  <c r="H151" i="2"/>
  <c r="I151" i="2"/>
  <c r="H155" i="2"/>
  <c r="I155" i="2"/>
  <c r="I4" i="2"/>
  <c r="H4" i="2"/>
  <c r="I8" i="2"/>
  <c r="H8" i="2"/>
  <c r="I12" i="2"/>
  <c r="H12" i="2"/>
  <c r="I16" i="2"/>
  <c r="H16" i="2"/>
  <c r="I20" i="2"/>
  <c r="H20" i="2"/>
  <c r="I24" i="2"/>
  <c r="H24" i="2"/>
  <c r="I28" i="2"/>
  <c r="H28" i="2"/>
  <c r="I32" i="2"/>
  <c r="H32" i="2"/>
  <c r="H36" i="2"/>
  <c r="I36" i="2"/>
  <c r="I40" i="2"/>
  <c r="H40" i="2"/>
  <c r="I44" i="2"/>
  <c r="H44" i="2"/>
  <c r="H48" i="2"/>
  <c r="I48" i="2"/>
  <c r="H52" i="2"/>
  <c r="I52" i="2"/>
  <c r="I56" i="2"/>
  <c r="H56" i="2"/>
  <c r="H60" i="2"/>
  <c r="I60" i="2"/>
  <c r="H64" i="2"/>
  <c r="I64" i="2"/>
  <c r="H68" i="2"/>
  <c r="I68" i="2"/>
  <c r="I72" i="2"/>
  <c r="H72" i="2"/>
  <c r="H76" i="2"/>
  <c r="I76" i="2"/>
  <c r="H80" i="2"/>
  <c r="I80" i="2"/>
  <c r="H84" i="2"/>
  <c r="I84" i="2"/>
  <c r="I88" i="2"/>
  <c r="H88" i="2"/>
  <c r="I92" i="2"/>
  <c r="H92" i="2"/>
  <c r="H96" i="2"/>
  <c r="I96" i="2"/>
  <c r="H100" i="2"/>
  <c r="I100" i="2"/>
  <c r="I104" i="2"/>
  <c r="H104" i="2"/>
  <c r="H108" i="2"/>
  <c r="I108" i="2"/>
  <c r="H112" i="2"/>
  <c r="I112" i="2"/>
  <c r="H116" i="2"/>
  <c r="I116" i="2"/>
  <c r="I120" i="2"/>
  <c r="H120" i="2"/>
  <c r="I124" i="2"/>
  <c r="H124" i="2"/>
  <c r="I128" i="2"/>
  <c r="H128" i="2"/>
  <c r="I132" i="2"/>
  <c r="H132" i="2"/>
  <c r="H136" i="2"/>
  <c r="I136" i="2"/>
  <c r="I140" i="2"/>
  <c r="H140" i="2"/>
  <c r="I144" i="2"/>
  <c r="H144" i="2"/>
  <c r="I148" i="2"/>
  <c r="H148" i="2"/>
  <c r="H152" i="2"/>
  <c r="I152" i="2"/>
  <c r="I156" i="2"/>
  <c r="H156" i="2"/>
  <c r="H7" i="2"/>
  <c r="I7" i="2"/>
  <c r="H15" i="2"/>
  <c r="I15" i="2"/>
  <c r="H23" i="2"/>
  <c r="I23" i="2"/>
  <c r="H31" i="2"/>
  <c r="I31" i="2"/>
  <c r="H39" i="2"/>
  <c r="I39" i="2"/>
  <c r="H47" i="2"/>
  <c r="I47" i="2"/>
  <c r="H55" i="2"/>
  <c r="I55" i="2"/>
  <c r="H63" i="2"/>
  <c r="I63" i="2"/>
  <c r="H71" i="2"/>
  <c r="I71" i="2"/>
  <c r="H79" i="2"/>
  <c r="I79" i="2"/>
  <c r="H87" i="2"/>
  <c r="I87" i="2"/>
  <c r="H95" i="2"/>
  <c r="I95" i="2"/>
  <c r="H103" i="2"/>
  <c r="I103" i="2"/>
  <c r="H111" i="2"/>
  <c r="I111" i="2"/>
  <c r="H119" i="2"/>
  <c r="I119" i="2"/>
  <c r="H127" i="2"/>
  <c r="I127" i="2"/>
  <c r="H143" i="2"/>
  <c r="I143" i="2"/>
  <c r="I5" i="2"/>
  <c r="H5" i="2"/>
  <c r="I9" i="2"/>
  <c r="H9" i="2"/>
  <c r="I13" i="2"/>
  <c r="H13" i="2"/>
  <c r="I17" i="2"/>
  <c r="H17" i="2"/>
  <c r="I21" i="2"/>
  <c r="H21" i="2"/>
  <c r="I25" i="2"/>
  <c r="H25" i="2"/>
  <c r="I29" i="2"/>
  <c r="H29" i="2"/>
  <c r="I33" i="2"/>
  <c r="H33" i="2"/>
  <c r="I37" i="2"/>
  <c r="H37" i="2"/>
  <c r="I41" i="2"/>
  <c r="H41" i="2"/>
  <c r="I45" i="2"/>
  <c r="H45" i="2"/>
  <c r="I49" i="2"/>
  <c r="H49" i="2"/>
  <c r="I53" i="2"/>
  <c r="H53" i="2"/>
  <c r="I57" i="2"/>
  <c r="H57" i="2"/>
  <c r="I61" i="2"/>
  <c r="H61" i="2"/>
  <c r="I65" i="2"/>
  <c r="H65" i="2"/>
  <c r="I69" i="2"/>
  <c r="H69" i="2"/>
  <c r="I73" i="2"/>
  <c r="H73" i="2"/>
  <c r="I77" i="2"/>
  <c r="H77" i="2"/>
  <c r="I81" i="2"/>
  <c r="H81" i="2"/>
  <c r="I85" i="2"/>
  <c r="H85" i="2"/>
  <c r="I89" i="2"/>
  <c r="H89" i="2"/>
  <c r="I93" i="2"/>
  <c r="H93" i="2"/>
  <c r="I97" i="2"/>
  <c r="H97" i="2"/>
  <c r="I101" i="2"/>
  <c r="H101" i="2"/>
  <c r="I105" i="2"/>
  <c r="H105" i="2"/>
  <c r="I109" i="2"/>
  <c r="H109" i="2"/>
  <c r="I113" i="2"/>
  <c r="H113" i="2"/>
  <c r="I117" i="2"/>
  <c r="H117" i="2"/>
  <c r="I121" i="2"/>
  <c r="H121" i="2"/>
  <c r="I125" i="2"/>
  <c r="H125" i="2"/>
  <c r="I129" i="2"/>
  <c r="H129" i="2"/>
  <c r="I133" i="2"/>
  <c r="H133" i="2"/>
  <c r="I137" i="2"/>
  <c r="H137" i="2"/>
  <c r="I141" i="2"/>
  <c r="H141" i="2"/>
  <c r="I145" i="2"/>
  <c r="H145" i="2"/>
  <c r="I149" i="2"/>
  <c r="H149" i="2"/>
  <c r="I153" i="2"/>
  <c r="H153" i="2"/>
  <c r="I157" i="2"/>
  <c r="H157" i="2"/>
  <c r="J149" i="2" l="1"/>
  <c r="J125" i="2"/>
  <c r="J93" i="2"/>
  <c r="J69" i="2"/>
  <c r="J53" i="2"/>
  <c r="J29" i="2"/>
  <c r="J156" i="2"/>
  <c r="J132" i="2"/>
  <c r="J28" i="2"/>
  <c r="J30" i="2"/>
  <c r="J157" i="2"/>
  <c r="J133" i="2"/>
  <c r="J109" i="2"/>
  <c r="J85" i="2"/>
  <c r="J61" i="2"/>
  <c r="J37" i="2"/>
  <c r="J140" i="2"/>
  <c r="J92" i="2"/>
  <c r="J44" i="2"/>
  <c r="J20" i="2"/>
  <c r="J14" i="2"/>
  <c r="J130" i="2"/>
  <c r="J122" i="2"/>
  <c r="J106" i="2"/>
  <c r="J98" i="2"/>
  <c r="J90" i="2"/>
  <c r="J82" i="2"/>
  <c r="J74" i="2"/>
  <c r="J66" i="2"/>
  <c r="J54" i="2"/>
  <c r="J46" i="2"/>
  <c r="J34" i="2"/>
  <c r="J18" i="2"/>
  <c r="J141" i="2"/>
  <c r="J117" i="2"/>
  <c r="J101" i="2"/>
  <c r="J77" i="2"/>
  <c r="J45" i="2"/>
  <c r="J148" i="2"/>
  <c r="J12" i="2"/>
  <c r="J62" i="2"/>
  <c r="J114" i="2"/>
  <c r="J127" i="2"/>
  <c r="J111" i="2"/>
  <c r="J95" i="2"/>
  <c r="J79" i="2"/>
  <c r="J63" i="2"/>
  <c r="J47" i="2"/>
  <c r="J31" i="2"/>
  <c r="J116" i="2"/>
  <c r="J108" i="2"/>
  <c r="J89" i="2"/>
  <c r="J41" i="2"/>
  <c r="J33" i="2"/>
  <c r="J25" i="2"/>
  <c r="J17" i="2"/>
  <c r="J9" i="2"/>
  <c r="J144" i="2"/>
  <c r="J128" i="2"/>
  <c r="J120" i="2"/>
  <c r="J104" i="2"/>
  <c r="J88" i="2"/>
  <c r="J72" i="2"/>
  <c r="J56" i="2"/>
  <c r="J40" i="2"/>
  <c r="J32" i="2"/>
  <c r="J24" i="2"/>
  <c r="J16" i="2"/>
  <c r="J8" i="2"/>
  <c r="J42" i="2"/>
  <c r="J22" i="2"/>
  <c r="J6" i="2"/>
  <c r="J150" i="2"/>
  <c r="J142" i="2"/>
  <c r="J134" i="2"/>
  <c r="J126" i="2"/>
  <c r="J118" i="2"/>
  <c r="J110" i="2"/>
  <c r="J102" i="2"/>
  <c r="J94" i="2"/>
  <c r="J86" i="2"/>
  <c r="J78" i="2"/>
  <c r="J70" i="2"/>
  <c r="J58" i="2"/>
  <c r="J50" i="2"/>
  <c r="J38" i="2"/>
  <c r="J26" i="2"/>
  <c r="J10" i="2"/>
  <c r="J153" i="2"/>
  <c r="J137" i="2"/>
  <c r="J121" i="2"/>
  <c r="J105" i="2"/>
  <c r="J81" i="2"/>
  <c r="J57" i="2"/>
  <c r="J15" i="2"/>
  <c r="J100" i="2"/>
  <c r="J84" i="2"/>
  <c r="J76" i="2"/>
  <c r="J68" i="2"/>
  <c r="J60" i="2"/>
  <c r="J52" i="2"/>
  <c r="J36" i="2"/>
  <c r="H158" i="2"/>
  <c r="H208" i="2" s="1"/>
  <c r="J151" i="2"/>
  <c r="J139" i="2"/>
  <c r="J131" i="2"/>
  <c r="J115" i="2"/>
  <c r="J99" i="2"/>
  <c r="J83" i="2"/>
  <c r="J67" i="2"/>
  <c r="J51" i="2"/>
  <c r="J35" i="2"/>
  <c r="J19" i="2"/>
  <c r="J154" i="2"/>
  <c r="J146" i="2"/>
  <c r="J138" i="2"/>
  <c r="J145" i="2"/>
  <c r="J129" i="2"/>
  <c r="J113" i="2"/>
  <c r="J97" i="2"/>
  <c r="J73" i="2"/>
  <c r="J49" i="2"/>
  <c r="J21" i="2"/>
  <c r="J13" i="2"/>
  <c r="J5" i="2"/>
  <c r="J124" i="2"/>
  <c r="I158" i="2"/>
  <c r="J4" i="2"/>
  <c r="J143" i="2"/>
  <c r="J119" i="2"/>
  <c r="J103" i="2"/>
  <c r="J87" i="2"/>
  <c r="J71" i="2"/>
  <c r="J55" i="2"/>
  <c r="J39" i="2"/>
  <c r="J23" i="2"/>
  <c r="J7" i="2"/>
  <c r="J152" i="2"/>
  <c r="J136" i="2"/>
  <c r="J112" i="2"/>
  <c r="J96" i="2"/>
  <c r="J80" i="2"/>
  <c r="J64" i="2"/>
  <c r="J48" i="2"/>
  <c r="J155" i="2"/>
  <c r="J147" i="2"/>
  <c r="J135" i="2"/>
  <c r="J123" i="2"/>
  <c r="J107" i="2"/>
  <c r="J91" i="2"/>
  <c r="J75" i="2"/>
  <c r="J59" i="2"/>
  <c r="J43" i="2"/>
  <c r="J27" i="2"/>
  <c r="J11" i="2"/>
  <c r="J65" i="2"/>
  <c r="I208" i="2" l="1"/>
  <c r="J158" i="2"/>
  <c r="G72" i="11"/>
  <c r="H72" i="11" s="1"/>
  <c r="P29" i="17" s="1"/>
  <c r="G74" i="11"/>
  <c r="H74" i="11" s="1"/>
  <c r="P31" i="17" s="1"/>
  <c r="G73" i="11"/>
  <c r="H73" i="11" s="1"/>
  <c r="P30" i="17" s="1"/>
  <c r="G60" i="11"/>
  <c r="H60" i="11" s="1"/>
  <c r="P17" i="17" s="1"/>
  <c r="G70" i="11"/>
  <c r="H70" i="11" s="1"/>
  <c r="P27" i="17" s="1"/>
  <c r="G61" i="11"/>
  <c r="H61" i="11" s="1"/>
  <c r="P18" i="17" s="1"/>
  <c r="G63" i="11"/>
  <c r="H63" i="11" s="1"/>
  <c r="P20" i="17" s="1"/>
  <c r="G71" i="11"/>
  <c r="H71" i="11" s="1"/>
  <c r="P28" i="17" s="1"/>
  <c r="G66" i="11"/>
  <c r="H66" i="11" s="1"/>
  <c r="P23" i="17" s="1"/>
  <c r="G69" i="11"/>
  <c r="H69" i="11" s="1"/>
  <c r="P26" i="17" s="1"/>
  <c r="G67" i="11"/>
  <c r="H67" i="11" s="1"/>
  <c r="P24" i="17" s="1"/>
  <c r="G58" i="11"/>
  <c r="G62" i="11"/>
  <c r="H62" i="11" s="1"/>
  <c r="P19" i="17" s="1"/>
  <c r="G65" i="11"/>
  <c r="H65" i="11" s="1"/>
  <c r="P22" i="17" s="1"/>
  <c r="G59" i="11"/>
  <c r="H59" i="11" s="1"/>
  <c r="P16" i="17" s="1"/>
  <c r="G68" i="11"/>
  <c r="H68" i="11" s="1"/>
  <c r="P25" i="17" s="1"/>
  <c r="G64" i="11"/>
  <c r="H64" i="11" s="1"/>
  <c r="P21" i="17" s="1"/>
  <c r="M15" i="17" l="1"/>
  <c r="H58" i="11"/>
  <c r="P15" i="17" s="1"/>
  <c r="M22" i="17"/>
  <c r="M26" i="17"/>
  <c r="M18" i="17"/>
  <c r="M31" i="17"/>
  <c r="M19" i="17"/>
  <c r="M23" i="17"/>
  <c r="M27" i="17"/>
  <c r="M29" i="17"/>
  <c r="M25" i="17"/>
  <c r="M28" i="17"/>
  <c r="M17" i="17"/>
  <c r="M21" i="17"/>
  <c r="M16" i="17"/>
  <c r="M24" i="17"/>
  <c r="M20" i="17"/>
  <c r="M30" i="17"/>
</calcChain>
</file>

<file path=xl/sharedStrings.xml><?xml version="1.0" encoding="utf-8"?>
<sst xmlns="http://schemas.openxmlformats.org/spreadsheetml/2006/main" count="1490" uniqueCount="981">
  <si>
    <t>Cores SB</t>
  </si>
  <si>
    <t>ODSPB - Plataforma</t>
  </si>
  <si>
    <t>https://odspb.secties.pb.gov.br/objetivos?name=erradicacao-da-pobreza&amp;region=serra-branca-pb</t>
  </si>
  <si>
    <t>laranja</t>
  </si>
  <si>
    <t>FF9726</t>
  </si>
  <si>
    <t>Site Prefeitura Serra Branca</t>
  </si>
  <si>
    <t>https://serrabranca.pb.gov.br/</t>
  </si>
  <si>
    <t>Planejamento Estrategio TCE/PB</t>
  </si>
  <si>
    <t>https://tce.pb.gov.br/institucional/planejamento-estrategico/</t>
  </si>
  <si>
    <t>IBGE</t>
  </si>
  <si>
    <t>https://www.ibge.gov.br/cidades-e-estados/pb/serra-branca.html</t>
  </si>
  <si>
    <t>IDSC - Serra Branca - PB</t>
  </si>
  <si>
    <t>https://idsc.cidadessustentaveis.org.br/profiles/2515500/</t>
  </si>
  <si>
    <t>Lei de uso e ocupação do solo no Município de Ponta Grossa.</t>
  </si>
  <si>
    <t>https://leismunicipais.com.br/plano-de-zoneamento-uso-e-ocupacao-do-solo-ponta-grossa-pr</t>
  </si>
  <si>
    <t>Apresentação</t>
  </si>
  <si>
    <t>https://prezi.com/p/edit/j0iy2phno57v/</t>
  </si>
  <si>
    <t>Dados ODS</t>
  </si>
  <si>
    <t>https://gitlab.com/lema-docs/apps/-/raw/main/Notas-Tecnicas-IDS-PB.pdf</t>
  </si>
  <si>
    <t>Estudo para aumentar cadastro SUS</t>
  </si>
  <si>
    <t>https://clp.org.br/atualizar-o-cadastro-no-sus-permite-maior-repasses-municipais/#:~:text=Cadastro%20no%20SUS%20pode%20aumentar,registro%20do%20paciente%20no%20SUS.</t>
  </si>
  <si>
    <t>Manual de Repasse de verbas federais</t>
  </si>
  <si>
    <t>https://www2.senado.leg.br/bdsf/bitstream/handle/id/385453/Manual%20de%20Obten%C3%A7%C3%A3o%20de%20Recursos%20Federais.pdf</t>
  </si>
  <si>
    <t>Transferências p Municipios</t>
  </si>
  <si>
    <t>https://www.tesourotransparente.gov.br/temas/estados-e-municipios/transferencias-a-estados-e-municipios</t>
  </si>
  <si>
    <t>ONU-Habitat Alagoas</t>
  </si>
  <si>
    <t>https://dados.al.gov.br/catalogo/dataset/c288554f-3b9c-4be7-b0b6-59fc2fee34fd/resource/57a36e8b-1cbe-4a04-9e04-66aa46fa2f9f/download/notametodologicaaplicada_cpi-maceio.pdf</t>
  </si>
  <si>
    <t>al ods</t>
  </si>
  <si>
    <t>https://al.movimentoods.org.br/governanca/</t>
  </si>
  <si>
    <t>Visão Alagoas</t>
  </si>
  <si>
    <t>https://visaoalagoas2030.al.gov.br/#</t>
  </si>
  <si>
    <t>Nome</t>
  </si>
  <si>
    <t>Cargo</t>
  </si>
  <si>
    <t>Tipo Vínculo</t>
  </si>
  <si>
    <t>Salário</t>
  </si>
  <si>
    <t>Filtro de Cargos</t>
  </si>
  <si>
    <t>Qtd</t>
  </si>
  <si>
    <t>Total R$</t>
  </si>
  <si>
    <t>Média Sálario</t>
  </si>
  <si>
    <t>Total</t>
  </si>
  <si>
    <t>Tipo de Contratação</t>
  </si>
  <si>
    <t>Educação</t>
  </si>
  <si>
    <t xml:space="preserve">Total </t>
  </si>
  <si>
    <t>Porcentagem de Educação para a cidade</t>
  </si>
  <si>
    <t>Quais são os pilares para desenvolvimento do Município?</t>
  </si>
  <si>
    <t xml:space="preserve">Conforme indicadores IDS de Serra Branca </t>
  </si>
  <si>
    <t>Tabela: Valores Ideais de IDS para um Município (em %)</t>
  </si>
  <si>
    <t xml:space="preserve">fonte </t>
  </si>
  <si>
    <t>https://odspb.secties.pb.gov.br/objetivos?name=todos-os-objetivos&amp;region=serra-branca-pb</t>
  </si>
  <si>
    <t>ODS</t>
  </si>
  <si>
    <t>Objetivo</t>
  </si>
  <si>
    <t>Valor Ideal de IDS (%)</t>
  </si>
  <si>
    <t>IDS Serra Branca - PB</t>
  </si>
  <si>
    <t>Média PB</t>
  </si>
  <si>
    <t>Média Região</t>
  </si>
  <si>
    <t>Média BR</t>
  </si>
  <si>
    <t>Média NE</t>
  </si>
  <si>
    <t>Posição PB - Total 223</t>
  </si>
  <si>
    <t>1. Erradicação da Pobreza</t>
  </si>
  <si>
    <t>Erradicar a pobreza extrema.</t>
  </si>
  <si>
    <t>95% a 100%</t>
  </si>
  <si>
    <r>
      <t>ODS</t>
    </r>
    <r>
      <rPr>
        <sz val="11"/>
        <color theme="1"/>
        <rFont val="Aptos Narrow"/>
        <family val="2"/>
        <scheme val="minor"/>
      </rPr>
      <t xml:space="preserve">: São </t>
    </r>
    <r>
      <rPr>
        <b/>
        <sz val="11"/>
        <color theme="1"/>
        <rFont val="Aptos Narrow"/>
        <family val="2"/>
        <scheme val="minor"/>
      </rPr>
      <t>metas globais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orientações estratégicas</t>
    </r>
    <r>
      <rPr>
        <sz val="11"/>
        <color theme="1"/>
        <rFont val="Aptos Narrow"/>
        <family val="2"/>
        <scheme val="minor"/>
      </rPr>
      <t xml:space="preserve"> da ONU para todos os países e regiões, com foco no </t>
    </r>
    <r>
      <rPr>
        <b/>
        <sz val="11"/>
        <color theme="1"/>
        <rFont val="Aptos Narrow"/>
        <family val="2"/>
        <scheme val="minor"/>
      </rPr>
      <t>desenvolvimento sustentável</t>
    </r>
    <r>
      <rPr>
        <sz val="11"/>
        <color theme="1"/>
        <rFont val="Aptos Narrow"/>
        <family val="2"/>
        <scheme val="minor"/>
      </rPr>
      <t xml:space="preserve"> em várias dimensões.</t>
    </r>
  </si>
  <si>
    <t>2. Fome Zero e Agricultura Sustentável</t>
  </si>
  <si>
    <t>Reduzir a fome e promover a agricultura sustentável.</t>
  </si>
  <si>
    <t>90% a 100%</t>
  </si>
  <si>
    <t>3. Saúde e Bem-Estar</t>
  </si>
  <si>
    <t>Garantir saúde de qualidade e bem-estar para todos.</t>
  </si>
  <si>
    <r>
      <t>IDS</t>
    </r>
    <r>
      <rPr>
        <sz val="11"/>
        <color theme="1"/>
        <rFont val="Aptos Narrow"/>
        <family val="2"/>
        <scheme val="minor"/>
      </rPr>
      <t xml:space="preserve">: É um </t>
    </r>
    <r>
      <rPr>
        <b/>
        <sz val="11"/>
        <color theme="1"/>
        <rFont val="Aptos Narrow"/>
        <family val="2"/>
        <scheme val="minor"/>
      </rPr>
      <t>índice específico</t>
    </r>
    <r>
      <rPr>
        <sz val="11"/>
        <color theme="1"/>
        <rFont val="Aptos Narrow"/>
        <family val="2"/>
        <scheme val="minor"/>
      </rPr>
      <t xml:space="preserve"> que mede o </t>
    </r>
    <r>
      <rPr>
        <b/>
        <sz val="11"/>
        <color theme="1"/>
        <rFont val="Aptos Narrow"/>
        <family val="2"/>
        <scheme val="minor"/>
      </rPr>
      <t>desempenho local</t>
    </r>
    <r>
      <rPr>
        <sz val="11"/>
        <color theme="1"/>
        <rFont val="Aptos Narrow"/>
        <family val="2"/>
        <scheme val="minor"/>
      </rPr>
      <t xml:space="preserve"> de um município, estado ou país em aspectos-chave relacionados aos ODS, mas de maneira </t>
    </r>
    <r>
      <rPr>
        <b/>
        <sz val="11"/>
        <color theme="1"/>
        <rFont val="Aptos Narrow"/>
        <family val="2"/>
        <scheme val="minor"/>
      </rPr>
      <t>quantitativa e mensurável</t>
    </r>
    <r>
      <rPr>
        <sz val="11"/>
        <color theme="1"/>
        <rFont val="Aptos Narrow"/>
        <family val="2"/>
        <scheme val="minor"/>
      </rPr>
      <t>.</t>
    </r>
  </si>
  <si>
    <t>4. Educação de Qualidade</t>
  </si>
  <si>
    <t>Garantir o acesso universal à educação e melhorar a qualidade.</t>
  </si>
  <si>
    <t>5. Igualdade de Gênero</t>
  </si>
  <si>
    <t>Eliminar desigualdade de gênero.</t>
  </si>
  <si>
    <t>80% a 90%</t>
  </si>
  <si>
    <t>6. Água Limpa e Saneamento</t>
  </si>
  <si>
    <t>Garantir acesso a água potável e saneamento básico.</t>
  </si>
  <si>
    <t>7. Energia Limpa e Acessível</t>
  </si>
  <si>
    <t>Garantir acesso universal à energia sustentável.</t>
  </si>
  <si>
    <t>85% a 100%</t>
  </si>
  <si>
    <t xml:space="preserve">O QUE PODEMOS OFERTAR EM CADA UM DESSES ? APRESENTAÇÃO DAS PROPOSTAS BASEADA NESSES CONCEITOS </t>
  </si>
  <si>
    <t>8. Trabalho Decente e Crescimento Econômico</t>
  </si>
  <si>
    <t>Promover o crescimento econômico e trabalho decente.</t>
  </si>
  <si>
    <t>85% a 95%</t>
  </si>
  <si>
    <t>1. Desenvolvimento Econômico e Geração de Emprego</t>
  </si>
  <si>
    <t>1.</t>
  </si>
  <si>
    <t>9. Indústria, Inovação e Infraestrutura</t>
  </si>
  <si>
    <t>Promover inovação e infraestrutura.</t>
  </si>
  <si>
    <t>75% a 85%</t>
  </si>
  <si>
    <t>Atração de investimentos por meio de incentivos para empresas e indústrias.</t>
  </si>
  <si>
    <t xml:space="preserve">Criação Instituto e Fundação </t>
  </si>
  <si>
    <t>10. Redução das Desigualdades</t>
  </si>
  <si>
    <t>Reduzir desigualdades de renda e acesso a serviços.</t>
  </si>
  <si>
    <t>Fortalecimento do agronegócio, com apoio à agricultura familiar e pecuária.</t>
  </si>
  <si>
    <t xml:space="preserve">Novas empresas </t>
  </si>
  <si>
    <t>11. Cidades e Comunidades Sustentáveis</t>
  </si>
  <si>
    <t>Tornar as cidades e comunidades inclusivas e sustentáveis.</t>
  </si>
  <si>
    <t>Turismo sustentável como fonte de renda e valorização cultural.</t>
  </si>
  <si>
    <t>12. Consumo e Produção Responsáveis</t>
  </si>
  <si>
    <t>Promover práticas de consumo e produção responsáveis.</t>
  </si>
  <si>
    <t>Estímulo à economia criativa, empreendedorismo e comércio local.</t>
  </si>
  <si>
    <t>13. Ação Contra a Mudança Global do Clima</t>
  </si>
  <si>
    <t>Combater a mudança climática e seus impactos.</t>
  </si>
  <si>
    <t>14. Vida na Água</t>
  </si>
  <si>
    <t>Proteger os oceanos e mares e promover o uso sustentável dos recursos marinhos.</t>
  </si>
  <si>
    <t>70% a 85%</t>
  </si>
  <si>
    <t>2. Infraestrutura e Mobilidade</t>
  </si>
  <si>
    <t>2.</t>
  </si>
  <si>
    <t>15. Vida Terrestre</t>
  </si>
  <si>
    <t>Proteger os ecossistemas terrestres e biodiversidade.</t>
  </si>
  <si>
    <t>70% a 80%</t>
  </si>
  <si>
    <t>Expansão da malha viária e melhoria das estradas.</t>
  </si>
  <si>
    <t>Criação de Usinas Solares</t>
  </si>
  <si>
    <t>16. Paz, Justiça e Instituições Eficazes</t>
  </si>
  <si>
    <t>Promover sociedades pacíficas, justas e inclusivas.</t>
  </si>
  <si>
    <t>Universalização do saneamento básico, garantindo acesso à água e esgoto tratado.</t>
  </si>
  <si>
    <t>17. Parcerias e Meios de Implementação</t>
  </si>
  <si>
    <t>Fortalecer parcerias globais e recursos para implementação dos ODS.</t>
  </si>
  <si>
    <t>Investimento em energias renováveis, como solar e eólica.</t>
  </si>
  <si>
    <t>Ampliação da conectividade digital para impulsionar negócios e educação.</t>
  </si>
  <si>
    <t>3. Educação e Capacitação Profissional</t>
  </si>
  <si>
    <t>3.</t>
  </si>
  <si>
    <t>Justificativa para os Valores Ideais de IDS (%)</t>
  </si>
  <si>
    <t>Qualificação técnica e profissionalizante em parceria com instituições especializadas.</t>
  </si>
  <si>
    <t xml:space="preserve">Parceria com a faculdade </t>
  </si>
  <si>
    <r>
      <t>Valores próximos de 100%</t>
    </r>
    <r>
      <rPr>
        <sz val="11"/>
        <color theme="1"/>
        <rFont val="Aptos Narrow"/>
        <family val="2"/>
        <scheme val="minor"/>
      </rPr>
      <t xml:space="preserve"> são os </t>
    </r>
    <r>
      <rPr>
        <b/>
        <sz val="11"/>
        <color theme="1"/>
        <rFont val="Aptos Narrow"/>
        <family val="2"/>
        <scheme val="minor"/>
      </rPr>
      <t>valores ideais</t>
    </r>
    <r>
      <rPr>
        <sz val="11"/>
        <color theme="1"/>
        <rFont val="Aptos Narrow"/>
        <family val="2"/>
        <scheme val="minor"/>
      </rPr>
      <t xml:space="preserve"> a serem buscados por municípios em </t>
    </r>
    <r>
      <rPr>
        <b/>
        <sz val="11"/>
        <color theme="1"/>
        <rFont val="Aptos Narrow"/>
        <family val="2"/>
        <scheme val="minor"/>
      </rPr>
      <t>estágio avançado de desenvolvimento</t>
    </r>
    <r>
      <rPr>
        <sz val="11"/>
        <color theme="1"/>
        <rFont val="Aptos Narrow"/>
        <family val="2"/>
        <scheme val="minor"/>
      </rPr>
      <t xml:space="preserve">. Isso indica que as </t>
    </r>
    <r>
      <rPr>
        <b/>
        <sz val="11"/>
        <color theme="1"/>
        <rFont val="Aptos Narrow"/>
        <family val="2"/>
        <scheme val="minor"/>
      </rPr>
      <t>metas dos ODS</t>
    </r>
    <r>
      <rPr>
        <sz val="11"/>
        <color theme="1"/>
        <rFont val="Aptos Narrow"/>
        <family val="2"/>
        <scheme val="minor"/>
      </rPr>
      <t xml:space="preserve"> estão sendo atingidas de maneira eficaz.</t>
    </r>
  </si>
  <si>
    <t>Melhoria da estrutura das escolas e capacitação contínua dos professores.</t>
  </si>
  <si>
    <t xml:space="preserve">WIFI p população </t>
  </si>
  <si>
    <r>
      <t>Valores em torno de 80% a 90%</t>
    </r>
    <r>
      <rPr>
        <sz val="11"/>
        <color theme="1"/>
        <rFont val="Aptos Narrow"/>
        <family val="2"/>
        <scheme val="minor"/>
      </rPr>
      <t xml:space="preserve"> indicam que o município está no caminho certo, com </t>
    </r>
    <r>
      <rPr>
        <b/>
        <sz val="11"/>
        <color theme="1"/>
        <rFont val="Aptos Narrow"/>
        <family val="2"/>
        <scheme val="minor"/>
      </rPr>
      <t>progresso significativo</t>
    </r>
    <r>
      <rPr>
        <sz val="11"/>
        <color theme="1"/>
        <rFont val="Aptos Narrow"/>
        <family val="2"/>
        <scheme val="minor"/>
      </rPr>
      <t xml:space="preserve"> nas áreas críticas.</t>
    </r>
  </si>
  <si>
    <t>Apoio à instalação de universidades e polos tecnológicos.</t>
  </si>
  <si>
    <r>
      <t>Valores abaixo de 70%</t>
    </r>
    <r>
      <rPr>
        <sz val="11"/>
        <color theme="1"/>
        <rFont val="Aptos Narrow"/>
        <family val="2"/>
        <scheme val="minor"/>
      </rPr>
      <t xml:space="preserve"> representam áreas onde o município ainda enfrenta desafios consideráveis e </t>
    </r>
    <r>
      <rPr>
        <b/>
        <sz val="11"/>
        <color theme="1"/>
        <rFont val="Aptos Narrow"/>
        <family val="2"/>
        <scheme val="minor"/>
      </rPr>
      <t>precisa melhorar significativamente</t>
    </r>
    <r>
      <rPr>
        <sz val="11"/>
        <color theme="1"/>
        <rFont val="Aptos Narrow"/>
        <family val="2"/>
        <scheme val="minor"/>
      </rPr>
      <t xml:space="preserve"> os serviços ou ações relacionadas ao ODS específico.</t>
    </r>
  </si>
  <si>
    <t>Inclusão digital nas escolas e incentivo ao uso de tecnologia na educação.</t>
  </si>
  <si>
    <r>
      <t xml:space="preserve">Esses </t>
    </r>
    <r>
      <rPr>
        <b/>
        <sz val="11"/>
        <color theme="1"/>
        <rFont val="Aptos Narrow"/>
        <family val="2"/>
        <scheme val="minor"/>
      </rPr>
      <t>valores de IDS em porcentagem</t>
    </r>
    <r>
      <rPr>
        <sz val="11"/>
        <color theme="1"/>
        <rFont val="Aptos Narrow"/>
        <family val="2"/>
        <scheme val="minor"/>
      </rPr>
      <t xml:space="preserve"> são indicativos da </t>
    </r>
    <r>
      <rPr>
        <b/>
        <sz val="11"/>
        <color theme="1"/>
        <rFont val="Aptos Narrow"/>
        <family val="2"/>
        <scheme val="minor"/>
      </rPr>
      <t>performance geral do município</t>
    </r>
    <r>
      <rPr>
        <sz val="11"/>
        <color theme="1"/>
        <rFont val="Aptos Narrow"/>
        <family val="2"/>
        <scheme val="minor"/>
      </rPr>
      <t xml:space="preserve"> em relação aos ODS. Eles podem ser ajustados conforme a </t>
    </r>
    <r>
      <rPr>
        <b/>
        <sz val="11"/>
        <color theme="1"/>
        <rFont val="Aptos Narrow"/>
        <family val="2"/>
        <scheme val="minor"/>
      </rPr>
      <t>realidade local</t>
    </r>
    <r>
      <rPr>
        <sz val="11"/>
        <color theme="1"/>
        <rFont val="Aptos Narrow"/>
        <family val="2"/>
        <scheme val="minor"/>
      </rPr>
      <t xml:space="preserve"> e as </t>
    </r>
    <r>
      <rPr>
        <b/>
        <sz val="11"/>
        <color theme="1"/>
        <rFont val="Aptos Narrow"/>
        <family val="2"/>
        <scheme val="minor"/>
      </rPr>
      <t>prioridades específicas</t>
    </r>
    <r>
      <rPr>
        <sz val="11"/>
        <color theme="1"/>
        <rFont val="Aptos Narrow"/>
        <family val="2"/>
        <scheme val="minor"/>
      </rPr>
      <t xml:space="preserve"> de cada município.</t>
    </r>
  </si>
  <si>
    <t>4. Saúde e Bem-Estar Social</t>
  </si>
  <si>
    <t>4.</t>
  </si>
  <si>
    <t>Ampliação da cobertura do SUS e fortalecimento das Unidades Básicas de Saúde.</t>
  </si>
  <si>
    <t>Ambulância Federal</t>
  </si>
  <si>
    <t>Programas de saúde preventiva, incluindo vacinação e nutrição.</t>
  </si>
  <si>
    <t>Assistência social voltada para famílias em situação de vulnerabilidade.</t>
  </si>
  <si>
    <t>Valorização dos profissionais da saúde, com capacitação e melhores condições de trabalho.</t>
  </si>
  <si>
    <t>5. Meio Ambiente e Sustentabilidade</t>
  </si>
  <si>
    <t>Implantação de coleta seletiva e incentivo à reciclagem.</t>
  </si>
  <si>
    <t>Proteção dos recursos hídricos e incentivo ao uso racional da água.</t>
  </si>
  <si>
    <t>Expansão do uso de energias limpas e renováveis.</t>
  </si>
  <si>
    <t>Promoção da agricultura sustentável e recuperação de áreas degradadas.</t>
  </si>
  <si>
    <t>6. Governança e Transparência</t>
  </si>
  <si>
    <t>6.</t>
  </si>
  <si>
    <t>Modernização dos serviços públicos por meio da digitalização.</t>
  </si>
  <si>
    <t>Controladoria/ Procuradoria J.</t>
  </si>
  <si>
    <t>Controle rigoroso dos gastos públicos e transparência fiscal.</t>
  </si>
  <si>
    <t>Assessoria Licitações</t>
  </si>
  <si>
    <t>Participação popular em decisões estratégicas, com orçamentos participativos.</t>
  </si>
  <si>
    <t>Assessoria Contabil</t>
  </si>
  <si>
    <t>Reforço na segurança pública e investimentos em tecnologia para monitoramento.</t>
  </si>
  <si>
    <t xml:space="preserve">Assessoria Gestão </t>
  </si>
  <si>
    <t xml:space="preserve">Transparência na gestão </t>
  </si>
  <si>
    <t>1. ODS 1 – Erradicação da Pobreza</t>
  </si>
  <si>
    <r>
      <t>Objetivo:</t>
    </r>
    <r>
      <rPr>
        <sz val="11"/>
        <color theme="1"/>
        <rFont val="Aptos Narrow"/>
        <family val="2"/>
        <scheme val="minor"/>
      </rPr>
      <t xml:space="preserve"> Acabar com a pobreza em todas as suas formas em todos os lugares.</t>
    </r>
  </si>
  <si>
    <r>
      <t>Justificativa:</t>
    </r>
    <r>
      <rPr>
        <sz val="11"/>
        <color theme="1"/>
        <rFont val="Aptos Narrow"/>
        <family val="2"/>
        <scheme val="minor"/>
      </rPr>
      <t xml:space="preserve"> Garantir que todos os cidadãos tenham acesso a condições mínimas de vida é fundamental. Para um município, isso envolve programas de </t>
    </r>
    <r>
      <rPr>
        <b/>
        <sz val="11"/>
        <color theme="1"/>
        <rFont val="Aptos Narrow"/>
        <family val="2"/>
        <scheme val="minor"/>
      </rPr>
      <t>assistência social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inclusão econômica</t>
    </r>
    <r>
      <rPr>
        <sz val="11"/>
        <color theme="1"/>
        <rFont val="Aptos Narrow"/>
        <family val="2"/>
        <scheme val="minor"/>
      </rPr>
      <t xml:space="preserve">, e </t>
    </r>
    <r>
      <rPr>
        <b/>
        <sz val="11"/>
        <color theme="1"/>
        <rFont val="Aptos Narrow"/>
        <family val="2"/>
        <scheme val="minor"/>
      </rPr>
      <t>geração de empregos</t>
    </r>
    <r>
      <rPr>
        <sz val="11"/>
        <color theme="1"/>
        <rFont val="Aptos Narrow"/>
        <family val="2"/>
        <scheme val="minor"/>
      </rPr>
      <t>.</t>
    </r>
  </si>
  <si>
    <t>2. ODS 3 – Saúde e Bem-Estar</t>
  </si>
  <si>
    <r>
      <t>Objetivo:</t>
    </r>
    <r>
      <rPr>
        <sz val="11"/>
        <color theme="1"/>
        <rFont val="Aptos Narrow"/>
        <family val="2"/>
        <scheme val="minor"/>
      </rPr>
      <t xml:space="preserve"> Assegurar uma vida saudável e promover o bem-estar para todos, em todas as idades.</t>
    </r>
  </si>
  <si>
    <r>
      <t>Justificativa:</t>
    </r>
    <r>
      <rPr>
        <sz val="11"/>
        <color theme="1"/>
        <rFont val="Aptos Narrow"/>
        <family val="2"/>
        <scheme val="minor"/>
      </rPr>
      <t xml:space="preserve"> Ter acesso à </t>
    </r>
    <r>
      <rPr>
        <b/>
        <sz val="11"/>
        <color theme="1"/>
        <rFont val="Aptos Narrow"/>
        <family val="2"/>
        <scheme val="minor"/>
      </rPr>
      <t>saúde de qualidade</t>
    </r>
    <r>
      <rPr>
        <sz val="11"/>
        <color theme="1"/>
        <rFont val="Aptos Narrow"/>
        <family val="2"/>
        <scheme val="minor"/>
      </rPr>
      <t xml:space="preserve"> e uma boa </t>
    </r>
    <r>
      <rPr>
        <b/>
        <sz val="11"/>
        <color theme="1"/>
        <rFont val="Aptos Narrow"/>
        <family val="2"/>
        <scheme val="minor"/>
      </rPr>
      <t>rede de atenção primária</t>
    </r>
    <r>
      <rPr>
        <sz val="11"/>
        <color theme="1"/>
        <rFont val="Aptos Narrow"/>
        <family val="2"/>
        <scheme val="minor"/>
      </rPr>
      <t xml:space="preserve"> são fatores determinantes para o desenvolvimento de qualquer município. A redução da </t>
    </r>
    <r>
      <rPr>
        <b/>
        <sz val="11"/>
        <color theme="1"/>
        <rFont val="Aptos Narrow"/>
        <family val="2"/>
        <scheme val="minor"/>
      </rPr>
      <t>mortalidade infantil</t>
    </r>
    <r>
      <rPr>
        <sz val="11"/>
        <color theme="1"/>
        <rFont val="Aptos Narrow"/>
        <family val="2"/>
        <scheme val="minor"/>
      </rPr>
      <t xml:space="preserve">, a </t>
    </r>
    <r>
      <rPr>
        <b/>
        <sz val="11"/>
        <color theme="1"/>
        <rFont val="Aptos Narrow"/>
        <family val="2"/>
        <scheme val="minor"/>
      </rPr>
      <t>atenção à saúde mental</t>
    </r>
    <r>
      <rPr>
        <sz val="11"/>
        <color theme="1"/>
        <rFont val="Aptos Narrow"/>
        <family val="2"/>
        <scheme val="minor"/>
      </rPr>
      <t xml:space="preserve"> e o </t>
    </r>
    <r>
      <rPr>
        <b/>
        <sz val="11"/>
        <color theme="1"/>
        <rFont val="Aptos Narrow"/>
        <family val="2"/>
        <scheme val="minor"/>
      </rPr>
      <t>acesso a tratamentos médicos</t>
    </r>
    <r>
      <rPr>
        <sz val="11"/>
        <color theme="1"/>
        <rFont val="Aptos Narrow"/>
        <family val="2"/>
        <scheme val="minor"/>
      </rPr>
      <t xml:space="preserve"> são prioritários.</t>
    </r>
  </si>
  <si>
    <t>3. ODS 4 – Educação de Qualidade</t>
  </si>
  <si>
    <r>
      <t>Objetivo:</t>
    </r>
    <r>
      <rPr>
        <sz val="11"/>
        <color theme="1"/>
        <rFont val="Aptos Narrow"/>
        <family val="2"/>
        <scheme val="minor"/>
      </rPr>
      <t xml:space="preserve"> Garantir educação inclusiva, equitativa e de qualidade, e promover oportunidades de aprendizado ao longo da vida para todos.</t>
    </r>
  </si>
  <si>
    <r>
      <t>Justificativa:</t>
    </r>
    <r>
      <rPr>
        <sz val="11"/>
        <color theme="1"/>
        <rFont val="Aptos Narrow"/>
        <family val="2"/>
        <scheme val="minor"/>
      </rPr>
      <t xml:space="preserve"> A educação é a chave para o desenvolvimento. Um município ideal precisa garantir </t>
    </r>
    <r>
      <rPr>
        <b/>
        <sz val="11"/>
        <color theme="1"/>
        <rFont val="Aptos Narrow"/>
        <family val="2"/>
        <scheme val="minor"/>
      </rPr>
      <t>educação de qualidade</t>
    </r>
    <r>
      <rPr>
        <sz val="11"/>
        <color theme="1"/>
        <rFont val="Aptos Narrow"/>
        <family val="2"/>
        <scheme val="minor"/>
      </rPr>
      <t xml:space="preserve">, a </t>
    </r>
    <r>
      <rPr>
        <b/>
        <sz val="11"/>
        <color theme="1"/>
        <rFont val="Aptos Narrow"/>
        <family val="2"/>
        <scheme val="minor"/>
      </rPr>
      <t>formação de professores</t>
    </r>
    <r>
      <rPr>
        <sz val="11"/>
        <color theme="1"/>
        <rFont val="Aptos Narrow"/>
        <family val="2"/>
        <scheme val="minor"/>
      </rPr>
      <t xml:space="preserve">, a </t>
    </r>
    <r>
      <rPr>
        <b/>
        <sz val="11"/>
        <color theme="1"/>
        <rFont val="Aptos Narrow"/>
        <family val="2"/>
        <scheme val="minor"/>
      </rPr>
      <t>infraestrutura escolar</t>
    </r>
    <r>
      <rPr>
        <sz val="11"/>
        <color theme="1"/>
        <rFont val="Aptos Narrow"/>
        <family val="2"/>
        <scheme val="minor"/>
      </rPr>
      <t xml:space="preserve"> e o </t>
    </r>
    <r>
      <rPr>
        <b/>
        <sz val="11"/>
        <color theme="1"/>
        <rFont val="Aptos Narrow"/>
        <family val="2"/>
        <scheme val="minor"/>
      </rPr>
      <t>acesso à educação inclusiva</t>
    </r>
    <r>
      <rPr>
        <sz val="11"/>
        <color theme="1"/>
        <rFont val="Aptos Narrow"/>
        <family val="2"/>
        <scheme val="minor"/>
      </rPr>
      <t>.</t>
    </r>
  </si>
  <si>
    <t>4. ODS 6 – Água Limpa e Saneamento</t>
  </si>
  <si>
    <r>
      <t>Objetivo:</t>
    </r>
    <r>
      <rPr>
        <sz val="11"/>
        <color theme="1"/>
        <rFont val="Aptos Narrow"/>
        <family val="2"/>
        <scheme val="minor"/>
      </rPr>
      <t xml:space="preserve"> Garantir a disponibilidade e a gestão sustentável da água e do saneamento para todos.</t>
    </r>
  </si>
  <si>
    <r>
      <t>Justificativa:</t>
    </r>
    <r>
      <rPr>
        <sz val="11"/>
        <color theme="1"/>
        <rFont val="Aptos Narrow"/>
        <family val="2"/>
        <scheme val="minor"/>
      </rPr>
      <t xml:space="preserve"> Um município deve garantir que todos os seus habitantes tenham </t>
    </r>
    <r>
      <rPr>
        <b/>
        <sz val="11"/>
        <color theme="1"/>
        <rFont val="Aptos Narrow"/>
        <family val="2"/>
        <scheme val="minor"/>
      </rPr>
      <t>acesso à água potável</t>
    </r>
    <r>
      <rPr>
        <sz val="11"/>
        <color theme="1"/>
        <rFont val="Aptos Narrow"/>
        <family val="2"/>
        <scheme val="minor"/>
      </rPr>
      <t xml:space="preserve"> e a </t>
    </r>
    <r>
      <rPr>
        <b/>
        <sz val="11"/>
        <color theme="1"/>
        <rFont val="Aptos Narrow"/>
        <family val="2"/>
        <scheme val="minor"/>
      </rPr>
      <t>condições adequadas de saneamento básico</t>
    </r>
    <r>
      <rPr>
        <sz val="11"/>
        <color theme="1"/>
        <rFont val="Aptos Narrow"/>
        <family val="2"/>
        <scheme val="minor"/>
      </rPr>
      <t>, contribuindo para a saúde e o bem-estar de sua população.</t>
    </r>
  </si>
  <si>
    <t>5. ODS 8 – Trabalho Decente e Crescimento Econômico</t>
  </si>
  <si>
    <r>
      <t>Objetivo:</t>
    </r>
    <r>
      <rPr>
        <sz val="11"/>
        <color theme="1"/>
        <rFont val="Aptos Narrow"/>
        <family val="2"/>
        <scheme val="minor"/>
      </rPr>
      <t xml:space="preserve"> Promover o crescimento econômico sustentado, inclusivo e sustentável, o emprego pleno e produtivo e o trabalho decente para todos.</t>
    </r>
  </si>
  <si>
    <r>
      <t>Justificativa:</t>
    </r>
    <r>
      <rPr>
        <sz val="11"/>
        <color theme="1"/>
        <rFont val="Aptos Narrow"/>
        <family val="2"/>
        <scheme val="minor"/>
      </rPr>
      <t xml:space="preserve"> Para um município crescer de forma equilibrada e melhorar a qualidade de vida, é essencial promover </t>
    </r>
    <r>
      <rPr>
        <b/>
        <sz val="11"/>
        <color theme="1"/>
        <rFont val="Aptos Narrow"/>
        <family val="2"/>
        <scheme val="minor"/>
      </rPr>
      <t>empregos de qualidade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capacitação profissional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incentivos a empreendedores locais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qualificação</t>
    </r>
    <r>
      <rPr>
        <sz val="11"/>
        <color theme="1"/>
        <rFont val="Aptos Narrow"/>
        <family val="2"/>
        <scheme val="minor"/>
      </rPr>
      <t xml:space="preserve"> da mão-de-obra.</t>
    </r>
  </si>
  <si>
    <t>6. ODS 10 – Redução das Desigualdades</t>
  </si>
  <si>
    <r>
      <t>Objetivo:</t>
    </r>
    <r>
      <rPr>
        <sz val="11"/>
        <color theme="1"/>
        <rFont val="Aptos Narrow"/>
        <family val="2"/>
        <scheme val="minor"/>
      </rPr>
      <t xml:space="preserve"> Reduzir a desigualdade dentro dos países e entre eles.</t>
    </r>
  </si>
  <si>
    <r>
      <t>Justificativa:</t>
    </r>
    <r>
      <rPr>
        <sz val="11"/>
        <color theme="1"/>
        <rFont val="Aptos Narrow"/>
        <family val="2"/>
        <scheme val="minor"/>
      </rPr>
      <t xml:space="preserve"> Um município ideal deve promover </t>
    </r>
    <r>
      <rPr>
        <b/>
        <sz val="11"/>
        <color theme="1"/>
        <rFont val="Aptos Narrow"/>
        <family val="2"/>
        <scheme val="minor"/>
      </rPr>
      <t>políticas públicas inclusivas</t>
    </r>
    <r>
      <rPr>
        <sz val="11"/>
        <color theme="1"/>
        <rFont val="Aptos Narrow"/>
        <family val="2"/>
        <scheme val="minor"/>
      </rPr>
      <t xml:space="preserve">, garantindo que todas as pessoas, especialmente as mais vulneráveis (como </t>
    </r>
    <r>
      <rPr>
        <b/>
        <sz val="11"/>
        <color theme="1"/>
        <rFont val="Aptos Narrow"/>
        <family val="2"/>
        <scheme val="minor"/>
      </rPr>
      <t>mulheres, negros, indígenas, deficientes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pobres</t>
    </r>
    <r>
      <rPr>
        <sz val="11"/>
        <color theme="1"/>
        <rFont val="Aptos Narrow"/>
        <family val="2"/>
        <scheme val="minor"/>
      </rPr>
      <t>), tenham acesso igualitário a serviços e oportunidades.</t>
    </r>
  </si>
  <si>
    <t>7. ODS 11 – Cidades e Comunidades Sustentáveis</t>
  </si>
  <si>
    <r>
      <t>Objetivo:</t>
    </r>
    <r>
      <rPr>
        <sz val="11"/>
        <color theme="1"/>
        <rFont val="Aptos Narrow"/>
        <family val="2"/>
        <scheme val="minor"/>
      </rPr>
      <t xml:space="preserve"> Tornar as cidades e os assentamentos humanos inclusivos, seguros, resilientes e sustentáveis.</t>
    </r>
  </si>
  <si>
    <r>
      <t>Justificativa:</t>
    </r>
    <r>
      <rPr>
        <sz val="11"/>
        <color theme="1"/>
        <rFont val="Aptos Narrow"/>
        <family val="2"/>
        <scheme val="minor"/>
      </rPr>
      <t xml:space="preserve"> A criação de </t>
    </r>
    <r>
      <rPr>
        <b/>
        <sz val="11"/>
        <color theme="1"/>
        <rFont val="Aptos Narrow"/>
        <family val="2"/>
        <scheme val="minor"/>
      </rPr>
      <t>cidades sustentáveis</t>
    </r>
    <r>
      <rPr>
        <sz val="11"/>
        <color theme="1"/>
        <rFont val="Aptos Narrow"/>
        <family val="2"/>
        <scheme val="minor"/>
      </rPr>
      <t xml:space="preserve"> é fundamental para um município bem desenvolvido. Isso inclui melhorar a </t>
    </r>
    <r>
      <rPr>
        <b/>
        <sz val="11"/>
        <color theme="1"/>
        <rFont val="Aptos Narrow"/>
        <family val="2"/>
        <scheme val="minor"/>
      </rPr>
      <t>mobilidade urbana</t>
    </r>
    <r>
      <rPr>
        <sz val="11"/>
        <color theme="1"/>
        <rFont val="Aptos Narrow"/>
        <family val="2"/>
        <scheme val="minor"/>
      </rPr>
      <t xml:space="preserve">, a </t>
    </r>
    <r>
      <rPr>
        <b/>
        <sz val="11"/>
        <color theme="1"/>
        <rFont val="Aptos Narrow"/>
        <family val="2"/>
        <scheme val="minor"/>
      </rPr>
      <t>infraestrutura</t>
    </r>
    <r>
      <rPr>
        <sz val="11"/>
        <color theme="1"/>
        <rFont val="Aptos Narrow"/>
        <family val="2"/>
        <scheme val="minor"/>
      </rPr>
      <t xml:space="preserve"> e garantir a </t>
    </r>
    <r>
      <rPr>
        <b/>
        <sz val="11"/>
        <color theme="1"/>
        <rFont val="Aptos Narrow"/>
        <family val="2"/>
        <scheme val="minor"/>
      </rPr>
      <t>segurança pública</t>
    </r>
    <r>
      <rPr>
        <sz val="11"/>
        <color theme="1"/>
        <rFont val="Aptos Narrow"/>
        <family val="2"/>
        <scheme val="minor"/>
      </rPr>
      <t xml:space="preserve">. A </t>
    </r>
    <r>
      <rPr>
        <b/>
        <sz val="11"/>
        <color theme="1"/>
        <rFont val="Aptos Narrow"/>
        <family val="2"/>
        <scheme val="minor"/>
      </rPr>
      <t>revitalização urbana</t>
    </r>
    <r>
      <rPr>
        <sz val="11"/>
        <color theme="1"/>
        <rFont val="Aptos Narrow"/>
        <family val="2"/>
        <scheme val="minor"/>
      </rPr>
      <t xml:space="preserve"> e a criação de </t>
    </r>
    <r>
      <rPr>
        <b/>
        <sz val="11"/>
        <color theme="1"/>
        <rFont val="Aptos Narrow"/>
        <family val="2"/>
        <scheme val="minor"/>
      </rPr>
      <t>espaços verdes</t>
    </r>
    <r>
      <rPr>
        <sz val="11"/>
        <color theme="1"/>
        <rFont val="Aptos Narrow"/>
        <family val="2"/>
        <scheme val="minor"/>
      </rPr>
      <t xml:space="preserve"> também são essenciais.</t>
    </r>
  </si>
  <si>
    <t>8. ODS 13 – Ação Contra a Mudança Global do Clima</t>
  </si>
  <si>
    <r>
      <t>Objetivo:</t>
    </r>
    <r>
      <rPr>
        <sz val="11"/>
        <color theme="1"/>
        <rFont val="Aptos Narrow"/>
        <family val="2"/>
        <scheme val="minor"/>
      </rPr>
      <t xml:space="preserve"> Tomar medidas urgentes para combater a mudança climática e seus impactos.</t>
    </r>
  </si>
  <si>
    <r>
      <t>Justificativa:</t>
    </r>
    <r>
      <rPr>
        <sz val="11"/>
        <color theme="1"/>
        <rFont val="Aptos Narrow"/>
        <family val="2"/>
        <scheme val="minor"/>
      </rPr>
      <t xml:space="preserve"> A </t>
    </r>
    <r>
      <rPr>
        <b/>
        <sz val="11"/>
        <color theme="1"/>
        <rFont val="Aptos Narrow"/>
        <family val="2"/>
        <scheme val="minor"/>
      </rPr>
      <t>sustentabilidade ambiental</t>
    </r>
    <r>
      <rPr>
        <sz val="11"/>
        <color theme="1"/>
        <rFont val="Aptos Narrow"/>
        <family val="2"/>
        <scheme val="minor"/>
      </rPr>
      <t xml:space="preserve"> deve ser um pilar central em qualquer município. O investimento em </t>
    </r>
    <r>
      <rPr>
        <b/>
        <sz val="11"/>
        <color theme="1"/>
        <rFont val="Aptos Narrow"/>
        <family val="2"/>
        <scheme val="minor"/>
      </rPr>
      <t>energias renováveis</t>
    </r>
    <r>
      <rPr>
        <sz val="11"/>
        <color theme="1"/>
        <rFont val="Aptos Narrow"/>
        <family val="2"/>
        <scheme val="minor"/>
      </rPr>
      <t xml:space="preserve">, a </t>
    </r>
    <r>
      <rPr>
        <b/>
        <sz val="11"/>
        <color theme="1"/>
        <rFont val="Aptos Narrow"/>
        <family val="2"/>
        <scheme val="minor"/>
      </rPr>
      <t>gestão de resíduos sólidos</t>
    </r>
    <r>
      <rPr>
        <sz val="11"/>
        <color theme="1"/>
        <rFont val="Aptos Narrow"/>
        <family val="2"/>
        <scheme val="minor"/>
      </rPr>
      <t xml:space="preserve"> e a </t>
    </r>
    <r>
      <rPr>
        <b/>
        <sz val="11"/>
        <color theme="1"/>
        <rFont val="Aptos Narrow"/>
        <family val="2"/>
        <scheme val="minor"/>
      </rPr>
      <t>proteção de áreas naturais</t>
    </r>
    <r>
      <rPr>
        <sz val="11"/>
        <color theme="1"/>
        <rFont val="Aptos Narrow"/>
        <family val="2"/>
        <scheme val="minor"/>
      </rPr>
      <t xml:space="preserve"> são essenciais para garantir que as futuras gerações tenham um ambiente saudável.</t>
    </r>
  </si>
  <si>
    <t>9. ODS 16 – Paz, Justiça e Instituições Eficazes</t>
  </si>
  <si>
    <r>
      <t>Objetivo:</t>
    </r>
    <r>
      <rPr>
        <sz val="11"/>
        <color theme="1"/>
        <rFont val="Aptos Narrow"/>
        <family val="2"/>
        <scheme val="minor"/>
      </rPr>
      <t xml:space="preserve"> Promover sociedades pacíficas e inclusivas para o desenvolvimento sustentável, proporcionar o acesso à justiça para todos e construir instituições eficazes, responsáveis e inclusivas em todos os níveis.</t>
    </r>
  </si>
  <si>
    <r>
      <t>Justificativa:</t>
    </r>
    <r>
      <rPr>
        <sz val="11"/>
        <color theme="1"/>
        <rFont val="Aptos Narrow"/>
        <family val="2"/>
        <scheme val="minor"/>
      </rPr>
      <t xml:space="preserve"> A </t>
    </r>
    <r>
      <rPr>
        <b/>
        <sz val="11"/>
        <color theme="1"/>
        <rFont val="Aptos Narrow"/>
        <family val="2"/>
        <scheme val="minor"/>
      </rPr>
      <t>boa governança</t>
    </r>
    <r>
      <rPr>
        <sz val="11"/>
        <color theme="1"/>
        <rFont val="Aptos Narrow"/>
        <family val="2"/>
        <scheme val="minor"/>
      </rPr>
      <t xml:space="preserve"> e a </t>
    </r>
    <r>
      <rPr>
        <b/>
        <sz val="11"/>
        <color theme="1"/>
        <rFont val="Aptos Narrow"/>
        <family val="2"/>
        <scheme val="minor"/>
      </rPr>
      <t>transparência</t>
    </r>
    <r>
      <rPr>
        <sz val="11"/>
        <color theme="1"/>
        <rFont val="Aptos Narrow"/>
        <family val="2"/>
        <scheme val="minor"/>
      </rPr>
      <t xml:space="preserve"> são fundamentais para o sucesso de qualquer município. Ter </t>
    </r>
    <r>
      <rPr>
        <b/>
        <sz val="11"/>
        <color theme="1"/>
        <rFont val="Aptos Narrow"/>
        <family val="2"/>
        <scheme val="minor"/>
      </rPr>
      <t>instituições públicas fortes</t>
    </r>
    <r>
      <rPr>
        <sz val="11"/>
        <color theme="1"/>
        <rFont val="Aptos Narrow"/>
        <family val="2"/>
        <scheme val="minor"/>
      </rPr>
      <t xml:space="preserve">, que garantam </t>
    </r>
    <r>
      <rPr>
        <b/>
        <sz val="11"/>
        <color theme="1"/>
        <rFont val="Aptos Narrow"/>
        <family val="2"/>
        <scheme val="minor"/>
      </rPr>
      <t>justiça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combata a corrupção</t>
    </r>
    <r>
      <rPr>
        <sz val="11"/>
        <color theme="1"/>
        <rFont val="Aptos Narrow"/>
        <family val="2"/>
        <scheme val="minor"/>
      </rPr>
      <t xml:space="preserve"> e promovam </t>
    </r>
    <r>
      <rPr>
        <b/>
        <sz val="11"/>
        <color theme="1"/>
        <rFont val="Aptos Narrow"/>
        <family val="2"/>
        <scheme val="minor"/>
      </rPr>
      <t>participação cidadã</t>
    </r>
    <r>
      <rPr>
        <sz val="11"/>
        <color theme="1"/>
        <rFont val="Aptos Narrow"/>
        <family val="2"/>
        <scheme val="minor"/>
      </rPr>
      <t>, é essencial para um desenvolvimento eficaz.</t>
    </r>
  </si>
  <si>
    <t>10. ODS 17 – Parcerias e Meios de Implementação</t>
  </si>
  <si>
    <r>
      <t>Objetivo:</t>
    </r>
    <r>
      <rPr>
        <sz val="11"/>
        <color theme="1"/>
        <rFont val="Aptos Narrow"/>
        <family val="2"/>
        <scheme val="minor"/>
      </rPr>
      <t xml:space="preserve"> Fortalecer os meios de implementação e revitalizar a parceria global para o desenvolvimento sustentável.</t>
    </r>
  </si>
  <si>
    <r>
      <t>Justificativa: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Parcerias entre governo, sociedade civil e setor privado</t>
    </r>
    <r>
      <rPr>
        <sz val="11"/>
        <color theme="1"/>
        <rFont val="Aptos Narrow"/>
        <family val="2"/>
        <scheme val="minor"/>
      </rPr>
      <t xml:space="preserve"> são fundamentais para implementar projetos de impacto no município. O </t>
    </r>
    <r>
      <rPr>
        <b/>
        <sz val="11"/>
        <color theme="1"/>
        <rFont val="Aptos Narrow"/>
        <family val="2"/>
        <scheme val="minor"/>
      </rPr>
      <t>comprometimento político</t>
    </r>
    <r>
      <rPr>
        <sz val="11"/>
        <color theme="1"/>
        <rFont val="Aptos Narrow"/>
        <family val="2"/>
        <scheme val="minor"/>
      </rPr>
      <t xml:space="preserve">, a </t>
    </r>
    <r>
      <rPr>
        <b/>
        <sz val="11"/>
        <color theme="1"/>
        <rFont val="Aptos Narrow"/>
        <family val="2"/>
        <scheme val="minor"/>
      </rPr>
      <t>cooperação interinstitucional</t>
    </r>
    <r>
      <rPr>
        <sz val="11"/>
        <color theme="1"/>
        <rFont val="Aptos Narrow"/>
        <family val="2"/>
        <scheme val="minor"/>
      </rPr>
      <t xml:space="preserve"> e o </t>
    </r>
    <r>
      <rPr>
        <b/>
        <sz val="11"/>
        <color theme="1"/>
        <rFont val="Aptos Narrow"/>
        <family val="2"/>
        <scheme val="minor"/>
      </rPr>
      <t>acesso a recursos financeiros</t>
    </r>
    <r>
      <rPr>
        <sz val="11"/>
        <color theme="1"/>
        <rFont val="Aptos Narrow"/>
        <family val="2"/>
        <scheme val="minor"/>
      </rPr>
      <t xml:space="preserve"> são chave para o sucesso dos ODS.</t>
    </r>
  </si>
  <si>
    <t>1. Diagnóstico Inicial</t>
  </si>
  <si>
    <r>
      <t xml:space="preserve">Antes de aplicar os ODS, é fundamental realizar um </t>
    </r>
    <r>
      <rPr>
        <b/>
        <sz val="11"/>
        <color theme="1"/>
        <rFont val="Aptos Narrow"/>
        <family val="2"/>
        <scheme val="minor"/>
      </rPr>
      <t>diagnóstico detalhado</t>
    </r>
    <r>
      <rPr>
        <sz val="11"/>
        <color theme="1"/>
        <rFont val="Aptos Narrow"/>
        <family val="2"/>
        <scheme val="minor"/>
      </rPr>
      <t xml:space="preserve"> da situação atual do município. Isso inclui:</t>
    </r>
  </si>
  <si>
    <r>
      <t xml:space="preserve">Levantar dados sobre a </t>
    </r>
    <r>
      <rPr>
        <b/>
        <sz val="11"/>
        <color theme="1"/>
        <rFont val="Aptos Narrow"/>
        <family val="2"/>
        <scheme val="minor"/>
      </rPr>
      <t>saúde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educação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infraestrutura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economia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meio ambiente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governança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desigualdades sociais</t>
    </r>
    <r>
      <rPr>
        <sz val="11"/>
        <color theme="1"/>
        <rFont val="Aptos Narrow"/>
        <family val="2"/>
        <scheme val="minor"/>
      </rPr>
      <t>.</t>
    </r>
  </si>
  <si>
    <r>
      <t xml:space="preserve">Consultar </t>
    </r>
    <r>
      <rPr>
        <b/>
        <sz val="11"/>
        <color theme="1"/>
        <rFont val="Aptos Narrow"/>
        <family val="2"/>
        <scheme val="minor"/>
      </rPr>
      <t>indicadores</t>
    </r>
    <r>
      <rPr>
        <sz val="11"/>
        <color theme="1"/>
        <rFont val="Aptos Narrow"/>
        <family val="2"/>
        <scheme val="minor"/>
      </rPr>
      <t xml:space="preserve"> como </t>
    </r>
    <r>
      <rPr>
        <b/>
        <sz val="11"/>
        <color theme="1"/>
        <rFont val="Aptos Narrow"/>
        <family val="2"/>
        <scheme val="minor"/>
      </rPr>
      <t>IDH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PIB per capita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taxa de desemprego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taxa de mortalidade infantil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taxa de analfabetismo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acesso à água e saneamento</t>
    </r>
    <r>
      <rPr>
        <sz val="11"/>
        <color theme="1"/>
        <rFont val="Aptos Narrow"/>
        <family val="2"/>
        <scheme val="minor"/>
      </rPr>
      <t>, entre outros.</t>
    </r>
  </si>
  <si>
    <r>
      <t xml:space="preserve">Consultar </t>
    </r>
    <r>
      <rPr>
        <b/>
        <sz val="11"/>
        <color theme="1"/>
        <rFont val="Aptos Narrow"/>
        <family val="2"/>
        <scheme val="minor"/>
      </rPr>
      <t>relatórios locais</t>
    </r>
    <r>
      <rPr>
        <sz val="11"/>
        <color theme="1"/>
        <rFont val="Aptos Narrow"/>
        <family val="2"/>
        <scheme val="minor"/>
      </rPr>
      <t xml:space="preserve">, como os da </t>
    </r>
    <r>
      <rPr>
        <b/>
        <sz val="11"/>
        <color theme="1"/>
        <rFont val="Aptos Narrow"/>
        <family val="2"/>
        <scheme val="minor"/>
      </rPr>
      <t>Plataforma ODS-PB</t>
    </r>
    <r>
      <rPr>
        <sz val="11"/>
        <color theme="1"/>
        <rFont val="Aptos Narrow"/>
        <family val="2"/>
        <scheme val="minor"/>
      </rPr>
      <t xml:space="preserve"> ou do </t>
    </r>
    <r>
      <rPr>
        <b/>
        <sz val="11"/>
        <color theme="1"/>
        <rFont val="Aptos Narrow"/>
        <family val="2"/>
        <scheme val="minor"/>
      </rPr>
      <t>IBGE</t>
    </r>
    <r>
      <rPr>
        <sz val="11"/>
        <color theme="1"/>
        <rFont val="Aptos Narrow"/>
        <family val="2"/>
        <scheme val="minor"/>
      </rPr>
      <t>, para ter uma visão clara da realidade do município.</t>
    </r>
  </si>
  <si>
    <t>2. Definir Prioridades</t>
  </si>
  <si>
    <t>Com base no diagnóstico, o município deve identificar quais ODS são mais urgentes e relevantes para seu desenvolvimento. Algumas questões a considerar:</t>
  </si>
  <si>
    <r>
      <t xml:space="preserve">Quais </t>
    </r>
    <r>
      <rPr>
        <b/>
        <sz val="11"/>
        <color theme="1"/>
        <rFont val="Aptos Narrow"/>
        <family val="2"/>
        <scheme val="minor"/>
      </rPr>
      <t>ODS</t>
    </r>
    <r>
      <rPr>
        <sz val="11"/>
        <color theme="1"/>
        <rFont val="Aptos Narrow"/>
        <family val="2"/>
        <scheme val="minor"/>
      </rPr>
      <t xml:space="preserve"> têm maior impacto imediato na </t>
    </r>
    <r>
      <rPr>
        <b/>
        <sz val="11"/>
        <color theme="1"/>
        <rFont val="Aptos Narrow"/>
        <family val="2"/>
        <scheme val="minor"/>
      </rPr>
      <t>qualidade de vida</t>
    </r>
    <r>
      <rPr>
        <sz val="11"/>
        <color theme="1"/>
        <rFont val="Aptos Narrow"/>
        <family val="2"/>
        <scheme val="minor"/>
      </rPr>
      <t xml:space="preserve"> da população?</t>
    </r>
  </si>
  <si>
    <r>
      <t xml:space="preserve">Onde há maiores </t>
    </r>
    <r>
      <rPr>
        <b/>
        <sz val="11"/>
        <color theme="1"/>
        <rFont val="Aptos Narrow"/>
        <family val="2"/>
        <scheme val="minor"/>
      </rPr>
      <t>desigualdades sociais</t>
    </r>
    <r>
      <rPr>
        <sz val="11"/>
        <color theme="1"/>
        <rFont val="Aptos Narrow"/>
        <family val="2"/>
        <scheme val="minor"/>
      </rPr>
      <t xml:space="preserve"> e de acesso?</t>
    </r>
  </si>
  <si>
    <r>
      <t xml:space="preserve">Quais áreas necessitam de </t>
    </r>
    <r>
      <rPr>
        <b/>
        <sz val="11"/>
        <color theme="1"/>
        <rFont val="Aptos Narrow"/>
        <family val="2"/>
        <scheme val="minor"/>
      </rPr>
      <t>infraestrutura</t>
    </r>
    <r>
      <rPr>
        <sz val="11"/>
        <color theme="1"/>
        <rFont val="Aptos Narrow"/>
        <family val="2"/>
        <scheme val="minor"/>
      </rPr>
      <t xml:space="preserve"> ou </t>
    </r>
    <r>
      <rPr>
        <b/>
        <sz val="11"/>
        <color theme="1"/>
        <rFont val="Aptos Narrow"/>
        <family val="2"/>
        <scheme val="minor"/>
      </rPr>
      <t>capacitação profissional</t>
    </r>
    <r>
      <rPr>
        <sz val="11"/>
        <color theme="1"/>
        <rFont val="Aptos Narrow"/>
        <family val="2"/>
        <scheme val="minor"/>
      </rPr>
      <t>?</t>
    </r>
  </si>
  <si>
    <t>3. Desenvolver Planos de Ação Setoriais</t>
  </si>
  <si>
    <r>
      <t xml:space="preserve">Após identificar os ODS prioritários, o município deve desenvolver </t>
    </r>
    <r>
      <rPr>
        <b/>
        <sz val="11"/>
        <color theme="1"/>
        <rFont val="Aptos Narrow"/>
        <family val="2"/>
        <scheme val="minor"/>
      </rPr>
      <t>planos de ação específicos</t>
    </r>
    <r>
      <rPr>
        <sz val="11"/>
        <color theme="1"/>
        <rFont val="Aptos Narrow"/>
        <family val="2"/>
        <scheme val="minor"/>
      </rPr>
      <t xml:space="preserve"> para cada área. Aqui estão algumas sugestões para cada ODS relevante:</t>
    </r>
  </si>
  <si>
    <t>ODS 1 – Erradicação da Pobreza ***</t>
  </si>
  <si>
    <r>
      <t>Programa de transferências de renda</t>
    </r>
    <r>
      <rPr>
        <sz val="11"/>
        <color theme="1"/>
        <rFont val="Aptos Narrow"/>
        <family val="2"/>
        <scheme val="minor"/>
      </rPr>
      <t xml:space="preserve"> para famílias em situação de vulnerabilidade.</t>
    </r>
  </si>
  <si>
    <r>
      <t>Apoio à micro e pequena empresa</t>
    </r>
    <r>
      <rPr>
        <sz val="11"/>
        <color theme="1"/>
        <rFont val="Aptos Narrow"/>
        <family val="2"/>
        <scheme val="minor"/>
      </rPr>
      <t>, promovendo a geração de empregos locais.</t>
    </r>
  </si>
  <si>
    <r>
      <t>Capacitação profissional</t>
    </r>
    <r>
      <rPr>
        <sz val="11"/>
        <color theme="1"/>
        <rFont val="Aptos Narrow"/>
        <family val="2"/>
        <scheme val="minor"/>
      </rPr>
      <t xml:space="preserve"> para o mercado de trabalho.</t>
    </r>
  </si>
  <si>
    <t>ODS 3 – Saúde e Bem-Estar</t>
  </si>
  <si>
    <r>
      <t>Aumento do acesso à saúde básica</t>
    </r>
    <r>
      <rPr>
        <sz val="11"/>
        <color theme="1"/>
        <rFont val="Aptos Narrow"/>
        <family val="2"/>
        <scheme val="minor"/>
      </rPr>
      <t xml:space="preserve"> com unidades de saúde bem equipadas e mais próximas das comunidades.</t>
    </r>
  </si>
  <si>
    <r>
      <t>Campanhas de vacinação e prevenção</t>
    </r>
    <r>
      <rPr>
        <sz val="11"/>
        <color theme="1"/>
        <rFont val="Aptos Narrow"/>
        <family val="2"/>
        <scheme val="minor"/>
      </rPr>
      <t xml:space="preserve"> de doenças comuns.</t>
    </r>
  </si>
  <si>
    <r>
      <t>Atenção à saúde mental</t>
    </r>
    <r>
      <rPr>
        <sz val="11"/>
        <color theme="1"/>
        <rFont val="Aptos Narrow"/>
        <family val="2"/>
        <scheme val="minor"/>
      </rPr>
      <t xml:space="preserve"> com programas de apoio psicossocial.</t>
    </r>
  </si>
  <si>
    <t>ODS 4 – Educação de Qualidade ***</t>
  </si>
  <si>
    <r>
      <t>Investimento em infraestrutura escolar</t>
    </r>
    <r>
      <rPr>
        <sz val="11"/>
        <color theme="1"/>
        <rFont val="Aptos Narrow"/>
        <family val="2"/>
        <scheme val="minor"/>
      </rPr>
      <t xml:space="preserve"> (melhoria das escolas, recursos didáticos).</t>
    </r>
  </si>
  <si>
    <r>
      <t>Capacitação de professores</t>
    </r>
    <r>
      <rPr>
        <sz val="11"/>
        <color theme="1"/>
        <rFont val="Aptos Narrow"/>
        <family val="2"/>
        <scheme val="minor"/>
      </rPr>
      <t xml:space="preserve"> e adoção de métodos pedagógicos modernos.</t>
    </r>
  </si>
  <si>
    <r>
      <t>Promoção de bolsas de estudo</t>
    </r>
    <r>
      <rPr>
        <sz val="11"/>
        <color theme="1"/>
        <rFont val="Aptos Narrow"/>
        <family val="2"/>
        <scheme val="minor"/>
      </rPr>
      <t xml:space="preserve"> e programas de </t>
    </r>
    <r>
      <rPr>
        <b/>
        <sz val="11"/>
        <color theme="1"/>
        <rFont val="Aptos Narrow"/>
        <family val="2"/>
        <scheme val="minor"/>
      </rPr>
      <t>inclusão digital</t>
    </r>
    <r>
      <rPr>
        <sz val="11"/>
        <color theme="1"/>
        <rFont val="Aptos Narrow"/>
        <family val="2"/>
        <scheme val="minor"/>
      </rPr>
      <t>.</t>
    </r>
  </si>
  <si>
    <t>ODS 6 – Água Limpa e Saneamento ***</t>
  </si>
  <si>
    <r>
      <t>Expansão da rede de abastecimento de água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tratamento de esgoto</t>
    </r>
    <r>
      <rPr>
        <sz val="11"/>
        <color theme="1"/>
        <rFont val="Aptos Narrow"/>
        <family val="2"/>
        <scheme val="minor"/>
      </rPr>
      <t>.</t>
    </r>
  </si>
  <si>
    <r>
      <t>Educação ambiental</t>
    </r>
    <r>
      <rPr>
        <sz val="11"/>
        <color theme="1"/>
        <rFont val="Aptos Narrow"/>
        <family val="2"/>
        <scheme val="minor"/>
      </rPr>
      <t xml:space="preserve"> para a população sobre o uso consciente da água.</t>
    </r>
  </si>
  <si>
    <r>
      <t>Construção de cisternas</t>
    </r>
    <r>
      <rPr>
        <sz val="11"/>
        <color theme="1"/>
        <rFont val="Aptos Narrow"/>
        <family val="2"/>
        <scheme val="minor"/>
      </rPr>
      <t xml:space="preserve"> e outras soluções adequadas para áreas rurais.</t>
    </r>
  </si>
  <si>
    <t>ODS 8 – Trabalho Decente e Crescimento Econômico ***</t>
  </si>
  <si>
    <r>
      <t>Incentivos a empreendedores locais</t>
    </r>
    <r>
      <rPr>
        <sz val="11"/>
        <color theme="1"/>
        <rFont val="Aptos Narrow"/>
        <family val="2"/>
        <scheme val="minor"/>
      </rPr>
      <t xml:space="preserve"> (capacitação e acesso a crédito).</t>
    </r>
  </si>
  <si>
    <r>
      <t>Apoio à economia criativa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fomento à agricultura familiar</t>
    </r>
    <r>
      <rPr>
        <sz val="11"/>
        <color theme="1"/>
        <rFont val="Aptos Narrow"/>
        <family val="2"/>
        <scheme val="minor"/>
      </rPr>
      <t>.</t>
    </r>
  </si>
  <si>
    <r>
      <t>Qualificação profissional</t>
    </r>
    <r>
      <rPr>
        <sz val="11"/>
        <color theme="1"/>
        <rFont val="Aptos Narrow"/>
        <family val="2"/>
        <scheme val="minor"/>
      </rPr>
      <t xml:space="preserve"> para jovens e adultos.</t>
    </r>
  </si>
  <si>
    <t>ODS 11 – Cidades e Comunidades Sustentáveis</t>
  </si>
  <si>
    <r>
      <t>Desenvolvimento de políticas de mobilidade urbana</t>
    </r>
    <r>
      <rPr>
        <sz val="11"/>
        <color theme="1"/>
        <rFont val="Aptos Narrow"/>
        <family val="2"/>
        <scheme val="minor"/>
      </rPr>
      <t xml:space="preserve"> (transporte público, ciclovias, etc.).</t>
    </r>
  </si>
  <si>
    <r>
      <t>Revitalização de espaços públicos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criação de áreas de lazer</t>
    </r>
    <r>
      <rPr>
        <sz val="11"/>
        <color theme="1"/>
        <rFont val="Aptos Narrow"/>
        <family val="2"/>
        <scheme val="minor"/>
      </rPr>
      <t>.</t>
    </r>
  </si>
  <si>
    <r>
      <t>Gestão sustentável do espaço urbano</t>
    </r>
    <r>
      <rPr>
        <sz val="11"/>
        <color theme="1"/>
        <rFont val="Aptos Narrow"/>
        <family val="2"/>
        <scheme val="minor"/>
      </rPr>
      <t>, incluindo áreas verdes e construção civil sustentável.</t>
    </r>
  </si>
  <si>
    <t>ODS 13 – Ação Contra a Mudança Global do Clima</t>
  </si>
  <si>
    <r>
      <t>Promoção de energia renovável</t>
    </r>
    <r>
      <rPr>
        <sz val="11"/>
        <color theme="1"/>
        <rFont val="Aptos Narrow"/>
        <family val="2"/>
        <scheme val="minor"/>
      </rPr>
      <t xml:space="preserve"> (instalação de painéis solares, por exemplo).</t>
    </r>
  </si>
  <si>
    <r>
      <t>Gestão de resíduos sólidos</t>
    </r>
    <r>
      <rPr>
        <sz val="11"/>
        <color theme="1"/>
        <rFont val="Aptos Narrow"/>
        <family val="2"/>
        <scheme val="minor"/>
      </rPr>
      <t xml:space="preserve"> e incentivo à </t>
    </r>
    <r>
      <rPr>
        <b/>
        <sz val="11"/>
        <color theme="1"/>
        <rFont val="Aptos Narrow"/>
        <family val="2"/>
        <scheme val="minor"/>
      </rPr>
      <t>reciclagem</t>
    </r>
    <r>
      <rPr>
        <sz val="11"/>
        <color theme="1"/>
        <rFont val="Aptos Narrow"/>
        <family val="2"/>
        <scheme val="minor"/>
      </rPr>
      <t>.</t>
    </r>
  </si>
  <si>
    <r>
      <t>Planejamento urbano sustentável</t>
    </r>
    <r>
      <rPr>
        <sz val="11"/>
        <color theme="1"/>
        <rFont val="Aptos Narrow"/>
        <family val="2"/>
        <scheme val="minor"/>
      </rPr>
      <t xml:space="preserve"> com o objetivo de reduzir a emissão de gases poluentes.</t>
    </r>
  </si>
  <si>
    <t>ODS 16 – Paz, Justiça e Instituições Eficazes ****</t>
  </si>
  <si>
    <r>
      <t>Fortalecimento da governança local</t>
    </r>
    <r>
      <rPr>
        <sz val="11"/>
        <color theme="1"/>
        <rFont val="Aptos Narrow"/>
        <family val="2"/>
        <scheme val="minor"/>
      </rPr>
      <t xml:space="preserve">, com </t>
    </r>
    <r>
      <rPr>
        <b/>
        <sz val="11"/>
        <color theme="1"/>
        <rFont val="Aptos Narrow"/>
        <family val="2"/>
        <scheme val="minor"/>
      </rPr>
      <t>transparência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participação cidadã</t>
    </r>
    <r>
      <rPr>
        <sz val="11"/>
        <color theme="1"/>
        <rFont val="Aptos Narrow"/>
        <family val="2"/>
        <scheme val="minor"/>
      </rPr>
      <t>.</t>
    </r>
  </si>
  <si>
    <r>
      <t>Capacitação de servidores públicos</t>
    </r>
    <r>
      <rPr>
        <sz val="11"/>
        <color theme="1"/>
        <rFont val="Aptos Narrow"/>
        <family val="2"/>
        <scheme val="minor"/>
      </rPr>
      <t xml:space="preserve"> em práticas de boa gestão e </t>
    </r>
    <r>
      <rPr>
        <b/>
        <sz val="11"/>
        <color theme="1"/>
        <rFont val="Aptos Narrow"/>
        <family val="2"/>
        <scheme val="minor"/>
      </rPr>
      <t>ética</t>
    </r>
    <r>
      <rPr>
        <sz val="11"/>
        <color theme="1"/>
        <rFont val="Aptos Narrow"/>
        <family val="2"/>
        <scheme val="minor"/>
      </rPr>
      <t>.</t>
    </r>
  </si>
  <si>
    <r>
      <t>Criação de canais de comunicação direta</t>
    </r>
    <r>
      <rPr>
        <sz val="11"/>
        <color theme="1"/>
        <rFont val="Aptos Narrow"/>
        <family val="2"/>
        <scheme val="minor"/>
      </rPr>
      <t xml:space="preserve"> entre cidadãos e a administração pública.</t>
    </r>
  </si>
  <si>
    <t>4. Integração com Outros ODS</t>
  </si>
  <si>
    <r>
      <t xml:space="preserve">O município deve buscar sempre a </t>
    </r>
    <r>
      <rPr>
        <b/>
        <sz val="11"/>
        <color theme="1"/>
        <rFont val="Aptos Narrow"/>
        <family val="2"/>
        <scheme val="minor"/>
      </rPr>
      <t>integração</t>
    </r>
    <r>
      <rPr>
        <sz val="11"/>
        <color theme="1"/>
        <rFont val="Aptos Narrow"/>
        <family val="2"/>
        <scheme val="minor"/>
      </rPr>
      <t xml:space="preserve"> entre os ODS. Por exemplo, políticas de </t>
    </r>
    <r>
      <rPr>
        <b/>
        <sz val="11"/>
        <color theme="1"/>
        <rFont val="Aptos Narrow"/>
        <family val="2"/>
        <scheme val="minor"/>
      </rPr>
      <t>educação de qualidade</t>
    </r>
    <r>
      <rPr>
        <sz val="11"/>
        <color theme="1"/>
        <rFont val="Aptos Narrow"/>
        <family val="2"/>
        <scheme val="minor"/>
      </rPr>
      <t xml:space="preserve"> (ODS 4) podem contribuir para a </t>
    </r>
    <r>
      <rPr>
        <b/>
        <sz val="11"/>
        <color theme="1"/>
        <rFont val="Aptos Narrow"/>
        <family val="2"/>
        <scheme val="minor"/>
      </rPr>
      <t>redução da pobreza</t>
    </r>
    <r>
      <rPr>
        <sz val="11"/>
        <color theme="1"/>
        <rFont val="Aptos Narrow"/>
        <family val="2"/>
        <scheme val="minor"/>
      </rPr>
      <t xml:space="preserve"> (ODS 1) e para o </t>
    </r>
    <r>
      <rPr>
        <b/>
        <sz val="11"/>
        <color theme="1"/>
        <rFont val="Aptos Narrow"/>
        <family val="2"/>
        <scheme val="minor"/>
      </rPr>
      <t>fortalecimento da governança</t>
    </r>
    <r>
      <rPr>
        <sz val="11"/>
        <color theme="1"/>
        <rFont val="Aptos Narrow"/>
        <family val="2"/>
        <scheme val="minor"/>
      </rPr>
      <t xml:space="preserve"> (ODS 16). Essa integração maximiza os resultados e permite que o município avance de maneira mais eficaz.</t>
    </r>
  </si>
  <si>
    <t>5. Participação da Comunidade</t>
  </si>
  <si>
    <r>
      <t xml:space="preserve">É essencial que a </t>
    </r>
    <r>
      <rPr>
        <b/>
        <sz val="11"/>
        <color theme="1"/>
        <rFont val="Aptos Narrow"/>
        <family val="2"/>
        <scheme val="minor"/>
      </rPr>
      <t>comunidade</t>
    </r>
    <r>
      <rPr>
        <sz val="11"/>
        <color theme="1"/>
        <rFont val="Aptos Narrow"/>
        <family val="2"/>
        <scheme val="minor"/>
      </rPr>
      <t xml:space="preserve"> participe ativamente da implementação dos ODS. Algumas ações podem incluir:</t>
    </r>
  </si>
  <si>
    <r>
      <t>Audiências públicas</t>
    </r>
    <r>
      <rPr>
        <sz val="11"/>
        <color theme="1"/>
        <rFont val="Aptos Narrow"/>
        <family val="2"/>
        <scheme val="minor"/>
      </rPr>
      <t xml:space="preserve"> para discutir os planos de ação.</t>
    </r>
  </si>
  <si>
    <r>
      <t>Consultas populares</t>
    </r>
    <r>
      <rPr>
        <sz val="11"/>
        <color theme="1"/>
        <rFont val="Aptos Narrow"/>
        <family val="2"/>
        <scheme val="minor"/>
      </rPr>
      <t xml:space="preserve"> para definir as prioridades e identificar desafios.</t>
    </r>
  </si>
  <si>
    <r>
      <t>Parcerias com organizações da sociedade civil</t>
    </r>
    <r>
      <rPr>
        <sz val="11"/>
        <color theme="1"/>
        <rFont val="Aptos Narrow"/>
        <family val="2"/>
        <scheme val="minor"/>
      </rPr>
      <t xml:space="preserve">, como ONGs e associações de moradores, para </t>
    </r>
    <r>
      <rPr>
        <b/>
        <sz val="11"/>
        <color theme="1"/>
        <rFont val="Aptos Narrow"/>
        <family val="2"/>
        <scheme val="minor"/>
      </rPr>
      <t>garantir maior participação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envolvimento social</t>
    </r>
    <r>
      <rPr>
        <sz val="11"/>
        <color theme="1"/>
        <rFont val="Aptos Narrow"/>
        <family val="2"/>
        <scheme val="minor"/>
      </rPr>
      <t>.</t>
    </r>
  </si>
  <si>
    <t>6. Parcerias Interinstitucionais **</t>
  </si>
  <si>
    <t>Os ODS são um esforço coletivo, portanto, o município deve buscar parcerias com:</t>
  </si>
  <si>
    <r>
      <t>Governo Estadual e Federal</t>
    </r>
    <r>
      <rPr>
        <sz val="11"/>
        <color theme="1"/>
        <rFont val="Aptos Narrow"/>
        <family val="2"/>
        <scheme val="minor"/>
      </rPr>
      <t>: Para viabilizar recursos e apoio técnico.</t>
    </r>
  </si>
  <si>
    <r>
      <t>Setor Privado</t>
    </r>
    <r>
      <rPr>
        <sz val="11"/>
        <color theme="1"/>
        <rFont val="Aptos Narrow"/>
        <family val="2"/>
        <scheme val="minor"/>
      </rPr>
      <t xml:space="preserve">: Para fomentar </t>
    </r>
    <r>
      <rPr>
        <b/>
        <sz val="11"/>
        <color theme="1"/>
        <rFont val="Aptos Narrow"/>
        <family val="2"/>
        <scheme val="minor"/>
      </rPr>
      <t>investimentos sustentáveis</t>
    </r>
    <r>
      <rPr>
        <sz val="11"/>
        <color theme="1"/>
        <rFont val="Aptos Narrow"/>
        <family val="2"/>
        <scheme val="minor"/>
      </rPr>
      <t xml:space="preserve"> e projetos inovadores.</t>
    </r>
  </si>
  <si>
    <r>
      <t>Universidades e Centros de Pesquisa</t>
    </r>
    <r>
      <rPr>
        <sz val="11"/>
        <color theme="1"/>
        <rFont val="Aptos Narrow"/>
        <family val="2"/>
        <scheme val="minor"/>
      </rPr>
      <t xml:space="preserve">: Para </t>
    </r>
    <r>
      <rPr>
        <b/>
        <sz val="11"/>
        <color theme="1"/>
        <rFont val="Aptos Narrow"/>
        <family val="2"/>
        <scheme val="minor"/>
      </rPr>
      <t>capacitação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avaliação contínua</t>
    </r>
    <r>
      <rPr>
        <sz val="11"/>
        <color theme="1"/>
        <rFont val="Aptos Narrow"/>
        <family val="2"/>
        <scheme val="minor"/>
      </rPr>
      <t xml:space="preserve"> dos resultados.</t>
    </r>
  </si>
  <si>
    <t>7. Monitoramento e Avaliação</t>
  </si>
  <si>
    <r>
      <t xml:space="preserve">O município deve estabelecer um sistema de </t>
    </r>
    <r>
      <rPr>
        <b/>
        <sz val="11"/>
        <color theme="1"/>
        <rFont val="Aptos Narrow"/>
        <family val="2"/>
        <scheme val="minor"/>
      </rPr>
      <t>monitoramento contínuo</t>
    </r>
    <r>
      <rPr>
        <sz val="11"/>
        <color theme="1"/>
        <rFont val="Aptos Narrow"/>
        <family val="2"/>
        <scheme val="minor"/>
      </rPr>
      <t xml:space="preserve"> para avaliar o progresso dos projetos e ações. Algumas medidas incluem:</t>
    </r>
  </si>
  <si>
    <r>
      <t>Criação de indicadores locais</t>
    </r>
    <r>
      <rPr>
        <sz val="11"/>
        <color theme="1"/>
        <rFont val="Aptos Narrow"/>
        <family val="2"/>
        <scheme val="minor"/>
      </rPr>
      <t xml:space="preserve"> para medir o sucesso em relação aos ODS.</t>
    </r>
  </si>
  <si>
    <r>
      <t>Relatórios periódicos</t>
    </r>
    <r>
      <rPr>
        <sz val="11"/>
        <color theme="1"/>
        <rFont val="Aptos Narrow"/>
        <family val="2"/>
        <scheme val="minor"/>
      </rPr>
      <t xml:space="preserve"> que detalham os avanços e desafios encontrados.</t>
    </r>
  </si>
  <si>
    <r>
      <t>Revisões anuais</t>
    </r>
    <r>
      <rPr>
        <sz val="11"/>
        <color theme="1"/>
        <rFont val="Aptos Narrow"/>
        <family val="2"/>
        <scheme val="minor"/>
      </rPr>
      <t xml:space="preserve"> dos planos de ação com ajustes conforme necessário.</t>
    </r>
  </si>
  <si>
    <t>8. Comunicação e Transparência</t>
  </si>
  <si>
    <r>
      <t xml:space="preserve">Manter a </t>
    </r>
    <r>
      <rPr>
        <b/>
        <sz val="11"/>
        <color theme="1"/>
        <rFont val="Aptos Narrow"/>
        <family val="2"/>
        <scheme val="minor"/>
      </rPr>
      <t>comunicação clara</t>
    </r>
    <r>
      <rPr>
        <sz val="11"/>
        <color theme="1"/>
        <rFont val="Aptos Narrow"/>
        <family val="2"/>
        <scheme val="minor"/>
      </rPr>
      <t xml:space="preserve"> com a população sobre os avanços é fundamental. Isso pode ser feito por meio de:</t>
    </r>
  </si>
  <si>
    <r>
      <t>Sites e redes sociais</t>
    </r>
    <r>
      <rPr>
        <sz val="11"/>
        <color theme="1"/>
        <rFont val="Aptos Narrow"/>
        <family val="2"/>
        <scheme val="minor"/>
      </rPr>
      <t xml:space="preserve"> com relatórios e atualizações.</t>
    </r>
  </si>
  <si>
    <r>
      <t>Campanhas informativas</t>
    </r>
    <r>
      <rPr>
        <sz val="11"/>
        <color theme="1"/>
        <rFont val="Aptos Narrow"/>
        <family val="2"/>
        <scheme val="minor"/>
      </rPr>
      <t xml:space="preserve"> sobre os ODS e como a população pode contribuir.</t>
    </r>
  </si>
  <si>
    <t>Exemplo de Implementação:</t>
  </si>
  <si>
    <r>
      <t xml:space="preserve">Se o município priorizar o </t>
    </r>
    <r>
      <rPr>
        <b/>
        <sz val="11"/>
        <color theme="1"/>
        <rFont val="Aptos Narrow"/>
        <family val="2"/>
        <scheme val="minor"/>
      </rPr>
      <t>ODS 11 – Cidades e Comunidades Sustentáveis</t>
    </r>
    <r>
      <rPr>
        <sz val="11"/>
        <color theme="1"/>
        <rFont val="Aptos Narrow"/>
        <family val="2"/>
        <scheme val="minor"/>
      </rPr>
      <t>, um plano de ação poderia incluir:</t>
    </r>
  </si>
  <si>
    <r>
      <t>Revitalização de praças públicas</t>
    </r>
    <r>
      <rPr>
        <sz val="11"/>
        <color theme="1"/>
        <rFont val="Aptos Narrow"/>
        <family val="2"/>
        <scheme val="minor"/>
      </rPr>
      <t>, transformando-as em espaços de convivência.</t>
    </r>
  </si>
  <si>
    <r>
      <t>Instalação de sistemas de iluminação pública com energia solar</t>
    </r>
    <r>
      <rPr>
        <sz val="11"/>
        <color theme="1"/>
        <rFont val="Aptos Narrow"/>
        <family val="2"/>
        <scheme val="minor"/>
      </rPr>
      <t>.</t>
    </r>
  </si>
  <si>
    <r>
      <t>Melhoria do transporte público</t>
    </r>
    <r>
      <rPr>
        <sz val="11"/>
        <color theme="1"/>
        <rFont val="Aptos Narrow"/>
        <family val="2"/>
        <scheme val="minor"/>
      </rPr>
      <t>, criando linhas de ônibus mais acessíveis e sustentáveis.</t>
    </r>
  </si>
  <si>
    <t>9. Resultados Esperados</t>
  </si>
  <si>
    <r>
      <t>Desenvolvimento econômico sustentável</t>
    </r>
    <r>
      <rPr>
        <sz val="11"/>
        <color theme="1"/>
        <rFont val="Aptos Narrow"/>
        <family val="2"/>
        <scheme val="minor"/>
      </rPr>
      <t>.</t>
    </r>
  </si>
  <si>
    <r>
      <t>Aumento da qualidade de vida</t>
    </r>
    <r>
      <rPr>
        <sz val="11"/>
        <color theme="1"/>
        <rFont val="Aptos Narrow"/>
        <family val="2"/>
        <scheme val="minor"/>
      </rPr>
      <t xml:space="preserve"> para a população.</t>
    </r>
  </si>
  <si>
    <r>
      <t>Redução das desigualdades sociais e aumento da inclusão</t>
    </r>
    <r>
      <rPr>
        <sz val="11"/>
        <color theme="1"/>
        <rFont val="Aptos Narrow"/>
        <family val="2"/>
        <scheme val="minor"/>
      </rPr>
      <t>.</t>
    </r>
  </si>
  <si>
    <r>
      <t>Fortalecimento da governança local e da participação cidadã</t>
    </r>
    <r>
      <rPr>
        <sz val="11"/>
        <color theme="1"/>
        <rFont val="Aptos Narrow"/>
        <family val="2"/>
        <scheme val="minor"/>
      </rPr>
      <t>.</t>
    </r>
  </si>
  <si>
    <t>Índice Ideal</t>
  </si>
  <si>
    <t>Erradicar a pobreza extrema e garantir acesso a serviços essenciais.</t>
  </si>
  <si>
    <r>
      <t>Menos de 3%</t>
    </r>
    <r>
      <rPr>
        <sz val="11"/>
        <color theme="1"/>
        <rFont val="Aptos Narrow"/>
        <family val="2"/>
        <scheme val="minor"/>
      </rPr>
      <t xml:space="preserve"> de pobreza extrema, com 100% da população acessando serviços essenciais.</t>
    </r>
  </si>
  <si>
    <t>Garantir acesso a alimentos nutritivos e promover a agricultura sustentável.</t>
  </si>
  <si>
    <r>
      <t>Menos de 5%</t>
    </r>
    <r>
      <rPr>
        <sz val="11"/>
        <color theme="1"/>
        <rFont val="Aptos Narrow"/>
        <family val="2"/>
        <scheme val="minor"/>
      </rPr>
      <t xml:space="preserve"> da população em situação de fome e </t>
    </r>
    <r>
      <rPr>
        <b/>
        <sz val="11"/>
        <color theme="1"/>
        <rFont val="Aptos Narrow"/>
        <family val="2"/>
        <scheme val="minor"/>
      </rPr>
      <t>70%</t>
    </r>
    <r>
      <rPr>
        <sz val="11"/>
        <color theme="1"/>
        <rFont val="Aptos Narrow"/>
        <family val="2"/>
        <scheme val="minor"/>
      </rPr>
      <t xml:space="preserve"> de agricultura sustentável.</t>
    </r>
  </si>
  <si>
    <r>
      <t>Mortalidade infantil abaixo de 10/1.000 nascidos vivos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acesso a saúde para 100%</t>
    </r>
    <r>
      <rPr>
        <sz val="11"/>
        <color theme="1"/>
        <rFont val="Aptos Narrow"/>
        <family val="2"/>
        <scheme val="minor"/>
      </rPr>
      <t xml:space="preserve"> da população.</t>
    </r>
  </si>
  <si>
    <t>Garantir acesso universal à educação e melhoria da qualidade.</t>
  </si>
  <si>
    <r>
      <t>100% de matrícula escolar</t>
    </r>
    <r>
      <rPr>
        <sz val="11"/>
        <color theme="1"/>
        <rFont val="Aptos Narrow"/>
        <family val="2"/>
        <scheme val="minor"/>
      </rPr>
      <t xml:space="preserve"> para crianças em idade escolar e </t>
    </r>
    <r>
      <rPr>
        <b/>
        <sz val="11"/>
        <color theme="1"/>
        <rFont val="Aptos Narrow"/>
        <family val="2"/>
        <scheme val="minor"/>
      </rPr>
      <t>taxa de alfabetização acima de 95%</t>
    </r>
    <r>
      <rPr>
        <sz val="11"/>
        <color theme="1"/>
        <rFont val="Aptos Narrow"/>
        <family val="2"/>
        <scheme val="minor"/>
      </rPr>
      <t xml:space="preserve"> na população adulta.</t>
    </r>
  </si>
  <si>
    <t>Eliminar a desigualdade de gênero e empoderar mulheres e meninas.</t>
  </si>
  <si>
    <r>
      <t>Taxa de representação feminina na política local de 30%</t>
    </r>
    <r>
      <rPr>
        <sz val="11"/>
        <color theme="1"/>
        <rFont val="Aptos Narrow"/>
        <family val="2"/>
        <scheme val="minor"/>
      </rPr>
      <t xml:space="preserve"> e políticas de </t>
    </r>
    <r>
      <rPr>
        <b/>
        <sz val="11"/>
        <color theme="1"/>
        <rFont val="Aptos Narrow"/>
        <family val="2"/>
        <scheme val="minor"/>
      </rPr>
      <t>igualdade salarial</t>
    </r>
    <r>
      <rPr>
        <sz val="11"/>
        <color theme="1"/>
        <rFont val="Aptos Narrow"/>
        <family val="2"/>
        <scheme val="minor"/>
      </rPr>
      <t xml:space="preserve"> entre homens e mulheres.</t>
    </r>
  </si>
  <si>
    <t>Garantir acesso universal a água potável e saneamento básico.</t>
  </si>
  <si>
    <r>
      <t>100% da população com acesso a água potável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acesso ao esgoto tratado</t>
    </r>
    <r>
      <rPr>
        <sz val="11"/>
        <color theme="1"/>
        <rFont val="Aptos Narrow"/>
        <family val="2"/>
        <scheme val="minor"/>
      </rPr>
      <t xml:space="preserve"> para </t>
    </r>
    <r>
      <rPr>
        <b/>
        <sz val="11"/>
        <color theme="1"/>
        <rFont val="Aptos Narrow"/>
        <family val="2"/>
        <scheme val="minor"/>
      </rPr>
      <t>80% da população</t>
    </r>
    <r>
      <rPr>
        <sz val="11"/>
        <color theme="1"/>
        <rFont val="Aptos Narrow"/>
        <family val="2"/>
        <scheme val="minor"/>
      </rPr>
      <t>.</t>
    </r>
  </si>
  <si>
    <t>Garantir acesso à energia acessível e sustentável para todos.</t>
  </si>
  <si>
    <r>
      <t>100% da população com acesso a energia elétrica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pelo menos 30% da demanda local de energia vinda de fontes renováveis</t>
    </r>
    <r>
      <rPr>
        <sz val="11"/>
        <color theme="1"/>
        <rFont val="Aptos Narrow"/>
        <family val="2"/>
        <scheme val="minor"/>
      </rPr>
      <t>.</t>
    </r>
  </si>
  <si>
    <t>Promover o crescimento econômico inclusivo e o trabalho decente.</t>
  </si>
  <si>
    <r>
      <t>Taxa de emprego formal de 80%</t>
    </r>
    <r>
      <rPr>
        <sz val="11"/>
        <color theme="1"/>
        <rFont val="Aptos Narrow"/>
        <family val="2"/>
        <scheme val="minor"/>
      </rPr>
      <t xml:space="preserve"> e redução da </t>
    </r>
    <r>
      <rPr>
        <b/>
        <sz val="11"/>
        <color theme="1"/>
        <rFont val="Aptos Narrow"/>
        <family val="2"/>
        <scheme val="minor"/>
      </rPr>
      <t>taxa de desemprego</t>
    </r>
    <r>
      <rPr>
        <sz val="11"/>
        <color theme="1"/>
        <rFont val="Aptos Narrow"/>
        <family val="2"/>
        <scheme val="minor"/>
      </rPr>
      <t xml:space="preserve"> para menos de 5%.</t>
    </r>
  </si>
  <si>
    <t>Promover a inovação e construção de infraestruturas resilientes.</t>
  </si>
  <si>
    <r>
      <t>10% do orçamento municipal destinado à infraestrutura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70% da população com acesso à internet de qualidade</t>
    </r>
    <r>
      <rPr>
        <sz val="11"/>
        <color theme="1"/>
        <rFont val="Aptos Narrow"/>
        <family val="2"/>
        <scheme val="minor"/>
      </rPr>
      <t>.</t>
    </r>
  </si>
  <si>
    <t>Reduzir as desigualdades de renda e garantir igualdade de oportunidades.</t>
  </si>
  <si>
    <r>
      <t>Índice de Gini abaixo de 0,40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100% da população com acesso a serviços básicos</t>
    </r>
    <r>
      <rPr>
        <sz val="11"/>
        <color theme="1"/>
        <rFont val="Aptos Narrow"/>
        <family val="2"/>
        <scheme val="minor"/>
      </rPr>
      <t>.</t>
    </r>
  </si>
  <si>
    <t>Tornar as cidades e comunidades inclusivas, seguras, resilientes e sustentáveis.</t>
  </si>
  <si>
    <r>
      <t>100% da população com transporte público acessível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80% da cidade com áreas verdes e espaços de lazer</t>
    </r>
    <r>
      <rPr>
        <sz val="11"/>
        <color theme="1"/>
        <rFont val="Aptos Narrow"/>
        <family val="2"/>
        <scheme val="minor"/>
      </rPr>
      <t>.</t>
    </r>
  </si>
  <si>
    <t>Promover práticas de consumo e produção sustentáveis.</t>
  </si>
  <si>
    <r>
      <t>Reduzir os resíduos sólidos em 50% até 2030</t>
    </r>
    <r>
      <rPr>
        <sz val="11"/>
        <color theme="1"/>
        <rFont val="Aptos Narrow"/>
        <family val="2"/>
        <scheme val="minor"/>
      </rPr>
      <t xml:space="preserve"> e aumentar a </t>
    </r>
    <r>
      <rPr>
        <b/>
        <sz val="11"/>
        <color theme="1"/>
        <rFont val="Aptos Narrow"/>
        <family val="2"/>
        <scheme val="minor"/>
      </rPr>
      <t>taxa de reciclagem para 30%</t>
    </r>
    <r>
      <rPr>
        <sz val="11"/>
        <color theme="1"/>
        <rFont val="Aptos Narrow"/>
        <family val="2"/>
        <scheme val="minor"/>
      </rPr>
      <t xml:space="preserve"> dos resíduos gerados.</t>
    </r>
  </si>
  <si>
    <t>Tomar medidas urgentes para combater a mudança climática.</t>
  </si>
  <si>
    <r>
      <t>Redução de emissões de CO2 por habitante em 20% até 2030</t>
    </r>
    <r>
      <rPr>
        <sz val="11"/>
        <color theme="1"/>
        <rFont val="Aptos Narrow"/>
        <family val="2"/>
        <scheme val="minor"/>
      </rPr>
      <t xml:space="preserve"> e promoção de </t>
    </r>
    <r>
      <rPr>
        <b/>
        <sz val="11"/>
        <color theme="1"/>
        <rFont val="Aptos Narrow"/>
        <family val="2"/>
        <scheme val="minor"/>
      </rPr>
      <t>energias renováveis</t>
    </r>
    <r>
      <rPr>
        <sz val="11"/>
        <color theme="1"/>
        <rFont val="Aptos Narrow"/>
        <family val="2"/>
        <scheme val="minor"/>
      </rPr>
      <t>.</t>
    </r>
  </si>
  <si>
    <t>Conservar e promover o uso sustentável dos oceanos, mares e recursos marinhos.</t>
  </si>
  <si>
    <r>
      <t>Proteger 20% das áreas costeiras e marinhas</t>
    </r>
    <r>
      <rPr>
        <sz val="11"/>
        <color theme="1"/>
        <rFont val="Aptos Narrow"/>
        <family val="2"/>
        <scheme val="minor"/>
      </rPr>
      <t xml:space="preserve"> e reduzir a </t>
    </r>
    <r>
      <rPr>
        <b/>
        <sz val="11"/>
        <color theme="1"/>
        <rFont val="Aptos Narrow"/>
        <family val="2"/>
        <scheme val="minor"/>
      </rPr>
      <t>poluição nos corpos d'água</t>
    </r>
    <r>
      <rPr>
        <sz val="11"/>
        <color theme="1"/>
        <rFont val="Aptos Narrow"/>
        <family val="2"/>
        <scheme val="minor"/>
      </rPr>
      <t>.</t>
    </r>
  </si>
  <si>
    <t>Proteger, restaurar e promover o uso sustentável dos ecossistemas terrestres.</t>
  </si>
  <si>
    <r>
      <t>Proteger 15% das áreas de biodiversidade</t>
    </r>
    <r>
      <rPr>
        <sz val="11"/>
        <color theme="1"/>
        <rFont val="Aptos Narrow"/>
        <family val="2"/>
        <scheme val="minor"/>
      </rPr>
      <t xml:space="preserve"> e promover a </t>
    </r>
    <r>
      <rPr>
        <b/>
        <sz val="11"/>
        <color theme="1"/>
        <rFont val="Aptos Narrow"/>
        <family val="2"/>
        <scheme val="minor"/>
      </rPr>
      <t>recuperação de áreas degradadas</t>
    </r>
    <r>
      <rPr>
        <sz val="11"/>
        <color theme="1"/>
        <rFont val="Aptos Narrow"/>
        <family val="2"/>
        <scheme val="minor"/>
      </rPr>
      <t>.</t>
    </r>
  </si>
  <si>
    <t>Promover sociedades pacíficas e inclusivas, e garantir acesso à justiça para todos.</t>
  </si>
  <si>
    <r>
      <t>Acesso à justiça para 90% da população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fortalecimento das instituições públicas transparentes</t>
    </r>
    <r>
      <rPr>
        <sz val="11"/>
        <color theme="1"/>
        <rFont val="Aptos Narrow"/>
        <family val="2"/>
        <scheme val="minor"/>
      </rPr>
      <t>.</t>
    </r>
  </si>
  <si>
    <t>Fortalecer a implementação de parcerias globais para o desenvolvimento sustentável.</t>
  </si>
  <si>
    <r>
      <t>Aumento das parcerias com entidades públicas, privadas e sociais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mobilização de recursos financeiros</t>
    </r>
    <r>
      <rPr>
        <sz val="11"/>
        <color theme="1"/>
        <rFont val="Aptos Narrow"/>
        <family val="2"/>
        <scheme val="minor"/>
      </rPr>
      <t xml:space="preserve"> para ODS.</t>
    </r>
  </si>
  <si>
    <t>Indicativos do IDS</t>
  </si>
  <si>
    <t>Faixa de IDS (%)</t>
  </si>
  <si>
    <t>Classificação</t>
  </si>
  <si>
    <t>Indicativo</t>
  </si>
  <si>
    <t>Acima de 90%</t>
  </si>
  <si>
    <t>Muito Alto</t>
  </si>
  <si>
    <r>
      <t xml:space="preserve">O município está </t>
    </r>
    <r>
      <rPr>
        <b/>
        <sz val="11"/>
        <color theme="1"/>
        <rFont val="Aptos Narrow"/>
        <family val="2"/>
        <scheme val="minor"/>
      </rPr>
      <t>próximo da excelência</t>
    </r>
    <r>
      <rPr>
        <sz val="11"/>
        <color theme="1"/>
        <rFont val="Aptos Narrow"/>
        <family val="2"/>
        <scheme val="minor"/>
      </rPr>
      <t>, alcançando as metas globais ou ultrapassando-as em várias áreas. A qualidade de vida e o desenvolvimento sustentável estão bem consolidados.</t>
    </r>
  </si>
  <si>
    <t>80% a 89%</t>
  </si>
  <si>
    <t>Alto</t>
  </si>
  <si>
    <r>
      <t xml:space="preserve">O município apresenta um </t>
    </r>
    <r>
      <rPr>
        <b/>
        <sz val="11"/>
        <color theme="1"/>
        <rFont val="Aptos Narrow"/>
        <family val="2"/>
        <scheme val="minor"/>
      </rPr>
      <t>desempenho muito bom</t>
    </r>
    <r>
      <rPr>
        <sz val="11"/>
        <color theme="1"/>
        <rFont val="Aptos Narrow"/>
        <family val="2"/>
        <scheme val="minor"/>
      </rPr>
      <t>, com um progresso significativo nas áreas essenciais, como educação, saúde, infraestrutura e meio ambiente. Ainda pode haver melhorias em áreas específicas, mas no geral está muito avançado.</t>
    </r>
  </si>
  <si>
    <t>70% a 79%</t>
  </si>
  <si>
    <t>Moderado-Alto</t>
  </si>
  <si>
    <r>
      <t xml:space="preserve">O município tem um </t>
    </r>
    <r>
      <rPr>
        <b/>
        <sz val="11"/>
        <color theme="1"/>
        <rFont val="Aptos Narrow"/>
        <family val="2"/>
        <scheme val="minor"/>
      </rPr>
      <t>bom nível de desenvolvimento</t>
    </r>
    <r>
      <rPr>
        <sz val="11"/>
        <color theme="1"/>
        <rFont val="Aptos Narrow"/>
        <family val="2"/>
        <scheme val="minor"/>
      </rPr>
      <t xml:space="preserve">, mas ainda há algumas lacunas ou áreas que precisam de mais atenção. Os resultados são satisfatórios, mas o município deve se focar em </t>
    </r>
    <r>
      <rPr>
        <b/>
        <sz val="11"/>
        <color theme="1"/>
        <rFont val="Aptos Narrow"/>
        <family val="2"/>
        <scheme val="minor"/>
      </rPr>
      <t>melhorar</t>
    </r>
    <r>
      <rPr>
        <sz val="11"/>
        <color theme="1"/>
        <rFont val="Aptos Narrow"/>
        <family val="2"/>
        <scheme val="minor"/>
      </rPr>
      <t xml:space="preserve"> as áreas mais críticas para alcançar o ideal.</t>
    </r>
  </si>
  <si>
    <t>60% a 69%</t>
  </si>
  <si>
    <t>Moderado</t>
  </si>
  <si>
    <r>
      <t xml:space="preserve">O município apresenta </t>
    </r>
    <r>
      <rPr>
        <b/>
        <sz val="11"/>
        <color theme="1"/>
        <rFont val="Aptos Narrow"/>
        <family val="2"/>
        <scheme val="minor"/>
      </rPr>
      <t>progresso razoável</t>
    </r>
    <r>
      <rPr>
        <sz val="11"/>
        <color theme="1"/>
        <rFont val="Aptos Narrow"/>
        <family val="2"/>
        <scheme val="minor"/>
      </rPr>
      <t>, mas com desafios significativos. Algumas áreas estão abaixo das expectativas, e há a necessidade de ações específicas e investimentos para melhorar o desempenho geral.</t>
    </r>
  </si>
  <si>
    <t>50% a 59%</t>
  </si>
  <si>
    <t>Baixo-Médio</t>
  </si>
  <si>
    <r>
      <t xml:space="preserve">O município está </t>
    </r>
    <r>
      <rPr>
        <b/>
        <sz val="11"/>
        <color theme="1"/>
        <rFont val="Aptos Narrow"/>
        <family val="2"/>
        <scheme val="minor"/>
      </rPr>
      <t>abaixo da média</t>
    </r>
    <r>
      <rPr>
        <sz val="11"/>
        <color theme="1"/>
        <rFont val="Aptos Narrow"/>
        <family val="2"/>
        <scheme val="minor"/>
      </rPr>
      <t>, e o desempenho em diversas áreas essenciais para o desenvolvimento sustentável não está atingindo as metas de forma eficaz. Investimentos e políticas públicas eficazes são necessários para impulsionar o progresso.</t>
    </r>
  </si>
  <si>
    <t>Abaixo de 50%</t>
  </si>
  <si>
    <t>Muito Baixo</t>
  </si>
  <si>
    <r>
      <t xml:space="preserve">O município está </t>
    </r>
    <r>
      <rPr>
        <b/>
        <sz val="11"/>
        <color theme="1"/>
        <rFont val="Aptos Narrow"/>
        <family val="2"/>
        <scheme val="minor"/>
      </rPr>
      <t>muito aquém das metas</t>
    </r>
    <r>
      <rPr>
        <sz val="11"/>
        <color theme="1"/>
        <rFont val="Aptos Narrow"/>
        <family val="2"/>
        <scheme val="minor"/>
      </rPr>
      <t xml:space="preserve"> estabelecidas para o desenvolvimento sustentável. Há grandes lacunas em várias áreas essenciais, e o município precisa urgentemente </t>
    </r>
    <r>
      <rPr>
        <b/>
        <sz val="11"/>
        <color theme="1"/>
        <rFont val="Aptos Narrow"/>
        <family val="2"/>
        <scheme val="minor"/>
      </rPr>
      <t>priorizar ações estratégicas</t>
    </r>
    <r>
      <rPr>
        <sz val="11"/>
        <color theme="1"/>
        <rFont val="Aptos Narrow"/>
        <family val="2"/>
        <scheme val="minor"/>
      </rPr>
      <t xml:space="preserve"> para melhorar os indicadores de qualidade de vida e sustentabilidade.</t>
    </r>
  </si>
  <si>
    <t>Explicação das Faixas:</t>
  </si>
  <si>
    <r>
      <t>Acima de 90% (Muito Alto)</t>
    </r>
    <r>
      <rPr>
        <sz val="11"/>
        <color theme="1"/>
        <rFont val="Aptos Narrow"/>
        <family val="2"/>
        <scheme val="minor"/>
      </rPr>
      <t xml:space="preserve">: Indica que o município está </t>
    </r>
    <r>
      <rPr>
        <b/>
        <sz val="11"/>
        <color theme="1"/>
        <rFont val="Aptos Narrow"/>
        <family val="2"/>
        <scheme val="minor"/>
      </rPr>
      <t>próximo de alcançar a sustentabilidade plena</t>
    </r>
    <r>
      <rPr>
        <sz val="11"/>
        <color theme="1"/>
        <rFont val="Aptos Narrow"/>
        <family val="2"/>
        <scheme val="minor"/>
      </rPr>
      <t xml:space="preserve"> em todos os aspectos do desenvolvimento sustentável. As condições de vida da população são </t>
    </r>
    <r>
      <rPr>
        <b/>
        <sz val="11"/>
        <color theme="1"/>
        <rFont val="Aptos Narrow"/>
        <family val="2"/>
        <scheme val="minor"/>
      </rPr>
      <t>excelentes</t>
    </r>
    <r>
      <rPr>
        <sz val="11"/>
        <color theme="1"/>
        <rFont val="Aptos Narrow"/>
        <family val="2"/>
        <scheme val="minor"/>
      </rPr>
      <t xml:space="preserve">, e o município já está promovendo um </t>
    </r>
    <r>
      <rPr>
        <b/>
        <sz val="11"/>
        <color theme="1"/>
        <rFont val="Aptos Narrow"/>
        <family val="2"/>
        <scheme val="minor"/>
      </rPr>
      <t>impacto positivo significativo</t>
    </r>
    <r>
      <rPr>
        <sz val="11"/>
        <color theme="1"/>
        <rFont val="Aptos Narrow"/>
        <family val="2"/>
        <scheme val="minor"/>
      </rPr>
      <t xml:space="preserve"> nas questões ambientais, sociais e econômicas.</t>
    </r>
  </si>
  <si>
    <r>
      <t>80% a 89% (Alto)</t>
    </r>
    <r>
      <rPr>
        <sz val="11"/>
        <color theme="1"/>
        <rFont val="Aptos Narrow"/>
        <family val="2"/>
        <scheme val="minor"/>
      </rPr>
      <t xml:space="preserve">: O município está muito </t>
    </r>
    <r>
      <rPr>
        <b/>
        <sz val="11"/>
        <color theme="1"/>
        <rFont val="Aptos Narrow"/>
        <family val="2"/>
        <scheme val="minor"/>
      </rPr>
      <t>próximo da excelência</t>
    </r>
    <r>
      <rPr>
        <sz val="11"/>
        <color theme="1"/>
        <rFont val="Aptos Narrow"/>
        <family val="2"/>
        <scheme val="minor"/>
      </rPr>
      <t>, mas pode haver uma ou duas áreas onde não se atingiram as metas ideais. Em geral, o município está bem desenvolvido e em linha com os objetivos de sustentabilidade.</t>
    </r>
  </si>
  <si>
    <r>
      <t>70% a 79% (Moderado-Alto)</t>
    </r>
    <r>
      <rPr>
        <sz val="11"/>
        <color theme="1"/>
        <rFont val="Aptos Narrow"/>
        <family val="2"/>
        <scheme val="minor"/>
      </rPr>
      <t xml:space="preserve">: O município ainda tem algumas áreas com </t>
    </r>
    <r>
      <rPr>
        <b/>
        <sz val="11"/>
        <color theme="1"/>
        <rFont val="Aptos Narrow"/>
        <family val="2"/>
        <scheme val="minor"/>
      </rPr>
      <t>deficiências</t>
    </r>
    <r>
      <rPr>
        <sz val="11"/>
        <color theme="1"/>
        <rFont val="Aptos Narrow"/>
        <family val="2"/>
        <scheme val="minor"/>
      </rPr>
      <t>, mas está avançando para o ideal. Pode ser necessário investir em políticas para corrigir falhas, mas o município já está mostrando resultados positivos.</t>
    </r>
  </si>
  <si>
    <r>
      <t>60% a 69% (Moderado)</t>
    </r>
    <r>
      <rPr>
        <sz val="11"/>
        <color theme="1"/>
        <rFont val="Aptos Narrow"/>
        <family val="2"/>
        <scheme val="minor"/>
      </rPr>
      <t xml:space="preserve">: Neste nível, o município tem </t>
    </r>
    <r>
      <rPr>
        <b/>
        <sz val="11"/>
        <color theme="1"/>
        <rFont val="Aptos Narrow"/>
        <family val="2"/>
        <scheme val="minor"/>
      </rPr>
      <t>avanços limitados</t>
    </r>
    <r>
      <rPr>
        <sz val="11"/>
        <color theme="1"/>
        <rFont val="Aptos Narrow"/>
        <family val="2"/>
        <scheme val="minor"/>
      </rPr>
      <t xml:space="preserve"> e precisa de mais atenção em várias áreas para alcançar o desenvolvimento sustentável. Pode ser necessário rever ou criar novas políticas públicas para acelerar o progresso.</t>
    </r>
  </si>
  <si>
    <r>
      <t>50% a 59% (Baixo)</t>
    </r>
    <r>
      <rPr>
        <sz val="11"/>
        <color theme="1"/>
        <rFont val="Aptos Narrow"/>
        <family val="2"/>
        <scheme val="minor"/>
      </rPr>
      <t xml:space="preserve">: Este é um nível onde o município ainda está </t>
    </r>
    <r>
      <rPr>
        <b/>
        <sz val="11"/>
        <color theme="1"/>
        <rFont val="Aptos Narrow"/>
        <family val="2"/>
        <scheme val="minor"/>
      </rPr>
      <t>abaixo da média</t>
    </r>
    <r>
      <rPr>
        <sz val="11"/>
        <color theme="1"/>
        <rFont val="Aptos Narrow"/>
        <family val="2"/>
        <scheme val="minor"/>
      </rPr>
      <t xml:space="preserve"> em termos de desenvolvimento sustentável. Muitas áreas podem estar </t>
    </r>
    <r>
      <rPr>
        <b/>
        <sz val="11"/>
        <color theme="1"/>
        <rFont val="Aptos Narrow"/>
        <family val="2"/>
        <scheme val="minor"/>
      </rPr>
      <t>muito aquém das metas</t>
    </r>
    <r>
      <rPr>
        <sz val="11"/>
        <color theme="1"/>
        <rFont val="Aptos Narrow"/>
        <family val="2"/>
        <scheme val="minor"/>
      </rPr>
      <t>, e ações urgentes devem ser tomadas para melhorar os indicadores de qualidade de vida e sustentabilidade.</t>
    </r>
  </si>
  <si>
    <r>
      <t>Abaixo de 50% (Muito Baixo)</t>
    </r>
    <r>
      <rPr>
        <sz val="11"/>
        <color theme="1"/>
        <rFont val="Aptos Narrow"/>
        <family val="2"/>
        <scheme val="minor"/>
      </rPr>
      <t xml:space="preserve">: Este é um indicativo crítico, onde o município enfrenta </t>
    </r>
    <r>
      <rPr>
        <b/>
        <sz val="11"/>
        <color theme="1"/>
        <rFont val="Aptos Narrow"/>
        <family val="2"/>
        <scheme val="minor"/>
      </rPr>
      <t>grandes desafios</t>
    </r>
    <r>
      <rPr>
        <sz val="11"/>
        <color theme="1"/>
        <rFont val="Aptos Narrow"/>
        <family val="2"/>
        <scheme val="minor"/>
      </rPr>
      <t xml:space="preserve"> e precisa de </t>
    </r>
    <r>
      <rPr>
        <b/>
        <sz val="11"/>
        <color theme="1"/>
        <rFont val="Aptos Narrow"/>
        <family val="2"/>
        <scheme val="minor"/>
      </rPr>
      <t>ações imediatas e substanciais</t>
    </r>
    <r>
      <rPr>
        <sz val="11"/>
        <color theme="1"/>
        <rFont val="Aptos Narrow"/>
        <family val="2"/>
        <scheme val="minor"/>
      </rPr>
      <t xml:space="preserve"> para alcançar resultados mínimos em áreas essenciais como educação, saúde, meio ambiente, infraestrutura, entre outros.</t>
    </r>
  </si>
  <si>
    <t>Como aumentar esses indicativos na prática:</t>
  </si>
  <si>
    <r>
      <t xml:space="preserve">Essas faixas podem ser aplicadas como uma </t>
    </r>
    <r>
      <rPr>
        <b/>
        <sz val="11"/>
        <color theme="1"/>
        <rFont val="Aptos Narrow"/>
        <family val="2"/>
        <scheme val="minor"/>
      </rPr>
      <t>ferramenta de monitoramento</t>
    </r>
    <r>
      <rPr>
        <sz val="11"/>
        <color theme="1"/>
        <rFont val="Aptos Narrow"/>
        <family val="2"/>
        <scheme val="minor"/>
      </rPr>
      <t xml:space="preserve"> no processo de </t>
    </r>
    <r>
      <rPr>
        <b/>
        <sz val="11"/>
        <color theme="1"/>
        <rFont val="Aptos Narrow"/>
        <family val="2"/>
        <scheme val="minor"/>
      </rPr>
      <t>planejamento estratégico</t>
    </r>
    <r>
      <rPr>
        <sz val="11"/>
        <color theme="1"/>
        <rFont val="Aptos Narrow"/>
        <family val="2"/>
        <scheme val="minor"/>
      </rPr>
      <t xml:space="preserve"> dos municípios. Cada </t>
    </r>
    <r>
      <rPr>
        <b/>
        <sz val="11"/>
        <color theme="1"/>
        <rFont val="Aptos Narrow"/>
        <family val="2"/>
        <scheme val="minor"/>
      </rPr>
      <t>faixa de IDS</t>
    </r>
    <r>
      <rPr>
        <sz val="11"/>
        <color theme="1"/>
        <rFont val="Aptos Narrow"/>
        <family val="2"/>
        <scheme val="minor"/>
      </rPr>
      <t xml:space="preserve"> pode ser relacionada a ações específicas, como:</t>
    </r>
  </si>
  <si>
    <t>Revisão de políticas públicas</t>
  </si>
  <si>
    <t>Captação de recursos</t>
  </si>
  <si>
    <t>Implementação de novos programas</t>
  </si>
  <si>
    <t>Fortalecimento da governança local</t>
  </si>
  <si>
    <t>Avaliação periódica dos resultados obtidos</t>
  </si>
  <si>
    <t>Nº ODS</t>
  </si>
  <si>
    <t>Para chegar IDS Ideal</t>
  </si>
  <si>
    <t>Erradicação da Pobreza</t>
  </si>
  <si>
    <r>
      <t>Menos de 3%</t>
    </r>
    <r>
      <rPr>
        <sz val="11"/>
        <color theme="1"/>
        <rFont val="Times"/>
        <family val="1"/>
      </rPr>
      <t xml:space="preserve"> de pobreza extrema, com 100% da população acessando serviços essenciais.</t>
    </r>
  </si>
  <si>
    <t>Fome Zero e Agricultura Sustentável</t>
  </si>
  <si>
    <r>
      <t>Menos de 5%</t>
    </r>
    <r>
      <rPr>
        <sz val="11"/>
        <color theme="1"/>
        <rFont val="Times"/>
        <family val="1"/>
      </rPr>
      <t xml:space="preserve"> da população em situação de fome e </t>
    </r>
    <r>
      <rPr>
        <b/>
        <sz val="11"/>
        <color theme="1"/>
        <rFont val="Times"/>
        <family val="1"/>
      </rPr>
      <t>70%</t>
    </r>
    <r>
      <rPr>
        <sz val="11"/>
        <color theme="1"/>
        <rFont val="Times"/>
        <family val="1"/>
      </rPr>
      <t xml:space="preserve"> de agricultura sustentável.</t>
    </r>
  </si>
  <si>
    <t>Saúde e Bem-Estar</t>
  </si>
  <si>
    <r>
      <t>Mortalidade infantil abaixo de 10/1.000 nascidos vivos</t>
    </r>
    <r>
      <rPr>
        <sz val="11"/>
        <color theme="1"/>
        <rFont val="Times"/>
        <family val="1"/>
      </rPr>
      <t xml:space="preserve"> e </t>
    </r>
    <r>
      <rPr>
        <b/>
        <sz val="11"/>
        <color theme="1"/>
        <rFont val="Times"/>
        <family val="1"/>
      </rPr>
      <t>acesso a saúde para 100%</t>
    </r>
    <r>
      <rPr>
        <sz val="11"/>
        <color theme="1"/>
        <rFont val="Times"/>
        <family val="1"/>
      </rPr>
      <t xml:space="preserve"> da população.</t>
    </r>
  </si>
  <si>
    <t>Educação de Qualidade</t>
  </si>
  <si>
    <r>
      <t>100% de matrícula escolar</t>
    </r>
    <r>
      <rPr>
        <sz val="11"/>
        <color theme="1"/>
        <rFont val="Times"/>
        <family val="1"/>
      </rPr>
      <t xml:space="preserve"> para crianças em idade escolar e </t>
    </r>
    <r>
      <rPr>
        <b/>
        <sz val="11"/>
        <color theme="1"/>
        <rFont val="Times"/>
        <family val="1"/>
      </rPr>
      <t>taxa de alfabetização acima de 95%</t>
    </r>
    <r>
      <rPr>
        <sz val="11"/>
        <color theme="1"/>
        <rFont val="Times"/>
        <family val="1"/>
      </rPr>
      <t xml:space="preserve"> na população adulta.</t>
    </r>
  </si>
  <si>
    <t>Igualdade de Gênero</t>
  </si>
  <si>
    <r>
      <t>Taxa de representação feminina na política local de 30%</t>
    </r>
    <r>
      <rPr>
        <sz val="11"/>
        <color theme="1"/>
        <rFont val="Times"/>
        <family val="1"/>
      </rPr>
      <t xml:space="preserve"> e políticas de </t>
    </r>
    <r>
      <rPr>
        <b/>
        <sz val="11"/>
        <color theme="1"/>
        <rFont val="Times"/>
        <family val="1"/>
      </rPr>
      <t>igualdade salarial</t>
    </r>
    <r>
      <rPr>
        <sz val="11"/>
        <color theme="1"/>
        <rFont val="Times"/>
        <family val="1"/>
      </rPr>
      <t xml:space="preserve"> entre homens e mulheres.</t>
    </r>
  </si>
  <si>
    <t>Água Limpa e Saneamento</t>
  </si>
  <si>
    <r>
      <t>100% da população com acesso a água potável</t>
    </r>
    <r>
      <rPr>
        <sz val="11"/>
        <color theme="1"/>
        <rFont val="Times"/>
        <family val="1"/>
      </rPr>
      <t xml:space="preserve"> e </t>
    </r>
    <r>
      <rPr>
        <b/>
        <sz val="11"/>
        <color theme="1"/>
        <rFont val="Times"/>
        <family val="1"/>
      </rPr>
      <t>acesso ao esgoto tratado</t>
    </r>
    <r>
      <rPr>
        <sz val="11"/>
        <color theme="1"/>
        <rFont val="Times"/>
        <family val="1"/>
      </rPr>
      <t xml:space="preserve"> para </t>
    </r>
    <r>
      <rPr>
        <b/>
        <sz val="11"/>
        <color theme="1"/>
        <rFont val="Times"/>
        <family val="1"/>
      </rPr>
      <t>80% da população</t>
    </r>
    <r>
      <rPr>
        <sz val="11"/>
        <color theme="1"/>
        <rFont val="Times"/>
        <family val="1"/>
      </rPr>
      <t>.</t>
    </r>
  </si>
  <si>
    <t>Energia Limpa e Acessível</t>
  </si>
  <si>
    <r>
      <t>100% da população com acesso a energia elétrica</t>
    </r>
    <r>
      <rPr>
        <sz val="11"/>
        <color theme="1"/>
        <rFont val="Times"/>
        <family val="1"/>
      </rPr>
      <t xml:space="preserve"> e </t>
    </r>
    <r>
      <rPr>
        <b/>
        <sz val="11"/>
        <color theme="1"/>
        <rFont val="Times"/>
        <family val="1"/>
      </rPr>
      <t>pelo menos 30% da demanda local de energia vinda de fontes renováveis</t>
    </r>
    <r>
      <rPr>
        <sz val="11"/>
        <color theme="1"/>
        <rFont val="Times"/>
        <family val="1"/>
      </rPr>
      <t>.</t>
    </r>
  </si>
  <si>
    <t>Trabalho Decente e Crescimento Econômico</t>
  </si>
  <si>
    <r>
      <t>Taxa de emprego formal de 80%</t>
    </r>
    <r>
      <rPr>
        <sz val="11"/>
        <color theme="1"/>
        <rFont val="Times"/>
        <family val="1"/>
      </rPr>
      <t xml:space="preserve"> e redução da </t>
    </r>
    <r>
      <rPr>
        <b/>
        <sz val="11"/>
        <color theme="1"/>
        <rFont val="Times"/>
        <family val="1"/>
      </rPr>
      <t>taxa de desemprego</t>
    </r>
    <r>
      <rPr>
        <sz val="11"/>
        <color theme="1"/>
        <rFont val="Times"/>
        <family val="1"/>
      </rPr>
      <t xml:space="preserve"> para menos de 5%.</t>
    </r>
  </si>
  <si>
    <t>Indústria, Inovação e Infraestrutura</t>
  </si>
  <si>
    <r>
      <t>10% do orçamento municipal destinado à infraestrutura</t>
    </r>
    <r>
      <rPr>
        <sz val="11"/>
        <color theme="1"/>
        <rFont val="Times"/>
        <family val="1"/>
      </rPr>
      <t xml:space="preserve"> e </t>
    </r>
    <r>
      <rPr>
        <b/>
        <sz val="11"/>
        <color theme="1"/>
        <rFont val="Times"/>
        <family val="1"/>
      </rPr>
      <t>70% da população com acesso à internet de qualidade</t>
    </r>
    <r>
      <rPr>
        <sz val="11"/>
        <color theme="1"/>
        <rFont val="Times"/>
        <family val="1"/>
      </rPr>
      <t>.</t>
    </r>
  </si>
  <si>
    <t>Redução das Desigualdades</t>
  </si>
  <si>
    <r>
      <t>Índice de Gini abaixo de 0,40</t>
    </r>
    <r>
      <rPr>
        <sz val="11"/>
        <color theme="1"/>
        <rFont val="Times"/>
        <family val="1"/>
      </rPr>
      <t xml:space="preserve"> e </t>
    </r>
    <r>
      <rPr>
        <b/>
        <sz val="11"/>
        <color theme="1"/>
        <rFont val="Times"/>
        <family val="1"/>
      </rPr>
      <t>100% da população com acesso a serviços básicos</t>
    </r>
    <r>
      <rPr>
        <sz val="11"/>
        <color theme="1"/>
        <rFont val="Times"/>
        <family val="1"/>
      </rPr>
      <t>.</t>
    </r>
  </si>
  <si>
    <t>Cidades e Comunidades Sustentáveis</t>
  </si>
  <si>
    <r>
      <t>100% da população com transporte público acessível</t>
    </r>
    <r>
      <rPr>
        <sz val="11"/>
        <color theme="1"/>
        <rFont val="Times"/>
        <family val="1"/>
      </rPr>
      <t xml:space="preserve"> e </t>
    </r>
    <r>
      <rPr>
        <b/>
        <sz val="11"/>
        <color theme="1"/>
        <rFont val="Times"/>
        <family val="1"/>
      </rPr>
      <t>80% da cidade com áreas verdes e espaços de lazer</t>
    </r>
    <r>
      <rPr>
        <sz val="11"/>
        <color theme="1"/>
        <rFont val="Times"/>
        <family val="1"/>
      </rPr>
      <t>.</t>
    </r>
  </si>
  <si>
    <t>Consumo e Produção Responsáveis</t>
  </si>
  <si>
    <r>
      <t>Reduzir os resíduos sólidos em 50% até 2030</t>
    </r>
    <r>
      <rPr>
        <sz val="11"/>
        <color theme="1"/>
        <rFont val="Times"/>
        <family val="1"/>
      </rPr>
      <t xml:space="preserve"> e aumentar a </t>
    </r>
    <r>
      <rPr>
        <b/>
        <sz val="11"/>
        <color theme="1"/>
        <rFont val="Times"/>
        <family val="1"/>
      </rPr>
      <t>taxa de reciclagem para 30%</t>
    </r>
    <r>
      <rPr>
        <sz val="11"/>
        <color theme="1"/>
        <rFont val="Times"/>
        <family val="1"/>
      </rPr>
      <t xml:space="preserve"> dos resíduos gerados.</t>
    </r>
  </si>
  <si>
    <t>Ação Contra a Mudança Global do Clima</t>
  </si>
  <si>
    <r>
      <t>Redução de emissões de CO2 por habitante em 20% até 2030</t>
    </r>
    <r>
      <rPr>
        <sz val="11"/>
        <color theme="1"/>
        <rFont val="Times"/>
        <family val="1"/>
      </rPr>
      <t xml:space="preserve"> e promoção de </t>
    </r>
    <r>
      <rPr>
        <b/>
        <sz val="11"/>
        <color theme="1"/>
        <rFont val="Times"/>
        <family val="1"/>
      </rPr>
      <t>energias renováveis</t>
    </r>
    <r>
      <rPr>
        <sz val="11"/>
        <color theme="1"/>
        <rFont val="Times"/>
        <family val="1"/>
      </rPr>
      <t>.</t>
    </r>
  </si>
  <si>
    <t>Vida na Água</t>
  </si>
  <si>
    <r>
      <t>Proteger 20% das áreas costeiras e marinhas</t>
    </r>
    <r>
      <rPr>
        <sz val="11"/>
        <color theme="1"/>
        <rFont val="Times"/>
        <family val="1"/>
      </rPr>
      <t xml:space="preserve"> e reduzir a </t>
    </r>
    <r>
      <rPr>
        <b/>
        <sz val="11"/>
        <color theme="1"/>
        <rFont val="Times"/>
        <family val="1"/>
      </rPr>
      <t>poluição nos corpos d'água</t>
    </r>
    <r>
      <rPr>
        <sz val="11"/>
        <color theme="1"/>
        <rFont val="Times"/>
        <family val="1"/>
      </rPr>
      <t>.</t>
    </r>
  </si>
  <si>
    <t>Vida Terrestre</t>
  </si>
  <si>
    <r>
      <t>Proteger 15% das áreas de biodiversidade</t>
    </r>
    <r>
      <rPr>
        <sz val="11"/>
        <color theme="1"/>
        <rFont val="Times"/>
        <family val="1"/>
      </rPr>
      <t xml:space="preserve"> e promover a </t>
    </r>
    <r>
      <rPr>
        <b/>
        <sz val="11"/>
        <color theme="1"/>
        <rFont val="Times"/>
        <family val="1"/>
      </rPr>
      <t>recuperação de áreas degradadas</t>
    </r>
    <r>
      <rPr>
        <sz val="11"/>
        <color theme="1"/>
        <rFont val="Times"/>
        <family val="1"/>
      </rPr>
      <t>.</t>
    </r>
  </si>
  <si>
    <t>Paz, Justiça e Instituições Eficazes</t>
  </si>
  <si>
    <r>
      <t>Acesso à justiça para 90% da população</t>
    </r>
    <r>
      <rPr>
        <sz val="11"/>
        <color theme="1"/>
        <rFont val="Times"/>
        <family val="1"/>
      </rPr>
      <t xml:space="preserve"> e </t>
    </r>
    <r>
      <rPr>
        <b/>
        <sz val="11"/>
        <color theme="1"/>
        <rFont val="Times"/>
        <family val="1"/>
      </rPr>
      <t>fortalecimento das instituições públicas transparentes</t>
    </r>
    <r>
      <rPr>
        <sz val="11"/>
        <color theme="1"/>
        <rFont val="Times"/>
        <family val="1"/>
      </rPr>
      <t>.</t>
    </r>
  </si>
  <si>
    <t>Parcerias e Meios de Implementação</t>
  </si>
  <si>
    <r>
      <t>Aumento das parcerias com entidades públicas, privadas e sociais</t>
    </r>
    <r>
      <rPr>
        <sz val="11"/>
        <color theme="1"/>
        <rFont val="Times"/>
        <family val="1"/>
      </rPr>
      <t xml:space="preserve"> e </t>
    </r>
    <r>
      <rPr>
        <b/>
        <sz val="11"/>
        <color theme="1"/>
        <rFont val="Times"/>
        <family val="1"/>
      </rPr>
      <t>mobilização de recursos financeiros</t>
    </r>
    <r>
      <rPr>
        <sz val="11"/>
        <color theme="1"/>
        <rFont val="Times"/>
        <family val="1"/>
      </rPr>
      <t xml:space="preserve"> para ODS.</t>
    </r>
  </si>
  <si>
    <r>
      <t xml:space="preserve">Esses </t>
    </r>
    <r>
      <rPr>
        <b/>
        <sz val="11"/>
        <color theme="1"/>
        <rFont val="Times"/>
        <family val="1"/>
      </rPr>
      <t>valores de IDS em porcentagem</t>
    </r>
    <r>
      <rPr>
        <sz val="11"/>
        <color theme="1"/>
        <rFont val="Times"/>
        <family val="1"/>
      </rPr>
      <t xml:space="preserve"> são indicativos da </t>
    </r>
    <r>
      <rPr>
        <b/>
        <sz val="11"/>
        <color theme="1"/>
        <rFont val="Times"/>
        <family val="1"/>
      </rPr>
      <t>performance geral do município</t>
    </r>
    <r>
      <rPr>
        <sz val="11"/>
        <color theme="1"/>
        <rFont val="Times"/>
        <family val="1"/>
      </rPr>
      <t xml:space="preserve"> em relação aos ODS. Eles podem ser ajustados conforme a </t>
    </r>
    <r>
      <rPr>
        <b/>
        <sz val="11"/>
        <color theme="1"/>
        <rFont val="Times"/>
        <family val="1"/>
      </rPr>
      <t>realidade local</t>
    </r>
    <r>
      <rPr>
        <sz val="11"/>
        <color theme="1"/>
        <rFont val="Times"/>
        <family val="1"/>
      </rPr>
      <t xml:space="preserve"> e as </t>
    </r>
    <r>
      <rPr>
        <b/>
        <sz val="11"/>
        <color theme="1"/>
        <rFont val="Times"/>
        <family val="1"/>
      </rPr>
      <t>prioridades específicas</t>
    </r>
    <r>
      <rPr>
        <sz val="11"/>
        <color theme="1"/>
        <rFont val="Times"/>
        <family val="1"/>
      </rPr>
      <t xml:space="preserve"> de cada município.</t>
    </r>
  </si>
  <si>
    <r>
      <t>Valores próximos de 100%</t>
    </r>
    <r>
      <rPr>
        <sz val="11"/>
        <color rgb="FF000000"/>
        <rFont val="Times"/>
        <family val="1"/>
      </rPr>
      <t xml:space="preserve"> </t>
    </r>
  </si>
  <si>
    <t>valores ideais a serem buscados por municípios em estágio avançado de desenvolvimento. Isso indica que as metas dos ODS estão sendo atingidas de maneira eficaz.</t>
  </si>
  <si>
    <t>Valores em torno de 80% a 90%</t>
  </si>
  <si>
    <t xml:space="preserve"> indicam que o município está no caminho certo, com progresso significativo nas áreas críticas.</t>
  </si>
  <si>
    <r>
      <t>Valores abaixo de 70%</t>
    </r>
    <r>
      <rPr>
        <sz val="11"/>
        <color rgb="FF000000"/>
        <rFont val="Times"/>
        <family val="1"/>
      </rPr>
      <t xml:space="preserve"> </t>
    </r>
  </si>
  <si>
    <t>representam áreas onde o município ainda enfrenta desafios consideráveis e precisa melhorar significativamente os serviços ou ações relacionadas ao ODS específico.</t>
  </si>
  <si>
    <t>IDS SB</t>
  </si>
  <si>
    <t>ODS Relacionada</t>
  </si>
  <si>
    <t>Como Aplicar ODS</t>
  </si>
  <si>
    <t>Propostas de Fomento</t>
  </si>
  <si>
    <t>ODS 8</t>
  </si>
  <si>
    <t>Área</t>
  </si>
  <si>
    <t>Conferência c Serra Branca</t>
  </si>
  <si>
    <t>Fortalececimento da Economia Local</t>
  </si>
  <si>
    <t>Criação de Lei /Decreto que obriga os editais e as contratações sejam feitas com empresas que atendem o percentual de jovens e menores aprendizes</t>
  </si>
  <si>
    <t>Assessoria Jurídica de Processo Legislativo</t>
  </si>
  <si>
    <t xml:space="preserve">Não Possuem </t>
  </si>
  <si>
    <t>criar lei baseando-se no decreto 44862/2024 PB - mulheres vítimas de agressão</t>
  </si>
  <si>
    <t>Geração de Emprego e Qualificação Profissional</t>
  </si>
  <si>
    <t>Criação de Lei /Decreto que obriga os editais e as contratações sejam feitas com empresas que atendem o percentual de deficientes (PCD)</t>
  </si>
  <si>
    <t>Programas de Estágio e Primeiro emprego p/ jovens</t>
  </si>
  <si>
    <t>Criação de Lei Municipal de incentivo às MEs e EPPS, se houver</t>
  </si>
  <si>
    <t>Incentivos fiscais para empresas que contrataram mao de obra local</t>
  </si>
  <si>
    <t>Fortalecimento da Sala do Empreendedor - Parceiro Sebrae</t>
  </si>
  <si>
    <t>Assessoria de Gestão</t>
  </si>
  <si>
    <t>Criação de Lei de Incentivos Fiscais para atração de novas empresas/comércio (ISS e IPTU)</t>
  </si>
  <si>
    <t>Lei do Bem serve como base</t>
  </si>
  <si>
    <t>Elaboração de Lei que regulamenta e cria o Polo Industrial de Serra Branca</t>
  </si>
  <si>
    <t>Elaboração de um Plano de Reorganização e Reestruturação do comércio local</t>
  </si>
  <si>
    <t>Elaboração de Plano para incentivar o cooperativismo local em especial da agricultura familiar</t>
  </si>
  <si>
    <t>Assessoria de Gestão/Assessoria Jurídica de Processo Legislativo</t>
  </si>
  <si>
    <t>Elaborar Plano de fortalecimento do comércio local com iniciativas governamentais, e auxílio de bancos de desenvolvimento</t>
  </si>
  <si>
    <t>Estudo de viabilidade da criação de um Parque de Turismo na Serra do Jatobá</t>
  </si>
  <si>
    <t>Fomento do Turismo Religioso (Nossa Senhora da Conceição)</t>
  </si>
  <si>
    <t>Estudo de viabilidade de criação de um Consórcio entre os municípios da região do Cariri</t>
  </si>
  <si>
    <t>Assessoria de Gestão/Assessoria Jurídica/Política</t>
  </si>
  <si>
    <t>Já possuem um de Saúde - CISCO</t>
  </si>
  <si>
    <t>Reestruturação da Feira Local com PPP (organização das bancas, padronização, locais de higienização)</t>
  </si>
  <si>
    <t>Reestruturação do matadouro e mercado público, se houver</t>
  </si>
  <si>
    <t>Criação do circuito de Vaquejada do Cariri (a final será em Serra Branca)</t>
  </si>
  <si>
    <t>Criação do Festival da Rainha do Cariri</t>
  </si>
  <si>
    <t>Elaboração de Lei para criação do Programa Primeiro Emprego</t>
  </si>
  <si>
    <t>Criação de programas de capacitações bimestrais presenciais e online</t>
  </si>
  <si>
    <t>Assessoria de Gestão/Assessoria Jurídica</t>
  </si>
  <si>
    <t>Criação de laboratórios de informática nas escolas</t>
  </si>
  <si>
    <t>Criação de Zona Especial para logística de e-commerce do Vale do Cariri</t>
  </si>
  <si>
    <t>Criação de Lei de uso e ocupação do solo no Município</t>
  </si>
  <si>
    <t>ODS 9 e ODS 11</t>
  </si>
  <si>
    <t>Envolve o aumento do PIB percapita e acesso à infraestrutura</t>
  </si>
  <si>
    <r>
      <t xml:space="preserve">Criar um </t>
    </r>
    <r>
      <rPr>
        <b/>
        <sz val="11"/>
        <color rgb="FF000000"/>
        <rFont val="Times"/>
        <family val="1"/>
      </rPr>
      <t>Plano de Mobilidade Urbana</t>
    </r>
    <r>
      <rPr>
        <sz val="11"/>
        <color rgb="FF000000"/>
        <rFont val="Times"/>
        <family val="1"/>
      </rPr>
      <t xml:space="preserve"> integrado e sustentável;</t>
    </r>
  </si>
  <si>
    <t>Lei de Incentivo e apoio aos artistas locais</t>
  </si>
  <si>
    <r>
      <t xml:space="preserve">Investir na manutenção e expansão da </t>
    </r>
    <r>
      <rPr>
        <b/>
        <sz val="11"/>
        <color rgb="FF000000"/>
        <rFont val="Times"/>
        <family val="1"/>
      </rPr>
      <t>malha viária</t>
    </r>
    <r>
      <rPr>
        <sz val="11"/>
        <color rgb="FF000000"/>
        <rFont val="Times"/>
        <family val="1"/>
      </rPr>
      <t>;</t>
    </r>
  </si>
  <si>
    <t>Criação da Casa da Mulher (acolhimento à vitimas de violência)</t>
  </si>
  <si>
    <r>
      <t xml:space="preserve">Estimular o uso de </t>
    </r>
    <r>
      <rPr>
        <b/>
        <sz val="11"/>
        <color rgb="FF000000"/>
        <rFont val="Times"/>
        <family val="1"/>
      </rPr>
      <t>tecnologias limpas</t>
    </r>
    <r>
      <rPr>
        <sz val="11"/>
        <color rgb="FF000000"/>
        <rFont val="Times"/>
        <family val="1"/>
      </rPr>
      <t xml:space="preserve"> no transporte público;</t>
    </r>
  </si>
  <si>
    <t>Criação da Casa dos Conselhos</t>
  </si>
  <si>
    <t>verificar lei 811/2020 Municipal</t>
  </si>
  <si>
    <r>
      <t xml:space="preserve">Ampliar a </t>
    </r>
    <r>
      <rPr>
        <b/>
        <sz val="11"/>
        <color rgb="FF000000"/>
        <rFont val="Times"/>
        <family val="1"/>
      </rPr>
      <t>acessibilidade e segurança viária</t>
    </r>
    <r>
      <rPr>
        <sz val="11"/>
        <color rgb="FF000000"/>
        <rFont val="Times"/>
        <family val="1"/>
      </rPr>
      <t xml:space="preserve"> para pedestres e ciclistas;</t>
    </r>
  </si>
  <si>
    <t>Elaboração de Lei de Incentivo às operadoras de telefonia</t>
  </si>
  <si>
    <r>
      <t xml:space="preserve">Implementar políticas para </t>
    </r>
    <r>
      <rPr>
        <b/>
        <sz val="11"/>
        <color rgb="FF000000"/>
        <rFont val="Times"/>
        <family val="1"/>
      </rPr>
      <t>reduzir desigualdades no acesso à infraestrutura</t>
    </r>
    <r>
      <rPr>
        <sz val="11"/>
        <color rgb="FF000000"/>
        <rFont val="Times"/>
        <family val="1"/>
      </rPr>
      <t>.</t>
    </r>
  </si>
  <si>
    <t>Criação do Programa Wifi na Praça</t>
  </si>
  <si>
    <t>Criação do Programa Queremos Ouvir Você</t>
  </si>
  <si>
    <t>Proporcionar o acesso inclusivo nos espaços públicos (por ex. rampas nas praças)</t>
  </si>
  <si>
    <t>Criação do Programa de incentivo aos exercícios físicos, com construção de academias nas praças, e parques infantis</t>
  </si>
  <si>
    <t>Criação de Programa de sinalização vertical e horizontal e sinalização de destino</t>
  </si>
  <si>
    <t>Criação de Programa de incentivo à separação e reciclagem de lixo nos órgãos públicos</t>
  </si>
  <si>
    <t xml:space="preserve">Criação de Programa de ônibus municipal, ligando o centro aos vilarejos </t>
  </si>
  <si>
    <t>Criação do Programa Wifi nos povoados, assentamentos e quilombos</t>
  </si>
  <si>
    <t>Possibilidade de criar um provedor de internet, no modelo de Pilar</t>
  </si>
  <si>
    <t>Criação de uma Defesa Civil Municipal, se não houver</t>
  </si>
  <si>
    <t>Criação de Programa Minha Cidade Limpa</t>
  </si>
  <si>
    <t>Estudo para melhorias na pavimentação municipal, em ruas e avenidas</t>
  </si>
  <si>
    <t>Elaboração do Plano Diretor</t>
  </si>
  <si>
    <t>Elaboração do Código de Obras</t>
  </si>
  <si>
    <t>Criação de Lei de Incentivos para as empresas com políticas sustentáveis</t>
  </si>
  <si>
    <t>Criação de Lei para obras sustentáveis (por exemplo, paineis solares em residencias, com incentivos fiscais)</t>
  </si>
  <si>
    <t>Criação do Programa Alô Serra Branca (software)</t>
  </si>
  <si>
    <t>Criação de Usina de Energia Solar com PPP</t>
  </si>
  <si>
    <t>ODS 4 e ODS 8</t>
  </si>
  <si>
    <r>
      <t xml:space="preserve">Criar </t>
    </r>
    <r>
      <rPr>
        <b/>
        <sz val="11"/>
        <color rgb="FF000000"/>
        <rFont val="Times"/>
        <family val="1"/>
      </rPr>
      <t>escolas técnicas e programas de ensino profissionalizante</t>
    </r>
    <r>
      <rPr>
        <sz val="11"/>
        <color rgb="FF000000"/>
        <rFont val="Times"/>
        <family val="1"/>
      </rPr>
      <t>;</t>
    </r>
  </si>
  <si>
    <r>
      <t xml:space="preserve">Ampliar a oferta de </t>
    </r>
    <r>
      <rPr>
        <b/>
        <sz val="11"/>
        <color rgb="FF000000"/>
        <rFont val="Times"/>
        <family val="1"/>
      </rPr>
      <t>cursos gratuitos de capacitação</t>
    </r>
    <r>
      <rPr>
        <sz val="11"/>
        <color rgb="FF000000"/>
        <rFont val="Times"/>
        <family val="1"/>
      </rPr>
      <t xml:space="preserve"> em parceria com instituições educacionais;</t>
    </r>
  </si>
  <si>
    <t>Atualização da Lei de cargos e carreira dos professores</t>
  </si>
  <si>
    <r>
      <t xml:space="preserve">Incentivar o </t>
    </r>
    <r>
      <rPr>
        <b/>
        <sz val="11"/>
        <color rgb="FF000000"/>
        <rFont val="Times"/>
        <family val="1"/>
      </rPr>
      <t>ensino de tecnologia e inovação</t>
    </r>
    <r>
      <rPr>
        <sz val="11"/>
        <color rgb="FF000000"/>
        <rFont val="Times"/>
        <family val="1"/>
      </rPr>
      <t xml:space="preserve"> nas escolas municipais;</t>
    </r>
  </si>
  <si>
    <t>Revisão e atualização do Censo Escolar</t>
  </si>
  <si>
    <r>
      <t xml:space="preserve">Criar um </t>
    </r>
    <r>
      <rPr>
        <b/>
        <sz val="11"/>
        <color rgb="FF000000"/>
        <rFont val="Times"/>
        <family val="1"/>
      </rPr>
      <t>banco de oportunidades</t>
    </r>
    <r>
      <rPr>
        <sz val="11"/>
        <color rgb="FF000000"/>
        <rFont val="Times"/>
        <family val="1"/>
      </rPr>
      <t xml:space="preserve"> conectando estudantes e profissionais ao mercado de trabalho;</t>
    </r>
  </si>
  <si>
    <t>Verificação de número de nutricionistas por aluno</t>
  </si>
  <si>
    <r>
      <t xml:space="preserve">Desenvolver </t>
    </r>
    <r>
      <rPr>
        <b/>
        <sz val="11"/>
        <color rgb="FF000000"/>
        <rFont val="Times"/>
        <family val="1"/>
      </rPr>
      <t>políticas de incentivo ao empreendedorismo jovem</t>
    </r>
    <r>
      <rPr>
        <sz val="11"/>
        <color rgb="FF000000"/>
        <rFont val="Times"/>
        <family val="1"/>
      </rPr>
      <t>.</t>
    </r>
  </si>
  <si>
    <t>Elaboração de cardápio de acordo com os produtos da agricultura local e de acordo com a safra, com seus devidos percentuais nutricionais</t>
  </si>
  <si>
    <t>Elaboração de cardápio para pessoas com intolerâncias/alergias alimentares</t>
  </si>
  <si>
    <t>Contratação e treinamento de profissionais para atuarem nas escolas com alunos atípicos</t>
  </si>
  <si>
    <t>Criação de um Centro de Distribuição e Armazenamento dos alimentos da merenda escolar, de acordo com as normas cabíveis</t>
  </si>
  <si>
    <t>Criação de Premiação para o Aluno Destaque (olimpíadas estudantis)</t>
  </si>
  <si>
    <t>Criação de Programa Escola de Línguas</t>
  </si>
  <si>
    <t>Implantação de convênio com faculdade, que ofereça cursos de graduação e pós graduação</t>
  </si>
  <si>
    <t>Implantação de ensino em tempo integral</t>
  </si>
  <si>
    <t>Criação do Cursinho para o Enem</t>
  </si>
  <si>
    <t>ODS 3</t>
  </si>
  <si>
    <r>
      <t xml:space="preserve">Ampliar a </t>
    </r>
    <r>
      <rPr>
        <b/>
        <sz val="11"/>
        <color rgb="FF000000"/>
        <rFont val="Times"/>
        <family val="1"/>
      </rPr>
      <t>cobertura da Estratégia Saúde da Família (ESF)</t>
    </r>
    <r>
      <rPr>
        <sz val="11"/>
        <color rgb="FF000000"/>
        <rFont val="Times"/>
        <family val="1"/>
      </rPr>
      <t>;</t>
    </r>
  </si>
  <si>
    <r>
      <t xml:space="preserve">Investir em </t>
    </r>
    <r>
      <rPr>
        <b/>
        <sz val="11"/>
        <color rgb="FF000000"/>
        <rFont val="Times"/>
        <family val="1"/>
      </rPr>
      <t>políticas de saúde preventiva</t>
    </r>
    <r>
      <rPr>
        <sz val="11"/>
        <color rgb="FF000000"/>
        <rFont val="Times"/>
        <family val="1"/>
      </rPr>
      <t xml:space="preserve"> (campanhas educativas, nutrição e vacinação);</t>
    </r>
  </si>
  <si>
    <t>Atualização e Treinamento do Programa de Agentes de Endemia/Agentes de Saúde</t>
  </si>
  <si>
    <r>
      <t xml:space="preserve">Fortalecer </t>
    </r>
    <r>
      <rPr>
        <b/>
        <sz val="11"/>
        <color rgb="FF000000"/>
        <rFont val="Times"/>
        <family val="1"/>
      </rPr>
      <t>atendimento psicológico e psiquiátrico</t>
    </r>
    <r>
      <rPr>
        <sz val="11"/>
        <color rgb="FF000000"/>
        <rFont val="Times"/>
        <family val="1"/>
      </rPr>
      <t xml:space="preserve"> na rede pública;</t>
    </r>
  </si>
  <si>
    <t>Criação de Programa de Incentivo dos Riscos da Cesárea</t>
  </si>
  <si>
    <t>Cad-UNico 7275 Pessoas - Familias cadastradas 2475</t>
  </si>
  <si>
    <r>
      <t xml:space="preserve">Expandir </t>
    </r>
    <r>
      <rPr>
        <b/>
        <sz val="11"/>
        <color rgb="FF000000"/>
        <rFont val="Times"/>
        <family val="1"/>
      </rPr>
      <t>programas de atenção à saúde do idoso e da infância</t>
    </r>
    <r>
      <rPr>
        <sz val="11"/>
        <color rgb="FF000000"/>
        <rFont val="Times"/>
        <family val="1"/>
      </rPr>
      <t>;</t>
    </r>
  </si>
  <si>
    <t>Criação de Programa de educação sexual nas escolas</t>
  </si>
  <si>
    <t xml:space="preserve">Familias em situação de Pobreza ou extrema pobreza - 1500 </t>
  </si>
  <si>
    <r>
      <t xml:space="preserve">Melhorar a infraestrutura dos </t>
    </r>
    <r>
      <rPr>
        <b/>
        <sz val="11"/>
        <color rgb="FF000000"/>
        <rFont val="Times"/>
        <family val="1"/>
      </rPr>
      <t>hospitais e unidades de saúde</t>
    </r>
    <r>
      <rPr>
        <sz val="11"/>
        <color rgb="FF000000"/>
        <rFont val="Times"/>
        <family val="1"/>
      </rPr>
      <t>;</t>
    </r>
  </si>
  <si>
    <t>Ampliação e otimização do sistema de acompanhamento do pré natal - Programa Mãe Serra Branquense</t>
  </si>
  <si>
    <r>
      <t xml:space="preserve">Criar incentivos para a </t>
    </r>
    <r>
      <rPr>
        <b/>
        <sz val="11"/>
        <color rgb="FF000000"/>
        <rFont val="Times"/>
        <family val="1"/>
      </rPr>
      <t>qualificação dos profissionais de saúde</t>
    </r>
    <r>
      <rPr>
        <sz val="11"/>
        <color rgb="FF000000"/>
        <rFont val="Times"/>
        <family val="1"/>
      </rPr>
      <t>.</t>
    </r>
  </si>
  <si>
    <t>Criar um calendário de vacinação para a primeira infância</t>
  </si>
  <si>
    <t>Criação de Programa do Protocolo de Uso Palivizumabe</t>
  </si>
  <si>
    <t xml:space="preserve">Criação/otimização do programa de combate à dengue/zika/chikungunya </t>
  </si>
  <si>
    <t>Criação de Programa de Atenção às doenças crônicas Hiperdia</t>
  </si>
  <si>
    <t>Criação de Lei para o Setembro Amarelo, para ampliação de acesso à tratamentos psicológicos</t>
  </si>
  <si>
    <t>Criação do Programa de incentivo à amamentação</t>
  </si>
  <si>
    <t>Já Possui - vinculada ao CISCO</t>
  </si>
  <si>
    <t>Implantação de Software de Gestão da Saúde Municipal</t>
  </si>
  <si>
    <t>Elaboração do Planejamento da Gestão Hospitalar, com foco em licitações e prestações de contas</t>
  </si>
  <si>
    <t>Criação do Programa Remédio em Casa</t>
  </si>
  <si>
    <t>Reestruturação do Programa Tratamento Fora do Domicílio (TFD), com a possibilidade de criação do Programa Expresso Saúde</t>
  </si>
  <si>
    <t>Programa Criança Feliz - Acompanhamento do desenvolvimento das crianças de 0 a 6 anos</t>
  </si>
  <si>
    <t>Criação de Lei para um Programa de distribuição gratuita de absorventes</t>
  </si>
  <si>
    <t>Criação do Programa Serra Branca Sorridente</t>
  </si>
  <si>
    <t>Fomentar boas práticas para previnir o bullying nas escolas</t>
  </si>
  <si>
    <t>ODS 13 à ODS 15</t>
  </si>
  <si>
    <t>Criação do Selo Verde de Serra Branca - Empresas que seguem práticas sustentáveis, e poderão ter preferência em licitações</t>
  </si>
  <si>
    <t>Gestão</t>
  </si>
  <si>
    <t>ODS 13 á ODS 15</t>
  </si>
  <si>
    <r>
      <rPr>
        <sz val="11"/>
        <color rgb="FF000000"/>
        <rFont val="Times"/>
      </rPr>
      <t xml:space="preserve">Criar políticas de </t>
    </r>
    <r>
      <rPr>
        <b/>
        <sz val="11"/>
        <color rgb="FF000000"/>
        <rFont val="Times"/>
      </rPr>
      <t>gestão de resíduos sólidos</t>
    </r>
    <r>
      <rPr>
        <sz val="11"/>
        <color rgb="FF000000"/>
        <rFont val="Times"/>
      </rPr>
      <t xml:space="preserve"> (reciclagem, compostagem e coleta seletiva);</t>
    </r>
  </si>
  <si>
    <t>Criação da Estação de Tratamento de Resíduos Sólidos - Ver parceiros privados e públicos na área estadual e federal</t>
  </si>
  <si>
    <t>Jurídico</t>
  </si>
  <si>
    <r>
      <t xml:space="preserve">Investir em </t>
    </r>
    <r>
      <rPr>
        <b/>
        <sz val="11"/>
        <color rgb="FF000000"/>
        <rFont val="Times"/>
        <family val="1"/>
      </rPr>
      <t>energias renováveis</t>
    </r>
    <r>
      <rPr>
        <sz val="11"/>
        <color rgb="FF000000"/>
        <rFont val="Times"/>
        <family val="1"/>
      </rPr>
      <t xml:space="preserve"> e eficiência energética nos prédios públicos;</t>
    </r>
  </si>
  <si>
    <t>Criação do Programa Fossa Verde para áreas rurais e de difícil acesso na região urbana</t>
  </si>
  <si>
    <r>
      <t xml:space="preserve">Estabelecer áreas de </t>
    </r>
    <r>
      <rPr>
        <b/>
        <sz val="11"/>
        <color rgb="FF000000"/>
        <rFont val="Times"/>
        <family val="1"/>
      </rPr>
      <t>preservação ambiental e reflorestamento</t>
    </r>
    <r>
      <rPr>
        <sz val="11"/>
        <color rgb="FF000000"/>
        <rFont val="Times"/>
        <family val="1"/>
      </rPr>
      <t>;</t>
    </r>
  </si>
  <si>
    <t>Criação de lei que determina que todos os prédios públicos possuam eficiência energética (tenham placas solares)</t>
  </si>
  <si>
    <t>Jurídico e Gestão</t>
  </si>
  <si>
    <r>
      <t xml:space="preserve">Implementar </t>
    </r>
    <r>
      <rPr>
        <b/>
        <sz val="11"/>
        <color rgb="FF000000"/>
        <rFont val="Times"/>
        <family val="1"/>
      </rPr>
      <t>educação ambiental</t>
    </r>
    <r>
      <rPr>
        <sz val="11"/>
        <color rgb="FF000000"/>
        <rFont val="Times"/>
        <family val="1"/>
      </rPr>
      <t xml:space="preserve"> nas escolas e na comunidade;</t>
    </r>
  </si>
  <si>
    <t>Criação do Programa Serra Branca Verde (reflorestamento, e criação de áreas verdes dentro da cidade, e arborização)</t>
  </si>
  <si>
    <r>
      <t xml:space="preserve">Incentivar o uso de </t>
    </r>
    <r>
      <rPr>
        <b/>
        <sz val="11"/>
        <color rgb="FF000000"/>
        <rFont val="Times"/>
        <family val="1"/>
      </rPr>
      <t>tecnologias sustentáveis na agricultura e na indústria</t>
    </r>
    <r>
      <rPr>
        <sz val="11"/>
        <color rgb="FF000000"/>
        <rFont val="Times"/>
        <family val="1"/>
      </rPr>
      <t>;</t>
    </r>
  </si>
  <si>
    <t>Criação do Plano Municipal de Arborização - captar recursos federais</t>
  </si>
  <si>
    <r>
      <t xml:space="preserve">Criar programas de </t>
    </r>
    <r>
      <rPr>
        <b/>
        <sz val="11"/>
        <color rgb="FF000000"/>
        <rFont val="Times"/>
        <family val="1"/>
      </rPr>
      <t>proteção de nascentes e cursos d'água</t>
    </r>
    <r>
      <rPr>
        <sz val="11"/>
        <color rgb="FF000000"/>
        <rFont val="Times"/>
        <family val="1"/>
      </rPr>
      <t>;</t>
    </r>
  </si>
  <si>
    <t>Programa escolar de passeios à reservas ambientais</t>
  </si>
  <si>
    <r>
      <t xml:space="preserve">Ampliar ações para </t>
    </r>
    <r>
      <rPr>
        <b/>
        <sz val="11"/>
        <color rgb="FF000000"/>
        <rFont val="Times"/>
        <family val="1"/>
      </rPr>
      <t>redução da poluição e adaptação climática</t>
    </r>
    <r>
      <rPr>
        <sz val="11"/>
        <color rgb="FF000000"/>
        <rFont val="Times"/>
        <family val="1"/>
      </rPr>
      <t>.</t>
    </r>
  </si>
  <si>
    <t>ODS 16</t>
  </si>
  <si>
    <r>
      <t xml:space="preserve">Criar ou fortalecer a </t>
    </r>
    <r>
      <rPr>
        <b/>
        <sz val="11"/>
        <color rgb="FF000000"/>
        <rFont val="Times"/>
        <family val="1"/>
      </rPr>
      <t>Controladoria Interna do Município</t>
    </r>
    <r>
      <rPr>
        <sz val="11"/>
        <color rgb="FF000000"/>
        <rFont val="Times"/>
        <family val="1"/>
      </rPr>
      <t xml:space="preserve"> para fiscalizar e garantir a correta aplicação dos recursos públicos;</t>
    </r>
  </si>
  <si>
    <t>Elaboração da Lei de Governança de Serra Branca, adotando as metas e indicadores dos ODS</t>
  </si>
  <si>
    <r>
      <t xml:space="preserve">Implementar um </t>
    </r>
    <r>
      <rPr>
        <b/>
        <sz val="11"/>
        <color rgb="FF000000"/>
        <rFont val="Times"/>
        <family val="1"/>
      </rPr>
      <t>Portal da Transparência</t>
    </r>
    <r>
      <rPr>
        <sz val="11"/>
        <color rgb="FF000000"/>
        <rFont val="Times"/>
        <family val="1"/>
      </rPr>
      <t xml:space="preserve"> acessível e atualizado, com dados sobre orçamento, contratos, licitações e folha de pagamento;</t>
    </r>
  </si>
  <si>
    <t>Atualização e otimização do Portal de Transparência</t>
  </si>
  <si>
    <r>
      <t xml:space="preserve">Incentivar a participação popular por meio de </t>
    </r>
    <r>
      <rPr>
        <b/>
        <sz val="11"/>
        <color rgb="FF000000"/>
        <rFont val="Times"/>
        <family val="1"/>
      </rPr>
      <t>audiências públicas, conselhos municipais e consultas populares</t>
    </r>
    <r>
      <rPr>
        <sz val="11"/>
        <color rgb="FF000000"/>
        <rFont val="Times"/>
        <family val="1"/>
      </rPr>
      <t>;</t>
    </r>
  </si>
  <si>
    <t>Fazer cumprir a LAI e a LGPD</t>
  </si>
  <si>
    <r>
      <t xml:space="preserve">Criar um </t>
    </r>
    <r>
      <rPr>
        <b/>
        <sz val="11"/>
        <color rgb="FF000000"/>
        <rFont val="Times"/>
        <family val="1"/>
      </rPr>
      <t>Plano Municipal de Integridade e Compliance</t>
    </r>
    <r>
      <rPr>
        <sz val="11"/>
        <color rgb="FF000000"/>
        <rFont val="Times"/>
        <family val="1"/>
      </rPr>
      <t>, garantindo a adoção de boas práticas de governança.</t>
    </r>
  </si>
  <si>
    <t>Centralização de decisões sobre contratações e programas na Secretaria de Administração e Finanças</t>
  </si>
  <si>
    <r>
      <t xml:space="preserve">Criar programas de </t>
    </r>
    <r>
      <rPr>
        <b/>
        <sz val="11"/>
        <color rgb="FF000000"/>
        <rFont val="Times"/>
        <family val="1"/>
      </rPr>
      <t>mediação de conflitos e justiça restaurativa</t>
    </r>
    <r>
      <rPr>
        <sz val="11"/>
        <color rgb="FF000000"/>
        <rFont val="Times"/>
        <family val="1"/>
      </rPr>
      <t>, reduzindo a sobrecarga do sistema judicial;</t>
    </r>
  </si>
  <si>
    <t>Descentralização com a criação ou atualização das secretarias, dando autonomia a elas</t>
  </si>
  <si>
    <t>Jurídico, Gestão e Contábil</t>
  </si>
  <si>
    <r>
      <t xml:space="preserve">Criar </t>
    </r>
    <r>
      <rPr>
        <b/>
        <sz val="11"/>
        <color rgb="FF000000"/>
        <rFont val="Times"/>
        <family val="1"/>
      </rPr>
      <t>projetos sociais e culturais</t>
    </r>
    <r>
      <rPr>
        <sz val="11"/>
        <color rgb="FF000000"/>
        <rFont val="Times"/>
        <family val="1"/>
      </rPr>
      <t xml:space="preserve"> para prevenção da violência entre jovens e redução da criminalidade;</t>
    </r>
  </si>
  <si>
    <t>Criação de Plano Municipal de Integridade e Compliance</t>
  </si>
  <si>
    <r>
      <t xml:space="preserve">Criar </t>
    </r>
    <r>
      <rPr>
        <b/>
        <sz val="11"/>
        <color rgb="FF000000"/>
        <rFont val="Times"/>
        <family val="1"/>
      </rPr>
      <t>canais de denúncia anônimos</t>
    </r>
    <r>
      <rPr>
        <sz val="11"/>
        <color rgb="FF000000"/>
        <rFont val="Times"/>
        <family val="1"/>
      </rPr>
      <t xml:space="preserve"> contra corrupção e irregularidades na administração municipal;</t>
    </r>
  </si>
  <si>
    <r>
      <t xml:space="preserve">Capacitar servidores públicos em </t>
    </r>
    <r>
      <rPr>
        <b/>
        <sz val="11"/>
        <color rgb="FF000000"/>
        <rFont val="Times"/>
        <family val="1"/>
      </rPr>
      <t>ética, transparência e boas práticas administrativas</t>
    </r>
    <r>
      <rPr>
        <sz val="11"/>
        <color rgb="FF000000"/>
        <rFont val="Times"/>
        <family val="1"/>
      </rPr>
      <t>;</t>
    </r>
  </si>
  <si>
    <r>
      <t xml:space="preserve">Modernizar processos administrativos com </t>
    </r>
    <r>
      <rPr>
        <b/>
        <sz val="11"/>
        <color rgb="FF000000"/>
        <rFont val="Times"/>
        <family val="1"/>
      </rPr>
      <t>governo digital</t>
    </r>
    <r>
      <rPr>
        <sz val="11"/>
        <color rgb="FF000000"/>
        <rFont val="Times"/>
        <family val="1"/>
      </rPr>
      <t>, reduzindo burocracia e melhorando a eficiência dos serviços;</t>
    </r>
  </si>
  <si>
    <r>
      <t xml:space="preserve">Estabelecer </t>
    </r>
    <r>
      <rPr>
        <b/>
        <sz val="11"/>
        <color rgb="FF000000"/>
        <rFont val="Times"/>
        <family val="1"/>
      </rPr>
      <t>parcerias com universidades e organizações da sociedade civil</t>
    </r>
    <r>
      <rPr>
        <sz val="11"/>
        <color rgb="FF000000"/>
        <rFont val="Times"/>
        <family val="1"/>
      </rPr>
      <t xml:space="preserve"> para auditoria cidadã e controle social.</t>
    </r>
  </si>
  <si>
    <t>Criar o Fórum de Desenvolvimento Local, Integrado e Sustentável - DLIS, da região do Cariri, para tratar de assuntos comuns como lixo, violência, transparência pública, melhoria nas estradas</t>
  </si>
  <si>
    <t>Revisão da Lei Orgânica</t>
  </si>
  <si>
    <t>Lei de reestruturação da administração municipal, com criação/fusão/exclusão de secretarias</t>
  </si>
  <si>
    <t>Criação de Lei implementando Programa de regularização fundiária para famílias de baixa renda</t>
  </si>
  <si>
    <t>Lei de Criação de Zonas Especiais de Interesse Social - ZEIS</t>
  </si>
  <si>
    <t>Estatuto das cidades</t>
  </si>
  <si>
    <t>Assessoria para revisão da Prestação de Contas a ser enviada ao TCE/PB</t>
  </si>
  <si>
    <t>Contábil</t>
  </si>
  <si>
    <t>Revisão dos repasses do ICMS, e recuperação dos últimos 5 anos</t>
  </si>
  <si>
    <t>Contábil e Jurídico</t>
  </si>
  <si>
    <t>Criação de Centro Comunitário - UPP Social (nos moldes do COMPAZ Recife)</t>
  </si>
  <si>
    <t>Elaboração do PPA, LDO e LOA</t>
  </si>
  <si>
    <t>Assessoria para revisão, renegociação, modernização e otimização dos processos licitatórios</t>
  </si>
  <si>
    <t>Assessoria Jurídica</t>
  </si>
  <si>
    <t>Posição dentro da Paraíba</t>
  </si>
  <si>
    <t>Posição Brasil</t>
  </si>
  <si>
    <t>Lei do Aprendizes</t>
  </si>
  <si>
    <t>Criação do Circuito de Vaquejada do Cariri/PB</t>
  </si>
  <si>
    <t>Plano de Reorganização do Comércio Local</t>
  </si>
  <si>
    <t>Criação da Lei de Uso e Ocupação do Solo</t>
  </si>
  <si>
    <t>Reestruturação da Feira Local</t>
  </si>
  <si>
    <t>Fortalecimento da Sala do Empreendedor</t>
  </si>
  <si>
    <t>Laboratórios de Informática nas Escolas</t>
  </si>
  <si>
    <t>Criação do Parque Turístico na Serra do Jatobá</t>
  </si>
  <si>
    <t>Lei de Inclusão das Pessoas com Deficiência</t>
  </si>
  <si>
    <t>Incentivo ao Cooperativismo e à Agricultura Familiar</t>
  </si>
  <si>
    <t>Criação do Fórum DLIS</t>
  </si>
  <si>
    <t>Reestruturação do Matadouro e do Mercado Público</t>
  </si>
  <si>
    <t>Criação do Polo Industral de Serra Branca</t>
  </si>
  <si>
    <t>Criação de Zona Especial para Logística de E-Commerce do Vale do Cariri</t>
  </si>
  <si>
    <t>Captação de Recursos Federais</t>
  </si>
  <si>
    <t>Lei de Incentivo às MEs e às EPPs</t>
  </si>
  <si>
    <t>Programas Bimetrais de Capacitações Presenciais e Online</t>
  </si>
  <si>
    <t>Fortalecimento do Comércio Local</t>
  </si>
  <si>
    <t>Criação do Consórcio Intermunicipal do Cariri/PB</t>
  </si>
  <si>
    <t>N.º ODS</t>
  </si>
  <si>
    <t xml:space="preserve">Solução </t>
  </si>
  <si>
    <t>Ideal</t>
  </si>
  <si>
    <t>IDS Reg.</t>
  </si>
  <si>
    <t>Valor Ideal</t>
  </si>
  <si>
    <t xml:space="preserve">Prazo </t>
  </si>
  <si>
    <t>Indicativo IDS</t>
  </si>
  <si>
    <t>Assessoria Disponível</t>
  </si>
  <si>
    <t>Curto Prazo (06/25 - 12/25 - 6M)</t>
  </si>
  <si>
    <t>Problema</t>
  </si>
  <si>
    <t>Dificuldade na relação com Marcos</t>
  </si>
  <si>
    <t>Reunião dia 27/03 - Estreitamento de laço</t>
  </si>
  <si>
    <t>Manter comunicação direta com Secretário Marcos</t>
  </si>
  <si>
    <t>Whatsapp/ Ligação</t>
  </si>
  <si>
    <t>Quais soluções vão ser tomadas</t>
  </si>
  <si>
    <t>Elaborar plano de estratégia de curtissímo prazo</t>
  </si>
  <si>
    <t>Quais ações imediatas podem impactar em curtíssimo prazo?</t>
  </si>
  <si>
    <t>4 ações através das soluções ODS</t>
  </si>
  <si>
    <t xml:space="preserve">1. Aumentar quantidade de alunos </t>
  </si>
  <si>
    <t>Parceria através de convênio com Faculdade</t>
  </si>
  <si>
    <t xml:space="preserve">2. Elencar todas as transferências recebidas do governo </t>
  </si>
  <si>
    <t>Analisar todos os repasses de verbas federais</t>
  </si>
  <si>
    <t>3. Como ajudar SB-PB receber mais verbas do governo Fed ?</t>
  </si>
  <si>
    <t>Pesquisar formas de receber mais verbas do governo</t>
  </si>
  <si>
    <t>4. Organização Administrativa</t>
  </si>
  <si>
    <t>FPM</t>
  </si>
  <si>
    <t>Cide - Combustíveis</t>
  </si>
  <si>
    <t>Fundeb</t>
  </si>
  <si>
    <t xml:space="preserve">ITR </t>
  </si>
  <si>
    <t>LC 176/2020</t>
  </si>
  <si>
    <t>Janeiro</t>
  </si>
  <si>
    <t>Fevereiro</t>
  </si>
  <si>
    <t xml:space="preserve"> -   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</si>
  <si>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</si>
  <si>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</si>
  <si>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</si>
  <si>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</si>
  <si>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</si>
  <si>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</si>
  <si>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</si>
  <si>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</si>
  <si>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</si>
  <si>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</si>
  <si>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ASSESSORIAS SERRA BRANCA</t>
  </si>
  <si>
    <t>Marcelo Bezerra da Silva</t>
  </si>
  <si>
    <t>Leonardo Souza Lima Soc Ind Adv</t>
  </si>
  <si>
    <t>Joilto Gonçalves de Brito - ME</t>
  </si>
  <si>
    <t>José Maciel Alves Soc Ind Adv</t>
  </si>
  <si>
    <t xml:space="preserve">Douglas Soares Batista </t>
  </si>
  <si>
    <t>IDS Goiana - PE</t>
  </si>
  <si>
    <t xml:space="preserve">IDS Itaquitinga </t>
  </si>
  <si>
    <t>IDS Condado</t>
  </si>
  <si>
    <t>IDS Itapissuma</t>
  </si>
  <si>
    <t>IDS Itambé</t>
  </si>
  <si>
    <t>Posição Goiana</t>
  </si>
  <si>
    <t>IDS Goiana-PE</t>
  </si>
  <si>
    <t>IDS PE</t>
  </si>
  <si>
    <t>Recife</t>
  </si>
  <si>
    <t>Jaboatão</t>
  </si>
  <si>
    <t>Ipojuca</t>
  </si>
  <si>
    <t>Cabo St Ag</t>
  </si>
  <si>
    <t>Caruaru</t>
  </si>
  <si>
    <t>PCS</t>
  </si>
  <si>
    <t>Média 5 Maiores PIB - PE</t>
  </si>
  <si>
    <t>Abreu e Lima</t>
  </si>
  <si>
    <t>Araripina</t>
  </si>
  <si>
    <t>Gravatá</t>
  </si>
  <si>
    <t>St Cruz do Capibaripe</t>
  </si>
  <si>
    <t>Serra Talhada</t>
  </si>
  <si>
    <t>população</t>
  </si>
  <si>
    <t>COD IBGE 2606200</t>
  </si>
  <si>
    <t xml:space="preserve">IDS Média </t>
  </si>
  <si>
    <t>IDS Média</t>
  </si>
  <si>
    <t>Média 3 Cidades - Mesma faixa Populacional (80 Mil - 100 Mil) - Araripina/ St Cruz Capibaripe/ Serra Talhada</t>
  </si>
  <si>
    <t>Itambé</t>
  </si>
  <si>
    <t>Itapissuma</t>
  </si>
  <si>
    <t>Condado</t>
  </si>
  <si>
    <t xml:space="preserve">Itaquitinga </t>
  </si>
  <si>
    <t>IDS</t>
  </si>
  <si>
    <t>Rótulos de Linha</t>
  </si>
  <si>
    <t>Soma de IDS Goiana - PE</t>
  </si>
  <si>
    <t>Soma de Média Região</t>
  </si>
  <si>
    <t>Soma de Média 5 Maiores PIB - PE</t>
  </si>
  <si>
    <t>Soma de Média 3 Cidades - Mesma faixa Populacional (80 Mil - 100 Mil) - Araripina/ St Cruz Capibaripe/ Serra Talhada</t>
  </si>
  <si>
    <t>ods.1</t>
  </si>
  <si>
    <t>ods.2</t>
  </si>
  <si>
    <t>ods.3</t>
  </si>
  <si>
    <t>ods.4</t>
  </si>
  <si>
    <t>ods.5</t>
  </si>
  <si>
    <t>ods.6</t>
  </si>
  <si>
    <t>Ods</t>
  </si>
  <si>
    <t>População</t>
  </si>
  <si>
    <t>Faixa Populacional</t>
  </si>
  <si>
    <t>População Rural</t>
  </si>
  <si>
    <t>Setor Econômico Predominante</t>
  </si>
  <si>
    <t>Dependência Fiscal</t>
  </si>
  <si>
    <t>Taxa de Investimento</t>
  </si>
  <si>
    <t>PIB per Capita</t>
  </si>
  <si>
    <t>Transparência Municipal</t>
  </si>
  <si>
    <t>Ranking de Competitividade 2024</t>
  </si>
  <si>
    <t>https://conteudo.clp.org.br/relatorios-tecnicos-2024</t>
  </si>
  <si>
    <t>Goiana</t>
  </si>
  <si>
    <t>80 a 100 mil hab</t>
  </si>
  <si>
    <t>Indústria</t>
  </si>
  <si>
    <t>Serviços</t>
  </si>
  <si>
    <t>PIB Município</t>
  </si>
  <si>
    <t>300 a 500 mil hab</t>
  </si>
  <si>
    <t>Acima de 1 milhão de hab</t>
  </si>
  <si>
    <t>500 mil a 1 milhão de  hab</t>
  </si>
  <si>
    <t>-</t>
  </si>
  <si>
    <t xml:space="preserve">Comparativos </t>
  </si>
  <si>
    <t>Justificativa</t>
  </si>
  <si>
    <t>Solução 1</t>
  </si>
  <si>
    <t>Solução 2</t>
  </si>
  <si>
    <t>Solução 3</t>
  </si>
  <si>
    <t>Eixo WELL</t>
  </si>
  <si>
    <t>Objetivos de Desenvolvimento Sustentável (ODS) – Eixos e Justificativas</t>
  </si>
  <si>
    <t>ODS 1 – Erradicação da Pobreza</t>
  </si>
  <si>
    <t>ODS 2 - Fome Zero e Agricultura Sustentável</t>
  </si>
  <si>
    <t>ODS 4 – Educação de Qualidade</t>
  </si>
  <si>
    <t>ODS 5 - Igualdade de Gênero</t>
  </si>
  <si>
    <t>ODS 6 – Água Limpa e Saneamento</t>
  </si>
  <si>
    <t>ODS 7 - Energia Limpa e Acessível</t>
  </si>
  <si>
    <t>ODS 8 – Trabalho Decente e Crescimento Econômico</t>
  </si>
  <si>
    <t>ODS 9 - Indústria, Inovação e Infraestrutura</t>
  </si>
  <si>
    <t>ODS 10 – Redução das Desigualdades</t>
  </si>
  <si>
    <t>ODS 12 - Consumo e Produção Responsáveis</t>
  </si>
  <si>
    <t>ODS 14 - Vida na Água</t>
  </si>
  <si>
    <t>ODS 15 - Vida Terrestre</t>
  </si>
  <si>
    <t>ODS 16 – Paz, Justiça e Instituições Eficazes</t>
  </si>
  <si>
    <t>ODS 17 – Parcerias e Meios de Implementação</t>
  </si>
  <si>
    <r>
      <t>Objetivo:</t>
    </r>
    <r>
      <rPr>
        <sz val="16"/>
        <color theme="1"/>
        <rFont val="Arial"/>
        <family val="2"/>
      </rPr>
      <t xml:space="preserve"> Acabar com a pobreza em todas as suas formas e em todos os lugares.</t>
    </r>
  </si>
  <si>
    <r>
      <t>Justificativa:</t>
    </r>
    <r>
      <rPr>
        <sz val="16"/>
        <color theme="1"/>
        <rFont val="Arial"/>
        <family val="2"/>
      </rPr>
      <t xml:space="preserve"> Garantir que todos os cidadãos tenham acesso a condições de vida dignas é o primeiro passo para um desenvolvimento justo e equitativo.</t>
    </r>
  </si>
  <si>
    <r>
      <t>Objetivo:</t>
    </r>
    <r>
      <rPr>
        <sz val="16"/>
        <color theme="1"/>
        <rFont val="Arial"/>
        <family val="2"/>
      </rPr>
      <t xml:space="preserve"> Acabar com a fome, alcançar a segurança alimentar e a melhoria da nutrição, e promover a agricultura sustentável.</t>
    </r>
  </si>
  <si>
    <r>
      <t>Justificativa:</t>
    </r>
    <r>
      <rPr>
        <sz val="16"/>
        <color theme="1"/>
        <rFont val="Arial"/>
        <family val="2"/>
      </rPr>
      <t xml:space="preserve"> Garantir que todos tenham acesso a alimentos nutritivos é essencial para a saúde e o bem-estar. Promover práticas agrícolas sustentáveis protege o meio ambiente e garante a produção de alimentos para as futuras gerações.</t>
    </r>
  </si>
  <si>
    <r>
      <t>Objetivo:</t>
    </r>
    <r>
      <rPr>
        <sz val="16"/>
        <color theme="1"/>
        <rFont val="Arial"/>
        <family val="2"/>
      </rPr>
      <t xml:space="preserve"> Assegurar uma vida saudável e promover o bem-estar para todos, em todas as idades.</t>
    </r>
  </si>
  <si>
    <r>
      <t>Justificativa:</t>
    </r>
    <r>
      <rPr>
        <sz val="16"/>
        <color theme="1"/>
        <rFont val="Arial"/>
        <family val="2"/>
      </rPr>
      <t xml:space="preserve"> Ter acesso à saúde de qualidade e uma boa rede de apoio são fundamentais para o desenvolvimento pleno dos indivíduos e da comunidade.</t>
    </r>
  </si>
  <si>
    <r>
      <t>Objetivo:</t>
    </r>
    <r>
      <rPr>
        <sz val="16"/>
        <color theme="1"/>
        <rFont val="Arial"/>
        <family val="2"/>
      </rPr>
      <t xml:space="preserve"> Garantir educação inclusiva, equitativa e de qualidade, e promover oportunidades de aprendizagem ao longo da vida para todos.</t>
    </r>
  </si>
  <si>
    <r>
      <t>Justificativa:</t>
    </r>
    <r>
      <rPr>
        <sz val="16"/>
        <color theme="1"/>
        <rFont val="Arial"/>
        <family val="2"/>
      </rPr>
      <t xml:space="preserve"> A educação é a chave para o desenvolvimento. Um município que investe em educação de qualidade capacita seus cidadãos para o futuro.</t>
    </r>
  </si>
  <si>
    <r>
      <t>Objetivo:</t>
    </r>
    <r>
      <rPr>
        <sz val="16"/>
        <color theme="1"/>
        <rFont val="Arial"/>
        <family val="2"/>
      </rPr>
      <t xml:space="preserve"> Alcançar a igualdade de gênero e empoderar todas as mulheres e meninas.</t>
    </r>
  </si>
  <si>
    <r>
      <t>Justificativa:</t>
    </r>
    <r>
      <rPr>
        <sz val="16"/>
        <color theme="1"/>
        <rFont val="Arial"/>
        <family val="2"/>
      </rPr>
      <t xml:space="preserve"> Nenhuma sociedade pode se desenvolver plenamente se metade de sua população for deixada para trás. A igualdade de gênero é um direito humano fundamental e a base para um mundo pacífico e próspero.</t>
    </r>
  </si>
  <si>
    <r>
      <t>Objetivo:</t>
    </r>
    <r>
      <rPr>
        <sz val="16"/>
        <color theme="1"/>
        <rFont val="Arial"/>
        <family val="2"/>
      </rPr>
      <t xml:space="preserve"> Garantir a disponibilidade e a gestão sustentável da água e saneamento para todos.</t>
    </r>
  </si>
  <si>
    <r>
      <t>Justificativa:</t>
    </r>
    <r>
      <rPr>
        <sz val="16"/>
        <color theme="1"/>
        <rFont val="Arial"/>
        <family val="2"/>
      </rPr>
      <t xml:space="preserve"> Um município deve garantir que todos os seus habitantes tenham acesso à água potável e a um sistema de saneamento eficaz para prevenir doenças e promover a saúde.</t>
    </r>
  </si>
  <si>
    <r>
      <t>Objetivo:</t>
    </r>
    <r>
      <rPr>
        <sz val="16"/>
        <color theme="1"/>
        <rFont val="Arial"/>
        <family val="2"/>
      </rPr>
      <t xml:space="preserve"> Garantir o acesso a fontes de energia fiáveis, sustentáveis e modernas para todos.</t>
    </r>
  </si>
  <si>
    <r>
      <t>Justificativa:</t>
    </r>
    <r>
      <rPr>
        <sz val="16"/>
        <color theme="1"/>
        <rFont val="Arial"/>
        <family val="2"/>
      </rPr>
      <t xml:space="preserve"> A energia é central para o desenvolvimento econômico, a saúde e a educação. A transição para fontes de energia limpa é vital para combater as mudanças climáticas.</t>
    </r>
  </si>
  <si>
    <r>
      <t>Objetivo:</t>
    </r>
    <r>
      <rPr>
        <sz val="16"/>
        <color theme="1"/>
        <rFont val="Arial"/>
        <family val="2"/>
      </rPr>
      <t xml:space="preserve"> Promover o crescimento econômico sustentado, inclusivo e sustentável, o emprego pleno e produtivo e o trabalho decente para todos.</t>
    </r>
  </si>
  <si>
    <r>
      <t>Justificativa:</t>
    </r>
    <r>
      <rPr>
        <sz val="16"/>
        <color theme="1"/>
        <rFont val="Arial"/>
        <family val="2"/>
      </rPr>
      <t xml:space="preserve"> Para um município crescer de forma equilibrada, é preciso gerar oportunidades de trabalho digno para sua população, fortalecendo a economia local.</t>
    </r>
  </si>
  <si>
    <r>
      <t>Objetivo:</t>
    </r>
    <r>
      <rPr>
        <sz val="16"/>
        <color theme="1"/>
        <rFont val="Arial"/>
        <family val="2"/>
      </rPr>
      <t xml:space="preserve"> Construir infraestruturas resilientes, promover a industrialização inclusiva e sustentável, e fomentar a inovação.</t>
    </r>
  </si>
  <si>
    <r>
      <t>Justificativa:</t>
    </r>
    <r>
      <rPr>
        <sz val="16"/>
        <color theme="1"/>
        <rFont val="Arial"/>
        <family val="2"/>
      </rPr>
      <t xml:space="preserve"> O investimento em infraestrutura e inovação são motores do crescimento econômico. Uma indústria sustentável cria empregos e promove a eficiência dos recursos.</t>
    </r>
  </si>
  <si>
    <r>
      <t>Objetivo:</t>
    </r>
    <r>
      <rPr>
        <sz val="16"/>
        <color theme="1"/>
        <rFont val="Arial"/>
        <family val="2"/>
      </rPr>
      <t xml:space="preserve"> Reduzir a desigualdade dentro dos países e entre eles.</t>
    </r>
  </si>
  <si>
    <r>
      <t>Justificativa:</t>
    </r>
    <r>
      <rPr>
        <sz val="16"/>
        <color theme="1"/>
        <rFont val="Arial"/>
        <family val="2"/>
      </rPr>
      <t xml:space="preserve"> Um município ideal deve promover políticas públicas que diminuam as diferenças sociais e econômicas, garantindo oportunidades para todos.</t>
    </r>
  </si>
  <si>
    <r>
      <t>Objetivo:</t>
    </r>
    <r>
      <rPr>
        <sz val="16"/>
        <color theme="1"/>
        <rFont val="Arial"/>
        <family val="2"/>
      </rPr>
      <t xml:space="preserve"> Tornar as cidades e os assentamentos humanos inclusivos, seguros, resilientes e sustentáveis.</t>
    </r>
  </si>
  <si>
    <r>
      <t>Justificativa:</t>
    </r>
    <r>
      <rPr>
        <sz val="16"/>
        <color theme="1"/>
        <rFont val="Arial"/>
        <family val="2"/>
      </rPr>
      <t xml:space="preserve"> A criação de cidades sustentáveis é fundamental para garantir qualidade de vida, com moradia segura, transporte público acessível e espaços verdes.</t>
    </r>
  </si>
  <si>
    <r>
      <t>Objetivo:</t>
    </r>
    <r>
      <rPr>
        <sz val="16"/>
        <color theme="1"/>
        <rFont val="Arial"/>
        <family val="2"/>
      </rPr>
      <t xml:space="preserve"> Assegurar padrões de produção e de consumo sustentáveis.</t>
    </r>
  </si>
  <si>
    <r>
      <t>Justificativa:</t>
    </r>
    <r>
      <rPr>
        <sz val="16"/>
        <color theme="1"/>
        <rFont val="Arial"/>
        <family val="2"/>
      </rPr>
      <t xml:space="preserve"> É preciso desassociar o crescimento econômico da degradação ambiental, reduzindo o desperdício e usando os recursos naturais de forma eficiente.</t>
    </r>
  </si>
  <si>
    <r>
      <t>Objetivo:</t>
    </r>
    <r>
      <rPr>
        <sz val="16"/>
        <color theme="1"/>
        <rFont val="Arial"/>
        <family val="2"/>
      </rPr>
      <t xml:space="preserve"> Tomar medidas urgentes para combater a mudança climática e seus impactos.</t>
    </r>
  </si>
  <si>
    <r>
      <t>Justificativa:</t>
    </r>
    <r>
      <rPr>
        <sz val="16"/>
        <color theme="1"/>
        <rFont val="Arial"/>
        <family val="2"/>
      </rPr>
      <t xml:space="preserve"> A sustentabilidade ambiental deve ser um pilar central, com ações para mitigar os efeitos das mudanças climáticas e proteger o meio ambiente.</t>
    </r>
  </si>
  <si>
    <r>
      <t>Objetivo:</t>
    </r>
    <r>
      <rPr>
        <sz val="16"/>
        <color theme="1"/>
        <rFont val="Arial"/>
        <family val="2"/>
      </rPr>
      <t xml:space="preserve"> Conservar e usar de forma sustentável os oceanos, os mares e os recursos marinhos.</t>
    </r>
  </si>
  <si>
    <r>
      <t>Justificativa:</t>
    </r>
    <r>
      <rPr>
        <sz val="16"/>
        <color theme="1"/>
        <rFont val="Arial"/>
        <family val="2"/>
      </rPr>
      <t xml:space="preserve"> Os oceanos são vitais para a saúde do planeta. Proteger os ecossistemas marinhos da poluição e da sobrepesca é essencial para a nossa sobrevivência.</t>
    </r>
  </si>
  <si>
    <r>
      <t>Objetivo:</t>
    </r>
    <r>
      <rPr>
        <sz val="16"/>
        <color theme="1"/>
        <rFont val="Arial"/>
        <family val="2"/>
      </rPr>
      <t xml:space="preserve"> Proteger, recuperar e promover o uso sustentável dos ecossistemas terrestres e deter a perda de biodiversidade.</t>
    </r>
  </si>
  <si>
    <r>
      <t>Justificativa:</t>
    </r>
    <r>
      <rPr>
        <sz val="16"/>
        <color theme="1"/>
        <rFont val="Arial"/>
        <family val="2"/>
      </rPr>
      <t xml:space="preserve"> As florestas e os ecossistemas terrestres são fundamentais para a vida, fornecendo ar e água limpos. Sua conservação é crucial para combater as mudanças climáticas.</t>
    </r>
  </si>
  <si>
    <r>
      <t>Objetivo:</t>
    </r>
    <r>
      <rPr>
        <sz val="16"/>
        <color theme="1"/>
        <rFont val="Arial"/>
        <family val="2"/>
      </rPr>
      <t xml:space="preserve"> Promover sociedades pacíficas e inclusivas para o desenvolvimento sustentável, proporcionar o acesso à justiça para todos e construir instituições eficazes.</t>
    </r>
  </si>
  <si>
    <r>
      <t>Justificativa:</t>
    </r>
    <r>
      <rPr>
        <sz val="16"/>
        <color theme="1"/>
        <rFont val="Arial"/>
        <family val="2"/>
      </rPr>
      <t xml:space="preserve"> A boa governança e a transparência são fundamentais para construir uma sociedade justa, onde todos se sintam seguros e representados.</t>
    </r>
  </si>
  <si>
    <r>
      <t>Objetivo:</t>
    </r>
    <r>
      <rPr>
        <sz val="16"/>
        <color theme="1"/>
        <rFont val="Arial"/>
        <family val="2"/>
      </rPr>
      <t xml:space="preserve"> Fortalecer os meios de implementação e revitalizar a parceria global para o desenvolvimento sustentável.</t>
    </r>
  </si>
  <si>
    <r>
      <t>Justificativa:</t>
    </r>
    <r>
      <rPr>
        <sz val="16"/>
        <color theme="1"/>
        <rFont val="Arial"/>
        <family val="2"/>
      </rPr>
      <t xml:space="preserve"> Parcerias entre governo, sociedade civil e setor privado são essenciais para alcançar todos os outros objetivos de forma integrada e eficaz.</t>
    </r>
  </si>
  <si>
    <t>Garantir que todos os cidadãos tenham acesso a condições de vida dignas é o primeiro passo para um desenvolvimento justo e equitativo.</t>
  </si>
  <si>
    <t>Garantir que todos tenham acesso a alimentos nutritivos é essencial para a saúde e o bem-estar. Promover práticas agrícolas sustentáveis protege o meio ambiente e garante a produção de alimentos para as futuras gerações.</t>
  </si>
  <si>
    <t>Ter acesso à saúde de qualidade e uma boa rede de apoio são fundamentais para o desenvolvimento pleno dos indivíduos e da comunidade.</t>
  </si>
  <si>
    <t>A educação é a chave para o desenvolvimento. Um município que investe em educação de qualidade capacita seus cidadãos para o futuro.</t>
  </si>
  <si>
    <t>Nenhuma sociedade pode se desenvolver plenamente se metade de sua população for deixada para trás. A igualdade de gênero é um direito humano fundamental e a base para um mundo pacífico e próspero.</t>
  </si>
  <si>
    <t>Um município deve garantir que todos os seus habitantes tenham acesso à água potável e a um sistema de saneamento eficaz para prevenir doenças e promover a saúde.</t>
  </si>
  <si>
    <t>A energia é central para o desenvolvimento econômico, a saúde e a educação. A transição para fontes de energia limpa é vital para combater as mudanças climáticas.</t>
  </si>
  <si>
    <t>Para um município crescer de forma equilibrada, é preciso gerar oportunidades de trabalho digno para sua população, fortalecendo a economia local.</t>
  </si>
  <si>
    <t>O investimento em infraestrutura e inovação são motores do crescimento econômico. Uma indústria sustentável cria empregos e promove a eficiência dos recursos.</t>
  </si>
  <si>
    <t>Um município ideal deve promover políticas públicas que diminuam as diferenças sociais e econômicas, garantindo oportunidades para todos.</t>
  </si>
  <si>
    <t>A criação de cidades sustentáveis é fundamental para garantir qualidade de vida, com moradia segura, transporte público acessível e espaços verdes.</t>
  </si>
  <si>
    <t>É preciso desassociar o crescimento econômico da degradação ambiental, reduzindo o desperdício e usando os recursos naturais de forma eficiente.</t>
  </si>
  <si>
    <t>A sustentabilidade ambiental deve ser um pilar central, com ações para mitigar os efeitos das mudanças climáticas e proteger o meio ambiente.</t>
  </si>
  <si>
    <t>Os oceanos são vitais para a saúde do planeta. Proteger os ecossistemas marinhos da poluição e da sobrepesca é essencial para a nossa sobrevivência.</t>
  </si>
  <si>
    <t>As florestas e os ecossistemas terrestres são fundamentais para a vida, fornecendo ar e água limpos. Sua conservação é crucial para combater as mudanças climáticas.</t>
  </si>
  <si>
    <t>A boa governança e a transparência são fundamentais para construir uma sociedade justa, onde todos se sintam seguros e representados.</t>
  </si>
  <si>
    <t>Parcerias entre governo, sociedade civil e setor privado são essenciais para alcançar todos os outros objetivos de forma integrada e eficaz.</t>
  </si>
  <si>
    <t>1. Desenvolvimento Econômico e Geração de Empregos</t>
  </si>
  <si>
    <t>Benefícios para o Município:</t>
  </si>
  <si>
    <t>ODS Correspondentes:</t>
  </si>
  <si>
    <t>Ações Práticas:</t>
  </si>
  <si>
    <r>
      <t>ODS 8 (Trabalho Decente e Crescimento Econômico):</t>
    </r>
    <r>
      <rPr>
        <sz val="11"/>
        <color theme="1"/>
        <rFont val="Aptos Narrow"/>
        <family val="2"/>
        <scheme val="minor"/>
      </rPr>
      <t xml:space="preserve"> A qualificação é essencial para o trabalho decente.</t>
    </r>
  </si>
  <si>
    <r>
      <t>ODS 9 (Indústria, Inovação e Infraestrutura):</t>
    </r>
    <r>
      <rPr>
        <sz val="11"/>
        <color theme="1"/>
        <rFont val="Aptos Narrow"/>
        <family val="2"/>
        <scheme val="minor"/>
      </rPr>
      <t xml:space="preserve"> Ao apoiar polos tecnológicos.</t>
    </r>
  </si>
  <si>
    <r>
      <t>ODS 10 (Redução das Desigualdades):</t>
    </r>
    <r>
      <rPr>
        <sz val="11"/>
        <color theme="1"/>
        <rFont val="Aptos Narrow"/>
        <family val="2"/>
        <scheme val="minor"/>
      </rPr>
      <t xml:space="preserve"> A educação é uma das principais ferramentas para reduzir a desigualdade de oportunidades.</t>
    </r>
  </si>
  <si>
    <t>Realizar parcerias com o "Sistema S" (SENAI, SENAC) para oferecer cursos técnicos gratuitos.</t>
  </si>
  <si>
    <t>Criar um programa de reforma e modernização de todas as escolas municipais.</t>
  </si>
  <si>
    <t>Oferecer incentivos para a instalação de um campus universitário ou faculdade no município.</t>
  </si>
  <si>
    <t>Distribuir tablets ou notebooks para alunos da rede pública e garantir internet nas escolas.</t>
  </si>
  <si>
    <t>Promover cursos de capacitação contínua para os professores da rede municipal.</t>
  </si>
  <si>
    <r>
      <t>Justificativa do Eixo:</t>
    </r>
    <r>
      <rPr>
        <sz val="11"/>
        <color theme="1"/>
        <rFont val="Aptos Narrow"/>
        <family val="2"/>
        <scheme val="minor"/>
      </rPr>
      <t xml:space="preserve"> Investir em educação é investir no futuro do município. Este eixo prepara o capital humano para os desafios do século XXI, garantindo que o crescimento econômico seja acompanhado por desenvolvimento social e inovação.</t>
    </r>
  </si>
  <si>
    <r>
      <t>População Mais Saudável:</t>
    </r>
    <r>
      <rPr>
        <sz val="11"/>
        <color theme="1"/>
        <rFont val="Aptos Narrow"/>
        <family val="2"/>
        <scheme val="minor"/>
      </rPr>
      <t xml:space="preserve"> Reduz a mortalidade, previne doenças e melhora a qualidade de vida geral dos cidadãos.</t>
    </r>
  </si>
  <si>
    <r>
      <t>Redução da Pressão sobre Hospitais:</t>
    </r>
    <r>
      <rPr>
        <sz val="11"/>
        <color theme="1"/>
        <rFont val="Aptos Narrow"/>
        <family val="2"/>
        <scheme val="minor"/>
      </rPr>
      <t xml:space="preserve"> A saúde preventiva (vacinação, pré-natal) evita que casos simples se tornem graves, desafogando as emergências.</t>
    </r>
  </si>
  <si>
    <r>
      <t>Proteção Social:</t>
    </r>
    <r>
      <rPr>
        <sz val="11"/>
        <color theme="1"/>
        <rFont val="Aptos Narrow"/>
        <family val="2"/>
        <scheme val="minor"/>
      </rPr>
      <t xml:space="preserve"> Garante que famílias em situação de vulnerabilidade tenham o apoio necessário para superar dificuldades.</t>
    </r>
  </si>
  <si>
    <r>
      <t>Aumento da Produtividade:</t>
    </r>
    <r>
      <rPr>
        <sz val="11"/>
        <color theme="1"/>
        <rFont val="Aptos Narrow"/>
        <family val="2"/>
        <scheme val="minor"/>
      </rPr>
      <t xml:space="preserve"> Trabalhadores saudáveis são mais produtivos e faltam menos ao trabalho.</t>
    </r>
  </si>
  <si>
    <r>
      <t>ODS 3 (Saúde e Bem-Estar):</t>
    </r>
    <r>
      <rPr>
        <sz val="11"/>
        <color theme="1"/>
        <rFont val="Aptos Narrow"/>
        <family val="2"/>
        <scheme val="minor"/>
      </rPr>
      <t xml:space="preserve"> Eixo central.</t>
    </r>
  </si>
  <si>
    <r>
      <t>ODS 1 (Erradicação da Pobreza):</t>
    </r>
    <r>
      <rPr>
        <sz val="11"/>
        <color theme="1"/>
        <rFont val="Aptos Narrow"/>
        <family val="2"/>
        <scheme val="minor"/>
      </rPr>
      <t xml:space="preserve"> Ao dar suporte a famílias vulneráveis.</t>
    </r>
  </si>
  <si>
    <r>
      <t>ODS 2 (Fome Zero):</t>
    </r>
    <r>
      <rPr>
        <sz val="11"/>
        <color theme="1"/>
        <rFont val="Aptos Narrow"/>
        <family val="2"/>
        <scheme val="minor"/>
      </rPr>
      <t xml:space="preserve"> Ao focar em programas de nutrição.</t>
    </r>
  </si>
  <si>
    <r>
      <t>ODS 5 (Igualdade de Gênero):</t>
    </r>
    <r>
      <rPr>
        <sz val="11"/>
        <color theme="1"/>
        <rFont val="Aptos Narrow"/>
        <family val="2"/>
        <scheme val="minor"/>
      </rPr>
      <t xml:space="preserve"> Ao focar na saúde da mulher e da gestante.</t>
    </r>
  </si>
  <si>
    <r>
      <t>ODS 10 (Redução das Desigualdades):</t>
    </r>
    <r>
      <rPr>
        <sz val="11"/>
        <color theme="1"/>
        <rFont val="Aptos Narrow"/>
        <family val="2"/>
        <scheme val="minor"/>
      </rPr>
      <t xml:space="preserve"> Ao garantir que todos tenham acesso à saúde.</t>
    </r>
  </si>
  <si>
    <t>Construir e reformar Unidades Básicas de Saúde (UBS) em bairros estratégicos.</t>
  </si>
  <si>
    <t>Criar equipes de "Saúde da Família" para realizar visitas domiciliares e acompanhamento contínuo.</t>
  </si>
  <si>
    <t>Realizar campanhas de vacinação e de prevenção a doenças (como dengue e hipertensão) de forma regular.</t>
  </si>
  <si>
    <t>Fortalecer o CRAS (Centro de Referência de Assistência Social) com mais assistentes sociais e psicólogos.</t>
  </si>
  <si>
    <t>Criar um programa de valorização dos profissionais de saúde, com planos de carreira e capacitação.</t>
  </si>
  <si>
    <r>
      <t>Justificativa do Eixo:</t>
    </r>
    <r>
      <rPr>
        <sz val="11"/>
        <color theme="1"/>
        <rFont val="Aptos Narrow"/>
        <family val="2"/>
        <scheme val="minor"/>
      </rPr>
      <t xml:space="preserve"> A saúde é um direito fundamental e a base para que os cidadãos possam estudar, trabalhar e viver bem. Este eixo garante o cuidado com as pessoas, especialmente as mais vulneráveis, promovendo uma sociedade mais justa, saudável e resiliente.</t>
    </r>
  </si>
  <si>
    <r>
      <t>Qualidade de Vida:</t>
    </r>
    <r>
      <rPr>
        <sz val="11"/>
        <color theme="1"/>
        <rFont val="Aptos Narrow"/>
        <family val="2"/>
        <scheme val="minor"/>
      </rPr>
      <t xml:space="preserve"> Um ambiente limpo e preservado melhora a saúde da população e torna a cidade mais agradável.</t>
    </r>
  </si>
  <si>
    <r>
      <t>Economia de Recursos:</t>
    </r>
    <r>
      <rPr>
        <sz val="11"/>
        <color theme="1"/>
        <rFont val="Aptos Narrow"/>
        <family val="2"/>
        <scheme val="minor"/>
      </rPr>
      <t xml:space="preserve"> O uso racional da água e o investimento em energias renováveis podem gerar uma grande economia para os cofres públicos e para os cidadãos.</t>
    </r>
  </si>
  <si>
    <r>
      <t>Novas Oportunidades Econômicas:</t>
    </r>
    <r>
      <rPr>
        <sz val="11"/>
        <color theme="1"/>
        <rFont val="Aptos Narrow"/>
        <family val="2"/>
        <scheme val="minor"/>
      </rPr>
      <t xml:space="preserve"> A reciclagem e a agricultura sustentável podem gerar empregos e renda.</t>
    </r>
  </si>
  <si>
    <r>
      <t>Resiliência Climática:</t>
    </r>
    <r>
      <rPr>
        <sz val="11"/>
        <color theme="1"/>
        <rFont val="Aptos Narrow"/>
        <family val="2"/>
        <scheme val="minor"/>
      </rPr>
      <t xml:space="preserve"> A proteção de rios e a recuperação de áreas degradadas ajudam a prevenir enchentes e outros desastres naturais.</t>
    </r>
  </si>
  <si>
    <r>
      <t>ODS 11 (Cidades e Comunidades Sustentáveis):</t>
    </r>
    <r>
      <rPr>
        <sz val="11"/>
        <color theme="1"/>
        <rFont val="Aptos Narrow"/>
        <family val="2"/>
        <scheme val="minor"/>
      </rPr>
      <t xml:space="preserve"> Eixo central.</t>
    </r>
  </si>
  <si>
    <r>
      <t>ODS 6 (Água Limpa e Saneamento):</t>
    </r>
    <r>
      <rPr>
        <sz val="11"/>
        <color theme="1"/>
        <rFont val="Aptos Narrow"/>
        <family val="2"/>
        <scheme val="minor"/>
      </rPr>
      <t xml:space="preserve"> Ao proteger os recursos hídricos.</t>
    </r>
  </si>
  <si>
    <r>
      <t>ODS 7 (Energia Limpa e Acessível):</t>
    </r>
    <r>
      <rPr>
        <sz val="11"/>
        <color theme="1"/>
        <rFont val="Aptos Narrow"/>
        <family val="2"/>
        <scheme val="minor"/>
      </rPr>
      <t xml:space="preserve"> Ao expandir o uso de energias limpas.</t>
    </r>
  </si>
  <si>
    <r>
      <t>ODS 12 (Consumo e Produção Responsáveis):</t>
    </r>
    <r>
      <rPr>
        <sz val="11"/>
        <color theme="1"/>
        <rFont val="Aptos Narrow"/>
        <family val="2"/>
        <scheme val="minor"/>
      </rPr>
      <t xml:space="preserve"> Ao implantar a coleta seletiva.</t>
    </r>
  </si>
  <si>
    <r>
      <t>ODS 13 (Ação Contra a Mudança Global do Clima):</t>
    </r>
    <r>
      <rPr>
        <sz val="11"/>
        <color theme="1"/>
        <rFont val="Aptos Narrow"/>
        <family val="2"/>
        <scheme val="minor"/>
      </rPr>
      <t xml:space="preserve"> Ao adotar práticas sustentáveis.</t>
    </r>
  </si>
  <si>
    <r>
      <t>ODS 15 (Vida Terrestre):</t>
    </r>
    <r>
      <rPr>
        <sz val="11"/>
        <color theme="1"/>
        <rFont val="Aptos Narrow"/>
        <family val="2"/>
        <scheme val="minor"/>
      </rPr>
      <t xml:space="preserve"> Ao recuperar áreas degradadas.</t>
    </r>
  </si>
  <si>
    <t>Implantar a coleta seletiva em todos os bairros, em parceria com cooperativas de catadores.</t>
  </si>
  <si>
    <t>Criar um programa de proteção de nascentes e matas ciliares.</t>
  </si>
  <si>
    <t>Oferecer descontos no IPTU para residências e empresas que adotarem energia solar ou sistemas de captação de água da chuva.</t>
  </si>
  <si>
    <t>Promover a criação de hortas comunitárias em terrenos baldios.</t>
  </si>
  <si>
    <t>Lançar um programa de educação ambiental nas escolas.</t>
  </si>
  <si>
    <r>
      <t>Justificativa do Eixo:</t>
    </r>
    <r>
      <rPr>
        <sz val="11"/>
        <color theme="1"/>
        <rFont val="Aptos Narrow"/>
        <family val="2"/>
        <scheme val="minor"/>
      </rPr>
      <t xml:space="preserve"> Não há desenvolvimento a longo prazo sem sustentabilidade. Este eixo garante que o crescimento do município ocorra em harmonia com o meio ambiente, preservando os recursos naturais para as futuras gerações e construindo uma cidade mais resiliente e saudável.</t>
    </r>
  </si>
  <si>
    <r>
      <t>Confiança da População:</t>
    </r>
    <r>
      <rPr>
        <sz val="11"/>
        <color theme="1"/>
        <rFont val="Aptos Narrow"/>
        <family val="2"/>
        <scheme val="minor"/>
      </rPr>
      <t xml:space="preserve"> Quando os cidadãos sabem como o dinheiro público é gasto, a confiança na gestão aumenta.</t>
    </r>
  </si>
  <si>
    <r>
      <t>Combate à Corrupção:</t>
    </r>
    <r>
      <rPr>
        <sz val="11"/>
        <color theme="1"/>
        <rFont val="Aptos Narrow"/>
        <family val="2"/>
        <scheme val="minor"/>
      </rPr>
      <t xml:space="preserve"> A transparência e o controle rigoroso dos gastos inibem desvios e mau uso dos recursos.</t>
    </r>
  </si>
  <si>
    <r>
      <t>Gestão Mais Eficiente:</t>
    </r>
    <r>
      <rPr>
        <sz val="11"/>
        <color theme="1"/>
        <rFont val="Aptos Narrow"/>
        <family val="2"/>
        <scheme val="minor"/>
      </rPr>
      <t xml:space="preserve"> A digitalização de serviços torna a administração pública mais ágil, menos burocrática e mais barata.</t>
    </r>
  </si>
  <si>
    <r>
      <t>Decisões Mais Acertadas:</t>
    </r>
    <r>
      <rPr>
        <sz val="11"/>
        <color theme="1"/>
        <rFont val="Aptos Narrow"/>
        <family val="2"/>
        <scheme val="minor"/>
      </rPr>
      <t xml:space="preserve"> A participação popular ajuda os gestores a entenderem as reais necessidades da comunidade e a tomarem decisões melhores.</t>
    </r>
  </si>
  <si>
    <r>
      <t>Melhora na Segurança:</t>
    </r>
    <r>
      <rPr>
        <sz val="11"/>
        <color theme="1"/>
        <rFont val="Aptos Narrow"/>
        <family val="2"/>
        <scheme val="minor"/>
      </rPr>
      <t xml:space="preserve"> Investimentos em tecnologia e uma guarda municipal bem equipada aumentam a sensação de segurança.</t>
    </r>
  </si>
  <si>
    <r>
      <t>ODS 16 (Paz, Justiça e Instituições Eficazes):</t>
    </r>
    <r>
      <rPr>
        <sz val="11"/>
        <color theme="1"/>
        <rFont val="Aptos Narrow"/>
        <family val="2"/>
        <scheme val="minor"/>
      </rPr>
      <t xml:space="preserve"> Eixo central.</t>
    </r>
  </si>
  <si>
    <r>
      <t>ODS 11 (Cidades e Comunidades Sustentáveis):</t>
    </r>
    <r>
      <rPr>
        <sz val="11"/>
        <color theme="1"/>
        <rFont val="Aptos Narrow"/>
        <family val="2"/>
        <scheme val="minor"/>
      </rPr>
      <t xml:space="preserve"> Ao reforçar a segurança pública.</t>
    </r>
  </si>
  <si>
    <r>
      <t>ODS 17 (Parcerias e Meios de Implementação):</t>
    </r>
    <r>
      <rPr>
        <sz val="11"/>
        <color theme="1"/>
        <rFont val="Aptos Narrow"/>
        <family val="2"/>
        <scheme val="minor"/>
      </rPr>
      <t xml:space="preserve"> A boa governança é a base para todas as parcerias.</t>
    </r>
  </si>
  <si>
    <t>Criar um "Portal da Transparência" de fácil acesso, com dados atualizados sobre todas as receitas e despesas do município.</t>
  </si>
  <si>
    <t>Digitalizar serviços como agendamento de consultas, emissão de alvarás e matrículas escolares.</t>
  </si>
  <si>
    <t>Realizar audiências públicas para discutir o orçamento anual e grandes projetos.</t>
  </si>
  <si>
    <t>Estruturar e equipar a Guarda Municipal, com foco em policiamento comunitário.</t>
  </si>
  <si>
    <t>Instalar câmeras de monitoramento em pontos estratégicos da cidade.</t>
  </si>
  <si>
    <r>
      <t>Justificativa do Eixo:</t>
    </r>
    <r>
      <rPr>
        <sz val="11"/>
        <color theme="1"/>
        <rFont val="Aptos Narrow"/>
        <family val="2"/>
        <scheme val="minor"/>
      </rPr>
      <t xml:space="preserve"> Uma gestão pública moderna, transparente e participativa é o alicerce que sustenta todos os outros eixos. Este eixo garante que os recursos sejam usados de forma eficiente e honesta, que os serviços públicos funcionem bem e que o município seja administrado para e com os seus cidadãos.</t>
    </r>
  </si>
  <si>
    <t>Estudo dos EIXOS WELL</t>
  </si>
  <si>
    <t>Entendido. Refiz a análise completa, simplificando a conexão para destacar uma ODS Principal e uma ODS Secundária diretamente relacionada para cada eixo.</t>
  </si>
  <si>
    <t>Aqui está o material revisado:</t>
  </si>
  <si>
    <r>
      <t>Benefícios para o Município:</t>
    </r>
    <r>
      <rPr>
        <sz val="11"/>
        <color theme="1"/>
        <rFont val="Aptos Narrow"/>
        <family val="2"/>
        <scheme val="minor"/>
      </rPr>
      <t xml:space="preserve"> Aumento da arrecadação, dinamismo econômico, redução da desigualdade e fixação de talentos locais.</t>
    </r>
  </si>
  <si>
    <t>ODS Vinculadas:</t>
  </si>
  <si>
    <r>
      <t>ODS Principal: 8 (Trabalho Decente e Crescimento Econômico)</t>
    </r>
    <r>
      <rPr>
        <sz val="11"/>
        <color theme="1"/>
        <rFont val="Aptos Narrow"/>
        <family val="2"/>
        <scheme val="minor"/>
      </rPr>
      <t xml:space="preserve"> – É a essência do eixo, focando na criação de empregos e no fortalecimento da economia.</t>
    </r>
  </si>
  <si>
    <r>
      <t>ODS Secundária: 1 (Erradicação da Pobreza)</t>
    </r>
    <r>
      <rPr>
        <sz val="11"/>
        <color theme="1"/>
        <rFont val="Aptos Narrow"/>
        <family val="2"/>
        <scheme val="minor"/>
      </rPr>
      <t xml:space="preserve"> – É o resultado social mais direto do sucesso do ODS 8, pois o emprego digno é a principal via para superar a pobreza.</t>
    </r>
  </si>
  <si>
    <r>
      <t>Ações Práticas:</t>
    </r>
    <r>
      <rPr>
        <sz val="11"/>
        <color theme="1"/>
        <rFont val="Aptos Narrow"/>
        <family val="2"/>
        <scheme val="minor"/>
      </rPr>
      <t xml:space="preserve"> Criar um "Balcão do Empreendedor" para desburocratizar a abertura de empresas; promover feiras de agronegócio e agricultura familiar; lançar programas de microcrédito.</t>
    </r>
  </si>
  <si>
    <r>
      <t>Justificativa do Eixo:</t>
    </r>
    <r>
      <rPr>
        <sz val="11"/>
        <color theme="1"/>
        <rFont val="Aptos Narrow"/>
        <family val="2"/>
        <scheme val="minor"/>
      </rPr>
      <t xml:space="preserve"> Um município só pode se desenvolver se sua base econômica for forte e inclusiva, gerando riqueza, autonomia para os cidadãos e recursos para investir em outras áreas.</t>
    </r>
  </si>
  <si>
    <r>
      <t>Benefícios para o Município:</t>
    </r>
    <r>
      <rPr>
        <sz val="11"/>
        <color theme="1"/>
        <rFont val="Aptos Narrow"/>
        <family val="2"/>
        <scheme val="minor"/>
      </rPr>
      <t xml:space="preserve"> Melhora na qualidade de vida, atração de investimentos, valorização imobiliária, melhora na saúde pública (com saneamento) e inclusão digital.</t>
    </r>
  </si>
  <si>
    <r>
      <t>ODS Principal: 9 (Indústria, Inovação e Infraestrutura)</t>
    </r>
    <r>
      <rPr>
        <sz val="11"/>
        <color theme="1"/>
        <rFont val="Aptos Narrow"/>
        <family val="2"/>
        <scheme val="minor"/>
      </rPr>
      <t xml:space="preserve"> – Aborda diretamente a construção e melhoria de infraestruturas essenciais como estradas, saneamento e conectividade.</t>
    </r>
  </si>
  <si>
    <r>
      <t>ODS Secundária: 11 (Cidades e Comunidades Sustentáveis)</t>
    </r>
    <r>
      <rPr>
        <sz val="11"/>
        <color theme="1"/>
        <rFont val="Aptos Narrow"/>
        <family val="2"/>
        <scheme val="minor"/>
      </rPr>
      <t xml:space="preserve"> – A infraestrutura de qualidade é o que torna uma cidade funcional, segura e resiliente, conectando pessoas e serviços.</t>
    </r>
  </si>
  <si>
    <r>
      <t>Ações Práticas:</t>
    </r>
    <r>
      <rPr>
        <sz val="11"/>
        <color theme="1"/>
        <rFont val="Aptos Narrow"/>
        <family val="2"/>
        <scheme val="minor"/>
      </rPr>
      <t xml:space="preserve"> Criar um plano de pavimentação de ruas; universalizar a rede de esgoto através de parcerias; instalar painéis solares em prédios públicos; criar ciclovias.</t>
    </r>
  </si>
  <si>
    <r>
      <t>Justificativa do Eixo:</t>
    </r>
    <r>
      <rPr>
        <sz val="11"/>
        <color theme="1"/>
        <rFont val="Aptos Narrow"/>
        <family val="2"/>
        <scheme val="minor"/>
      </rPr>
      <t xml:space="preserve"> A infraestrutura e a mobilidade são a espinha dorsal de um município funcional, garantindo as condições para a economia fluir, os serviços chegarem a todos e a população viver bem.</t>
    </r>
  </si>
  <si>
    <r>
      <t>Benefícios para o Município:</t>
    </r>
    <r>
      <rPr>
        <sz val="11"/>
        <color theme="1"/>
        <rFont val="Aptos Narrow"/>
        <family val="2"/>
        <scheme val="minor"/>
      </rPr>
      <t xml:space="preserve"> Formação de mão de obra qualificada, redução da evasão escolar, estímulo à inovação e fomento à cidadania ativa.</t>
    </r>
  </si>
  <si>
    <r>
      <t>ODS Principal: 4 (Educação de Qualidade)</t>
    </r>
    <r>
      <rPr>
        <sz val="11"/>
        <color theme="1"/>
        <rFont val="Aptos Narrow"/>
        <family val="2"/>
        <scheme val="minor"/>
      </rPr>
      <t xml:space="preserve"> – O foco central do eixo é garantir acesso à educação e ao aprendizado contínuo para todos os cidadãos.</t>
    </r>
  </si>
  <si>
    <r>
      <t>ODS Secundária: 8 (Trabalho Decente e Crescimento Econômico)</t>
    </r>
    <r>
      <rPr>
        <sz val="11"/>
        <color theme="1"/>
        <rFont val="Aptos Narrow"/>
        <family val="2"/>
        <scheme val="minor"/>
      </rPr>
      <t xml:space="preserve"> – A capacitação profissional é o elo direto entre a educação e o mercado de trabalho, preparando as pessoas para empregos de qualidade.</t>
    </r>
  </si>
  <si>
    <r>
      <t>Ações Práticas:</t>
    </r>
    <r>
      <rPr>
        <sz val="11"/>
        <color theme="1"/>
        <rFont val="Aptos Narrow"/>
        <family val="2"/>
        <scheme val="minor"/>
      </rPr>
      <t xml:space="preserve"> Realizar parcerias com o "Sistema S" (SENAI/SENAC) para cursos técnicos; modernizar as escolas municipais; oferecer incentivos para instalação de faculdades; promover a inclusão digital nas escolas.</t>
    </r>
  </si>
  <si>
    <r>
      <t>Justificativa do Eixo:</t>
    </r>
    <r>
      <rPr>
        <sz val="11"/>
        <color theme="1"/>
        <rFont val="Aptos Narrow"/>
        <family val="2"/>
        <scheme val="minor"/>
      </rPr>
      <t xml:space="preserve"> Investir em educação é investir no futuro do município, preparando seu capital humano para os desafios do século XXI e garantindo que o crescimento econômico seja acompanhado por desenvolvimento social.</t>
    </r>
  </si>
  <si>
    <r>
      <t>Benefícios para o Município:</t>
    </r>
    <r>
      <rPr>
        <sz val="11"/>
        <color theme="1"/>
        <rFont val="Aptos Narrow"/>
        <family val="2"/>
        <scheme val="minor"/>
      </rPr>
      <t xml:space="preserve"> População mais saudável, redução da pressão sobre hospitais, proteção social para vulneráveis e aumento da produtividade geral.</t>
    </r>
  </si>
  <si>
    <r>
      <t>ODS Principal: 3 (Saúde e Bem-Estar)</t>
    </r>
    <r>
      <rPr>
        <sz val="11"/>
        <color theme="1"/>
        <rFont val="Aptos Narrow"/>
        <family val="2"/>
        <scheme val="minor"/>
      </rPr>
      <t xml:space="preserve"> – O eixo é totalmente focado em garantir o acesso à saúde e promover o bem-estar da população.</t>
    </r>
  </si>
  <si>
    <r>
      <t>ODS Secundária: 10 (Redução das Desigualdades)</t>
    </r>
    <r>
      <rPr>
        <sz val="11"/>
        <color theme="1"/>
        <rFont val="Aptos Narrow"/>
        <family val="2"/>
        <scheme val="minor"/>
      </rPr>
      <t xml:space="preserve"> – A assistência social e o acesso universal à saúde são ferramentas poderosas para reduzir as desigualdades sociais e garantir que ninguém seja deixado para trás.</t>
    </r>
  </si>
  <si>
    <r>
      <t>Ações Práticas:</t>
    </r>
    <r>
      <rPr>
        <sz val="11"/>
        <color theme="1"/>
        <rFont val="Aptos Narrow"/>
        <family val="2"/>
        <scheme val="minor"/>
      </rPr>
      <t xml:space="preserve"> Ampliar a cobertura do programa "Saúde da Família"; realizar campanhas de vacinação e prevenção; fortalecer o CRAS (Centro de Referência de Assistência Social); criar um plano de carreira para os profissionais da saúde.</t>
    </r>
  </si>
  <si>
    <r>
      <t>Justificativa do Eixo:</t>
    </r>
    <r>
      <rPr>
        <sz val="11"/>
        <color theme="1"/>
        <rFont val="Aptos Narrow"/>
        <family val="2"/>
        <scheme val="minor"/>
      </rPr>
      <t xml:space="preserve"> A saúde é um direito fundamental e a base para que os cidadãos possam estudar e trabalhar. Este eixo garante o cuidado com as pessoas, especialmente as mais vulneráveis, promovendo uma sociedade mais justa e resiliente.</t>
    </r>
  </si>
  <si>
    <r>
      <t>Benefícios para o Município:</t>
    </r>
    <r>
      <rPr>
        <sz val="11"/>
        <color theme="1"/>
        <rFont val="Aptos Narrow"/>
        <family val="2"/>
        <scheme val="minor"/>
      </rPr>
      <t xml:space="preserve"> Melhora na qualidade de vida, economia de recursos públicos (água, energia), geração de novas oportunidades (reciclagem) e maior resiliência a desastres naturais.</t>
    </r>
  </si>
  <si>
    <r>
      <t>ODS Principal: 11 (Cidades e Comunidades Sustentáveis)</t>
    </r>
    <r>
      <rPr>
        <sz val="11"/>
        <color theme="1"/>
        <rFont val="Aptos Narrow"/>
        <family val="2"/>
        <scheme val="minor"/>
      </rPr>
      <t xml:space="preserve"> – Este ODS integra as diversas ações ambientais (gestão de resíduos, áreas verdes, etc.) no contexto urbano, buscando uma cidade mais sustentável.</t>
    </r>
  </si>
  <si>
    <r>
      <t>ODS Secundária: 12 (Consumo e Produção Responsáveis)</t>
    </r>
    <r>
      <rPr>
        <sz val="11"/>
        <color theme="1"/>
        <rFont val="Aptos Narrow"/>
        <family val="2"/>
        <scheme val="minor"/>
      </rPr>
      <t xml:space="preserve"> – Diretamente ligado a ações como a implantação da coleta seletiva, o incentivo à reciclagem e o uso racional dos recursos, mudando a forma como o município produz e descarta.</t>
    </r>
  </si>
  <si>
    <r>
      <t>Ações Práticas:</t>
    </r>
    <r>
      <rPr>
        <sz val="11"/>
        <color theme="1"/>
        <rFont val="Aptos Narrow"/>
        <family val="2"/>
        <scheme val="minor"/>
      </rPr>
      <t xml:space="preserve"> Implantar a coleta seletiva em parceria com cooperativas; criar um programa de proteção de nascentes; oferecer descontos no IPTU para quem adotar práticas sustentáveis; promover hortas comunitárias.</t>
    </r>
  </si>
  <si>
    <r>
      <t>Justificativa do Eixo:</t>
    </r>
    <r>
      <rPr>
        <sz val="11"/>
        <color theme="1"/>
        <rFont val="Aptos Narrow"/>
        <family val="2"/>
        <scheme val="minor"/>
      </rPr>
      <t xml:space="preserve"> Não há desenvolvimento a longo prazo sem sustentabilidade. Este eixo garante que o crescimento ocorra em harmonia com o meio ambiente, preservando os recursos para as futuras gerações.</t>
    </r>
  </si>
  <si>
    <r>
      <t>Benefícios para o Município:</t>
    </r>
    <r>
      <rPr>
        <sz val="11"/>
        <color theme="1"/>
        <rFont val="Aptos Narrow"/>
        <family val="2"/>
        <scheme val="minor"/>
      </rPr>
      <t xml:space="preserve"> Aumento da confiança da população, combate à corrupção, gestão mais eficiente e ágil, decisões mais acertadas com participação popular e melhora na segurança.</t>
    </r>
  </si>
  <si>
    <r>
      <t>ODS Principal: 16 (Paz, Justiça e Instituições Eficazes)</t>
    </r>
    <r>
      <rPr>
        <sz val="11"/>
        <color theme="1"/>
        <rFont val="Aptos Narrow"/>
        <family val="2"/>
        <scheme val="minor"/>
      </rPr>
      <t xml:space="preserve"> – Trata diretamente da construção de instituições públicas transparentes, responsáveis e eficazes, que é o cerne da boa governança.</t>
    </r>
  </si>
  <si>
    <r>
      <t>ODS Secundária: 17 (Parcerias e Meios de Implementação)</t>
    </r>
    <r>
      <rPr>
        <sz val="11"/>
        <color theme="1"/>
        <rFont val="Aptos Narrow"/>
        <family val="2"/>
        <scheme val="minor"/>
      </rPr>
      <t xml:space="preserve"> – Uma boa governança é a base para criar parcerias eficazes com a sociedade civil e o setor privado, essenciais para implementar todos os outros objetivos.</t>
    </r>
  </si>
  <si>
    <r>
      <t>Ações Práticas:</t>
    </r>
    <r>
      <rPr>
        <sz val="11"/>
        <color theme="1"/>
        <rFont val="Aptos Narrow"/>
        <family val="2"/>
        <scheme val="minor"/>
      </rPr>
      <t xml:space="preserve"> Criar um "Portal da Transparência" de fácil acesso; digitalizar serviços públicos; realizar audiências públicas para discutir o orçamento; estruturar e equipar a Guarda Municipal.</t>
    </r>
  </si>
  <si>
    <r>
      <t>Justificativa do Eixo:</t>
    </r>
    <r>
      <rPr>
        <sz val="11"/>
        <color theme="1"/>
        <rFont val="Aptos Narrow"/>
        <family val="2"/>
        <scheme val="minor"/>
      </rPr>
      <t xml:space="preserve"> Uma gestão transparente e participativa é o alicerce que sustenta todos os outros eixos, garantindo que os recursos sejam usados de forma eficiente e honesta para o bem de todos.</t>
    </r>
  </si>
  <si>
    <t>ODS Cidade</t>
  </si>
  <si>
    <t>MODERADO - Neste nível, o município tem avanços limitados e precisa de mais atenção em várias áreas para alcançar o desenvolvimento sustentável. Pode ser necessário rever ou criar novas políticas públicas para acelerar o progresso.</t>
  </si>
  <si>
    <t>MODERADO - ALTO - O município ainda tem algumas áreas com deficiências, mas está avançando para o ideal. Pode ser necessário investir em políticas para corrigir falhas, mas o município já está mostrando resultados positivos.</t>
  </si>
  <si>
    <t>ALTO -  O município está muito próximo da excelência, mas pode haver uma ou duas áreas onde não se atingiram as metas ideais. Em geral, o município está bem desenvolvido e em linha com os objetivos de sustentabilidade.</t>
  </si>
  <si>
    <t>&gt;90</t>
  </si>
  <si>
    <t>&lt;60</t>
  </si>
  <si>
    <t>&lt;70</t>
  </si>
  <si>
    <t>&lt;80</t>
  </si>
  <si>
    <t>&lt;90</t>
  </si>
  <si>
    <t>&lt;50</t>
  </si>
  <si>
    <t>Eixos WELL</t>
  </si>
  <si>
    <t>Numero</t>
  </si>
  <si>
    <t xml:space="preserve">Eixo </t>
  </si>
  <si>
    <t xml:space="preserve">Beneficio </t>
  </si>
  <si>
    <t>ODS Principal</t>
  </si>
  <si>
    <t>Justificativa ODS</t>
  </si>
  <si>
    <t>ODS Secundaria</t>
  </si>
  <si>
    <t>Justificativa Eixo</t>
  </si>
  <si>
    <t>Ações Práticas</t>
  </si>
  <si>
    <t>Desenvolvimento Econômico e Geração de Empregos</t>
  </si>
  <si>
    <t>Aumento da arrecadação, dinamismo econômico, redução da desigualdade e fixação de talentos locais.</t>
  </si>
  <si>
    <t xml:space="preserve"> É a essência do eixo, focando na criação de empregos e no fortalecimento da economia.</t>
  </si>
  <si>
    <t>É o resultado social mais direto do sucesso do ODS 8, pois o emprego digno é a principal via para superar a pobreza.</t>
  </si>
  <si>
    <t>Um município só pode se desenvolver se sua base econômica for forte e inclusiva, gerando riqueza, autonomia para os cidadãos e recursos para investir em outras áreas.</t>
  </si>
  <si>
    <t>Criar um "Balcão do Empreendedor" para desburocratizar a abertura de empresas; promover feiras de agronegócio e agricultura familiar; lançar programas de microcrédito.</t>
  </si>
  <si>
    <t>Infraestrutura e Mobilidade</t>
  </si>
  <si>
    <t>Melhora na qualidade de vida, atração de investimentos, valorização imobiliária, melhora na saúde pública (com saneamento) e inclusão digital.</t>
  </si>
  <si>
    <t>Aborda diretamente a construção e melhoria de infraestruturas essenciais como estradas, saneamento e conectividade.</t>
  </si>
  <si>
    <t>A infraestrutura de qualidade é o que torna uma cidade funcional, segura e resiliente, conectando pessoas e serviços.</t>
  </si>
  <si>
    <t>A infraestrutura e a mobilidade são a espinha dorsal de um município funcional, garantindo as condições para a economia fluir, os serviços chegarem a todos e a população viver bem.</t>
  </si>
  <si>
    <t>Criar um plano de pavimentação de ruas; universalizar a rede de esgoto através de parcerias; instalar painéis solares em prédios públicos; criar ciclovias.</t>
  </si>
  <si>
    <t>Educação e Capacitação Profissional</t>
  </si>
  <si>
    <t>Formação de mão de obra qualificada, redução da evasão escolar, estímulo à inovação e fomento à cidadania ativa.</t>
  </si>
  <si>
    <t>O foco central do eixo é garantir acesso à educação e ao aprendizado contínuo para todos os cidadãos.</t>
  </si>
  <si>
    <t>A capacitação profissional é o elo direto entre a educação e o mercado de trabalho, preparando as pessoas para empregos de qualidade.</t>
  </si>
  <si>
    <t>Investir em educação é investir no futuro do município, preparando seu capital humano para os desafios do século XXI e garantindo que o crescimento econômico seja acompanhado por desenvolvimento social.</t>
  </si>
  <si>
    <t>Realizar parcerias com o "Sistema S" (SENAI/SENAC) para cursos técnicos; modernizar as escolas municipais; oferecer incentivos para instalação de faculdades; promover a inclusão digital nas escolas.</t>
  </si>
  <si>
    <t>Saúde e Bem-Estar Social</t>
  </si>
  <si>
    <t>População mais saudável, redução da pressão sobre hospitais, proteção social para vulneráveis e aumento da produtividade geral.</t>
  </si>
  <si>
    <t>O eixo é totalmente focado em garantir o acesso à saúde e promover o bem-estar da população.</t>
  </si>
  <si>
    <t>A assistência social e o acesso universal à saúde são ferramentas poderosas para reduzir as desigualdades sociais e garantir que ninguém seja deixado para trás.</t>
  </si>
  <si>
    <t>A saúde é um direito fundamental e a base para que os cidadãos possam estudar e trabalhar. Este eixo garante o cuidado com as pessoas, especialmente as mais vulneráveis, promovendo uma sociedade mais justa e resiliente.</t>
  </si>
  <si>
    <t>Ampliar a cobertura do programa "Saúde da Família"; realizar campanhas de vacinação e prevenção; fortalecer o CRAS (Centro de Referência de Assistência Social); criar um plano de carreira para os profissionais da saúde.</t>
  </si>
  <si>
    <t>Meio Ambiente e Sustentabilidade</t>
  </si>
  <si>
    <t>Melhora na qualidade de vida, economia de recursos públicos (água, energia), geração de novas oportunidades (reciclagem) e maior resiliência a desastres naturais.</t>
  </si>
  <si>
    <t>Este ODS integra as diversas ações ambientais (gestão de resíduos, áreas verdes, etc.) no contexto urbano, buscando uma cidade mais sustentável.</t>
  </si>
  <si>
    <t>Diretamente ligado a ações como a implantação da coleta seletiva, o incentivo à reciclagem e o uso racional dos recursos, mudando a forma como o município produz e descarta.</t>
  </si>
  <si>
    <t>Não há desenvolvimento a longo prazo sem sustentabilidade. Este eixo garante que o crescimento ocorra em harmonia com o meio ambiente, preservando os recursos para as futuras gerações.</t>
  </si>
  <si>
    <t>Implantar a coleta seletiva em parceria com cooperativas; criar um programa de proteção de nascentes; oferecer descontos no IPTU para quem adotar práticas sustentáveis; promover hortas comunitárias.</t>
  </si>
  <si>
    <t>Governança e Transparência</t>
  </si>
  <si>
    <t>Aumento da confiança da população, combate à corrupção, gestão mais eficiente e ágil, decisões mais acertadas com participação popular e melhora na segurança.</t>
  </si>
  <si>
    <t>Trata diretamente da construção de instituições públicas transparentes, responsáveis e eficazes, que é o cerne da boa governança.</t>
  </si>
  <si>
    <t>Uma boa governança é a base para criar parcerias eficazes com a sociedade civil e o setor privado, essenciais para implementar todos os outros objetivos.</t>
  </si>
  <si>
    <t>Uma gestão transparente e participativa é o alicerce que sustenta todos os outros eixos, garantindo que os recursos sejam usados de forma eficiente e honesta para o bem de todos.</t>
  </si>
  <si>
    <t>Criar um "Portal da Transparência" de fácil acesso; digitalizar serviços públicos; realizar audiências públicas para discutir o orçamento; estruturar e equipar a Guarda Municipal.</t>
  </si>
  <si>
    <t>MUITO BAIXO - Este é um indicativo crítico, o município enfrenta grandes desafios e precisa de ações imediatas e substanciais para alcançar resultados mínimos em áreas essenciais como educação, saúde, meio ambiente, infraestrutura, entre outros.</t>
  </si>
  <si>
    <t>BAIXO - Este é um nível onde o município ainda está abaixo da média em termos de desenvolvimento sustentável. Muitas áreas podem estar muito aquém das metas, e ações urgentes devem ser tomadas para melhorar os indicadores.</t>
  </si>
  <si>
    <t>MUITO ALTO - Indica que o município está próximo de alcançar a sustentabilidade plena em todos os aspectos do desenvolvimento sustentável. As condições de vida da população são excelentes.</t>
  </si>
  <si>
    <t>x</t>
  </si>
  <si>
    <t>M1</t>
  </si>
  <si>
    <t>M2</t>
  </si>
  <si>
    <t>Avaliação</t>
  </si>
  <si>
    <t>EIXO WELL</t>
  </si>
  <si>
    <t>Pontuação Geral</t>
  </si>
  <si>
    <t>Vantagem 1</t>
  </si>
  <si>
    <t xml:space="preserve">Vantagem 2 </t>
  </si>
  <si>
    <t>Vantagem 3</t>
  </si>
  <si>
    <t>Solução 4</t>
  </si>
  <si>
    <t>https://www.gov.br/secretariageral/pt-br/cnods</t>
  </si>
  <si>
    <t>Comissão - CNODS</t>
  </si>
  <si>
    <t xml:space="preserve">Portal da Transparência; Lei de Governança; </t>
  </si>
  <si>
    <t>Prioridade no acesso a recursos de programas federais de assistência social e transferência de renda, fortalecendo a rede de proteção social do município.</t>
  </si>
  <si>
    <t>Acesso a programas de apoio à agricultura familiar, como o PAA (Programa de Aquisição de Alimentos), que permite ao município comprar alimentos de pequenos produtores locais para a merenda escolar e para a rede de assistência social.</t>
  </si>
  <si>
    <t>Facilidade para receber recursos do Ministério da Saúde para construção e reforma de postos de saúde, hospitais e para a implementação de programas de saúde preventiva.</t>
  </si>
  <si>
    <t>Possibilidade de obter financiamento do FNDE (Fundo Nacional de Desenvolvimento da Educação) para construção de creches e escolas, além de acesso a programas de capacitação para professores.</t>
  </si>
  <si>
    <t>Acesso a editais e recursos de secretarias estaduais e do governo federal para a criação de centros de referência e casas de abrigo para mulheres em situação de violência.</t>
  </si>
  <si>
    <t>Elegibilidade para grandes financiamentos da FUNASA e do BNDES para projetos de saneamento básico, tratamento de esgoto e gestão de recursos hídricos, que são obras de alto custo.</t>
  </si>
  <si>
    <t>Possibilidade de firmar Parcerias Público-Privadas (PPPs) para a instalação de usinas de energia solar em prédios públicos, reduzindo a conta de luz do município e gerando energia limpa.</t>
  </si>
  <si>
    <t>Atração de empresas que buscam selos de sustentabilidade e que oferecem empregos de qualidade, além do acesso a programas de qualificação profissional em parceria com o Sistema S (Senai, Senac).</t>
  </si>
  <si>
    <t>Acesso a linhas de crédito do BNDES para modernização da infraestrutura urbana, como pavimentação de vias, e para a criação de polos tecnológicos e de inovação.</t>
  </si>
  <si>
    <t>Acesso facilitado ao programa "Meu Município pelos ODS", que oferece capacitação específica para a criação de políticas públicas mais inclusivas e equitativas.</t>
  </si>
  <si>
    <t>Elegibilidade para projetos financiados por organismos internacionais, como o Banco Mundial e o BID, para a implementação de sistemas de transporte público eficientes e de baixo carbono (como corredores de ônibus) e para a urbanização de áreas precárias.</t>
  </si>
  <si>
    <t>Possibilidade de receber recursos para a construção de aterros sanitários e para a implementação de programas de coleta seletiva e reciclagem, gerando renda e reduzindo o impacto ambiental.</t>
  </si>
  <si>
    <t>Acesso a recursos do Fundo Clima para projetos de adaptação, como a construção de sistemas de contenção de encostas e de drenagem para prevenir desastres relacionados a chuvas fortes.</t>
  </si>
  <si>
    <t>(Para municípios costeiros ou com rios importantes) Acesso a recursos de fundos ambientais para projetos de recuperação de matas ciliares, despoluição de rios e proteção de ecossistemas marinhos.</t>
  </si>
  <si>
    <t>Acesso a recursos de fundos florestais para projetos de reflorestamento, criação de unidades de conservação e combate ao desmatamento.</t>
  </si>
  <si>
    <t>Fortalecimento da imagem institucional do município, o que aumenta a confiança de investidores e agências de fomento. Acesso a programas de modernização da gestão pública e de transparência.</t>
  </si>
  <si>
    <t>Parceria com instituições de microfinanças para oferecer crédito orientado de baixo custo a pequenos empreendedores de comunidades vulneráveis, com apoio técnico do município.</t>
  </si>
  <si>
    <t>Acesso a programas da EMBRAPA ou de secretarias estaduais de agricultura para a implementação de "hortas urbanas" em terrenos ociosos, com fornecimento de sementes e assistência técnica para a comunidade.</t>
  </si>
  <si>
    <t>Participação em projetos-piloto de telemedicina, em parceria com hospitais de referência ou healthtechs, para oferecer consultas com especialistas a moradores de áreas remotas do município.</t>
  </si>
  <si>
    <t>Economia direta nos custos de tratamento e bombeamento de água que era perdida, gerando uma economia financeira substancial para o serviço de água e esgoto do município.</t>
  </si>
  <si>
    <t>Parceria com operadoras de telecomunicações para a expansão da infraestrutura de fibra ótica e 5G, com o município facilitando a obtenção de licenças em troca de cobertura em áreas prioritárias (escolas, postos de saúde).</t>
  </si>
  <si>
    <t>Acesso a fundos de desenvolvimento urbano para financiar a criação de um "Plano Diretor Cicloviário", com apoio técnico de ONGs especializadas em mobilidade ativa.</t>
  </si>
  <si>
    <t>Captação de recursos via projetos sustentáveis.</t>
  </si>
  <si>
    <t>Linha de Crédito para despesas de capital.</t>
  </si>
  <si>
    <t>Financiamento para renovar e ampliar Frota escolar.</t>
  </si>
  <si>
    <t>Acesso a recursos via "Pagamento por Serviços Ambientais" (PSA), onde o município pode receber compensações financeiras de empresas ou do governo estadual por manter áreas de floresta preservadas que garantem a qualidade da água de uma bacia hidrográfica.</t>
  </si>
  <si>
    <t>Aumento significativo da confiança da população na gestão municipal, o que se traduz em maior colaboração dos cidadãos no pagamento de impostos e no cuidado com o patrimônio público.</t>
  </si>
  <si>
    <t>Capacitação oferecida por entidades como a Confederação Nacional de Municípios (CNM) para a criação de um "Escritório de Captação de Recursos e Projetos", focado exclusivamente em monitorar editais, elaborar propostas e gerir convênios.</t>
  </si>
  <si>
    <t>Autonomia e sustentabilidade financeira para a implementação de todas as outras ODS. O município deixa de ser reativo e passa a ser protagonista na busca por recursos, viabilizando seu próprio desenvolvimento de forma planejada.</t>
  </si>
  <si>
    <t>Elaborar projeto que pode ser submetido a linhas de financiamento do Ministério das Cidades ou a bancos de desenvolvimento como o Banco Interamericano de Desenvolvimento (BID), que possuem fundos específicos para redução de desigualdades urbanas.</t>
  </si>
  <si>
    <t>Utilizar linhas de crédito de bancos públicos (BNDES Finem) para financiar a troca de todas as lâmpadas por LED, a instalação de painéis solares em escolas e postos de saúde, e a implementação de sistemas de reuso de água.</t>
  </si>
  <si>
    <t>Prefeitura com algumas ações estratégicas poderá ter uma nova e crescente fonte de arrecadação de ISS, com a formalização e incentivo de alguns serviços para empresas.</t>
  </si>
  <si>
    <t>Atração de linhas do BNDES para financiar grandes projetos de infraestrutura que melhoram a produtividade da cidade.</t>
  </si>
  <si>
    <t xml:space="preserve">vantagem 1 </t>
  </si>
  <si>
    <t>Vantagem 2</t>
  </si>
  <si>
    <t>Valor Per Capita</t>
  </si>
  <si>
    <t>Imposto</t>
  </si>
  <si>
    <t>Parcerias</t>
  </si>
  <si>
    <t>liquido</t>
  </si>
  <si>
    <t>Liquido p Empresa</t>
  </si>
  <si>
    <t>Investimento</t>
  </si>
  <si>
    <t>Custo Pessoal</t>
  </si>
  <si>
    <t>Custo Escritorio</t>
  </si>
  <si>
    <t>Lucro liquido</t>
  </si>
  <si>
    <t>10 contratos</t>
  </si>
  <si>
    <t>6 Eixos</t>
  </si>
  <si>
    <t>Pacote 1</t>
  </si>
  <si>
    <t>Cidade pequena</t>
  </si>
  <si>
    <t>Cidade média</t>
  </si>
  <si>
    <t>Média grande</t>
  </si>
  <si>
    <t>Grande</t>
  </si>
  <si>
    <t>https://igma.aquila.com.br/cidades/2281</t>
  </si>
  <si>
    <t>IGMA - Instituto de Pesquisa</t>
  </si>
  <si>
    <t>Solução</t>
  </si>
  <si>
    <t>Exemplo de ação</t>
  </si>
  <si>
    <t>https://www.cidadessustentaveis.org.br/dados-abertos</t>
  </si>
  <si>
    <t>Indicadores DADOS</t>
  </si>
  <si>
    <t>Total BR - 4320</t>
  </si>
  <si>
    <t>Média 45,16% e Posição 94</t>
  </si>
  <si>
    <t>94/184</t>
  </si>
  <si>
    <t>4360 / 5570</t>
  </si>
  <si>
    <t xml:space="preserve">trabalho descente </t>
  </si>
  <si>
    <t>igualdade</t>
  </si>
  <si>
    <t xml:space="preserve">erradicação </t>
  </si>
  <si>
    <t>parcerias</t>
  </si>
  <si>
    <t>projeção 1</t>
  </si>
  <si>
    <t>projeção 2</t>
  </si>
  <si>
    <t>projeção 3</t>
  </si>
  <si>
    <t>Atual</t>
  </si>
  <si>
    <t>IDS Média 3 Cidades</t>
  </si>
  <si>
    <t>Média 5 Maiores PIB</t>
  </si>
  <si>
    <t>Média faixa população</t>
  </si>
  <si>
    <t>Goiana 1</t>
  </si>
  <si>
    <t>Goiana 2</t>
  </si>
  <si>
    <t>81 a 100 mil 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</si>
</sst>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4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  <font>
      <b/>
      <sz val="13.5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Times"/>
      <family val="1"/>
    </font>
    <font>
      <b/>
      <sz val="11"/>
      <color theme="1"/>
      <name val="Times"/>
      <family val="1"/>
    </font>
    <font>
      <sz val="11"/>
      <color rgb="FF000000"/>
      <name val="Times"/>
      <family val="1"/>
    </font>
    <font>
      <b/>
      <sz val="11"/>
      <color rgb="FF000000"/>
      <name val="Times"/>
      <family val="1"/>
    </font>
    <font>
      <b/>
      <sz val="13.5"/>
      <color theme="1"/>
      <name val="Times"/>
      <family val="1"/>
    </font>
    <font>
      <sz val="11"/>
      <color rgb="FF242424"/>
      <name val="Times"/>
      <family val="1"/>
    </font>
    <font>
      <b/>
      <sz val="14"/>
      <color theme="1"/>
      <name val="Times"/>
      <family val="1"/>
    </font>
    <font>
      <b/>
      <sz val="12"/>
      <color theme="1"/>
      <name val="Times"/>
      <family val="1"/>
    </font>
    <font>
      <sz val="11"/>
      <color rgb="FF242424"/>
      <name val="Aptos Narrow"/>
      <charset val="1"/>
    </font>
    <font>
      <sz val="11"/>
      <color rgb="FF000000"/>
      <name val="Times"/>
    </font>
    <font>
      <b/>
      <sz val="11"/>
      <color rgb="FF000000"/>
      <name val="Times"/>
    </font>
    <font>
      <sz val="11"/>
      <color rgb="FF000000"/>
      <name val="Aptos Narrow"/>
      <family val="2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Times"/>
    </font>
    <font>
      <b/>
      <sz val="12"/>
      <color theme="1"/>
      <name val="Arial"/>
      <family val="2"/>
    </font>
    <font>
      <b/>
      <sz val="11"/>
      <color theme="0"/>
      <name val="Aptos Narrow"/>
      <scheme val="minor"/>
    </font>
    <font>
      <b/>
      <sz val="11"/>
      <color theme="0"/>
      <name val="Times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8"/>
      <color theme="0"/>
      <name val="Aptos Narrow"/>
      <scheme val="minor"/>
    </font>
    <font>
      <sz val="18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20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4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Aptos Narrow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5"/>
      <color theme="1"/>
      <name val="Calibri"/>
      <family val="2"/>
    </font>
    <font>
      <b/>
      <sz val="20"/>
      <color theme="1"/>
      <name val="Aptos Narrow"/>
      <scheme val="minor"/>
    </font>
    <font>
      <b/>
      <sz val="18"/>
      <color theme="1"/>
      <name val="Aptos Narrow"/>
      <scheme val="minor"/>
    </font>
    <font>
      <b/>
      <sz val="11"/>
      <color theme="1"/>
      <name val="Aptos Narrow"/>
      <scheme val="minor"/>
    </font>
    <font>
      <sz val="12"/>
      <color theme="1"/>
      <name val="Segoe UI"/>
      <family val="2"/>
    </font>
    <font>
      <b/>
      <sz val="14"/>
      <color theme="1"/>
      <name val="Comic Sans MS"/>
      <family val="4"/>
    </font>
    <font>
      <b/>
      <sz val="14"/>
      <color theme="0"/>
      <name val="Segoe UI"/>
      <family val="2"/>
    </font>
    <font>
      <b/>
      <sz val="14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29"/>
        <bgColor indexed="64"/>
      </patternFill>
    </fill>
    <fill>
      <gradientFill degree="90">
        <stop position="0">
          <color theme="0"/>
        </stop>
        <stop position="1">
          <color rgb="FFFFCC29"/>
        </stop>
      </gradientFill>
    </fill>
    <fill>
      <patternFill patternType="solid">
        <fgColor rgb="FF2C28D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0" fillId="0" borderId="0" applyFont="0" applyFill="0" applyBorder="0" applyAlignment="0" applyProtection="0"/>
    <xf numFmtId="44" fontId="20" fillId="0" borderId="0" applyFont="0" applyFill="0" applyBorder="0" applyAlignment="0" applyProtection="0"/>
  </cellStyleXfs>
  <cellXfs count="230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center" vertical="center"/>
    </xf>
    <xf numFmtId="4" fontId="2" fillId="0" borderId="0" xfId="0" applyNumberFormat="1" applyFont="1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0" fontId="0" fillId="0" borderId="0" xfId="0" applyNumberFormat="1"/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right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0" fontId="6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right"/>
    </xf>
    <xf numFmtId="0" fontId="10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0" fontId="8" fillId="0" borderId="0" xfId="0" applyNumberFormat="1" applyFont="1" applyAlignment="1">
      <alignment horizontal="center" vertical="center"/>
    </xf>
    <xf numFmtId="10" fontId="8" fillId="0" borderId="0" xfId="0" applyNumberFormat="1" applyFont="1"/>
    <xf numFmtId="0" fontId="11" fillId="0" borderId="0" xfId="0" applyFont="1"/>
    <xf numFmtId="0" fontId="13" fillId="0" borderId="0" xfId="0" applyFont="1"/>
    <xf numFmtId="0" fontId="9" fillId="0" borderId="0" xfId="0" applyFont="1"/>
    <xf numFmtId="0" fontId="14" fillId="0" borderId="0" xfId="0" applyFont="1"/>
    <xf numFmtId="0" fontId="15" fillId="0" borderId="0" xfId="0" applyFont="1" applyAlignment="1">
      <alignment horizontal="center"/>
    </xf>
    <xf numFmtId="0" fontId="15" fillId="0" borderId="0" xfId="0" applyFont="1"/>
    <xf numFmtId="0" fontId="9" fillId="0" borderId="1" xfId="0" applyFont="1" applyBorder="1"/>
    <xf numFmtId="0" fontId="1" fillId="0" borderId="0" xfId="2"/>
    <xf numFmtId="0" fontId="8" fillId="0" borderId="0" xfId="0" applyFont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0" borderId="4" xfId="0" applyFont="1" applyBorder="1"/>
    <xf numFmtId="0" fontId="9" fillId="0" borderId="2" xfId="0" applyFont="1" applyBorder="1"/>
    <xf numFmtId="0" fontId="9" fillId="0" borderId="1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7" fillId="0" borderId="0" xfId="0" applyFont="1"/>
    <xf numFmtId="164" fontId="19" fillId="0" borderId="0" xfId="0" applyNumberFormat="1" applyFont="1" applyFill="1" applyBorder="1" applyAlignment="1"/>
    <xf numFmtId="4" fontId="19" fillId="0" borderId="0" xfId="0" applyNumberFormat="1" applyFont="1" applyFill="1" applyBorder="1" applyAlignment="1">
      <alignment horizontal="center" vertical="center"/>
    </xf>
    <xf numFmtId="0" fontId="0" fillId="0" borderId="0" xfId="0" applyAlignment="1"/>
    <xf numFmtId="164" fontId="19" fillId="0" borderId="0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0" fontId="8" fillId="0" borderId="0" xfId="0" applyNumberFormat="1" applyFont="1" applyFill="1" applyAlignment="1">
      <alignment horizontal="center" vertical="center"/>
    </xf>
    <xf numFmtId="9" fontId="8" fillId="0" borderId="0" xfId="3" applyFont="1"/>
    <xf numFmtId="10" fontId="8" fillId="0" borderId="0" xfId="3" applyNumberFormat="1" applyFont="1"/>
    <xf numFmtId="10" fontId="8" fillId="0" borderId="0" xfId="3" applyNumberFormat="1" applyFont="1" applyAlignment="1">
      <alignment horizontal="right"/>
    </xf>
    <xf numFmtId="9" fontId="8" fillId="0" borderId="0" xfId="0" applyNumberFormat="1" applyFont="1"/>
    <xf numFmtId="1" fontId="8" fillId="0" borderId="0" xfId="3" applyNumberFormat="1" applyFont="1"/>
    <xf numFmtId="0" fontId="0" fillId="0" borderId="0" xfId="0" applyAlignment="1">
      <alignment horizontal="center" vertical="center"/>
    </xf>
    <xf numFmtId="10" fontId="8" fillId="0" borderId="0" xfId="3" applyNumberFormat="1" applyFont="1" applyAlignment="1">
      <alignment horizontal="center" vertical="center"/>
    </xf>
    <xf numFmtId="0" fontId="8" fillId="0" borderId="0" xfId="0" applyNumberFormat="1" applyFont="1"/>
    <xf numFmtId="1" fontId="8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/>
    <xf numFmtId="0" fontId="8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0" fillId="5" borderId="7" xfId="0" applyFill="1" applyBorder="1"/>
    <xf numFmtId="0" fontId="0" fillId="4" borderId="0" xfId="0" applyFill="1" applyBorder="1"/>
    <xf numFmtId="0" fontId="0" fillId="4" borderId="9" xfId="0" applyFill="1" applyBorder="1"/>
    <xf numFmtId="0" fontId="0" fillId="5" borderId="8" xfId="0" applyFill="1" applyBorder="1"/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22" fillId="0" borderId="0" xfId="3" applyNumberFormat="1" applyFont="1" applyAlignment="1">
      <alignment horizontal="center" vertical="center"/>
    </xf>
    <xf numFmtId="0" fontId="23" fillId="0" borderId="0" xfId="0" applyFont="1"/>
    <xf numFmtId="0" fontId="24" fillId="6" borderId="0" xfId="0" applyFont="1" applyFill="1" applyAlignment="1">
      <alignment horizontal="center" vertical="center"/>
    </xf>
    <xf numFmtId="10" fontId="25" fillId="6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0" fontId="0" fillId="0" borderId="0" xfId="3" applyNumberFormat="1" applyFont="1" applyAlignment="1">
      <alignment horizontal="center" vertical="center" wrapText="1"/>
    </xf>
    <xf numFmtId="10" fontId="0" fillId="0" borderId="0" xfId="3" applyNumberFormat="1" applyFont="1"/>
    <xf numFmtId="3" fontId="0" fillId="0" borderId="0" xfId="0" applyNumberFormat="1"/>
    <xf numFmtId="164" fontId="0" fillId="0" borderId="0" xfId="3" applyNumberFormat="1" applyFont="1" applyAlignment="1">
      <alignment horizontal="center" vertical="center" wrapText="1"/>
    </xf>
    <xf numFmtId="2" fontId="0" fillId="0" borderId="0" xfId="3" applyNumberFormat="1" applyFont="1" applyAlignment="1">
      <alignment horizontal="center" vertical="center" wrapText="1"/>
    </xf>
    <xf numFmtId="2" fontId="0" fillId="0" borderId="0" xfId="3" applyNumberFormat="1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7" xfId="0" applyBorder="1"/>
    <xf numFmtId="0" fontId="0" fillId="0" borderId="16" xfId="0" applyBorder="1"/>
    <xf numFmtId="0" fontId="27" fillId="0" borderId="0" xfId="0" applyFont="1"/>
    <xf numFmtId="0" fontId="28" fillId="6" borderId="0" xfId="0" applyFont="1" applyFill="1"/>
    <xf numFmtId="0" fontId="27" fillId="0" borderId="0" xfId="0" applyFont="1" applyAlignment="1">
      <alignment horizontal="center" vertical="center"/>
    </xf>
    <xf numFmtId="2" fontId="29" fillId="0" borderId="0" xfId="0" applyNumberFormat="1" applyFont="1" applyAlignment="1">
      <alignment horizontal="center" vertical="center"/>
    </xf>
    <xf numFmtId="1" fontId="29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164" fontId="29" fillId="0" borderId="0" xfId="0" applyNumberFormat="1" applyFont="1" applyAlignment="1">
      <alignment horizontal="center" vertical="center"/>
    </xf>
    <xf numFmtId="10" fontId="29" fillId="0" borderId="0" xfId="3" applyNumberFormat="1" applyFont="1" applyAlignment="1">
      <alignment horizontal="center" vertical="center"/>
    </xf>
    <xf numFmtId="0" fontId="29" fillId="0" borderId="0" xfId="0" applyNumberFormat="1" applyFont="1" applyAlignment="1">
      <alignment horizontal="center" vertical="center"/>
    </xf>
    <xf numFmtId="0" fontId="29" fillId="0" borderId="11" xfId="0" applyFont="1" applyBorder="1"/>
    <xf numFmtId="0" fontId="27" fillId="0" borderId="13" xfId="0" applyFont="1" applyBorder="1" applyAlignment="1">
      <alignment horizontal="center" vertical="center"/>
    </xf>
    <xf numFmtId="10" fontId="27" fillId="0" borderId="13" xfId="3" applyNumberFormat="1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31" fillId="0" borderId="0" xfId="0" applyFont="1"/>
    <xf numFmtId="0" fontId="32" fillId="0" borderId="0" xfId="0" applyFont="1" applyAlignment="1">
      <alignment vertical="center"/>
    </xf>
    <xf numFmtId="0" fontId="32" fillId="0" borderId="0" xfId="0" applyFont="1"/>
    <xf numFmtId="0" fontId="31" fillId="0" borderId="0" xfId="0" applyFont="1" applyAlignment="1">
      <alignment horizontal="left" vertical="center" indent="1"/>
    </xf>
    <xf numFmtId="0" fontId="32" fillId="0" borderId="0" xfId="0" applyFont="1" applyAlignment="1">
      <alignment horizontal="left" vertical="center" indent="1"/>
    </xf>
    <xf numFmtId="0" fontId="33" fillId="0" borderId="0" xfId="0" applyFont="1"/>
    <xf numFmtId="0" fontId="34" fillId="0" borderId="0" xfId="0" applyFont="1" applyAlignment="1">
      <alignment horizontal="left" vertical="center" wrapText="1" indent="1"/>
    </xf>
    <xf numFmtId="10" fontId="34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35" fillId="0" borderId="0" xfId="0" applyFont="1" applyAlignment="1">
      <alignment horizontal="center" vertical="center" wrapText="1"/>
    </xf>
    <xf numFmtId="0" fontId="36" fillId="0" borderId="0" xfId="0" applyFont="1"/>
    <xf numFmtId="0" fontId="37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 indent="1"/>
    </xf>
    <xf numFmtId="0" fontId="21" fillId="7" borderId="0" xfId="0" applyFont="1" applyFill="1"/>
    <xf numFmtId="0" fontId="1" fillId="7" borderId="0" xfId="2" applyFill="1"/>
    <xf numFmtId="0" fontId="0" fillId="7" borderId="0" xfId="0" applyFill="1"/>
    <xf numFmtId="0" fontId="1" fillId="7" borderId="0" xfId="2" quotePrefix="1" applyFill="1"/>
    <xf numFmtId="10" fontId="8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41" fillId="0" borderId="0" xfId="0" applyFont="1" applyBorder="1"/>
    <xf numFmtId="0" fontId="42" fillId="0" borderId="0" xfId="0" applyFont="1" applyBorder="1"/>
    <xf numFmtId="0" fontId="44" fillId="0" borderId="0" xfId="0" applyFont="1"/>
    <xf numFmtId="0" fontId="45" fillId="8" borderId="10" xfId="0" applyFont="1" applyFill="1" applyBorder="1" applyAlignment="1">
      <alignment horizontal="center" vertical="center"/>
    </xf>
    <xf numFmtId="0" fontId="45" fillId="8" borderId="11" xfId="0" applyFont="1" applyFill="1" applyBorder="1" applyAlignment="1">
      <alignment horizontal="centerContinuous" vertical="center"/>
    </xf>
    <xf numFmtId="0" fontId="45" fillId="8" borderId="11" xfId="0" applyFont="1" applyFill="1" applyBorder="1" applyAlignment="1">
      <alignment horizontal="center" vertical="center"/>
    </xf>
    <xf numFmtId="0" fontId="38" fillId="8" borderId="13" xfId="0" applyFont="1" applyFill="1" applyBorder="1"/>
    <xf numFmtId="0" fontId="38" fillId="8" borderId="0" xfId="0" applyFont="1" applyFill="1" applyBorder="1"/>
    <xf numFmtId="0" fontId="0" fillId="8" borderId="0" xfId="0" applyFill="1" applyBorder="1"/>
    <xf numFmtId="0" fontId="39" fillId="8" borderId="13" xfId="0" applyFont="1" applyFill="1" applyBorder="1" applyAlignment="1">
      <alignment horizontal="center" vertical="center"/>
    </xf>
    <xf numFmtId="0" fontId="40" fillId="8" borderId="0" xfId="0" applyFont="1" applyFill="1" applyBorder="1" applyAlignment="1">
      <alignment horizontal="centerContinuous" vertical="center"/>
    </xf>
    <xf numFmtId="0" fontId="0" fillId="8" borderId="0" xfId="0" applyFill="1" applyBorder="1" applyAlignment="1">
      <alignment horizontal="centerContinuous" vertical="center"/>
    </xf>
    <xf numFmtId="0" fontId="39" fillId="8" borderId="15" xfId="0" applyFont="1" applyFill="1" applyBorder="1" applyAlignment="1">
      <alignment horizontal="center" vertical="center"/>
    </xf>
    <xf numFmtId="0" fontId="40" fillId="8" borderId="7" xfId="0" applyFont="1" applyFill="1" applyBorder="1" applyAlignment="1">
      <alignment horizontal="centerContinuous" vertical="center"/>
    </xf>
    <xf numFmtId="0" fontId="0" fillId="8" borderId="7" xfId="0" applyFill="1" applyBorder="1" applyAlignment="1">
      <alignment horizontal="centerContinuous" vertical="center"/>
    </xf>
    <xf numFmtId="0" fontId="0" fillId="8" borderId="7" xfId="0" applyFill="1" applyBorder="1"/>
    <xf numFmtId="0" fontId="0" fillId="8" borderId="14" xfId="0" applyFill="1" applyBorder="1" applyAlignment="1">
      <alignment horizontal="centerContinuous"/>
    </xf>
    <xf numFmtId="0" fontId="45" fillId="8" borderId="12" xfId="0" applyFont="1" applyFill="1" applyBorder="1" applyAlignment="1">
      <alignment horizontal="centerContinuous"/>
    </xf>
    <xf numFmtId="10" fontId="43" fillId="8" borderId="0" xfId="0" applyNumberFormat="1" applyFont="1" applyFill="1" applyBorder="1" applyAlignment="1">
      <alignment horizontal="centerContinuous" vertical="center"/>
    </xf>
    <xf numFmtId="0" fontId="0" fillId="8" borderId="16" xfId="0" applyFill="1" applyBorder="1" applyAlignment="1">
      <alignment horizontal="centerContinuous"/>
    </xf>
    <xf numFmtId="10" fontId="43" fillId="8" borderId="7" xfId="0" applyNumberFormat="1" applyFont="1" applyFill="1" applyBorder="1" applyAlignment="1">
      <alignment horizontal="centerContinuous" vertical="center"/>
    </xf>
    <xf numFmtId="0" fontId="0" fillId="7" borderId="0" xfId="0" applyFill="1" applyAlignment="1">
      <alignment horizontal="centerContinuous"/>
    </xf>
    <xf numFmtId="0" fontId="0" fillId="7" borderId="0" xfId="0" applyFill="1" applyAlignment="1"/>
    <xf numFmtId="0" fontId="0" fillId="0" borderId="18" xfId="0" applyFill="1" applyBorder="1"/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45" fillId="0" borderId="1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27" fillId="0" borderId="13" xfId="3" applyNumberFormat="1" applyFont="1" applyBorder="1" applyAlignment="1">
      <alignment horizontal="center" vertical="center"/>
    </xf>
    <xf numFmtId="1" fontId="27" fillId="0" borderId="13" xfId="3" applyNumberFormat="1" applyFont="1" applyBorder="1" applyAlignment="1">
      <alignment horizontal="center" vertical="center"/>
    </xf>
    <xf numFmtId="0" fontId="29" fillId="0" borderId="13" xfId="0" applyFont="1" applyBorder="1" applyAlignment="1"/>
    <xf numFmtId="164" fontId="27" fillId="0" borderId="13" xfId="3" applyNumberFormat="1" applyFont="1" applyBorder="1" applyAlignment="1">
      <alignment horizontal="center" vertical="center"/>
    </xf>
    <xf numFmtId="0" fontId="27" fillId="0" borderId="13" xfId="3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5" borderId="15" xfId="0" applyFill="1" applyBorder="1"/>
    <xf numFmtId="0" fontId="0" fillId="5" borderId="16" xfId="0" applyFill="1" applyBorder="1"/>
    <xf numFmtId="0" fontId="0" fillId="7" borderId="0" xfId="0" applyFill="1" applyBorder="1"/>
    <xf numFmtId="0" fontId="3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/>
    <xf numFmtId="44" fontId="0" fillId="0" borderId="0" xfId="4" applyFont="1"/>
    <xf numFmtId="44" fontId="0" fillId="0" borderId="0" xfId="0" applyNumberFormat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39" fillId="7" borderId="0" xfId="0" applyFont="1" applyFill="1"/>
    <xf numFmtId="0" fontId="40" fillId="2" borderId="11" xfId="0" applyFont="1" applyFill="1" applyBorder="1"/>
    <xf numFmtId="0" fontId="40" fillId="2" borderId="0" xfId="0" applyFont="1" applyFill="1" applyBorder="1"/>
    <xf numFmtId="0" fontId="40" fillId="2" borderId="7" xfId="0" applyFont="1" applyFill="1" applyBorder="1"/>
    <xf numFmtId="0" fontId="40" fillId="2" borderId="10" xfId="0" applyFont="1" applyFill="1" applyBorder="1" applyAlignment="1">
      <alignment horizontal="centerContinuous" vertical="center"/>
    </xf>
    <xf numFmtId="0" fontId="40" fillId="2" borderId="11" xfId="0" applyFont="1" applyFill="1" applyBorder="1" applyAlignment="1">
      <alignment horizontal="centerContinuous" vertical="center"/>
    </xf>
    <xf numFmtId="0" fontId="40" fillId="2" borderId="13" xfId="0" applyFont="1" applyFill="1" applyBorder="1" applyAlignment="1">
      <alignment horizontal="centerContinuous"/>
    </xf>
    <xf numFmtId="0" fontId="40" fillId="2" borderId="0" xfId="0" applyFont="1" applyFill="1" applyBorder="1" applyAlignment="1">
      <alignment horizontal="centerContinuous"/>
    </xf>
    <xf numFmtId="0" fontId="40" fillId="2" borderId="15" xfId="0" applyFont="1" applyFill="1" applyBorder="1" applyAlignment="1">
      <alignment horizontal="centerContinuous"/>
    </xf>
    <xf numFmtId="0" fontId="40" fillId="2" borderId="7" xfId="0" applyFont="1" applyFill="1" applyBorder="1" applyAlignment="1">
      <alignment horizontal="centerContinuous"/>
    </xf>
    <xf numFmtId="0" fontId="40" fillId="2" borderId="11" xfId="0" applyFont="1" applyFill="1" applyBorder="1" applyAlignment="1">
      <alignment horizontal="centerContinuous"/>
    </xf>
    <xf numFmtId="1" fontId="40" fillId="2" borderId="11" xfId="0" applyNumberFormat="1" applyFont="1" applyFill="1" applyBorder="1" applyAlignment="1">
      <alignment horizontal="centerContinuous"/>
    </xf>
    <xf numFmtId="1" fontId="40" fillId="2" borderId="0" xfId="0" applyNumberFormat="1" applyFont="1" applyFill="1" applyBorder="1" applyAlignment="1">
      <alignment horizontal="centerContinuous"/>
    </xf>
    <xf numFmtId="10" fontId="40" fillId="2" borderId="0" xfId="0" applyNumberFormat="1" applyFont="1" applyFill="1" applyBorder="1" applyAlignment="1">
      <alignment horizontal="centerContinuous"/>
    </xf>
    <xf numFmtId="0" fontId="40" fillId="2" borderId="0" xfId="0" applyNumberFormat="1" applyFont="1" applyFill="1" applyBorder="1" applyAlignment="1">
      <alignment horizontal="centerContinuous"/>
    </xf>
    <xf numFmtId="0" fontId="40" fillId="2" borderId="12" xfId="0" applyFont="1" applyFill="1" applyBorder="1" applyAlignment="1">
      <alignment horizontal="centerContinuous"/>
    </xf>
    <xf numFmtId="0" fontId="40" fillId="2" borderId="14" xfId="0" applyFont="1" applyFill="1" applyBorder="1" applyAlignment="1">
      <alignment horizontal="centerContinuous"/>
    </xf>
    <xf numFmtId="0" fontId="40" fillId="2" borderId="16" xfId="0" applyFont="1" applyFill="1" applyBorder="1" applyAlignment="1">
      <alignment horizontal="centerContinuous"/>
    </xf>
    <xf numFmtId="0" fontId="40" fillId="7" borderId="0" xfId="0" applyFont="1" applyFill="1" applyBorder="1" applyAlignment="1">
      <alignment horizontal="centerContinuous"/>
    </xf>
    <xf numFmtId="0" fontId="40" fillId="7" borderId="0" xfId="0" applyFont="1" applyFill="1" applyBorder="1"/>
    <xf numFmtId="164" fontId="40" fillId="2" borderId="7" xfId="4" applyNumberFormat="1" applyFont="1" applyFill="1" applyBorder="1" applyAlignment="1">
      <alignment horizontal="centerContinuous"/>
    </xf>
    <xf numFmtId="0" fontId="0" fillId="0" borderId="17" xfId="0" applyFill="1" applyBorder="1" applyAlignment="1">
      <alignment horizontal="center" vertical="center"/>
    </xf>
    <xf numFmtId="0" fontId="0" fillId="7" borderId="13" xfId="0" applyFill="1" applyBorder="1" applyProtection="1"/>
    <xf numFmtId="0" fontId="0" fillId="7" borderId="0" xfId="0" applyFill="1" applyBorder="1" applyProtection="1"/>
    <xf numFmtId="0" fontId="0" fillId="7" borderId="14" xfId="0" applyFill="1" applyBorder="1" applyProtection="1"/>
    <xf numFmtId="0" fontId="0" fillId="7" borderId="15" xfId="0" applyFill="1" applyBorder="1" applyProtection="1"/>
    <xf numFmtId="0" fontId="0" fillId="7" borderId="7" xfId="0" applyFill="1" applyBorder="1" applyProtection="1"/>
    <xf numFmtId="0" fontId="0" fillId="7" borderId="16" xfId="0" applyFill="1" applyBorder="1" applyProtection="1"/>
    <xf numFmtId="10" fontId="0" fillId="0" borderId="0" xfId="3" applyNumberFormat="1" applyFont="1" applyAlignment="1">
      <alignment horizontal="center" vertical="center"/>
    </xf>
    <xf numFmtId="0" fontId="46" fillId="6" borderId="0" xfId="0" applyFont="1" applyFill="1" applyBorder="1" applyAlignment="1" applyProtection="1">
      <alignment horizontal="center" vertical="center"/>
      <protection locked="0"/>
    </xf>
    <xf numFmtId="0" fontId="47" fillId="4" borderId="0" xfId="0" applyFont="1" applyFill="1" applyBorder="1" applyAlignment="1" applyProtection="1">
      <alignment horizontal="center" vertical="center"/>
      <protection locked="0"/>
    </xf>
    <xf numFmtId="0" fontId="47" fillId="4" borderId="14" xfId="0" applyFont="1" applyFill="1" applyBorder="1" applyAlignment="1" applyProtection="1">
      <alignment horizontal="center" vertical="center"/>
      <protection locked="0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0" fontId="0" fillId="7" borderId="0" xfId="0" applyNumberFormat="1" applyFill="1"/>
  </cellXfs>
  <cellStyles count="5">
    <cellStyle name="Hiperlink" xfId="2" builtinId="8"/>
    <cellStyle name="Hyperlink" xfId="1" xr:uid="{00000000-000B-0000-0000-000008000000}"/>
    <cellStyle name="Moeda" xfId="4" builtinId="4"/>
    <cellStyle name="Normal" xfId="0" builtinId="0"/>
    <cellStyle name="Porcentagem" xfId="3" builtinId="5"/>
  </cellStyles>
  <dxfs count="4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"/>
        <family val="1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"/>
        <family val="1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"/>
        <family val="1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"/>
        <family val="1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"/>
        <family val="1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"/>
        <family val="1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4" formatCode="0.00%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"/>
        <family val="1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"/>
        <family val="1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"/>
        <family val="1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"/>
        <family val="1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"/>
        <family val="1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"/>
        <family val="1"/>
        <scheme val="none"/>
      </font>
      <alignment horizontal="center" vertical="center" textRotation="0" wrapText="1" indent="0" justifyLastLine="0" shrinkToFit="0" readingOrder="0"/>
    </dxf>
    <dxf>
      <numFmt numFmtId="14" formatCode="0.00%"/>
    </dxf>
    <dxf>
      <alignment wrapText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theme="9" tint="0.39994506668294322"/>
        </patternFill>
      </fill>
    </dxf>
    <dxf>
      <font>
        <b/>
        <i val="0"/>
        <strike val="0"/>
        <u val="none"/>
        <color auto="1"/>
      </font>
      <fill>
        <patternFill>
          <bgColor rgb="FFFF6D6D"/>
        </patternFill>
      </fill>
    </dxf>
  </dxfs>
  <tableStyles count="0" defaultTableStyle="TableStyleMedium2" defaultPivotStyle="PivotStyleMedium9"/>
  <colors>
    <mruColors>
      <color rgb="FFFFCC29"/>
      <color rgb="FFFA7676"/>
      <color rgb="FFFF6D6D"/>
      <color rgb="FFFF7C80"/>
      <color rgb="FFFF3300"/>
      <color rgb="FF2C28DC"/>
      <color rgb="FFFF9933"/>
      <color rgb="FFC7C6F6"/>
      <color rgb="FFC0C0C0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07/relationships/slicerCache" Target="slicerCaches/slicerCach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[Projeto Goiana - PE (Atualizado).xlsx]Tabela Dinamica!Tabela dinâmica3</c:name>
    <c:fmtId val="4"/>
  </c:pivotSource>
  <c:chart>
    <c:autoTitleDeleted val="1"/>
    <c:pivotFmts>
      <c:pivotFmt>
        <c:idx val="0"/>
        <c:spPr>
          <a:solidFill>
            <a:srgbClr val="2C28DC"/>
          </a:solidFill>
          <a:ln w="111125" cap="rnd">
            <a:solidFill>
              <a:srgbClr val="2C28DC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1"/>
          </a:solidFill>
          <a:ln w="107950" cap="rnd">
            <a:solidFill>
              <a:schemeClr val="tx1"/>
            </a:solidFill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CC29"/>
          </a:solidFill>
          <a:ln w="107950" cap="rnd" cmpd="sng">
            <a:solidFill>
              <a:srgbClr val="FFC000"/>
            </a:solidFill>
            <a:round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C29"/>
          </a:solidFill>
          <a:ln w="107950" cap="rnd" cmpd="sng">
            <a:solidFill>
              <a:srgbClr val="FFC000"/>
            </a:solidFill>
            <a:round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dLbl>
          <c:idx val="0"/>
          <c:layout>
            <c:manualLayout>
              <c:x val="9.9165647200132045E-3"/>
              <c:y val="-2.778902832270946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horzOverflow="clip" vert="horz" wrap="square" lIns="38100" tIns="19050" rIns="38100" bIns="19050" anchor="ctr" anchorCtr="1">
              <a:no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rgbClr val="2C28DC"/>
          </a:solidFill>
          <a:ln w="111125" cap="rnd">
            <a:solidFill>
              <a:srgbClr val="2C28DC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tx1"/>
          </a:solidFill>
          <a:ln w="107950" cap="rnd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CC29"/>
          </a:solidFill>
          <a:ln w="107950" cap="rnd" cmpd="sng">
            <a:solidFill>
              <a:srgbClr val="FFC000"/>
            </a:solidFill>
            <a:round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FCC29"/>
          </a:solidFill>
          <a:ln w="107950" cap="rnd" cmpd="sng">
            <a:solidFill>
              <a:srgbClr val="FFC000"/>
            </a:solidFill>
            <a:round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dLbl>
          <c:idx val="0"/>
          <c:layout>
            <c:manualLayout>
              <c:x val="9.9165647200132045E-3"/>
              <c:y val="-2.778902832270946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horzOverflow="clip" vert="horz" wrap="square" lIns="38100" tIns="19050" rIns="38100" bIns="19050" anchor="ctr" anchorCtr="1">
              <a:no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rgbClr val="2C28DC"/>
          </a:solidFill>
          <a:ln w="111125" cap="rnd">
            <a:solidFill>
              <a:srgbClr val="2C28DC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tx1"/>
          </a:solidFill>
          <a:ln w="107950" cap="rnd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FFCC29"/>
          </a:solidFill>
          <a:ln w="107950" cap="rnd" cmpd="sng">
            <a:solidFill>
              <a:srgbClr val="FFC000"/>
            </a:solidFill>
            <a:round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layout>
            <c:manualLayout>
              <c:x val="9.9165647200132045E-3"/>
              <c:y val="-2.778902832270946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horzOverflow="clip" vert="horz" wrap="square" lIns="38100" tIns="19050" rIns="38100" bIns="19050" anchor="ctr" anchorCtr="1">
              <a:no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FFCC29"/>
          </a:solidFill>
          <a:ln w="107950" cap="rnd" cmpd="sng">
            <a:solidFill>
              <a:srgbClr val="FFCC29"/>
            </a:solidFill>
            <a:round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11227399665014959"/>
          <c:y val="0.10302616011779608"/>
          <c:w val="0.87063802626287812"/>
          <c:h val="0.791816812809329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'Tabela Dinamica'!$B$3</c:f>
              <c:strCache>
                <c:ptCount val="1"/>
                <c:pt idx="0">
                  <c:v>Soma de IDS Goiana - PE</c:v>
                </c:pt>
              </c:strCache>
            </c:strRef>
          </c:tx>
          <c:spPr>
            <a:solidFill>
              <a:srgbClr val="2C28DC"/>
            </a:solidFill>
            <a:ln w="111125" cap="rnd">
              <a:solidFill>
                <a:srgbClr val="2C28DC"/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Dinamica'!$A$4</c:f>
              <c:strCache>
                <c:ptCount val="1"/>
                <c:pt idx="0">
                  <c:v>Promover o crescimento econômico e trabalho decente.</c:v>
                </c:pt>
              </c:strCache>
            </c:strRef>
          </c:cat>
          <c:val>
            <c:numRef>
              <c:f>'Tabela Dinamica'!$B$4</c:f>
              <c:numCache>
                <c:formatCode>0.00%</c:formatCode>
                <c:ptCount val="1"/>
                <c:pt idx="0">
                  <c:v>0.37140000000000001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5D-424D-B864-65A9550BC4E7}"/>
            </c:ext>
          </c:extLst>
        </c:ser>
        <c:ser>
          <c:idx val="1"/>
          <c:order val="1"/>
          <c:tx>
            <c:strRef>
              <c:f>'Tabela Dinamica'!$C$3</c:f>
              <c:strCache>
                <c:ptCount val="1"/>
                <c:pt idx="0">
                  <c:v>Soma de Média 3 Cidades - Mesma faixa Populacional (80 Mil - 100 Mil) - Araripina/ St Cruz Capibaripe/ Serra Talhada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Dinamica'!$A$4</c:f>
              <c:strCache>
                <c:ptCount val="1"/>
                <c:pt idx="0">
                  <c:v>Promover o crescimento econômico e trabalho decente.</c:v>
                </c:pt>
              </c:strCache>
            </c:strRef>
          </c:cat>
          <c:val>
            <c:numRef>
              <c:f>'Tabela Dinamica'!$C$4</c:f>
              <c:numCache>
                <c:formatCode>0.00%</c:formatCode>
                <c:ptCount val="1"/>
                <c:pt idx="0">
                  <c:v>0.32806666666666667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5D-424D-B864-65A9550BC4E7}"/>
            </c:ext>
          </c:extLst>
        </c:ser>
        <c:ser>
          <c:idx val="2"/>
          <c:order val="2"/>
          <c:tx>
            <c:strRef>
              <c:f>'Tabela Dinamica'!$D$3</c:f>
              <c:strCache>
                <c:ptCount val="1"/>
                <c:pt idx="0">
                  <c:v>Soma de Média Região</c:v>
                </c:pt>
              </c:strCache>
            </c:strRef>
          </c:tx>
          <c:spPr>
            <a:solidFill>
              <a:schemeClr val="tx1"/>
            </a:solidFill>
            <a:ln w="107950" cap="rnd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Dinamica'!$A$4</c:f>
              <c:strCache>
                <c:ptCount val="1"/>
                <c:pt idx="0">
                  <c:v>Promover o crescimento econômico e trabalho decente.</c:v>
                </c:pt>
              </c:strCache>
            </c:strRef>
          </c:cat>
          <c:val>
            <c:numRef>
              <c:f>'Tabela Dinamica'!$D$4</c:f>
              <c:numCache>
                <c:formatCode>0.00%</c:formatCode>
                <c:ptCount val="1"/>
                <c:pt idx="0">
                  <c:v>0.24655000000000002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85D-424D-B864-65A9550BC4E7}"/>
            </c:ext>
          </c:extLst>
        </c:ser>
        <c:ser>
          <c:idx val="3"/>
          <c:order val="3"/>
          <c:tx>
            <c:strRef>
              <c:f>'Tabela Dinamica'!$E$3</c:f>
              <c:strCache>
                <c:ptCount val="1"/>
                <c:pt idx="0">
                  <c:v>Soma de Média 5 Maiores PIB - PE</c:v>
                </c:pt>
              </c:strCache>
            </c:strRef>
          </c:tx>
          <c:spPr>
            <a:solidFill>
              <a:srgbClr val="FFCC29"/>
            </a:solidFill>
            <a:ln w="107950" cap="rnd" cmpd="sng">
              <a:solidFill>
                <a:srgbClr val="FFC000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CC29"/>
              </a:solidFill>
              <a:ln w="107950" cap="rnd" cmpd="sng">
                <a:solidFill>
                  <a:srgbClr val="FFCC29"/>
                </a:solidFill>
                <a:round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0FB9-4E91-98B2-BD0F19253C4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Dinamica'!$A$4</c:f>
              <c:strCache>
                <c:ptCount val="1"/>
                <c:pt idx="0">
                  <c:v>Promover o crescimento econômico e trabalho decente.</c:v>
                </c:pt>
              </c:strCache>
            </c:strRef>
          </c:cat>
          <c:val>
            <c:numRef>
              <c:f>'Tabela Dinamica'!$E$4</c:f>
              <c:numCache>
                <c:formatCode>0.00%</c:formatCode>
                <c:ptCount val="1"/>
                <c:pt idx="0">
                  <c:v>0.37622000000000005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85D-424D-B864-65A9550BC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0"/>
        <c:overlap val="-70"/>
        <c:axId val="789821999"/>
        <c:axId val="798983087"/>
      </c:barChart>
      <c:catAx>
        <c:axId val="78982199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98983087"/>
        <c:crossesAt val="0"/>
        <c:auto val="1"/>
        <c:lblAlgn val="ctr"/>
        <c:lblOffset val="100"/>
        <c:noMultiLvlLbl val="0"/>
      </c:catAx>
      <c:valAx>
        <c:axId val="798983087"/>
        <c:scaling>
          <c:orientation val="minMax"/>
          <c:max val="1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endParaRPr lang="pt-BR"/>
          </a:p>
        </c:txPr>
        <c:crossAx val="789821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Dashboard!A1"/><Relationship Id="rId13" Type="http://schemas.openxmlformats.org/officeDocument/2006/relationships/image" Target="../media/image8.png"/><Relationship Id="rId18" Type="http://schemas.openxmlformats.org/officeDocument/2006/relationships/image" Target="../media/image13.jfif"/><Relationship Id="rId26" Type="http://schemas.openxmlformats.org/officeDocument/2006/relationships/image" Target="../media/image21.png"/><Relationship Id="rId3" Type="http://schemas.openxmlformats.org/officeDocument/2006/relationships/hyperlink" Target="#'Gest&#227;o com IDS e ODS'!A1"/><Relationship Id="rId21" Type="http://schemas.openxmlformats.org/officeDocument/2006/relationships/image" Target="../media/image16.png"/><Relationship Id="rId7" Type="http://schemas.openxmlformats.org/officeDocument/2006/relationships/image" Target="../media/image4.png"/><Relationship Id="rId12" Type="http://schemas.openxmlformats.org/officeDocument/2006/relationships/image" Target="../media/image7.jpeg"/><Relationship Id="rId17" Type="http://schemas.openxmlformats.org/officeDocument/2006/relationships/image" Target="../media/image12.png"/><Relationship Id="rId25" Type="http://schemas.openxmlformats.org/officeDocument/2006/relationships/image" Target="../media/image20.png"/><Relationship Id="rId2" Type="http://schemas.openxmlformats.org/officeDocument/2006/relationships/image" Target="../media/image2.png"/><Relationship Id="rId16" Type="http://schemas.openxmlformats.org/officeDocument/2006/relationships/image" Target="../media/image11.png"/><Relationship Id="rId20" Type="http://schemas.openxmlformats.org/officeDocument/2006/relationships/image" Target="../media/image15.png"/><Relationship Id="rId29" Type="http://schemas.openxmlformats.org/officeDocument/2006/relationships/hyperlink" Target="#Vantagens!A1"/><Relationship Id="rId1" Type="http://schemas.openxmlformats.org/officeDocument/2006/relationships/image" Target="../media/image1.png"/><Relationship Id="rId6" Type="http://schemas.openxmlformats.org/officeDocument/2006/relationships/hyperlink" Target="#Comparativo!A1"/><Relationship Id="rId11" Type="http://schemas.openxmlformats.org/officeDocument/2006/relationships/image" Target="../media/image6.png"/><Relationship Id="rId24" Type="http://schemas.openxmlformats.org/officeDocument/2006/relationships/image" Target="../media/image19.jpeg"/><Relationship Id="rId5" Type="http://schemas.microsoft.com/office/2007/relationships/hdphoto" Target="../media/hdphoto1.wdp"/><Relationship Id="rId15" Type="http://schemas.openxmlformats.org/officeDocument/2006/relationships/image" Target="../media/image10.png"/><Relationship Id="rId23" Type="http://schemas.openxmlformats.org/officeDocument/2006/relationships/image" Target="../media/image18.jpeg"/><Relationship Id="rId28" Type="http://schemas.openxmlformats.org/officeDocument/2006/relationships/image" Target="../media/image23.jpeg"/><Relationship Id="rId10" Type="http://schemas.openxmlformats.org/officeDocument/2006/relationships/hyperlink" Target="#'Eixos WELL'!A1"/><Relationship Id="rId19" Type="http://schemas.openxmlformats.org/officeDocument/2006/relationships/image" Target="../media/image14.png"/><Relationship Id="rId4" Type="http://schemas.openxmlformats.org/officeDocument/2006/relationships/image" Target="../media/image3.png"/><Relationship Id="rId9" Type="http://schemas.openxmlformats.org/officeDocument/2006/relationships/image" Target="../media/image5.png"/><Relationship Id="rId14" Type="http://schemas.openxmlformats.org/officeDocument/2006/relationships/image" Target="../media/image9.jpeg"/><Relationship Id="rId22" Type="http://schemas.openxmlformats.org/officeDocument/2006/relationships/image" Target="../media/image17.png"/><Relationship Id="rId27" Type="http://schemas.openxmlformats.org/officeDocument/2006/relationships/image" Target="../media/image22.jpeg"/><Relationship Id="rId30" Type="http://schemas.openxmlformats.org/officeDocument/2006/relationships/hyperlink" Target="#'Metas 2030'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Dashboard!A1"/><Relationship Id="rId13" Type="http://schemas.openxmlformats.org/officeDocument/2006/relationships/image" Target="../media/image9.jpeg"/><Relationship Id="rId18" Type="http://schemas.openxmlformats.org/officeDocument/2006/relationships/image" Target="../media/image14.png"/><Relationship Id="rId26" Type="http://schemas.openxmlformats.org/officeDocument/2006/relationships/image" Target="../media/image22.jpeg"/><Relationship Id="rId3" Type="http://schemas.openxmlformats.org/officeDocument/2006/relationships/hyperlink" Target="#'Gest&#227;o com IDS e ODS'!A1"/><Relationship Id="rId21" Type="http://schemas.openxmlformats.org/officeDocument/2006/relationships/image" Target="../media/image17.png"/><Relationship Id="rId7" Type="http://schemas.openxmlformats.org/officeDocument/2006/relationships/image" Target="../media/image4.png"/><Relationship Id="rId12" Type="http://schemas.openxmlformats.org/officeDocument/2006/relationships/image" Target="../media/image8.png"/><Relationship Id="rId17" Type="http://schemas.openxmlformats.org/officeDocument/2006/relationships/image" Target="../media/image13.jfif"/><Relationship Id="rId25" Type="http://schemas.openxmlformats.org/officeDocument/2006/relationships/image" Target="../media/image21.png"/><Relationship Id="rId2" Type="http://schemas.openxmlformats.org/officeDocument/2006/relationships/image" Target="../media/image2.png"/><Relationship Id="rId16" Type="http://schemas.openxmlformats.org/officeDocument/2006/relationships/image" Target="../media/image12.png"/><Relationship Id="rId20" Type="http://schemas.openxmlformats.org/officeDocument/2006/relationships/image" Target="../media/image16.png"/><Relationship Id="rId29" Type="http://schemas.openxmlformats.org/officeDocument/2006/relationships/hyperlink" Target="#Vantagens!A1"/><Relationship Id="rId1" Type="http://schemas.openxmlformats.org/officeDocument/2006/relationships/image" Target="../media/image1.png"/><Relationship Id="rId6" Type="http://schemas.openxmlformats.org/officeDocument/2006/relationships/hyperlink" Target="#Comparativo!A1"/><Relationship Id="rId11" Type="http://schemas.openxmlformats.org/officeDocument/2006/relationships/image" Target="../media/image6.png"/><Relationship Id="rId24" Type="http://schemas.openxmlformats.org/officeDocument/2006/relationships/image" Target="../media/image20.png"/><Relationship Id="rId5" Type="http://schemas.microsoft.com/office/2007/relationships/hdphoto" Target="../media/hdphoto1.wdp"/><Relationship Id="rId15" Type="http://schemas.openxmlformats.org/officeDocument/2006/relationships/image" Target="../media/image11.png"/><Relationship Id="rId23" Type="http://schemas.openxmlformats.org/officeDocument/2006/relationships/image" Target="../media/image19.jpeg"/><Relationship Id="rId28" Type="http://schemas.openxmlformats.org/officeDocument/2006/relationships/image" Target="../media/image7.jpeg"/><Relationship Id="rId10" Type="http://schemas.openxmlformats.org/officeDocument/2006/relationships/hyperlink" Target="#'Eixos WELL'!A1"/><Relationship Id="rId19" Type="http://schemas.openxmlformats.org/officeDocument/2006/relationships/image" Target="../media/image15.png"/><Relationship Id="rId4" Type="http://schemas.openxmlformats.org/officeDocument/2006/relationships/image" Target="../media/image3.png"/><Relationship Id="rId9" Type="http://schemas.openxmlformats.org/officeDocument/2006/relationships/image" Target="../media/image5.png"/><Relationship Id="rId14" Type="http://schemas.openxmlformats.org/officeDocument/2006/relationships/image" Target="../media/image10.png"/><Relationship Id="rId22" Type="http://schemas.openxmlformats.org/officeDocument/2006/relationships/image" Target="../media/image18.jpeg"/><Relationship Id="rId27" Type="http://schemas.openxmlformats.org/officeDocument/2006/relationships/image" Target="../media/image23.jpeg"/><Relationship Id="rId30" Type="http://schemas.openxmlformats.org/officeDocument/2006/relationships/hyperlink" Target="#'Metas 2030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image" Target="../media/image8.png"/><Relationship Id="rId18" Type="http://schemas.openxmlformats.org/officeDocument/2006/relationships/image" Target="../media/image13.jfif"/><Relationship Id="rId26" Type="http://schemas.openxmlformats.org/officeDocument/2006/relationships/image" Target="../media/image21.png"/><Relationship Id="rId3" Type="http://schemas.openxmlformats.org/officeDocument/2006/relationships/image" Target="../media/image2.png"/><Relationship Id="rId21" Type="http://schemas.openxmlformats.org/officeDocument/2006/relationships/image" Target="../media/image16.png"/><Relationship Id="rId7" Type="http://schemas.openxmlformats.org/officeDocument/2006/relationships/hyperlink" Target="#Comparativo!A1"/><Relationship Id="rId12" Type="http://schemas.openxmlformats.org/officeDocument/2006/relationships/image" Target="../media/image6.png"/><Relationship Id="rId17" Type="http://schemas.openxmlformats.org/officeDocument/2006/relationships/image" Target="../media/image12.png"/><Relationship Id="rId25" Type="http://schemas.openxmlformats.org/officeDocument/2006/relationships/image" Target="../media/image20.png"/><Relationship Id="rId2" Type="http://schemas.openxmlformats.org/officeDocument/2006/relationships/image" Target="../media/image1.png"/><Relationship Id="rId16" Type="http://schemas.openxmlformats.org/officeDocument/2006/relationships/image" Target="../media/image11.png"/><Relationship Id="rId20" Type="http://schemas.openxmlformats.org/officeDocument/2006/relationships/image" Target="../media/image15.png"/><Relationship Id="rId29" Type="http://schemas.openxmlformats.org/officeDocument/2006/relationships/image" Target="../media/image7.jpeg"/><Relationship Id="rId1" Type="http://schemas.openxmlformats.org/officeDocument/2006/relationships/hyperlink" Target="#'Gest&#227;o com IDS e ODS'!A1"/><Relationship Id="rId6" Type="http://schemas.microsoft.com/office/2007/relationships/hdphoto" Target="../media/hdphoto1.wdp"/><Relationship Id="rId11" Type="http://schemas.openxmlformats.org/officeDocument/2006/relationships/hyperlink" Target="#'Eixos WELL'!A1"/><Relationship Id="rId24" Type="http://schemas.openxmlformats.org/officeDocument/2006/relationships/image" Target="../media/image19.jpeg"/><Relationship Id="rId5" Type="http://schemas.openxmlformats.org/officeDocument/2006/relationships/image" Target="../media/image3.png"/><Relationship Id="rId15" Type="http://schemas.openxmlformats.org/officeDocument/2006/relationships/image" Target="../media/image10.png"/><Relationship Id="rId23" Type="http://schemas.openxmlformats.org/officeDocument/2006/relationships/image" Target="../media/image18.jpeg"/><Relationship Id="rId28" Type="http://schemas.openxmlformats.org/officeDocument/2006/relationships/image" Target="../media/image23.jpeg"/><Relationship Id="rId10" Type="http://schemas.openxmlformats.org/officeDocument/2006/relationships/image" Target="../media/image5.png"/><Relationship Id="rId19" Type="http://schemas.openxmlformats.org/officeDocument/2006/relationships/image" Target="../media/image14.png"/><Relationship Id="rId31" Type="http://schemas.openxmlformats.org/officeDocument/2006/relationships/hyperlink" Target="#'Metas 2030'!A1"/><Relationship Id="rId4" Type="http://schemas.openxmlformats.org/officeDocument/2006/relationships/hyperlink" Target="#'IDS e ODS'!A1"/><Relationship Id="rId9" Type="http://schemas.openxmlformats.org/officeDocument/2006/relationships/hyperlink" Target="#Dashboard!A1"/><Relationship Id="rId14" Type="http://schemas.openxmlformats.org/officeDocument/2006/relationships/image" Target="../media/image9.jpeg"/><Relationship Id="rId22" Type="http://schemas.openxmlformats.org/officeDocument/2006/relationships/image" Target="../media/image17.png"/><Relationship Id="rId27" Type="http://schemas.openxmlformats.org/officeDocument/2006/relationships/image" Target="../media/image22.jpeg"/><Relationship Id="rId30" Type="http://schemas.openxmlformats.org/officeDocument/2006/relationships/hyperlink" Target="#Vantagens!A1"/></Relationships>
</file>

<file path=xl/drawings/_rels/drawing4.xml.rels><?xml version="1.0" encoding="UTF-8" standalone="yes"?>
<Relationships xmlns="http://schemas.openxmlformats.org/package/2006/relationships"><Relationship Id="rId8" Type="http://schemas.microsoft.com/office/2007/relationships/hdphoto" Target="../media/hdphoto1.wdp"/><Relationship Id="rId13" Type="http://schemas.openxmlformats.org/officeDocument/2006/relationships/hyperlink" Target="#'Eixos WELL'!A1"/><Relationship Id="rId3" Type="http://schemas.openxmlformats.org/officeDocument/2006/relationships/image" Target="../media/image25.png"/><Relationship Id="rId7" Type="http://schemas.openxmlformats.org/officeDocument/2006/relationships/image" Target="../media/image3.png"/><Relationship Id="rId12" Type="http://schemas.openxmlformats.org/officeDocument/2006/relationships/image" Target="../media/image28.png"/><Relationship Id="rId2" Type="http://schemas.openxmlformats.org/officeDocument/2006/relationships/image" Target="../media/image24.png"/><Relationship Id="rId1" Type="http://schemas.openxmlformats.org/officeDocument/2006/relationships/hyperlink" Target="#'Gest&#227;o com IDS e ODS'!A1"/><Relationship Id="rId6" Type="http://schemas.openxmlformats.org/officeDocument/2006/relationships/chart" Target="../charts/chart1.xml"/><Relationship Id="rId11" Type="http://schemas.openxmlformats.org/officeDocument/2006/relationships/hyperlink" Target="#Dashboard!A1"/><Relationship Id="rId5" Type="http://schemas.openxmlformats.org/officeDocument/2006/relationships/image" Target="../media/image27.jfif"/><Relationship Id="rId10" Type="http://schemas.openxmlformats.org/officeDocument/2006/relationships/image" Target="../media/image4.png"/><Relationship Id="rId4" Type="http://schemas.openxmlformats.org/officeDocument/2006/relationships/image" Target="../media/image26.emf"/><Relationship Id="rId9" Type="http://schemas.openxmlformats.org/officeDocument/2006/relationships/hyperlink" Target="#Comparativo!A1"/><Relationship Id="rId14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image" Target="../media/image6.png"/><Relationship Id="rId3" Type="http://schemas.openxmlformats.org/officeDocument/2006/relationships/image" Target="../media/image2.png"/><Relationship Id="rId7" Type="http://schemas.openxmlformats.org/officeDocument/2006/relationships/hyperlink" Target="#Comparativo!A1"/><Relationship Id="rId12" Type="http://schemas.openxmlformats.org/officeDocument/2006/relationships/hyperlink" Target="#'Eixos WELL'!A1"/><Relationship Id="rId2" Type="http://schemas.openxmlformats.org/officeDocument/2006/relationships/image" Target="../media/image30.png"/><Relationship Id="rId1" Type="http://schemas.openxmlformats.org/officeDocument/2006/relationships/hyperlink" Target="#'Gest&#227;o com IDS e ODS'!A1"/><Relationship Id="rId6" Type="http://schemas.microsoft.com/office/2007/relationships/hdphoto" Target="../media/hdphoto1.wdp"/><Relationship Id="rId11" Type="http://schemas.microsoft.com/office/2007/relationships/hdphoto" Target="../media/hdphoto2.wdp"/><Relationship Id="rId5" Type="http://schemas.openxmlformats.org/officeDocument/2006/relationships/image" Target="../media/image3.png"/><Relationship Id="rId10" Type="http://schemas.openxmlformats.org/officeDocument/2006/relationships/image" Target="../media/image31.png"/><Relationship Id="rId4" Type="http://schemas.openxmlformats.org/officeDocument/2006/relationships/hyperlink" Target="#'O que &#233; IDS e ODS '!A1"/><Relationship Id="rId9" Type="http://schemas.openxmlformats.org/officeDocument/2006/relationships/hyperlink" Target="#Dashboard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Dashboard!A1"/><Relationship Id="rId13" Type="http://schemas.openxmlformats.org/officeDocument/2006/relationships/image" Target="../media/image33.png"/><Relationship Id="rId18" Type="http://schemas.openxmlformats.org/officeDocument/2006/relationships/hyperlink" Target="#Sustentabilidade!A1"/><Relationship Id="rId3" Type="http://schemas.openxmlformats.org/officeDocument/2006/relationships/image" Target="../media/image2.png"/><Relationship Id="rId21" Type="http://schemas.openxmlformats.org/officeDocument/2006/relationships/image" Target="../media/image37.png"/><Relationship Id="rId7" Type="http://schemas.openxmlformats.org/officeDocument/2006/relationships/image" Target="../media/image4.png"/><Relationship Id="rId12" Type="http://schemas.openxmlformats.org/officeDocument/2006/relationships/hyperlink" Target="#Infraestrutura!A1"/><Relationship Id="rId17" Type="http://schemas.openxmlformats.org/officeDocument/2006/relationships/image" Target="../media/image35.png"/><Relationship Id="rId2" Type="http://schemas.openxmlformats.org/officeDocument/2006/relationships/image" Target="../media/image30.png"/><Relationship Id="rId16" Type="http://schemas.openxmlformats.org/officeDocument/2006/relationships/hyperlink" Target="#Sa&#250;de!A1"/><Relationship Id="rId20" Type="http://schemas.openxmlformats.org/officeDocument/2006/relationships/hyperlink" Target="#Transpar&#234;ncia!A1"/><Relationship Id="rId1" Type="http://schemas.openxmlformats.org/officeDocument/2006/relationships/hyperlink" Target="#'Gest&#227;o com IDS e ODS'!A1"/><Relationship Id="rId6" Type="http://schemas.openxmlformats.org/officeDocument/2006/relationships/hyperlink" Target="#Comparativo!A1"/><Relationship Id="rId11" Type="http://schemas.openxmlformats.org/officeDocument/2006/relationships/image" Target="../media/image32.png"/><Relationship Id="rId5" Type="http://schemas.microsoft.com/office/2007/relationships/hdphoto" Target="../media/hdphoto1.wdp"/><Relationship Id="rId15" Type="http://schemas.openxmlformats.org/officeDocument/2006/relationships/image" Target="../media/image34.png"/><Relationship Id="rId23" Type="http://schemas.openxmlformats.org/officeDocument/2006/relationships/image" Target="../media/image38.png"/><Relationship Id="rId10" Type="http://schemas.openxmlformats.org/officeDocument/2006/relationships/hyperlink" Target="#Econ&#244;mico!A1"/><Relationship Id="rId19" Type="http://schemas.openxmlformats.org/officeDocument/2006/relationships/image" Target="../media/image36.png"/><Relationship Id="rId4" Type="http://schemas.openxmlformats.org/officeDocument/2006/relationships/image" Target="../media/image3.png"/><Relationship Id="rId9" Type="http://schemas.openxmlformats.org/officeDocument/2006/relationships/image" Target="../media/image5.png"/><Relationship Id="rId14" Type="http://schemas.openxmlformats.org/officeDocument/2006/relationships/hyperlink" Target="#Educa&#231;&#227;o!A1"/><Relationship Id="rId22" Type="http://schemas.openxmlformats.org/officeDocument/2006/relationships/hyperlink" Target="#'Eixos WELL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Dashboard!A1"/><Relationship Id="rId13" Type="http://schemas.openxmlformats.org/officeDocument/2006/relationships/image" Target="../media/image39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image" Target="../media/image6.png"/><Relationship Id="rId2" Type="http://schemas.openxmlformats.org/officeDocument/2006/relationships/image" Target="../media/image30.png"/><Relationship Id="rId1" Type="http://schemas.openxmlformats.org/officeDocument/2006/relationships/hyperlink" Target="#'Gest&#227;o com IDS e ODS'!A1"/><Relationship Id="rId6" Type="http://schemas.openxmlformats.org/officeDocument/2006/relationships/hyperlink" Target="#Comparativo!A1"/><Relationship Id="rId11" Type="http://schemas.openxmlformats.org/officeDocument/2006/relationships/hyperlink" Target="#'Eixos WELL'!A1"/><Relationship Id="rId5" Type="http://schemas.microsoft.com/office/2007/relationships/hdphoto" Target="../media/hdphoto1.wdp"/><Relationship Id="rId15" Type="http://schemas.openxmlformats.org/officeDocument/2006/relationships/image" Target="../media/image15.png"/><Relationship Id="rId10" Type="http://schemas.microsoft.com/office/2007/relationships/hdphoto" Target="../media/hdphoto2.wdp"/><Relationship Id="rId4" Type="http://schemas.openxmlformats.org/officeDocument/2006/relationships/image" Target="../media/image3.png"/><Relationship Id="rId9" Type="http://schemas.openxmlformats.org/officeDocument/2006/relationships/image" Target="../media/image31.png"/><Relationship Id="rId14" Type="http://schemas.openxmlformats.org/officeDocument/2006/relationships/image" Target="../media/image12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Dashboard!A1"/><Relationship Id="rId13" Type="http://schemas.openxmlformats.org/officeDocument/2006/relationships/image" Target="../media/image39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image" Target="../media/image6.png"/><Relationship Id="rId2" Type="http://schemas.openxmlformats.org/officeDocument/2006/relationships/image" Target="../media/image30.png"/><Relationship Id="rId16" Type="http://schemas.openxmlformats.org/officeDocument/2006/relationships/image" Target="../media/image18.jpeg"/><Relationship Id="rId1" Type="http://schemas.openxmlformats.org/officeDocument/2006/relationships/hyperlink" Target="#'Gest&#227;o com IDS e ODS'!A1"/><Relationship Id="rId6" Type="http://schemas.openxmlformats.org/officeDocument/2006/relationships/hyperlink" Target="#Comparativo!A1"/><Relationship Id="rId11" Type="http://schemas.openxmlformats.org/officeDocument/2006/relationships/hyperlink" Target="#'Eixos WELL'!A1"/><Relationship Id="rId5" Type="http://schemas.microsoft.com/office/2007/relationships/hdphoto" Target="../media/hdphoto1.wdp"/><Relationship Id="rId15" Type="http://schemas.openxmlformats.org/officeDocument/2006/relationships/image" Target="../media/image16.png"/><Relationship Id="rId10" Type="http://schemas.microsoft.com/office/2007/relationships/hdphoto" Target="../media/hdphoto2.wdp"/><Relationship Id="rId4" Type="http://schemas.openxmlformats.org/officeDocument/2006/relationships/image" Target="../media/image3.png"/><Relationship Id="rId9" Type="http://schemas.openxmlformats.org/officeDocument/2006/relationships/image" Target="../media/image31.png"/><Relationship Id="rId14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Dashboard!A1"/><Relationship Id="rId13" Type="http://schemas.openxmlformats.org/officeDocument/2006/relationships/image" Target="../media/image39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image" Target="../media/image6.png"/><Relationship Id="rId2" Type="http://schemas.openxmlformats.org/officeDocument/2006/relationships/image" Target="../media/image30.png"/><Relationship Id="rId1" Type="http://schemas.openxmlformats.org/officeDocument/2006/relationships/hyperlink" Target="#'Gest&#227;o com IDS e ODS'!A1"/><Relationship Id="rId6" Type="http://schemas.openxmlformats.org/officeDocument/2006/relationships/hyperlink" Target="#Comparativo!A1"/><Relationship Id="rId11" Type="http://schemas.openxmlformats.org/officeDocument/2006/relationships/hyperlink" Target="#'Eixos WELL'!A1"/><Relationship Id="rId5" Type="http://schemas.microsoft.com/office/2007/relationships/hdphoto" Target="../media/hdphoto1.wdp"/><Relationship Id="rId15" Type="http://schemas.openxmlformats.org/officeDocument/2006/relationships/image" Target="../media/image10.png"/><Relationship Id="rId10" Type="http://schemas.microsoft.com/office/2007/relationships/hdphoto" Target="../media/hdphoto2.wdp"/><Relationship Id="rId4" Type="http://schemas.openxmlformats.org/officeDocument/2006/relationships/image" Target="../media/image3.png"/><Relationship Id="rId9" Type="http://schemas.openxmlformats.org/officeDocument/2006/relationships/image" Target="../media/image31.png"/><Relationship Id="rId14" Type="http://schemas.openxmlformats.org/officeDocument/2006/relationships/image" Target="../media/image15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#Dashboard!A1"/><Relationship Id="rId13" Type="http://schemas.openxmlformats.org/officeDocument/2006/relationships/image" Target="../media/image39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image" Target="../media/image6.png"/><Relationship Id="rId2" Type="http://schemas.openxmlformats.org/officeDocument/2006/relationships/image" Target="../media/image30.png"/><Relationship Id="rId16" Type="http://schemas.openxmlformats.org/officeDocument/2006/relationships/image" Target="../media/image17.png"/><Relationship Id="rId1" Type="http://schemas.openxmlformats.org/officeDocument/2006/relationships/hyperlink" Target="#'Gest&#227;o com IDS e ODS'!A1"/><Relationship Id="rId6" Type="http://schemas.openxmlformats.org/officeDocument/2006/relationships/hyperlink" Target="#Comparativo!A1"/><Relationship Id="rId11" Type="http://schemas.openxmlformats.org/officeDocument/2006/relationships/hyperlink" Target="#'Eixos WELL'!A1"/><Relationship Id="rId5" Type="http://schemas.microsoft.com/office/2007/relationships/hdphoto" Target="../media/hdphoto1.wdp"/><Relationship Id="rId15" Type="http://schemas.openxmlformats.org/officeDocument/2006/relationships/image" Target="../media/image9.jpeg"/><Relationship Id="rId10" Type="http://schemas.microsoft.com/office/2007/relationships/hdphoto" Target="../media/hdphoto2.wdp"/><Relationship Id="rId4" Type="http://schemas.openxmlformats.org/officeDocument/2006/relationships/image" Target="../media/image3.png"/><Relationship Id="rId9" Type="http://schemas.openxmlformats.org/officeDocument/2006/relationships/image" Target="../media/image31.png"/><Relationship Id="rId14" Type="http://schemas.openxmlformats.org/officeDocument/2006/relationships/image" Target="../media/image15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#Dashboard!A1"/><Relationship Id="rId13" Type="http://schemas.openxmlformats.org/officeDocument/2006/relationships/image" Target="../media/image39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image" Target="../media/image6.png"/><Relationship Id="rId2" Type="http://schemas.openxmlformats.org/officeDocument/2006/relationships/image" Target="../media/image30.png"/><Relationship Id="rId16" Type="http://schemas.openxmlformats.org/officeDocument/2006/relationships/image" Target="../media/image19.jpeg"/><Relationship Id="rId1" Type="http://schemas.openxmlformats.org/officeDocument/2006/relationships/hyperlink" Target="#'Gest&#227;o com IDS e ODS'!A1"/><Relationship Id="rId6" Type="http://schemas.openxmlformats.org/officeDocument/2006/relationships/hyperlink" Target="#Comparativo!A1"/><Relationship Id="rId11" Type="http://schemas.openxmlformats.org/officeDocument/2006/relationships/hyperlink" Target="#'Eixos WELL'!A1"/><Relationship Id="rId5" Type="http://schemas.microsoft.com/office/2007/relationships/hdphoto" Target="../media/hdphoto1.wdp"/><Relationship Id="rId15" Type="http://schemas.openxmlformats.org/officeDocument/2006/relationships/image" Target="../media/image18.jpeg"/><Relationship Id="rId10" Type="http://schemas.microsoft.com/office/2007/relationships/hdphoto" Target="../media/hdphoto2.wdp"/><Relationship Id="rId4" Type="http://schemas.openxmlformats.org/officeDocument/2006/relationships/image" Target="../media/image3.png"/><Relationship Id="rId9" Type="http://schemas.openxmlformats.org/officeDocument/2006/relationships/image" Target="../media/image31.png"/><Relationship Id="rId14" Type="http://schemas.openxmlformats.org/officeDocument/2006/relationships/image" Target="../media/image15.pn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#Dashboard!A1"/><Relationship Id="rId13" Type="http://schemas.openxmlformats.org/officeDocument/2006/relationships/image" Target="../media/image39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image" Target="../media/image6.png"/><Relationship Id="rId2" Type="http://schemas.openxmlformats.org/officeDocument/2006/relationships/image" Target="../media/image30.png"/><Relationship Id="rId16" Type="http://schemas.openxmlformats.org/officeDocument/2006/relationships/image" Target="../media/image23.jpeg"/><Relationship Id="rId1" Type="http://schemas.openxmlformats.org/officeDocument/2006/relationships/hyperlink" Target="#'Gest&#227;o com IDS e ODS'!A1"/><Relationship Id="rId6" Type="http://schemas.openxmlformats.org/officeDocument/2006/relationships/hyperlink" Target="#Comparativo!A1"/><Relationship Id="rId11" Type="http://schemas.openxmlformats.org/officeDocument/2006/relationships/hyperlink" Target="#'Eixos WELL'!A1"/><Relationship Id="rId5" Type="http://schemas.microsoft.com/office/2007/relationships/hdphoto" Target="../media/hdphoto1.wdp"/><Relationship Id="rId15" Type="http://schemas.openxmlformats.org/officeDocument/2006/relationships/image" Target="../media/image7.jpeg"/><Relationship Id="rId10" Type="http://schemas.microsoft.com/office/2007/relationships/hdphoto" Target="../media/hdphoto2.wdp"/><Relationship Id="rId4" Type="http://schemas.openxmlformats.org/officeDocument/2006/relationships/image" Target="../media/image3.png"/><Relationship Id="rId9" Type="http://schemas.openxmlformats.org/officeDocument/2006/relationships/image" Target="../media/image31.png"/><Relationship Id="rId14" Type="http://schemas.openxmlformats.org/officeDocument/2006/relationships/image" Target="../media/image15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13" Type="http://schemas.openxmlformats.org/officeDocument/2006/relationships/image" Target="../media/image20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12" Type="http://schemas.openxmlformats.org/officeDocument/2006/relationships/image" Target="../media/image43.jfif"/><Relationship Id="rId17" Type="http://schemas.openxmlformats.org/officeDocument/2006/relationships/image" Target="../media/image46.jfif"/><Relationship Id="rId2" Type="http://schemas.openxmlformats.org/officeDocument/2006/relationships/image" Target="../media/image41.jfif"/><Relationship Id="rId16" Type="http://schemas.openxmlformats.org/officeDocument/2006/relationships/image" Target="../media/image45.jfif"/><Relationship Id="rId1" Type="http://schemas.openxmlformats.org/officeDocument/2006/relationships/image" Target="../media/image8.png"/><Relationship Id="rId6" Type="http://schemas.openxmlformats.org/officeDocument/2006/relationships/image" Target="../media/image13.jfif"/><Relationship Id="rId11" Type="http://schemas.openxmlformats.org/officeDocument/2006/relationships/image" Target="../media/image42.jpeg"/><Relationship Id="rId5" Type="http://schemas.openxmlformats.org/officeDocument/2006/relationships/image" Target="../media/image12.png"/><Relationship Id="rId15" Type="http://schemas.openxmlformats.org/officeDocument/2006/relationships/image" Target="../media/image44.jfif"/><Relationship Id="rId10" Type="http://schemas.openxmlformats.org/officeDocument/2006/relationships/image" Target="../media/image17.png"/><Relationship Id="rId4" Type="http://schemas.openxmlformats.org/officeDocument/2006/relationships/image" Target="../media/image11.png"/><Relationship Id="rId9" Type="http://schemas.openxmlformats.org/officeDocument/2006/relationships/image" Target="../media/image16.png"/><Relationship Id="rId14" Type="http://schemas.openxmlformats.org/officeDocument/2006/relationships/image" Target="../media/image2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485775</xdr:colOff>
      <xdr:row>1</xdr:row>
      <xdr:rowOff>0</xdr:rowOff>
    </xdr:to>
    <xdr:grpSp>
      <xdr:nvGrpSpPr>
        <xdr:cNvPr id="12" name="Agrupar 11">
          <a:extLst>
            <a:ext uri="{FF2B5EF4-FFF2-40B4-BE49-F238E27FC236}">
              <a16:creationId xmlns:a16="http://schemas.microsoft.com/office/drawing/2014/main" id="{9C5B5701-8D19-49DA-B7E3-CF24558D3719}"/>
            </a:ext>
          </a:extLst>
        </xdr:cNvPr>
        <xdr:cNvGrpSpPr/>
      </xdr:nvGrpSpPr>
      <xdr:grpSpPr>
        <a:xfrm>
          <a:off x="0" y="0"/>
          <a:ext cx="1810204" cy="571500"/>
          <a:chOff x="3552825" y="2171700"/>
          <a:chExt cx="1895475" cy="561975"/>
        </a:xfrm>
      </xdr:grpSpPr>
      <xdr:sp macro="" textlink="">
        <xdr:nvSpPr>
          <xdr:cNvPr id="11" name="Retângulo 10">
            <a:extLst>
              <a:ext uri="{FF2B5EF4-FFF2-40B4-BE49-F238E27FC236}">
                <a16:creationId xmlns:a16="http://schemas.microsoft.com/office/drawing/2014/main" id="{947D1C2C-0A26-4D2D-957E-374A879088D3}"/>
              </a:ext>
            </a:extLst>
          </xdr:cNvPr>
          <xdr:cNvSpPr/>
        </xdr:nvSpPr>
        <xdr:spPr>
          <a:xfrm>
            <a:off x="3552825" y="2171700"/>
            <a:ext cx="1895475" cy="561975"/>
          </a:xfrm>
          <a:prstGeom prst="rect">
            <a:avLst/>
          </a:prstGeom>
          <a:gradFill>
            <a:gsLst>
              <a:gs pos="0">
                <a:schemeClr val="bg1"/>
              </a:gs>
              <a:gs pos="89000">
                <a:srgbClr val="FFCC29">
                  <a:alpha val="50000"/>
                </a:srgbClr>
              </a:gs>
              <a:gs pos="100000">
                <a:srgbClr val="FFCC29">
                  <a:alpha val="50000"/>
                </a:srgbClr>
              </a:gs>
            </a:gsLst>
            <a:lin ang="27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6" name="Imagem 5">
            <a:extLst>
              <a:ext uri="{FF2B5EF4-FFF2-40B4-BE49-F238E27FC236}">
                <a16:creationId xmlns:a16="http://schemas.microsoft.com/office/drawing/2014/main" id="{E19CF6FD-A821-442B-B540-53F0D596422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-1261" t="29165" r="1261" b="28126"/>
          <a:stretch/>
        </xdr:blipFill>
        <xdr:spPr>
          <a:xfrm>
            <a:off x="3686175" y="2187575"/>
            <a:ext cx="1492250" cy="527050"/>
          </a:xfrm>
          <a:prstGeom prst="rect">
            <a:avLst/>
          </a:prstGeom>
        </xdr:spPr>
      </xdr:pic>
    </xdr:grpSp>
    <xdr:clientData/>
  </xdr:twoCellAnchor>
  <xdr:twoCellAnchor editAs="oneCell">
    <xdr:from>
      <xdr:col>16</xdr:col>
      <xdr:colOff>1894115</xdr:colOff>
      <xdr:row>0</xdr:row>
      <xdr:rowOff>0</xdr:rowOff>
    </xdr:from>
    <xdr:to>
      <xdr:col>17</xdr:col>
      <xdr:colOff>1552415</xdr:colOff>
      <xdr:row>1</xdr:row>
      <xdr:rowOff>66676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16D3ADBD-6F54-4027-BA0C-C8491C15B07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08" t="30769" r="-2208" b="27473"/>
        <a:stretch/>
      </xdr:blipFill>
      <xdr:spPr>
        <a:xfrm>
          <a:off x="12344401" y="0"/>
          <a:ext cx="3332228" cy="63817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0</xdr:row>
      <xdr:rowOff>454</xdr:rowOff>
    </xdr:from>
    <xdr:to>
      <xdr:col>4</xdr:col>
      <xdr:colOff>28575</xdr:colOff>
      <xdr:row>0</xdr:row>
      <xdr:rowOff>568779</xdr:rowOff>
    </xdr:to>
    <xdr:grpSp>
      <xdr:nvGrpSpPr>
        <xdr:cNvPr id="46" name="Agrupar 4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EAA4F0E-64C0-4AE0-9096-189CDA7911B6}"/>
            </a:ext>
          </a:extLst>
        </xdr:cNvPr>
        <xdr:cNvGrpSpPr/>
      </xdr:nvGrpSpPr>
      <xdr:grpSpPr>
        <a:xfrm>
          <a:off x="1986643" y="454"/>
          <a:ext cx="690789" cy="568325"/>
          <a:chOff x="1990594" y="-9022"/>
          <a:chExt cx="615017" cy="581025"/>
        </a:xfrm>
        <a:solidFill>
          <a:schemeClr val="bg1"/>
        </a:solidFill>
      </xdr:grpSpPr>
      <xdr:sp macro="" textlink="">
        <xdr:nvSpPr>
          <xdr:cNvPr id="47" name="Retângulo 46">
            <a:extLst>
              <a:ext uri="{FF2B5EF4-FFF2-40B4-BE49-F238E27FC236}">
                <a16:creationId xmlns:a16="http://schemas.microsoft.com/office/drawing/2014/main" id="{88138C41-F74F-4EB4-BD2E-93A15F406177}"/>
              </a:ext>
            </a:extLst>
          </xdr:cNvPr>
          <xdr:cNvSpPr/>
        </xdr:nvSpPr>
        <xdr:spPr>
          <a:xfrm>
            <a:off x="1990594" y="-9022"/>
            <a:ext cx="615017" cy="5810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48" name="Imagem 47">
            <a:extLst>
              <a:ext uri="{FF2B5EF4-FFF2-40B4-BE49-F238E27FC236}">
                <a16:creationId xmlns:a16="http://schemas.microsoft.com/office/drawing/2014/main" id="{E92899AD-F12B-4A9C-B6B3-6CC68BFADC5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BEBA8EAE-BF5A-486C-A8C5-ECC9F3942E4B}">
                <a14:imgProps xmlns:a14="http://schemas.microsoft.com/office/drawing/2010/main">
                  <a14:imgLayer r:embed="rId5">
                    <a14:imgEffect>
                      <a14:backgroundRemoval t="10000" b="90000" l="10000" r="90000">
                        <a14:foregroundMark x1="52252" y1="78333" x2="52252" y2="78333"/>
                        <a14:foregroundMark x1="62162" y1="68889" x2="62162" y2="68889"/>
                        <a14:foregroundMark x1="65165" y1="57222" x2="65165" y2="57222"/>
                        <a14:foregroundMark x1="65165" y1="40556" x2="65165" y2="40556"/>
                        <a14:foregroundMark x1="62763" y1="27222" x2="62763" y2="27222"/>
                        <a14:foregroundMark x1="46847" y1="22222" x2="46847" y2="22222"/>
                        <a14:foregroundMark x1="40841" y1="26667" x2="40841" y2="26667"/>
                        <a14:foregroundMark x1="47147" y1="76111" x2="47147" y2="76111"/>
                        <a14:foregroundMark x1="46847" y1="73889" x2="45646" y2="7277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l="28569" t="6871" r="29129" b="14812"/>
          <a:stretch/>
        </xdr:blipFill>
        <xdr:spPr>
          <a:xfrm>
            <a:off x="2168525" y="66674"/>
            <a:ext cx="281358" cy="276223"/>
          </a:xfrm>
          <a:prstGeom prst="rect">
            <a:avLst/>
          </a:prstGeom>
          <a:grpFill/>
        </xdr:spPr>
      </xdr:pic>
      <xdr:sp macro="" textlink="">
        <xdr:nvSpPr>
          <xdr:cNvPr id="49" name="CaixaDeTexto 48">
            <a:extLst>
              <a:ext uri="{FF2B5EF4-FFF2-40B4-BE49-F238E27FC236}">
                <a16:creationId xmlns:a16="http://schemas.microsoft.com/office/drawing/2014/main" id="{AEC759A8-23D8-4514-A053-F0C985A33C32}"/>
              </a:ext>
            </a:extLst>
          </xdr:cNvPr>
          <xdr:cNvSpPr txBox="1"/>
        </xdr:nvSpPr>
        <xdr:spPr>
          <a:xfrm>
            <a:off x="2009774" y="342900"/>
            <a:ext cx="587376" cy="2095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700" b="1">
                <a:latin typeface="Calibri" panose="020F0502020204030204" pitchFamily="34" charset="0"/>
                <a:cs typeface="Calibri" panose="020F0502020204030204" pitchFamily="34" charset="0"/>
              </a:rPr>
              <a:t>IDS</a:t>
            </a:r>
            <a:r>
              <a:rPr lang="pt-BR" sz="700" b="1" baseline="0">
                <a:latin typeface="Calibri" panose="020F0502020204030204" pitchFamily="34" charset="0"/>
                <a:cs typeface="Calibri" panose="020F0502020204030204" pitchFamily="34" charset="0"/>
              </a:rPr>
              <a:t> e ODS</a:t>
            </a:r>
            <a:endParaRPr lang="pt-BR" sz="700" b="1"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</xdr:grpSp>
    <xdr:clientData/>
  </xdr:twoCellAnchor>
  <xdr:twoCellAnchor>
    <xdr:from>
      <xdr:col>5</xdr:col>
      <xdr:colOff>134939</xdr:colOff>
      <xdr:row>0</xdr:row>
      <xdr:rowOff>0</xdr:rowOff>
    </xdr:from>
    <xdr:to>
      <xdr:col>6</xdr:col>
      <xdr:colOff>158749</xdr:colOff>
      <xdr:row>1</xdr:row>
      <xdr:rowOff>0</xdr:rowOff>
    </xdr:to>
    <xdr:grpSp>
      <xdr:nvGrpSpPr>
        <xdr:cNvPr id="50" name="Agrupar 4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58DEAAC-713C-487A-8A5B-226070BE49BD}"/>
            </a:ext>
          </a:extLst>
        </xdr:cNvPr>
        <xdr:cNvGrpSpPr/>
      </xdr:nvGrpSpPr>
      <xdr:grpSpPr>
        <a:xfrm>
          <a:off x="3446010" y="0"/>
          <a:ext cx="686025" cy="571500"/>
          <a:chOff x="3551240" y="0"/>
          <a:chExt cx="713194" cy="571500"/>
        </a:xfrm>
      </xdr:grpSpPr>
      <xdr:grpSp>
        <xdr:nvGrpSpPr>
          <xdr:cNvPr id="51" name="Agrupar 50">
            <a:extLst>
              <a:ext uri="{FF2B5EF4-FFF2-40B4-BE49-F238E27FC236}">
                <a16:creationId xmlns:a16="http://schemas.microsoft.com/office/drawing/2014/main" id="{10CB5B48-883E-4414-91F5-F9815F0FE181}"/>
              </a:ext>
            </a:extLst>
          </xdr:cNvPr>
          <xdr:cNvGrpSpPr/>
        </xdr:nvGrpSpPr>
        <xdr:grpSpPr>
          <a:xfrm>
            <a:off x="3551240" y="0"/>
            <a:ext cx="713194" cy="571500"/>
            <a:chOff x="2015062" y="0"/>
            <a:chExt cx="623815" cy="581025"/>
          </a:xfrm>
          <a:solidFill>
            <a:srgbClr val="3399FF"/>
          </a:solidFill>
        </xdr:grpSpPr>
        <xdr:sp macro="" textlink="">
          <xdr:nvSpPr>
            <xdr:cNvPr id="53" name="Retângulo 52">
              <a:extLst>
                <a:ext uri="{FF2B5EF4-FFF2-40B4-BE49-F238E27FC236}">
                  <a16:creationId xmlns:a16="http://schemas.microsoft.com/office/drawing/2014/main" id="{C46B17CF-0F9F-4C47-AB0B-2E692EDC4649}"/>
                </a:ext>
              </a:extLst>
            </xdr:cNvPr>
            <xdr:cNvSpPr/>
          </xdr:nvSpPr>
          <xdr:spPr>
            <a:xfrm>
              <a:off x="2015062" y="0"/>
              <a:ext cx="615017" cy="581025"/>
            </a:xfrm>
            <a:prstGeom prst="rect">
              <a:avLst/>
            </a:prstGeom>
            <a:solidFill>
              <a:srgbClr val="FFCC29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8E1768D5-58DA-4A67-B967-EAA27BAD9D77}"/>
                </a:ext>
              </a:extLst>
            </xdr:cNvPr>
            <xdr:cNvSpPr txBox="1"/>
          </xdr:nvSpPr>
          <xdr:spPr>
            <a:xfrm>
              <a:off x="2024778" y="387351"/>
              <a:ext cx="614099" cy="116204"/>
            </a:xfrm>
            <a:prstGeom prst="rect">
              <a:avLst/>
            </a:prstGeom>
            <a:noFill/>
            <a:ln w="9525" cmpd="sng">
              <a:noFill/>
            </a:ln>
            <a:effectLst>
              <a:softEdge rad="12700"/>
            </a:effec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600" b="1">
                  <a:latin typeface="Calibri" panose="020F0502020204030204" pitchFamily="34" charset="0"/>
                  <a:cs typeface="Calibri" panose="020F0502020204030204" pitchFamily="34" charset="0"/>
                </a:rPr>
                <a:t>COMPARATIVO</a:t>
              </a:r>
              <a:endParaRPr lang="pt-BR" sz="700" b="1">
                <a:latin typeface="Calibri" panose="020F0502020204030204" pitchFamily="34" charset="0"/>
                <a:cs typeface="Calibri" panose="020F0502020204030204" pitchFamily="34" charset="0"/>
              </a:endParaRPr>
            </a:p>
          </xdr:txBody>
        </xdr:sp>
      </xdr:grpSp>
      <xdr:pic>
        <xdr:nvPicPr>
          <xdr:cNvPr id="52" name="Imagem 51">
            <a:extLst>
              <a:ext uri="{FF2B5EF4-FFF2-40B4-BE49-F238E27FC236}">
                <a16:creationId xmlns:a16="http://schemas.microsoft.com/office/drawing/2014/main" id="{84A7A074-2112-4185-A477-BC0BDA0758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52850" y="47625"/>
            <a:ext cx="314325" cy="314325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68271</xdr:colOff>
      <xdr:row>0</xdr:row>
      <xdr:rowOff>0</xdr:rowOff>
    </xdr:from>
    <xdr:to>
      <xdr:col>5</xdr:col>
      <xdr:colOff>95251</xdr:colOff>
      <xdr:row>1</xdr:row>
      <xdr:rowOff>0</xdr:rowOff>
    </xdr:to>
    <xdr:grpSp>
      <xdr:nvGrpSpPr>
        <xdr:cNvPr id="55" name="Agrupar 5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C933092-EFE1-4751-A994-72B18DC0704E}"/>
            </a:ext>
          </a:extLst>
        </xdr:cNvPr>
        <xdr:cNvGrpSpPr/>
      </xdr:nvGrpSpPr>
      <xdr:grpSpPr>
        <a:xfrm>
          <a:off x="2717128" y="0"/>
          <a:ext cx="689194" cy="571500"/>
          <a:chOff x="2808296" y="0"/>
          <a:chExt cx="703255" cy="571500"/>
        </a:xfrm>
        <a:solidFill>
          <a:srgbClr val="FFCC29"/>
        </a:solidFill>
      </xdr:grpSpPr>
      <xdr:grpSp>
        <xdr:nvGrpSpPr>
          <xdr:cNvPr id="56" name="Agrupar 55">
            <a:extLst>
              <a:ext uri="{FF2B5EF4-FFF2-40B4-BE49-F238E27FC236}">
                <a16:creationId xmlns:a16="http://schemas.microsoft.com/office/drawing/2014/main" id="{E3AE192B-2AA7-48AC-89EB-FB07C3072210}"/>
              </a:ext>
            </a:extLst>
          </xdr:cNvPr>
          <xdr:cNvGrpSpPr/>
        </xdr:nvGrpSpPr>
        <xdr:grpSpPr>
          <a:xfrm>
            <a:off x="2808296" y="0"/>
            <a:ext cx="703255" cy="571500"/>
            <a:chOff x="2015062" y="0"/>
            <a:chExt cx="615017" cy="581025"/>
          </a:xfrm>
          <a:grpFill/>
        </xdr:grpSpPr>
        <xdr:sp macro="" textlink="">
          <xdr:nvSpPr>
            <xdr:cNvPr id="58" name="Retângulo 57">
              <a:extLst>
                <a:ext uri="{FF2B5EF4-FFF2-40B4-BE49-F238E27FC236}">
                  <a16:creationId xmlns:a16="http://schemas.microsoft.com/office/drawing/2014/main" id="{8D2CE462-3111-4384-AB89-8ECD93218447}"/>
                </a:ext>
              </a:extLst>
            </xdr:cNvPr>
            <xdr:cNvSpPr/>
          </xdr:nvSpPr>
          <xdr:spPr>
            <a:xfrm>
              <a:off x="2015062" y="0"/>
              <a:ext cx="615017" cy="581025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E89B369D-2D7C-4622-A410-9E17908F7E44}"/>
                </a:ext>
              </a:extLst>
            </xdr:cNvPr>
            <xdr:cNvSpPr txBox="1"/>
          </xdr:nvSpPr>
          <xdr:spPr>
            <a:xfrm>
              <a:off x="2021497" y="363951"/>
              <a:ext cx="587376" cy="209550"/>
            </a:xfrm>
            <a:prstGeom prst="rect">
              <a:avLst/>
            </a:prstGeom>
            <a:grpFill/>
            <a:ln w="9525" cmpd="sng">
              <a:noFill/>
            </a:ln>
            <a:effectLst>
              <a:softEdge rad="12700"/>
            </a:effec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600" b="1">
                  <a:latin typeface="Calibri" panose="020F0502020204030204" pitchFamily="34" charset="0"/>
                  <a:cs typeface="Calibri" panose="020F0502020204030204" pitchFamily="34" charset="0"/>
                </a:rPr>
                <a:t>DASHBOARD</a:t>
              </a:r>
              <a:endParaRPr lang="pt-BR" sz="700" b="1">
                <a:latin typeface="Calibri" panose="020F0502020204030204" pitchFamily="34" charset="0"/>
                <a:cs typeface="Calibri" panose="020F0502020204030204" pitchFamily="34" charset="0"/>
              </a:endParaRPr>
            </a:p>
          </xdr:txBody>
        </xdr:sp>
      </xdr:grpSp>
      <xdr:pic>
        <xdr:nvPicPr>
          <xdr:cNvPr id="57" name="Imagem 56">
            <a:extLst>
              <a:ext uri="{FF2B5EF4-FFF2-40B4-BE49-F238E27FC236}">
                <a16:creationId xmlns:a16="http://schemas.microsoft.com/office/drawing/2014/main" id="{07C7EB0C-002B-4976-AF3C-CC832559004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88450" y="54750"/>
            <a:ext cx="360000" cy="360000"/>
          </a:xfrm>
          <a:prstGeom prst="rect">
            <a:avLst/>
          </a:prstGeom>
          <a:grpFill/>
        </xdr:spPr>
      </xdr:pic>
    </xdr:grp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527050</xdr:colOff>
      <xdr:row>0</xdr:row>
      <xdr:rowOff>570533</xdr:rowOff>
    </xdr:to>
    <xdr:grpSp>
      <xdr:nvGrpSpPr>
        <xdr:cNvPr id="65" name="Agrupar 6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DEF7236-B5F1-45D2-96F3-692B8CDF45DB}"/>
            </a:ext>
          </a:extLst>
        </xdr:cNvPr>
        <xdr:cNvGrpSpPr/>
      </xdr:nvGrpSpPr>
      <xdr:grpSpPr>
        <a:xfrm>
          <a:off x="5297714" y="0"/>
          <a:ext cx="1189265" cy="570533"/>
          <a:chOff x="5569357" y="6421"/>
          <a:chExt cx="1200150" cy="576943"/>
        </a:xfrm>
        <a:gradFill>
          <a:gsLst>
            <a:gs pos="0">
              <a:srgbClr val="FFCC29"/>
            </a:gs>
            <a:gs pos="74000">
              <a:schemeClr val="bg1"/>
            </a:gs>
            <a:gs pos="39000">
              <a:srgbClr val="FFCC29"/>
            </a:gs>
            <a:gs pos="21000">
              <a:srgbClr val="FFCC29"/>
            </a:gs>
          </a:gsLst>
          <a:lin ang="5400000" scaled="1"/>
        </a:gradFill>
      </xdr:grpSpPr>
      <xdr:sp macro="" textlink="">
        <xdr:nvSpPr>
          <xdr:cNvPr id="66" name="Retângulo 65">
            <a:extLst>
              <a:ext uri="{FF2B5EF4-FFF2-40B4-BE49-F238E27FC236}">
                <a16:creationId xmlns:a16="http://schemas.microsoft.com/office/drawing/2014/main" id="{1427C068-6E46-4825-9340-DDF0867E391A}"/>
              </a:ext>
            </a:extLst>
          </xdr:cNvPr>
          <xdr:cNvSpPr/>
        </xdr:nvSpPr>
        <xdr:spPr>
          <a:xfrm>
            <a:off x="5569357" y="6421"/>
            <a:ext cx="1200150" cy="571500"/>
          </a:xfrm>
          <a:prstGeom prst="rect">
            <a:avLst/>
          </a:prstGeom>
          <a:grp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67" name="CaixaDeTexto 66">
            <a:extLst>
              <a:ext uri="{FF2B5EF4-FFF2-40B4-BE49-F238E27FC236}">
                <a16:creationId xmlns:a16="http://schemas.microsoft.com/office/drawing/2014/main" id="{F2922628-4737-45E7-BDE1-823C7357CDDD}"/>
              </a:ext>
            </a:extLst>
          </xdr:cNvPr>
          <xdr:cNvSpPr txBox="1"/>
        </xdr:nvSpPr>
        <xdr:spPr>
          <a:xfrm>
            <a:off x="5819654" y="391702"/>
            <a:ext cx="731643" cy="191662"/>
          </a:xfrm>
          <a:prstGeom prst="rect">
            <a:avLst/>
          </a:prstGeom>
          <a:noFill/>
          <a:ln w="3175" cmpd="sng">
            <a:noFill/>
          </a:ln>
          <a:effectLst>
            <a:softEdge rad="12700"/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Calibri" panose="020F0502020204030204" pitchFamily="34" charset="0"/>
                <a:cs typeface="Calibri" panose="020F0502020204030204" pitchFamily="34" charset="0"/>
              </a:rPr>
              <a:t>EIXOS</a:t>
            </a:r>
            <a:r>
              <a:rPr lang="pt-BR" sz="800" b="1" baseline="0">
                <a:latin typeface="Calibri" panose="020F0502020204030204" pitchFamily="34" charset="0"/>
                <a:cs typeface="Calibri" panose="020F0502020204030204" pitchFamily="34" charset="0"/>
              </a:rPr>
              <a:t> WELL</a:t>
            </a:r>
            <a:endParaRPr lang="pt-BR" sz="800" b="1"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  <xdr:pic>
        <xdr:nvPicPr>
          <xdr:cNvPr id="68" name="Imagem 67">
            <a:extLst>
              <a:ext uri="{FF2B5EF4-FFF2-40B4-BE49-F238E27FC236}">
                <a16:creationId xmlns:a16="http://schemas.microsoft.com/office/drawing/2014/main" id="{D102F48D-329D-498F-9816-05B04573F25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01700" y="69453"/>
            <a:ext cx="316719" cy="316719"/>
          </a:xfrm>
          <a:prstGeom prst="rect">
            <a:avLst/>
          </a:prstGeom>
          <a:grpFill/>
          <a:ln w="3175">
            <a:noFill/>
          </a:ln>
        </xdr:spPr>
      </xdr:pic>
    </xdr:grpSp>
    <xdr:clientData fLocksWithSheet="0"/>
  </xdr:twoCellAnchor>
  <xdr:twoCellAnchor>
    <xdr:from>
      <xdr:col>0</xdr:col>
      <xdr:colOff>329747</xdr:colOff>
      <xdr:row>4</xdr:row>
      <xdr:rowOff>61366</xdr:rowOff>
    </xdr:from>
    <xdr:to>
      <xdr:col>17</xdr:col>
      <xdr:colOff>3294696</xdr:colOff>
      <xdr:row>8</xdr:row>
      <xdr:rowOff>171633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B97B1B11-DD14-4F9A-A7B5-BC154183E0D7}"/>
            </a:ext>
          </a:extLst>
        </xdr:cNvPr>
        <xdr:cNvGrpSpPr/>
      </xdr:nvGrpSpPr>
      <xdr:grpSpPr>
        <a:xfrm>
          <a:off x="329747" y="1295080"/>
          <a:ext cx="17225235" cy="835982"/>
          <a:chOff x="468993" y="1054688"/>
          <a:chExt cx="17085988" cy="814663"/>
        </a:xfrm>
      </xdr:grpSpPr>
      <xdr:pic>
        <xdr:nvPicPr>
          <xdr:cNvPr id="45" name="Imagem 44">
            <a:extLst>
              <a:ext uri="{FF2B5EF4-FFF2-40B4-BE49-F238E27FC236}">
                <a16:creationId xmlns:a16="http://schemas.microsoft.com/office/drawing/2014/main" id="{A46CB6C6-519F-4BAB-8D2B-5EB20B93F8B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664567" y="1054688"/>
            <a:ext cx="890414" cy="729525"/>
          </a:xfrm>
          <a:prstGeom prst="rect">
            <a:avLst/>
          </a:prstGeom>
        </xdr:spPr>
      </xdr:pic>
      <xdr:grpSp>
        <xdr:nvGrpSpPr>
          <xdr:cNvPr id="60" name="Agrupar 59">
            <a:extLst>
              <a:ext uri="{FF2B5EF4-FFF2-40B4-BE49-F238E27FC236}">
                <a16:creationId xmlns:a16="http://schemas.microsoft.com/office/drawing/2014/main" id="{FED930A5-5CE9-47DB-840D-EBEE752EF755}"/>
              </a:ext>
            </a:extLst>
          </xdr:cNvPr>
          <xdr:cNvGrpSpPr/>
        </xdr:nvGrpSpPr>
        <xdr:grpSpPr>
          <a:xfrm>
            <a:off x="465818" y="1074964"/>
            <a:ext cx="16039976" cy="794387"/>
            <a:chOff x="559583" y="1156287"/>
            <a:chExt cx="16046331" cy="788037"/>
          </a:xfrm>
        </xdr:grpSpPr>
        <xdr:pic>
          <xdr:nvPicPr>
            <xdr:cNvPr id="61" name="ods.2">
              <a:extLst>
                <a:ext uri="{FF2B5EF4-FFF2-40B4-BE49-F238E27FC236}">
                  <a16:creationId xmlns:a16="http://schemas.microsoft.com/office/drawing/2014/main" id="{4AF83A6C-7417-4F62-BEF2-04DB255E6A6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567329" y="1227499"/>
              <a:ext cx="903121" cy="716825"/>
            </a:xfrm>
            <a:prstGeom prst="rect">
              <a:avLst/>
            </a:prstGeom>
          </xdr:spPr>
        </xdr:pic>
        <xdr:pic>
          <xdr:nvPicPr>
            <xdr:cNvPr id="62" name="Imagem 61">
              <a:extLst>
                <a:ext uri="{FF2B5EF4-FFF2-40B4-BE49-F238E27FC236}">
                  <a16:creationId xmlns:a16="http://schemas.microsoft.com/office/drawing/2014/main" id="{7B1C6BEA-F8FC-4664-A50B-26A3A42DD19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595034" y="1207542"/>
              <a:ext cx="827452" cy="726350"/>
            </a:xfrm>
            <a:prstGeom prst="rect">
              <a:avLst/>
            </a:prstGeom>
          </xdr:spPr>
        </xdr:pic>
        <xdr:pic>
          <xdr:nvPicPr>
            <xdr:cNvPr id="63" name="ods.4">
              <a:extLst>
                <a:ext uri="{FF2B5EF4-FFF2-40B4-BE49-F238E27FC236}">
                  <a16:creationId xmlns:a16="http://schemas.microsoft.com/office/drawing/2014/main" id="{A0E007A9-AF93-4416-B56B-E7AC170ADAA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547070" y="1217973"/>
              <a:ext cx="854829" cy="726350"/>
            </a:xfrm>
            <a:prstGeom prst="rect">
              <a:avLst/>
            </a:prstGeom>
          </xdr:spPr>
        </xdr:pic>
        <xdr:pic>
          <xdr:nvPicPr>
            <xdr:cNvPr id="64" name="Imagem 63">
              <a:extLst>
                <a:ext uri="{FF2B5EF4-FFF2-40B4-BE49-F238E27FC236}">
                  <a16:creationId xmlns:a16="http://schemas.microsoft.com/office/drawing/2014/main" id="{9563D1C2-6470-4437-BE0F-2B011BED94B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526483" y="1210717"/>
              <a:ext cx="850264" cy="723175"/>
            </a:xfrm>
            <a:prstGeom prst="rect">
              <a:avLst/>
            </a:prstGeom>
          </xdr:spPr>
        </xdr:pic>
        <xdr:pic>
          <xdr:nvPicPr>
            <xdr:cNvPr id="69" name="ods.1">
              <a:extLst>
                <a:ext uri="{FF2B5EF4-FFF2-40B4-BE49-F238E27FC236}">
                  <a16:creationId xmlns:a16="http://schemas.microsoft.com/office/drawing/2014/main" id="{AA832CFB-36FD-4399-926C-5A8B6048E37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59583" y="1221147"/>
              <a:ext cx="883162" cy="723175"/>
            </a:xfrm>
            <a:prstGeom prst="rect">
              <a:avLst/>
            </a:prstGeom>
          </xdr:spPr>
        </xdr:pic>
        <xdr:pic>
          <xdr:nvPicPr>
            <xdr:cNvPr id="70" name="Imagem 69">
              <a:extLst>
                <a:ext uri="{FF2B5EF4-FFF2-40B4-BE49-F238E27FC236}">
                  <a16:creationId xmlns:a16="http://schemas.microsoft.com/office/drawing/2014/main" id="{60198E44-57BF-4AE7-86B1-812E38B48B1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8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501331" y="1190759"/>
              <a:ext cx="860593" cy="726350"/>
            </a:xfrm>
            <a:prstGeom prst="rect">
              <a:avLst/>
            </a:prstGeom>
          </xdr:spPr>
        </xdr:pic>
        <xdr:pic>
          <xdr:nvPicPr>
            <xdr:cNvPr id="71" name="Imagem 70">
              <a:extLst>
                <a:ext uri="{FF2B5EF4-FFF2-40B4-BE49-F238E27FC236}">
                  <a16:creationId xmlns:a16="http://schemas.microsoft.com/office/drawing/2014/main" id="{C3666080-5F65-4769-85C6-A11A5A86FBA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486508" y="1190760"/>
              <a:ext cx="840495" cy="726350"/>
            </a:xfrm>
            <a:prstGeom prst="rect">
              <a:avLst/>
            </a:prstGeom>
          </xdr:spPr>
        </xdr:pic>
        <xdr:pic>
          <xdr:nvPicPr>
            <xdr:cNvPr id="72" name="Imagem 71">
              <a:extLst>
                <a:ext uri="{FF2B5EF4-FFF2-40B4-BE49-F238E27FC236}">
                  <a16:creationId xmlns:a16="http://schemas.microsoft.com/office/drawing/2014/main" id="{030267A3-45FA-4BA7-8ED5-2919D816AD0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0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451587" y="1187584"/>
              <a:ext cx="848574" cy="729525"/>
            </a:xfrm>
            <a:prstGeom prst="rect">
              <a:avLst/>
            </a:prstGeom>
          </xdr:spPr>
        </xdr:pic>
        <xdr:pic>
          <xdr:nvPicPr>
            <xdr:cNvPr id="73" name="Imagem 72">
              <a:extLst>
                <a:ext uri="{FF2B5EF4-FFF2-40B4-BE49-F238E27FC236}">
                  <a16:creationId xmlns:a16="http://schemas.microsoft.com/office/drawing/2014/main" id="{6934AD26-E005-475E-95C4-0B4F9CE7CCA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8424745" y="1193885"/>
              <a:ext cx="965397" cy="723175"/>
            </a:xfrm>
            <a:prstGeom prst="rect">
              <a:avLst/>
            </a:prstGeom>
          </xdr:spPr>
        </xdr:pic>
        <xdr:pic>
          <xdr:nvPicPr>
            <xdr:cNvPr id="74" name="Imagem 73">
              <a:extLst>
                <a:ext uri="{FF2B5EF4-FFF2-40B4-BE49-F238E27FC236}">
                  <a16:creationId xmlns:a16="http://schemas.microsoft.com/office/drawing/2014/main" id="{E243B8D0-9C92-4893-967F-A60850A54C3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9514726" y="1173977"/>
              <a:ext cx="922068" cy="726350"/>
            </a:xfrm>
            <a:prstGeom prst="rect">
              <a:avLst/>
            </a:prstGeom>
          </xdr:spPr>
        </xdr:pic>
        <xdr:pic>
          <xdr:nvPicPr>
            <xdr:cNvPr id="75" name="Imagem 74">
              <a:extLst>
                <a:ext uri="{FF2B5EF4-FFF2-40B4-BE49-F238E27FC236}">
                  <a16:creationId xmlns:a16="http://schemas.microsoft.com/office/drawing/2014/main" id="{0B4D23CD-21CB-4053-9FA4-08974D02260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561378" y="1177151"/>
              <a:ext cx="922839" cy="720000"/>
            </a:xfrm>
            <a:prstGeom prst="rect">
              <a:avLst/>
            </a:prstGeom>
          </xdr:spPr>
        </xdr:pic>
        <xdr:pic>
          <xdr:nvPicPr>
            <xdr:cNvPr id="76" name="Imagem 75">
              <a:extLst>
                <a:ext uri="{FF2B5EF4-FFF2-40B4-BE49-F238E27FC236}">
                  <a16:creationId xmlns:a16="http://schemas.microsoft.com/office/drawing/2014/main" id="{C443BF44-EB4A-4578-8129-94789A73B74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1622411" y="1180080"/>
              <a:ext cx="920027" cy="720000"/>
            </a:xfrm>
            <a:prstGeom prst="rect">
              <a:avLst/>
            </a:prstGeom>
          </xdr:spPr>
        </xdr:pic>
        <xdr:pic>
          <xdr:nvPicPr>
            <xdr:cNvPr id="77" name="Imagem 76">
              <a:extLst>
                <a:ext uri="{FF2B5EF4-FFF2-40B4-BE49-F238E27FC236}">
                  <a16:creationId xmlns:a16="http://schemas.microsoft.com/office/drawing/2014/main" id="{7E155B75-1072-409B-AFD8-44CAFB0A89E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667019" y="1156287"/>
              <a:ext cx="858815" cy="723175"/>
            </a:xfrm>
            <a:prstGeom prst="rect">
              <a:avLst/>
            </a:prstGeom>
          </xdr:spPr>
        </xdr:pic>
        <xdr:pic>
          <xdr:nvPicPr>
            <xdr:cNvPr id="78" name="Imagem 77">
              <a:extLst>
                <a:ext uri="{FF2B5EF4-FFF2-40B4-BE49-F238E27FC236}">
                  <a16:creationId xmlns:a16="http://schemas.microsoft.com/office/drawing/2014/main" id="{EB22BA0D-5718-4B8E-A4F0-8B0D8476CBD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3650421" y="1159167"/>
              <a:ext cx="960371" cy="713650"/>
            </a:xfrm>
            <a:prstGeom prst="rect">
              <a:avLst/>
            </a:prstGeom>
          </xdr:spPr>
        </xdr:pic>
        <xdr:pic>
          <xdr:nvPicPr>
            <xdr:cNvPr id="79" name="Imagem 78">
              <a:extLst>
                <a:ext uri="{FF2B5EF4-FFF2-40B4-BE49-F238E27FC236}">
                  <a16:creationId xmlns:a16="http://schemas.microsoft.com/office/drawing/2014/main" id="{1894A37C-F4F9-4CFE-80B5-5125B3A013D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4721766" y="1156289"/>
              <a:ext cx="857955" cy="716825"/>
            </a:xfrm>
            <a:prstGeom prst="rect">
              <a:avLst/>
            </a:prstGeom>
          </xdr:spPr>
        </xdr:pic>
        <xdr:pic>
          <xdr:nvPicPr>
            <xdr:cNvPr id="80" name="Imagem 79">
              <a:extLst>
                <a:ext uri="{FF2B5EF4-FFF2-40B4-BE49-F238E27FC236}">
                  <a16:creationId xmlns:a16="http://schemas.microsoft.com/office/drawing/2014/main" id="{9563D2E9-0C40-42F7-8736-EA8AFAA4985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8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5731531" y="1159464"/>
              <a:ext cx="874383" cy="716825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4</xdr:col>
      <xdr:colOff>424996</xdr:colOff>
      <xdr:row>12</xdr:row>
      <xdr:rowOff>23131</xdr:rowOff>
    </xdr:from>
    <xdr:to>
      <xdr:col>17</xdr:col>
      <xdr:colOff>2157186</xdr:colOff>
      <xdr:row>23</xdr:row>
      <xdr:rowOff>108857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FE72A111-A6E8-47E4-96B1-63EAC15173B1}"/>
            </a:ext>
          </a:extLst>
        </xdr:cNvPr>
        <xdr:cNvSpPr txBox="1"/>
      </xdr:nvSpPr>
      <xdr:spPr>
        <a:xfrm>
          <a:off x="3037567" y="2662917"/>
          <a:ext cx="13243833" cy="20315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4800" b="1">
              <a:latin typeface="Century Gothic" panose="020B0502020202020204" pitchFamily="34" charset="0"/>
            </a:rPr>
            <a:t>"Toda gestão precisa de um norte. Viemos apresentar a bússola."</a:t>
          </a:r>
        </a:p>
      </xdr:txBody>
    </xdr:sp>
    <xdr:clientData/>
  </xdr:twoCellAnchor>
  <xdr:twoCellAnchor>
    <xdr:from>
      <xdr:col>4</xdr:col>
      <xdr:colOff>496208</xdr:colOff>
      <xdr:row>1</xdr:row>
      <xdr:rowOff>176893</xdr:rowOff>
    </xdr:from>
    <xdr:to>
      <xdr:col>6</xdr:col>
      <xdr:colOff>271113</xdr:colOff>
      <xdr:row>4</xdr:row>
      <xdr:rowOff>81003</xdr:rowOff>
    </xdr:to>
    <xdr:grpSp>
      <xdr:nvGrpSpPr>
        <xdr:cNvPr id="100" name="Agrupar 9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AAF0D51-DA94-4524-BF0D-3AF2E843E495}"/>
            </a:ext>
          </a:extLst>
        </xdr:cNvPr>
        <xdr:cNvGrpSpPr/>
      </xdr:nvGrpSpPr>
      <xdr:grpSpPr>
        <a:xfrm>
          <a:off x="3145065" y="748393"/>
          <a:ext cx="1099334" cy="566324"/>
          <a:chOff x="2497130" y="628714"/>
          <a:chExt cx="814688" cy="610998"/>
        </a:xfrm>
      </xdr:grpSpPr>
      <xdr:sp macro="" textlink="">
        <xdr:nvSpPr>
          <xdr:cNvPr id="101" name="Retângulo: Cantos Arredondados 100">
            <a:extLst>
              <a:ext uri="{FF2B5EF4-FFF2-40B4-BE49-F238E27FC236}">
                <a16:creationId xmlns:a16="http://schemas.microsoft.com/office/drawing/2014/main" id="{DF220F6A-18D4-49F9-A939-D2F8BB355368}"/>
              </a:ext>
            </a:extLst>
          </xdr:cNvPr>
          <xdr:cNvSpPr/>
        </xdr:nvSpPr>
        <xdr:spPr>
          <a:xfrm>
            <a:off x="2523671" y="762000"/>
            <a:ext cx="725261" cy="354866"/>
          </a:xfrm>
          <a:prstGeom prst="roundRect">
            <a:avLst/>
          </a:prstGeom>
          <a:gradFill flip="none" rotWithShape="1">
            <a:gsLst>
              <a:gs pos="40000">
                <a:schemeClr val="bg2">
                  <a:lumMod val="75000"/>
                </a:schemeClr>
              </a:gs>
              <a:gs pos="72000">
                <a:schemeClr val="bg1"/>
              </a:gs>
              <a:gs pos="8000">
                <a:schemeClr val="bg2">
                  <a:lumMod val="75000"/>
                </a:schemeClr>
              </a:gs>
            </a:gsLst>
            <a:lin ang="2700000" scaled="1"/>
            <a:tileRect/>
          </a:gradFill>
          <a:ln>
            <a:solidFill>
              <a:schemeClr val="tx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02" name="CaixaDeTexto 101">
            <a:extLst>
              <a:ext uri="{FF2B5EF4-FFF2-40B4-BE49-F238E27FC236}">
                <a16:creationId xmlns:a16="http://schemas.microsoft.com/office/drawing/2014/main" id="{011DC349-24BE-41C6-AA90-1C9E3E6F6BA7}"/>
              </a:ext>
            </a:extLst>
          </xdr:cNvPr>
          <xdr:cNvSpPr txBox="1"/>
        </xdr:nvSpPr>
        <xdr:spPr>
          <a:xfrm>
            <a:off x="2497130" y="628714"/>
            <a:ext cx="814688" cy="6109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050" b="1">
                <a:latin typeface="Calibri" panose="020F0502020204030204" pitchFamily="34" charset="0"/>
                <a:cs typeface="Calibri" panose="020F0502020204030204" pitchFamily="34" charset="0"/>
              </a:rPr>
              <a:t>VANTAGENS</a:t>
            </a:r>
            <a:r>
              <a:rPr lang="pt-BR" sz="1050" b="1" baseline="0">
                <a:latin typeface="Calibri" panose="020F0502020204030204" pitchFamily="34" charset="0"/>
                <a:cs typeface="Calibri" panose="020F0502020204030204" pitchFamily="34" charset="0"/>
              </a:rPr>
              <a:t> ESTRATÉGICAS</a:t>
            </a:r>
            <a:endParaRPr lang="pt-BR" sz="1050" b="1"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</xdr:grpSp>
    <xdr:clientData fLocksWithSheet="0"/>
  </xdr:twoCellAnchor>
  <xdr:twoCellAnchor>
    <xdr:from>
      <xdr:col>2</xdr:col>
      <xdr:colOff>598715</xdr:colOff>
      <xdr:row>1</xdr:row>
      <xdr:rowOff>183243</xdr:rowOff>
    </xdr:from>
    <xdr:to>
      <xdr:col>4</xdr:col>
      <xdr:colOff>373621</xdr:colOff>
      <xdr:row>4</xdr:row>
      <xdr:rowOff>84178</xdr:rowOff>
    </xdr:to>
    <xdr:grpSp>
      <xdr:nvGrpSpPr>
        <xdr:cNvPr id="103" name="Agrupar 102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BD998CC1-C607-4A51-82B4-C2BD851433D4}"/>
            </a:ext>
          </a:extLst>
        </xdr:cNvPr>
        <xdr:cNvGrpSpPr/>
      </xdr:nvGrpSpPr>
      <xdr:grpSpPr>
        <a:xfrm>
          <a:off x="1923144" y="754743"/>
          <a:ext cx="1099334" cy="563149"/>
          <a:chOff x="2497130" y="628714"/>
          <a:chExt cx="814688" cy="610998"/>
        </a:xfrm>
      </xdr:grpSpPr>
      <xdr:sp macro="" textlink="">
        <xdr:nvSpPr>
          <xdr:cNvPr id="104" name="Retângulo: Cantos Arredondados 103">
            <a:extLst>
              <a:ext uri="{FF2B5EF4-FFF2-40B4-BE49-F238E27FC236}">
                <a16:creationId xmlns:a16="http://schemas.microsoft.com/office/drawing/2014/main" id="{52725DBF-E418-4796-8C8B-0FBFF1BAB868}"/>
              </a:ext>
            </a:extLst>
          </xdr:cNvPr>
          <xdr:cNvSpPr/>
        </xdr:nvSpPr>
        <xdr:spPr>
          <a:xfrm>
            <a:off x="2523671" y="762000"/>
            <a:ext cx="725261" cy="354866"/>
          </a:xfrm>
          <a:prstGeom prst="roundRect">
            <a:avLst/>
          </a:prstGeom>
          <a:gradFill flip="none" rotWithShape="1">
            <a:gsLst>
              <a:gs pos="40000">
                <a:schemeClr val="bg2">
                  <a:lumMod val="75000"/>
                </a:schemeClr>
              </a:gs>
              <a:gs pos="72000">
                <a:schemeClr val="bg1"/>
              </a:gs>
              <a:gs pos="8000">
                <a:schemeClr val="bg2">
                  <a:lumMod val="75000"/>
                </a:schemeClr>
              </a:gs>
            </a:gsLst>
            <a:lin ang="2700000" scaled="1"/>
            <a:tileRect/>
          </a:gradFill>
          <a:ln>
            <a:solidFill>
              <a:schemeClr val="tx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05" name="CaixaDeTexto 104">
            <a:extLst>
              <a:ext uri="{FF2B5EF4-FFF2-40B4-BE49-F238E27FC236}">
                <a16:creationId xmlns:a16="http://schemas.microsoft.com/office/drawing/2014/main" id="{B51270E1-25A4-47E9-8BFB-8BC779540235}"/>
              </a:ext>
            </a:extLst>
          </xdr:cNvPr>
          <xdr:cNvSpPr txBox="1"/>
        </xdr:nvSpPr>
        <xdr:spPr>
          <a:xfrm>
            <a:off x="2497130" y="628714"/>
            <a:ext cx="814688" cy="6109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050" b="1">
                <a:latin typeface="Calibri" panose="020F0502020204030204" pitchFamily="34" charset="0"/>
                <a:cs typeface="Calibri" panose="020F0502020204030204" pitchFamily="34" charset="0"/>
              </a:rPr>
              <a:t>BÚSSOLA</a:t>
            </a:r>
            <a:r>
              <a:rPr lang="pt-BR" sz="1050" b="1" baseline="0">
                <a:latin typeface="Calibri" panose="020F0502020204030204" pitchFamily="34" charset="0"/>
                <a:cs typeface="Calibri" panose="020F0502020204030204" pitchFamily="34" charset="0"/>
              </a:rPr>
              <a:t> 2030</a:t>
            </a:r>
            <a:endParaRPr lang="pt-BR" sz="1050" b="1"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</xdr:grp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146539</xdr:colOff>
      <xdr:row>11</xdr:row>
      <xdr:rowOff>87923</xdr:rowOff>
    </xdr:from>
    <xdr:to>
      <xdr:col>17</xdr:col>
      <xdr:colOff>1318846</xdr:colOff>
      <xdr:row>22</xdr:row>
      <xdr:rowOff>58615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7E40CB94-7188-4404-8481-3E9060464485}"/>
            </a:ext>
          </a:extLst>
        </xdr:cNvPr>
        <xdr:cNvSpPr/>
      </xdr:nvSpPr>
      <xdr:spPr>
        <a:xfrm>
          <a:off x="2139462" y="2549769"/>
          <a:ext cx="13471769" cy="1905000"/>
        </a:xfrm>
        <a:prstGeom prst="roundRect">
          <a:avLst/>
        </a:prstGeom>
        <a:solidFill>
          <a:srgbClr val="FFCC2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485775</xdr:colOff>
      <xdr:row>1</xdr:row>
      <xdr:rowOff>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AC1D957B-3F42-4163-9AEB-CD0D4AB86146}"/>
            </a:ext>
          </a:extLst>
        </xdr:cNvPr>
        <xdr:cNvGrpSpPr/>
      </xdr:nvGrpSpPr>
      <xdr:grpSpPr>
        <a:xfrm>
          <a:off x="0" y="0"/>
          <a:ext cx="1814390" cy="576385"/>
          <a:chOff x="3552825" y="2171700"/>
          <a:chExt cx="1895475" cy="561975"/>
        </a:xfrm>
      </xdr:grpSpPr>
      <xdr:sp macro="" textlink="">
        <xdr:nvSpPr>
          <xdr:cNvPr id="3" name="Retângulo 2">
            <a:extLst>
              <a:ext uri="{FF2B5EF4-FFF2-40B4-BE49-F238E27FC236}">
                <a16:creationId xmlns:a16="http://schemas.microsoft.com/office/drawing/2014/main" id="{1A94634E-4B6D-4C65-A57A-333FB967CE3A}"/>
              </a:ext>
            </a:extLst>
          </xdr:cNvPr>
          <xdr:cNvSpPr/>
        </xdr:nvSpPr>
        <xdr:spPr>
          <a:xfrm>
            <a:off x="3552825" y="2171700"/>
            <a:ext cx="1895475" cy="561975"/>
          </a:xfrm>
          <a:prstGeom prst="rect">
            <a:avLst/>
          </a:prstGeom>
          <a:gradFill>
            <a:gsLst>
              <a:gs pos="0">
                <a:schemeClr val="bg1"/>
              </a:gs>
              <a:gs pos="89000">
                <a:srgbClr val="FFCC29">
                  <a:alpha val="50000"/>
                </a:srgbClr>
              </a:gs>
              <a:gs pos="100000">
                <a:srgbClr val="FFCC29">
                  <a:alpha val="50000"/>
                </a:srgbClr>
              </a:gs>
            </a:gsLst>
            <a:lin ang="27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A671DB37-DCBA-45E7-A376-59543D6A13B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-1261" t="29165" r="1261" b="28126"/>
          <a:stretch/>
        </xdr:blipFill>
        <xdr:spPr>
          <a:xfrm>
            <a:off x="3686175" y="2187575"/>
            <a:ext cx="1492250" cy="527050"/>
          </a:xfrm>
          <a:prstGeom prst="rect">
            <a:avLst/>
          </a:prstGeom>
        </xdr:spPr>
      </xdr:pic>
    </xdr:grpSp>
    <xdr:clientData/>
  </xdr:twoCellAnchor>
  <xdr:twoCellAnchor editAs="oneCell">
    <xdr:from>
      <xdr:col>16</xdr:col>
      <xdr:colOff>1789340</xdr:colOff>
      <xdr:row>0</xdr:row>
      <xdr:rowOff>0</xdr:rowOff>
    </xdr:from>
    <xdr:to>
      <xdr:col>17</xdr:col>
      <xdr:colOff>1447640</xdr:colOff>
      <xdr:row>1</xdr:row>
      <xdr:rowOff>66676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3A8477AB-6711-4F7C-A41E-AA469C9F4E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08" t="30769" r="-2208" b="27473"/>
        <a:stretch/>
      </xdr:blipFill>
      <xdr:spPr>
        <a:xfrm>
          <a:off x="12239626" y="0"/>
          <a:ext cx="3332228" cy="63500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0</xdr:row>
      <xdr:rowOff>454</xdr:rowOff>
    </xdr:from>
    <xdr:to>
      <xdr:col>4</xdr:col>
      <xdr:colOff>28575</xdr:colOff>
      <xdr:row>0</xdr:row>
      <xdr:rowOff>568779</xdr:rowOff>
    </xdr:to>
    <xdr:grpSp>
      <xdr:nvGrpSpPr>
        <xdr:cNvPr id="26" name="Agrupar 2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474B587-EC15-491A-8583-8FA51B91C124}"/>
            </a:ext>
          </a:extLst>
        </xdr:cNvPr>
        <xdr:cNvGrpSpPr/>
      </xdr:nvGrpSpPr>
      <xdr:grpSpPr>
        <a:xfrm>
          <a:off x="1992923" y="454"/>
          <a:ext cx="692883" cy="568325"/>
          <a:chOff x="1990594" y="-9022"/>
          <a:chExt cx="615017" cy="581025"/>
        </a:xfrm>
        <a:solidFill>
          <a:schemeClr val="bg1"/>
        </a:solidFill>
      </xdr:grpSpPr>
      <xdr:sp macro="" textlink="">
        <xdr:nvSpPr>
          <xdr:cNvPr id="27" name="Retângulo 26">
            <a:extLst>
              <a:ext uri="{FF2B5EF4-FFF2-40B4-BE49-F238E27FC236}">
                <a16:creationId xmlns:a16="http://schemas.microsoft.com/office/drawing/2014/main" id="{FF310B6C-933B-4B34-902F-29E3276F8C32}"/>
              </a:ext>
            </a:extLst>
          </xdr:cNvPr>
          <xdr:cNvSpPr/>
        </xdr:nvSpPr>
        <xdr:spPr>
          <a:xfrm>
            <a:off x="1990594" y="-9022"/>
            <a:ext cx="615017" cy="5810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28" name="Imagem 27">
            <a:extLst>
              <a:ext uri="{FF2B5EF4-FFF2-40B4-BE49-F238E27FC236}">
                <a16:creationId xmlns:a16="http://schemas.microsoft.com/office/drawing/2014/main" id="{89CD1479-BA0B-4316-8D18-47AFC5D29E1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BEBA8EAE-BF5A-486C-A8C5-ECC9F3942E4B}">
                <a14:imgProps xmlns:a14="http://schemas.microsoft.com/office/drawing/2010/main">
                  <a14:imgLayer r:embed="rId5">
                    <a14:imgEffect>
                      <a14:backgroundRemoval t="10000" b="90000" l="10000" r="90000">
                        <a14:foregroundMark x1="52252" y1="78333" x2="52252" y2="78333"/>
                        <a14:foregroundMark x1="62162" y1="68889" x2="62162" y2="68889"/>
                        <a14:foregroundMark x1="65165" y1="57222" x2="65165" y2="57222"/>
                        <a14:foregroundMark x1="65165" y1="40556" x2="65165" y2="40556"/>
                        <a14:foregroundMark x1="62763" y1="27222" x2="62763" y2="27222"/>
                        <a14:foregroundMark x1="46847" y1="22222" x2="46847" y2="22222"/>
                        <a14:foregroundMark x1="40841" y1="26667" x2="40841" y2="26667"/>
                        <a14:foregroundMark x1="47147" y1="76111" x2="47147" y2="76111"/>
                        <a14:foregroundMark x1="46847" y1="73889" x2="45646" y2="7277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l="28569" t="6871" r="29129" b="14812"/>
          <a:stretch/>
        </xdr:blipFill>
        <xdr:spPr>
          <a:xfrm>
            <a:off x="2168525" y="66674"/>
            <a:ext cx="281358" cy="276223"/>
          </a:xfrm>
          <a:prstGeom prst="rect">
            <a:avLst/>
          </a:prstGeom>
          <a:grpFill/>
        </xdr:spPr>
      </xdr:pic>
      <xdr:sp macro="" textlink="">
        <xdr:nvSpPr>
          <xdr:cNvPr id="29" name="CaixaDeTexto 28">
            <a:extLst>
              <a:ext uri="{FF2B5EF4-FFF2-40B4-BE49-F238E27FC236}">
                <a16:creationId xmlns:a16="http://schemas.microsoft.com/office/drawing/2014/main" id="{55F6A496-3FC1-49A2-876C-A0453CE8B391}"/>
              </a:ext>
            </a:extLst>
          </xdr:cNvPr>
          <xdr:cNvSpPr txBox="1"/>
        </xdr:nvSpPr>
        <xdr:spPr>
          <a:xfrm>
            <a:off x="2009774" y="342900"/>
            <a:ext cx="587376" cy="2095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700" b="1">
                <a:latin typeface="Calibri" panose="020F0502020204030204" pitchFamily="34" charset="0"/>
                <a:cs typeface="Calibri" panose="020F0502020204030204" pitchFamily="34" charset="0"/>
              </a:rPr>
              <a:t>IDS</a:t>
            </a:r>
            <a:r>
              <a:rPr lang="pt-BR" sz="700" b="1" baseline="0">
                <a:latin typeface="Calibri" panose="020F0502020204030204" pitchFamily="34" charset="0"/>
                <a:cs typeface="Calibri" panose="020F0502020204030204" pitchFamily="34" charset="0"/>
              </a:rPr>
              <a:t> e ODS</a:t>
            </a:r>
            <a:endParaRPr lang="pt-BR" sz="700" b="1"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</xdr:grpSp>
    <xdr:clientData/>
  </xdr:twoCellAnchor>
  <xdr:twoCellAnchor>
    <xdr:from>
      <xdr:col>5</xdr:col>
      <xdr:colOff>134939</xdr:colOff>
      <xdr:row>0</xdr:row>
      <xdr:rowOff>-1</xdr:rowOff>
    </xdr:from>
    <xdr:to>
      <xdr:col>6</xdr:col>
      <xdr:colOff>158749</xdr:colOff>
      <xdr:row>1</xdr:row>
      <xdr:rowOff>-1</xdr:rowOff>
    </xdr:to>
    <xdr:grpSp>
      <xdr:nvGrpSpPr>
        <xdr:cNvPr id="30" name="Agrupar 2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6C170FB-D640-409F-B2BA-60DA8A791637}"/>
            </a:ext>
          </a:extLst>
        </xdr:cNvPr>
        <xdr:cNvGrpSpPr/>
      </xdr:nvGrpSpPr>
      <xdr:grpSpPr>
        <a:xfrm>
          <a:off x="3456477" y="-1"/>
          <a:ext cx="688118" cy="576385"/>
          <a:chOff x="3551240" y="-1"/>
          <a:chExt cx="713194" cy="571500"/>
        </a:xfrm>
      </xdr:grpSpPr>
      <xdr:grpSp>
        <xdr:nvGrpSpPr>
          <xdr:cNvPr id="31" name="Agrupar 30">
            <a:extLst>
              <a:ext uri="{FF2B5EF4-FFF2-40B4-BE49-F238E27FC236}">
                <a16:creationId xmlns:a16="http://schemas.microsoft.com/office/drawing/2014/main" id="{9DC7131C-F22A-452D-AB91-9FF883212767}"/>
              </a:ext>
            </a:extLst>
          </xdr:cNvPr>
          <xdr:cNvGrpSpPr/>
        </xdr:nvGrpSpPr>
        <xdr:grpSpPr>
          <a:xfrm>
            <a:off x="3551240" y="-1"/>
            <a:ext cx="713194" cy="571500"/>
            <a:chOff x="2015062" y="-1"/>
            <a:chExt cx="623815" cy="581025"/>
          </a:xfrm>
          <a:solidFill>
            <a:srgbClr val="3399FF"/>
          </a:solidFill>
        </xdr:grpSpPr>
        <xdr:sp macro="" textlink="">
          <xdr:nvSpPr>
            <xdr:cNvPr id="33" name="Retângulo 32">
              <a:extLst>
                <a:ext uri="{FF2B5EF4-FFF2-40B4-BE49-F238E27FC236}">
                  <a16:creationId xmlns:a16="http://schemas.microsoft.com/office/drawing/2014/main" id="{1FED71A4-F593-4F3A-BA45-33A139DD910C}"/>
                </a:ext>
              </a:extLst>
            </xdr:cNvPr>
            <xdr:cNvSpPr/>
          </xdr:nvSpPr>
          <xdr:spPr>
            <a:xfrm>
              <a:off x="2015062" y="-1"/>
              <a:ext cx="615017" cy="581025"/>
            </a:xfrm>
            <a:prstGeom prst="rect">
              <a:avLst/>
            </a:prstGeom>
            <a:solidFill>
              <a:srgbClr val="FFCC29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838C59D6-480D-480B-8DF1-144FC63248C5}"/>
                </a:ext>
              </a:extLst>
            </xdr:cNvPr>
            <xdr:cNvSpPr txBox="1"/>
          </xdr:nvSpPr>
          <xdr:spPr>
            <a:xfrm>
              <a:off x="2024778" y="416894"/>
              <a:ext cx="614099" cy="116204"/>
            </a:xfrm>
            <a:prstGeom prst="rect">
              <a:avLst/>
            </a:prstGeom>
            <a:noFill/>
            <a:ln w="9525" cmpd="sng">
              <a:noFill/>
            </a:ln>
            <a:effectLst>
              <a:softEdge rad="12700"/>
            </a:effec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600" b="1">
                  <a:latin typeface="Calibri" panose="020F0502020204030204" pitchFamily="34" charset="0"/>
                  <a:cs typeface="Calibri" panose="020F0502020204030204" pitchFamily="34" charset="0"/>
                </a:rPr>
                <a:t>COMPARATIVO</a:t>
              </a:r>
              <a:endParaRPr lang="pt-BR" sz="700" b="1">
                <a:latin typeface="Calibri" panose="020F0502020204030204" pitchFamily="34" charset="0"/>
                <a:cs typeface="Calibri" panose="020F0502020204030204" pitchFamily="34" charset="0"/>
              </a:endParaRPr>
            </a:p>
          </xdr:txBody>
        </xdr:sp>
      </xdr:grpSp>
      <xdr:pic>
        <xdr:nvPicPr>
          <xdr:cNvPr id="32" name="Imagem 31">
            <a:extLst>
              <a:ext uri="{FF2B5EF4-FFF2-40B4-BE49-F238E27FC236}">
                <a16:creationId xmlns:a16="http://schemas.microsoft.com/office/drawing/2014/main" id="{446E374E-78B6-486D-B272-3FDD3A3E029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52850" y="76684"/>
            <a:ext cx="314325" cy="314325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68271</xdr:colOff>
      <xdr:row>0</xdr:row>
      <xdr:rowOff>0</xdr:rowOff>
    </xdr:from>
    <xdr:to>
      <xdr:col>5</xdr:col>
      <xdr:colOff>95251</xdr:colOff>
      <xdr:row>1</xdr:row>
      <xdr:rowOff>0</xdr:rowOff>
    </xdr:to>
    <xdr:grpSp>
      <xdr:nvGrpSpPr>
        <xdr:cNvPr id="35" name="Agrupar 3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84519EE-5557-4436-825E-7D08855CBC10}"/>
            </a:ext>
          </a:extLst>
        </xdr:cNvPr>
        <xdr:cNvGrpSpPr/>
      </xdr:nvGrpSpPr>
      <xdr:grpSpPr>
        <a:xfrm>
          <a:off x="2725502" y="0"/>
          <a:ext cx="691287" cy="576385"/>
          <a:chOff x="2808296" y="0"/>
          <a:chExt cx="703255" cy="571500"/>
        </a:xfrm>
        <a:solidFill>
          <a:srgbClr val="FFCC29"/>
        </a:solidFill>
      </xdr:grpSpPr>
      <xdr:grpSp>
        <xdr:nvGrpSpPr>
          <xdr:cNvPr id="36" name="Agrupar 35">
            <a:extLst>
              <a:ext uri="{FF2B5EF4-FFF2-40B4-BE49-F238E27FC236}">
                <a16:creationId xmlns:a16="http://schemas.microsoft.com/office/drawing/2014/main" id="{0677C7BB-03B8-4F5C-B386-AFE6ABF7E5C3}"/>
              </a:ext>
            </a:extLst>
          </xdr:cNvPr>
          <xdr:cNvGrpSpPr/>
        </xdr:nvGrpSpPr>
        <xdr:grpSpPr>
          <a:xfrm>
            <a:off x="2808296" y="0"/>
            <a:ext cx="703255" cy="571500"/>
            <a:chOff x="2015062" y="0"/>
            <a:chExt cx="615017" cy="581025"/>
          </a:xfrm>
          <a:grpFill/>
        </xdr:grpSpPr>
        <xdr:sp macro="" textlink="">
          <xdr:nvSpPr>
            <xdr:cNvPr id="38" name="Retângulo 37">
              <a:extLst>
                <a:ext uri="{FF2B5EF4-FFF2-40B4-BE49-F238E27FC236}">
                  <a16:creationId xmlns:a16="http://schemas.microsoft.com/office/drawing/2014/main" id="{CC2DCDBE-DC85-4C40-B282-A4D0F19C257C}"/>
                </a:ext>
              </a:extLst>
            </xdr:cNvPr>
            <xdr:cNvSpPr/>
          </xdr:nvSpPr>
          <xdr:spPr>
            <a:xfrm>
              <a:off x="2015062" y="0"/>
              <a:ext cx="615017" cy="581025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7ACF1078-1E09-4770-A3F5-5ED7BA619101}"/>
                </a:ext>
              </a:extLst>
            </xdr:cNvPr>
            <xdr:cNvSpPr txBox="1"/>
          </xdr:nvSpPr>
          <xdr:spPr>
            <a:xfrm>
              <a:off x="2021497" y="363951"/>
              <a:ext cx="587376" cy="209550"/>
            </a:xfrm>
            <a:prstGeom prst="rect">
              <a:avLst/>
            </a:prstGeom>
            <a:grpFill/>
            <a:ln w="9525" cmpd="sng">
              <a:noFill/>
            </a:ln>
            <a:effectLst>
              <a:softEdge rad="12700"/>
            </a:effec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600" b="1">
                  <a:latin typeface="Calibri" panose="020F0502020204030204" pitchFamily="34" charset="0"/>
                  <a:cs typeface="Calibri" panose="020F0502020204030204" pitchFamily="34" charset="0"/>
                </a:rPr>
                <a:t>DASHBOARD</a:t>
              </a:r>
              <a:endParaRPr lang="pt-BR" sz="700" b="1">
                <a:latin typeface="Calibri" panose="020F0502020204030204" pitchFamily="34" charset="0"/>
                <a:cs typeface="Calibri" panose="020F0502020204030204" pitchFamily="34" charset="0"/>
              </a:endParaRPr>
            </a:p>
          </xdr:txBody>
        </xdr:sp>
      </xdr:grpSp>
      <xdr:pic>
        <xdr:nvPicPr>
          <xdr:cNvPr id="37" name="Imagem 36">
            <a:extLst>
              <a:ext uri="{FF2B5EF4-FFF2-40B4-BE49-F238E27FC236}">
                <a16:creationId xmlns:a16="http://schemas.microsoft.com/office/drawing/2014/main" id="{6B8445C0-9B8D-4A72-9AF6-D0838C838A0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88450" y="54750"/>
            <a:ext cx="360000" cy="360000"/>
          </a:xfrm>
          <a:prstGeom prst="rect">
            <a:avLst/>
          </a:prstGeom>
          <a:grpFill/>
        </xdr:spPr>
      </xdr:pic>
    </xdr:grp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527050</xdr:colOff>
      <xdr:row>0</xdr:row>
      <xdr:rowOff>570533</xdr:rowOff>
    </xdr:to>
    <xdr:grpSp>
      <xdr:nvGrpSpPr>
        <xdr:cNvPr id="40" name="Agrupar 3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A72FA2A-E2C7-4BC2-A650-429931BCDE81}"/>
            </a:ext>
          </a:extLst>
        </xdr:cNvPr>
        <xdr:cNvGrpSpPr/>
      </xdr:nvGrpSpPr>
      <xdr:grpSpPr>
        <a:xfrm>
          <a:off x="5314462" y="0"/>
          <a:ext cx="1191357" cy="570533"/>
          <a:chOff x="5569357" y="6421"/>
          <a:chExt cx="1200150" cy="576943"/>
        </a:xfrm>
        <a:gradFill>
          <a:gsLst>
            <a:gs pos="0">
              <a:srgbClr val="FFCC29"/>
            </a:gs>
            <a:gs pos="74000">
              <a:schemeClr val="bg1"/>
            </a:gs>
            <a:gs pos="39000">
              <a:srgbClr val="FFCC29"/>
            </a:gs>
            <a:gs pos="21000">
              <a:srgbClr val="FFCC29"/>
            </a:gs>
          </a:gsLst>
          <a:lin ang="5400000" scaled="1"/>
        </a:gradFill>
      </xdr:grpSpPr>
      <xdr:sp macro="" textlink="">
        <xdr:nvSpPr>
          <xdr:cNvPr id="41" name="Retângulo 40">
            <a:extLst>
              <a:ext uri="{FF2B5EF4-FFF2-40B4-BE49-F238E27FC236}">
                <a16:creationId xmlns:a16="http://schemas.microsoft.com/office/drawing/2014/main" id="{076C1DAF-2E03-42A8-AE74-B298DE74E100}"/>
              </a:ext>
            </a:extLst>
          </xdr:cNvPr>
          <xdr:cNvSpPr/>
        </xdr:nvSpPr>
        <xdr:spPr>
          <a:xfrm>
            <a:off x="5569357" y="6421"/>
            <a:ext cx="1200150" cy="571500"/>
          </a:xfrm>
          <a:prstGeom prst="rect">
            <a:avLst/>
          </a:prstGeom>
          <a:grp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2" name="CaixaDeTexto 41">
            <a:extLst>
              <a:ext uri="{FF2B5EF4-FFF2-40B4-BE49-F238E27FC236}">
                <a16:creationId xmlns:a16="http://schemas.microsoft.com/office/drawing/2014/main" id="{673178F0-397A-4C4A-8054-506739175D66}"/>
              </a:ext>
            </a:extLst>
          </xdr:cNvPr>
          <xdr:cNvSpPr txBox="1"/>
        </xdr:nvSpPr>
        <xdr:spPr>
          <a:xfrm>
            <a:off x="5819654" y="391702"/>
            <a:ext cx="731643" cy="191662"/>
          </a:xfrm>
          <a:prstGeom prst="rect">
            <a:avLst/>
          </a:prstGeom>
          <a:noFill/>
          <a:ln w="3175" cmpd="sng">
            <a:noFill/>
          </a:ln>
          <a:effectLst>
            <a:softEdge rad="12700"/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Calibri" panose="020F0502020204030204" pitchFamily="34" charset="0"/>
                <a:cs typeface="Calibri" panose="020F0502020204030204" pitchFamily="34" charset="0"/>
              </a:rPr>
              <a:t>EIXOS</a:t>
            </a:r>
            <a:r>
              <a:rPr lang="pt-BR" sz="800" b="1" baseline="0">
                <a:latin typeface="Calibri" panose="020F0502020204030204" pitchFamily="34" charset="0"/>
                <a:cs typeface="Calibri" panose="020F0502020204030204" pitchFamily="34" charset="0"/>
              </a:rPr>
              <a:t> WELL</a:t>
            </a:r>
            <a:endParaRPr lang="pt-BR" sz="800" b="1"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  <xdr:pic>
        <xdr:nvPicPr>
          <xdr:cNvPr id="43" name="Imagem 42">
            <a:extLst>
              <a:ext uri="{FF2B5EF4-FFF2-40B4-BE49-F238E27FC236}">
                <a16:creationId xmlns:a16="http://schemas.microsoft.com/office/drawing/2014/main" id="{BB0ABD4B-E24E-4CAD-9CD4-428795D0078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01700" y="69453"/>
            <a:ext cx="316719" cy="316719"/>
          </a:xfrm>
          <a:prstGeom prst="rect">
            <a:avLst/>
          </a:prstGeom>
          <a:grpFill/>
          <a:ln w="3175">
            <a:noFill/>
          </a:ln>
        </xdr:spPr>
      </xdr:pic>
    </xdr:grpSp>
    <xdr:clientData/>
  </xdr:twoCellAnchor>
  <xdr:twoCellAnchor>
    <xdr:from>
      <xdr:col>0</xdr:col>
      <xdr:colOff>299358</xdr:colOff>
      <xdr:row>4</xdr:row>
      <xdr:rowOff>116044</xdr:rowOff>
    </xdr:from>
    <xdr:to>
      <xdr:col>17</xdr:col>
      <xdr:colOff>3265480</xdr:colOff>
      <xdr:row>9</xdr:row>
      <xdr:rowOff>22862</xdr:rowOff>
    </xdr:to>
    <xdr:grpSp>
      <xdr:nvGrpSpPr>
        <xdr:cNvPr id="23" name="Agrupar 22">
          <a:extLst>
            <a:ext uri="{FF2B5EF4-FFF2-40B4-BE49-F238E27FC236}">
              <a16:creationId xmlns:a16="http://schemas.microsoft.com/office/drawing/2014/main" id="{77C61841-B57B-4C73-9104-8345F543C7AA}"/>
            </a:ext>
          </a:extLst>
        </xdr:cNvPr>
        <xdr:cNvGrpSpPr/>
      </xdr:nvGrpSpPr>
      <xdr:grpSpPr>
        <a:xfrm>
          <a:off x="299358" y="1346967"/>
          <a:ext cx="17258507" cy="786049"/>
          <a:chOff x="340180" y="1269544"/>
          <a:chExt cx="17093503" cy="794387"/>
        </a:xfrm>
      </xdr:grpSpPr>
      <xdr:grpSp>
        <xdr:nvGrpSpPr>
          <xdr:cNvPr id="44" name="Agrupar 43">
            <a:extLst>
              <a:ext uri="{FF2B5EF4-FFF2-40B4-BE49-F238E27FC236}">
                <a16:creationId xmlns:a16="http://schemas.microsoft.com/office/drawing/2014/main" id="{48CFBFFF-D8DB-495D-9F7D-4D2112231DA2}"/>
              </a:ext>
            </a:extLst>
          </xdr:cNvPr>
          <xdr:cNvGrpSpPr/>
        </xdr:nvGrpSpPr>
        <xdr:grpSpPr>
          <a:xfrm>
            <a:off x="340180" y="1269544"/>
            <a:ext cx="16039976" cy="794387"/>
            <a:chOff x="559583" y="1156287"/>
            <a:chExt cx="16046331" cy="788037"/>
          </a:xfrm>
        </xdr:grpSpPr>
        <xdr:pic>
          <xdr:nvPicPr>
            <xdr:cNvPr id="45" name="ods.2">
              <a:extLst>
                <a:ext uri="{FF2B5EF4-FFF2-40B4-BE49-F238E27FC236}">
                  <a16:creationId xmlns:a16="http://schemas.microsoft.com/office/drawing/2014/main" id="{42759386-A762-4752-98B9-FDDF1DCBCC2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567329" y="1227499"/>
              <a:ext cx="903121" cy="716825"/>
            </a:xfrm>
            <a:prstGeom prst="rect">
              <a:avLst/>
            </a:prstGeom>
          </xdr:spPr>
        </xdr:pic>
        <xdr:pic>
          <xdr:nvPicPr>
            <xdr:cNvPr id="46" name="Imagem 45">
              <a:extLst>
                <a:ext uri="{FF2B5EF4-FFF2-40B4-BE49-F238E27FC236}">
                  <a16:creationId xmlns:a16="http://schemas.microsoft.com/office/drawing/2014/main" id="{B4AEC60B-307C-4FA1-A790-64BC67FE3FD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595034" y="1207542"/>
              <a:ext cx="827452" cy="726350"/>
            </a:xfrm>
            <a:prstGeom prst="rect">
              <a:avLst/>
            </a:prstGeom>
          </xdr:spPr>
        </xdr:pic>
        <xdr:pic>
          <xdr:nvPicPr>
            <xdr:cNvPr id="47" name="ods.4">
              <a:extLst>
                <a:ext uri="{FF2B5EF4-FFF2-40B4-BE49-F238E27FC236}">
                  <a16:creationId xmlns:a16="http://schemas.microsoft.com/office/drawing/2014/main" id="{30C8694A-4E3D-4F67-B17E-71A54270E98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547070" y="1217973"/>
              <a:ext cx="854829" cy="726350"/>
            </a:xfrm>
            <a:prstGeom prst="rect">
              <a:avLst/>
            </a:prstGeom>
          </xdr:spPr>
        </xdr:pic>
        <xdr:pic>
          <xdr:nvPicPr>
            <xdr:cNvPr id="48" name="Imagem 47">
              <a:extLst>
                <a:ext uri="{FF2B5EF4-FFF2-40B4-BE49-F238E27FC236}">
                  <a16:creationId xmlns:a16="http://schemas.microsoft.com/office/drawing/2014/main" id="{56F511DE-8946-4F76-9698-C510DEC96D5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526483" y="1210717"/>
              <a:ext cx="850264" cy="723175"/>
            </a:xfrm>
            <a:prstGeom prst="rect">
              <a:avLst/>
            </a:prstGeom>
          </xdr:spPr>
        </xdr:pic>
        <xdr:pic>
          <xdr:nvPicPr>
            <xdr:cNvPr id="49" name="ods.1">
              <a:extLst>
                <a:ext uri="{FF2B5EF4-FFF2-40B4-BE49-F238E27FC236}">
                  <a16:creationId xmlns:a16="http://schemas.microsoft.com/office/drawing/2014/main" id="{969D44A2-B781-4E0B-8150-F570B5A3E2B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59583" y="1221147"/>
              <a:ext cx="883162" cy="723175"/>
            </a:xfrm>
            <a:prstGeom prst="rect">
              <a:avLst/>
            </a:prstGeom>
          </xdr:spPr>
        </xdr:pic>
        <xdr:pic>
          <xdr:nvPicPr>
            <xdr:cNvPr id="50" name="Imagem 49">
              <a:extLst>
                <a:ext uri="{FF2B5EF4-FFF2-40B4-BE49-F238E27FC236}">
                  <a16:creationId xmlns:a16="http://schemas.microsoft.com/office/drawing/2014/main" id="{60D9E45D-FB1B-4F41-A4B4-A6D9ADF31A8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501331" y="1190759"/>
              <a:ext cx="860593" cy="726350"/>
            </a:xfrm>
            <a:prstGeom prst="rect">
              <a:avLst/>
            </a:prstGeom>
          </xdr:spPr>
        </xdr:pic>
        <xdr:pic>
          <xdr:nvPicPr>
            <xdr:cNvPr id="51" name="Imagem 50">
              <a:extLst>
                <a:ext uri="{FF2B5EF4-FFF2-40B4-BE49-F238E27FC236}">
                  <a16:creationId xmlns:a16="http://schemas.microsoft.com/office/drawing/2014/main" id="{47CB6580-157A-47D8-BC44-CD76F4AAB53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8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486508" y="1190760"/>
              <a:ext cx="840495" cy="726350"/>
            </a:xfrm>
            <a:prstGeom prst="rect">
              <a:avLst/>
            </a:prstGeom>
          </xdr:spPr>
        </xdr:pic>
        <xdr:pic>
          <xdr:nvPicPr>
            <xdr:cNvPr id="52" name="Imagem 51">
              <a:extLst>
                <a:ext uri="{FF2B5EF4-FFF2-40B4-BE49-F238E27FC236}">
                  <a16:creationId xmlns:a16="http://schemas.microsoft.com/office/drawing/2014/main" id="{6F3A00E0-7AC8-44D4-A2F4-F1DF0B2E791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451587" y="1187584"/>
              <a:ext cx="848574" cy="729525"/>
            </a:xfrm>
            <a:prstGeom prst="rect">
              <a:avLst/>
            </a:prstGeom>
          </xdr:spPr>
        </xdr:pic>
        <xdr:pic>
          <xdr:nvPicPr>
            <xdr:cNvPr id="53" name="Imagem 52">
              <a:extLst>
                <a:ext uri="{FF2B5EF4-FFF2-40B4-BE49-F238E27FC236}">
                  <a16:creationId xmlns:a16="http://schemas.microsoft.com/office/drawing/2014/main" id="{10C71ED6-7AE7-49C5-A77C-09397B6582E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0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8424745" y="1193885"/>
              <a:ext cx="965397" cy="723175"/>
            </a:xfrm>
            <a:prstGeom prst="rect">
              <a:avLst/>
            </a:prstGeom>
          </xdr:spPr>
        </xdr:pic>
        <xdr:pic>
          <xdr:nvPicPr>
            <xdr:cNvPr id="54" name="Imagem 53">
              <a:extLst>
                <a:ext uri="{FF2B5EF4-FFF2-40B4-BE49-F238E27FC236}">
                  <a16:creationId xmlns:a16="http://schemas.microsoft.com/office/drawing/2014/main" id="{C797C7D1-4AD4-4268-BBB1-75C73F7AF44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9514726" y="1173977"/>
              <a:ext cx="922068" cy="726350"/>
            </a:xfrm>
            <a:prstGeom prst="rect">
              <a:avLst/>
            </a:prstGeom>
          </xdr:spPr>
        </xdr:pic>
        <xdr:pic>
          <xdr:nvPicPr>
            <xdr:cNvPr id="55" name="Imagem 54">
              <a:extLst>
                <a:ext uri="{FF2B5EF4-FFF2-40B4-BE49-F238E27FC236}">
                  <a16:creationId xmlns:a16="http://schemas.microsoft.com/office/drawing/2014/main" id="{BACBC2B1-DFB1-435A-AA40-7C148E47603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561378" y="1177151"/>
              <a:ext cx="922839" cy="720000"/>
            </a:xfrm>
            <a:prstGeom prst="rect">
              <a:avLst/>
            </a:prstGeom>
          </xdr:spPr>
        </xdr:pic>
        <xdr:pic>
          <xdr:nvPicPr>
            <xdr:cNvPr id="56" name="Imagem 55">
              <a:extLst>
                <a:ext uri="{FF2B5EF4-FFF2-40B4-BE49-F238E27FC236}">
                  <a16:creationId xmlns:a16="http://schemas.microsoft.com/office/drawing/2014/main" id="{D3DA0A87-E7F1-4262-AC90-6F6F19AC4F4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1622411" y="1180080"/>
              <a:ext cx="920027" cy="720000"/>
            </a:xfrm>
            <a:prstGeom prst="rect">
              <a:avLst/>
            </a:prstGeom>
          </xdr:spPr>
        </xdr:pic>
        <xdr:pic>
          <xdr:nvPicPr>
            <xdr:cNvPr id="57" name="Imagem 56">
              <a:extLst>
                <a:ext uri="{FF2B5EF4-FFF2-40B4-BE49-F238E27FC236}">
                  <a16:creationId xmlns:a16="http://schemas.microsoft.com/office/drawing/2014/main" id="{A95F0FBE-A387-4BD5-ADC0-70340C4A770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667019" y="1156287"/>
              <a:ext cx="858815" cy="723175"/>
            </a:xfrm>
            <a:prstGeom prst="rect">
              <a:avLst/>
            </a:prstGeom>
          </xdr:spPr>
        </xdr:pic>
        <xdr:pic>
          <xdr:nvPicPr>
            <xdr:cNvPr id="58" name="Imagem 57">
              <a:extLst>
                <a:ext uri="{FF2B5EF4-FFF2-40B4-BE49-F238E27FC236}">
                  <a16:creationId xmlns:a16="http://schemas.microsoft.com/office/drawing/2014/main" id="{C88160AB-9A85-4715-A5AC-57C197D9B13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3650421" y="1159167"/>
              <a:ext cx="960371" cy="713650"/>
            </a:xfrm>
            <a:prstGeom prst="rect">
              <a:avLst/>
            </a:prstGeom>
          </xdr:spPr>
        </xdr:pic>
        <xdr:pic>
          <xdr:nvPicPr>
            <xdr:cNvPr id="59" name="Imagem 58">
              <a:extLst>
                <a:ext uri="{FF2B5EF4-FFF2-40B4-BE49-F238E27FC236}">
                  <a16:creationId xmlns:a16="http://schemas.microsoft.com/office/drawing/2014/main" id="{C546939C-59FB-4E29-B1FB-F6EB0E4299C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4721766" y="1156289"/>
              <a:ext cx="857955" cy="716825"/>
            </a:xfrm>
            <a:prstGeom prst="rect">
              <a:avLst/>
            </a:prstGeom>
          </xdr:spPr>
        </xdr:pic>
        <xdr:pic>
          <xdr:nvPicPr>
            <xdr:cNvPr id="60" name="Imagem 59">
              <a:extLst>
                <a:ext uri="{FF2B5EF4-FFF2-40B4-BE49-F238E27FC236}">
                  <a16:creationId xmlns:a16="http://schemas.microsoft.com/office/drawing/2014/main" id="{0BD06EF8-2B62-4420-B35E-08CBC0C4B32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5731531" y="1159464"/>
              <a:ext cx="874383" cy="716825"/>
            </a:xfrm>
            <a:prstGeom prst="rect">
              <a:avLst/>
            </a:prstGeom>
          </xdr:spPr>
        </xdr:pic>
      </xdr:grpSp>
      <xdr:pic>
        <xdr:nvPicPr>
          <xdr:cNvPr id="61" name="Imagem 60">
            <a:extLst>
              <a:ext uri="{FF2B5EF4-FFF2-40B4-BE49-F238E27FC236}">
                <a16:creationId xmlns:a16="http://schemas.microsoft.com/office/drawing/2014/main" id="{98C6EA0E-8063-41D8-B503-4B4A866B99B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543104" y="1282355"/>
            <a:ext cx="890579" cy="726682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496369</xdr:colOff>
      <xdr:row>1</xdr:row>
      <xdr:rowOff>186382</xdr:rowOff>
    </xdr:from>
    <xdr:to>
      <xdr:col>6</xdr:col>
      <xdr:colOff>280646</xdr:colOff>
      <xdr:row>4</xdr:row>
      <xdr:rowOff>84178</xdr:rowOff>
    </xdr:to>
    <xdr:grpSp>
      <xdr:nvGrpSpPr>
        <xdr:cNvPr id="68" name="Agrupar 67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6018DF57-3C92-4935-ABA0-9E0B371F63A6}"/>
            </a:ext>
          </a:extLst>
        </xdr:cNvPr>
        <xdr:cNvGrpSpPr/>
      </xdr:nvGrpSpPr>
      <xdr:grpSpPr>
        <a:xfrm>
          <a:off x="3153600" y="762767"/>
          <a:ext cx="1112892" cy="552334"/>
          <a:chOff x="2497130" y="628714"/>
          <a:chExt cx="814688" cy="610998"/>
        </a:xfrm>
      </xdr:grpSpPr>
      <xdr:sp macro="" textlink="">
        <xdr:nvSpPr>
          <xdr:cNvPr id="69" name="Retângulo: Cantos Arredondados 68">
            <a:extLst>
              <a:ext uri="{FF2B5EF4-FFF2-40B4-BE49-F238E27FC236}">
                <a16:creationId xmlns:a16="http://schemas.microsoft.com/office/drawing/2014/main" id="{8F6F7D10-3C4C-4BF7-8D34-775F4DFCA2CE}"/>
              </a:ext>
            </a:extLst>
          </xdr:cNvPr>
          <xdr:cNvSpPr/>
        </xdr:nvSpPr>
        <xdr:spPr>
          <a:xfrm>
            <a:off x="2523671" y="762000"/>
            <a:ext cx="725261" cy="354866"/>
          </a:xfrm>
          <a:prstGeom prst="roundRect">
            <a:avLst/>
          </a:prstGeom>
          <a:gradFill flip="none" rotWithShape="1">
            <a:gsLst>
              <a:gs pos="40000">
                <a:schemeClr val="bg2">
                  <a:lumMod val="75000"/>
                </a:schemeClr>
              </a:gs>
              <a:gs pos="72000">
                <a:schemeClr val="bg1"/>
              </a:gs>
              <a:gs pos="8000">
                <a:schemeClr val="bg2">
                  <a:lumMod val="75000"/>
                </a:schemeClr>
              </a:gs>
            </a:gsLst>
            <a:lin ang="2700000" scaled="1"/>
            <a:tileRect/>
          </a:gradFill>
          <a:ln>
            <a:solidFill>
              <a:schemeClr val="tx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70" name="CaixaDeTexto 69">
            <a:extLst>
              <a:ext uri="{FF2B5EF4-FFF2-40B4-BE49-F238E27FC236}">
                <a16:creationId xmlns:a16="http://schemas.microsoft.com/office/drawing/2014/main" id="{7A6B2FF9-FA48-4449-9704-F3DE11804F71}"/>
              </a:ext>
            </a:extLst>
          </xdr:cNvPr>
          <xdr:cNvSpPr txBox="1"/>
        </xdr:nvSpPr>
        <xdr:spPr>
          <a:xfrm>
            <a:off x="2497130" y="628714"/>
            <a:ext cx="814688" cy="6109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050" b="1">
                <a:latin typeface="Calibri" panose="020F0502020204030204" pitchFamily="34" charset="0"/>
                <a:cs typeface="Calibri" panose="020F0502020204030204" pitchFamily="34" charset="0"/>
              </a:rPr>
              <a:t>VANTAGENS</a:t>
            </a:r>
            <a:r>
              <a:rPr lang="pt-BR" sz="1050" b="1" baseline="0">
                <a:latin typeface="Calibri" panose="020F0502020204030204" pitchFamily="34" charset="0"/>
                <a:cs typeface="Calibri" panose="020F0502020204030204" pitchFamily="34" charset="0"/>
              </a:rPr>
              <a:t> ESTRATÉGICAS</a:t>
            </a:r>
            <a:endParaRPr lang="pt-BR" sz="1050" b="1"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</xdr:grpSp>
    <xdr:clientData/>
  </xdr:twoCellAnchor>
  <xdr:twoCellAnchor>
    <xdr:from>
      <xdr:col>2</xdr:col>
      <xdr:colOff>595530</xdr:colOff>
      <xdr:row>1</xdr:row>
      <xdr:rowOff>186382</xdr:rowOff>
    </xdr:from>
    <xdr:to>
      <xdr:col>4</xdr:col>
      <xdr:colOff>373441</xdr:colOff>
      <xdr:row>4</xdr:row>
      <xdr:rowOff>81039</xdr:rowOff>
    </xdr:to>
    <xdr:grpSp>
      <xdr:nvGrpSpPr>
        <xdr:cNvPr id="71" name="Agrupar 7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C1062F0F-F655-47CA-A8C4-818FE21AA7AB}"/>
            </a:ext>
          </a:extLst>
        </xdr:cNvPr>
        <xdr:cNvGrpSpPr/>
      </xdr:nvGrpSpPr>
      <xdr:grpSpPr>
        <a:xfrm>
          <a:off x="1924145" y="762767"/>
          <a:ext cx="1106527" cy="549195"/>
          <a:chOff x="2497130" y="628714"/>
          <a:chExt cx="814688" cy="610998"/>
        </a:xfrm>
      </xdr:grpSpPr>
      <xdr:sp macro="" textlink="">
        <xdr:nvSpPr>
          <xdr:cNvPr id="72" name="Retângulo: Cantos Arredondados 71">
            <a:extLst>
              <a:ext uri="{FF2B5EF4-FFF2-40B4-BE49-F238E27FC236}">
                <a16:creationId xmlns:a16="http://schemas.microsoft.com/office/drawing/2014/main" id="{E165AECB-0EAA-4686-809F-B00F62DC8287}"/>
              </a:ext>
            </a:extLst>
          </xdr:cNvPr>
          <xdr:cNvSpPr/>
        </xdr:nvSpPr>
        <xdr:spPr>
          <a:xfrm>
            <a:off x="2523671" y="762000"/>
            <a:ext cx="725261" cy="354866"/>
          </a:xfrm>
          <a:prstGeom prst="roundRect">
            <a:avLst/>
          </a:prstGeom>
          <a:gradFill flip="none" rotWithShape="1">
            <a:gsLst>
              <a:gs pos="40000">
                <a:schemeClr val="bg2">
                  <a:lumMod val="75000"/>
                </a:schemeClr>
              </a:gs>
              <a:gs pos="72000">
                <a:schemeClr val="bg1"/>
              </a:gs>
              <a:gs pos="8000">
                <a:schemeClr val="bg2">
                  <a:lumMod val="75000"/>
                </a:schemeClr>
              </a:gs>
            </a:gsLst>
            <a:lin ang="2700000" scaled="1"/>
            <a:tileRect/>
          </a:gradFill>
          <a:ln>
            <a:solidFill>
              <a:schemeClr val="tx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73" name="CaixaDeTexto 72">
            <a:extLst>
              <a:ext uri="{FF2B5EF4-FFF2-40B4-BE49-F238E27FC236}">
                <a16:creationId xmlns:a16="http://schemas.microsoft.com/office/drawing/2014/main" id="{E4AB403C-D26C-41F3-8A45-E3D2E66031E2}"/>
              </a:ext>
            </a:extLst>
          </xdr:cNvPr>
          <xdr:cNvSpPr txBox="1"/>
        </xdr:nvSpPr>
        <xdr:spPr>
          <a:xfrm>
            <a:off x="2497130" y="628714"/>
            <a:ext cx="814688" cy="6109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050" b="1">
                <a:latin typeface="Calibri" panose="020F0502020204030204" pitchFamily="34" charset="0"/>
                <a:cs typeface="Calibri" panose="020F0502020204030204" pitchFamily="34" charset="0"/>
              </a:rPr>
              <a:t>BÚSSOLA</a:t>
            </a:r>
            <a:r>
              <a:rPr lang="pt-BR" sz="1050" b="1" baseline="0">
                <a:latin typeface="Calibri" panose="020F0502020204030204" pitchFamily="34" charset="0"/>
                <a:cs typeface="Calibri" panose="020F0502020204030204" pitchFamily="34" charset="0"/>
              </a:rPr>
              <a:t> 2030</a:t>
            </a:r>
            <a:endParaRPr lang="pt-BR" sz="1050" b="1"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</xdr:grpSp>
    <xdr:clientData/>
  </xdr:twoCellAnchor>
  <xdr:twoCellAnchor>
    <xdr:from>
      <xdr:col>3</xdr:col>
      <xdr:colOff>341923</xdr:colOff>
      <xdr:row>23</xdr:row>
      <xdr:rowOff>107460</xdr:rowOff>
    </xdr:from>
    <xdr:to>
      <xdr:col>10</xdr:col>
      <xdr:colOff>615462</xdr:colOff>
      <xdr:row>38</xdr:row>
      <xdr:rowOff>166076</xdr:rowOff>
    </xdr:to>
    <xdr:grpSp>
      <xdr:nvGrpSpPr>
        <xdr:cNvPr id="8" name="Agrupar 7">
          <a:extLst>
            <a:ext uri="{FF2B5EF4-FFF2-40B4-BE49-F238E27FC236}">
              <a16:creationId xmlns:a16="http://schemas.microsoft.com/office/drawing/2014/main" id="{3CE02948-42BE-4D46-844C-B99FCFA448A2}"/>
            </a:ext>
          </a:extLst>
        </xdr:cNvPr>
        <xdr:cNvGrpSpPr/>
      </xdr:nvGrpSpPr>
      <xdr:grpSpPr>
        <a:xfrm>
          <a:off x="2334846" y="4679460"/>
          <a:ext cx="4923693" cy="2696308"/>
          <a:chOff x="1348153" y="4659921"/>
          <a:chExt cx="4923693" cy="2696308"/>
        </a:xfrm>
      </xdr:grpSpPr>
      <xdr:sp macro="" textlink="">
        <xdr:nvSpPr>
          <xdr:cNvPr id="6" name="CaixaDeTexto 5">
            <a:extLst>
              <a:ext uri="{FF2B5EF4-FFF2-40B4-BE49-F238E27FC236}">
                <a16:creationId xmlns:a16="http://schemas.microsoft.com/office/drawing/2014/main" id="{8363BB13-1FB3-4B19-8C45-95940B375ADF}"/>
              </a:ext>
            </a:extLst>
          </xdr:cNvPr>
          <xdr:cNvSpPr txBox="1"/>
        </xdr:nvSpPr>
        <xdr:spPr>
          <a:xfrm>
            <a:off x="1348153" y="5441460"/>
            <a:ext cx="4923693" cy="19147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600" b="1">
                <a:latin typeface="Calibri" panose="020F0502020204030204" pitchFamily="34" charset="0"/>
                <a:cs typeface="Calibri" panose="020F0502020204030204" pitchFamily="34" charset="0"/>
              </a:rPr>
              <a:t>ODS (Objetivos de Desenvolvimento Sustentável): </a:t>
            </a:r>
          </a:p>
          <a:p>
            <a:endParaRPr lang="pt-BR" sz="1600" b="1">
              <a:latin typeface="Calibri" panose="020F0502020204030204" pitchFamily="34" charset="0"/>
              <a:cs typeface="Calibri" panose="020F0502020204030204" pitchFamily="34" charset="0"/>
            </a:endParaRPr>
          </a:p>
          <a:p>
            <a:r>
              <a:rPr lang="pt-BR" sz="1600" b="0">
                <a:latin typeface="Calibri" panose="020F0502020204030204" pitchFamily="34" charset="0"/>
                <a:cs typeface="Calibri" panose="020F0502020204030204" pitchFamily="34" charset="0"/>
              </a:rPr>
              <a:t>São objetivos</a:t>
            </a:r>
            <a:r>
              <a:rPr lang="pt-BR" sz="1600" b="0" baseline="0">
                <a:latin typeface="Calibri" panose="020F0502020204030204" pitchFamily="34" charset="0"/>
                <a:cs typeface="Calibri" panose="020F0502020204030204" pitchFamily="34" charset="0"/>
              </a:rPr>
              <a:t> que traçam o</a:t>
            </a:r>
            <a:r>
              <a:rPr lang="pt-BR" sz="1600" b="0">
                <a:latin typeface="Calibri" panose="020F0502020204030204" pitchFamily="34" charset="0"/>
                <a:cs typeface="Calibri" panose="020F0502020204030204" pitchFamily="34" charset="0"/>
              </a:rPr>
              <a:t> </a:t>
            </a:r>
            <a:r>
              <a:rPr lang="pt-BR" sz="1600" b="1">
                <a:latin typeface="Calibri" panose="020F0502020204030204" pitchFamily="34" charset="0"/>
                <a:cs typeface="Calibri" panose="020F0502020204030204" pitchFamily="34" charset="0"/>
              </a:rPr>
              <a:t>Plano Estratégico</a:t>
            </a:r>
            <a:r>
              <a:rPr lang="pt-BR" sz="1600" b="0">
                <a:latin typeface="Calibri" panose="020F0502020204030204" pitchFamily="34" charset="0"/>
                <a:cs typeface="Calibri" panose="020F0502020204030204" pitchFamily="34" charset="0"/>
              </a:rPr>
              <a:t> do município. Eles definem a visão de futuro e respondem à pergunta: "</a:t>
            </a:r>
            <a:r>
              <a:rPr lang="pt-BR" sz="1600" b="1">
                <a:latin typeface="Calibri" panose="020F0502020204030204" pitchFamily="34" charset="0"/>
                <a:cs typeface="Calibri" panose="020F0502020204030204" pitchFamily="34" charset="0"/>
              </a:rPr>
              <a:t>Aonde queremos chegar?</a:t>
            </a:r>
            <a:r>
              <a:rPr lang="pt-BR" sz="1600" b="0">
                <a:latin typeface="Calibri" panose="020F0502020204030204" pitchFamily="34" charset="0"/>
                <a:cs typeface="Calibri" panose="020F0502020204030204" pitchFamily="34" charset="0"/>
              </a:rPr>
              <a:t>".</a:t>
            </a:r>
          </a:p>
        </xdr:txBody>
      </xdr:sp>
      <xdr:sp macro="" textlink="">
        <xdr:nvSpPr>
          <xdr:cNvPr id="62" name="CaixaDeTexto 61">
            <a:extLst>
              <a:ext uri="{FF2B5EF4-FFF2-40B4-BE49-F238E27FC236}">
                <a16:creationId xmlns:a16="http://schemas.microsoft.com/office/drawing/2014/main" id="{1585E7A4-DC45-4B92-953A-8DE7A53A0A4E}"/>
              </a:ext>
            </a:extLst>
          </xdr:cNvPr>
          <xdr:cNvSpPr txBox="1"/>
        </xdr:nvSpPr>
        <xdr:spPr>
          <a:xfrm>
            <a:off x="2393461" y="4659921"/>
            <a:ext cx="2637692" cy="69361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2000" b="1">
                <a:latin typeface="Calibri" panose="020F0502020204030204" pitchFamily="34" charset="0"/>
                <a:cs typeface="Calibri" panose="020F0502020204030204" pitchFamily="34" charset="0"/>
              </a:rPr>
              <a:t>O</a:t>
            </a:r>
            <a:r>
              <a:rPr lang="pt-BR" sz="2000" b="1" baseline="0">
                <a:latin typeface="Calibri" panose="020F0502020204030204" pitchFamily="34" charset="0"/>
                <a:cs typeface="Calibri" panose="020F0502020204030204" pitchFamily="34" charset="0"/>
              </a:rPr>
              <a:t> </a:t>
            </a:r>
            <a:r>
              <a:rPr lang="pt-BR" sz="2000" b="1">
                <a:latin typeface="Calibri" panose="020F0502020204030204" pitchFamily="34" charset="0"/>
                <a:cs typeface="Calibri" panose="020F0502020204030204" pitchFamily="34" charset="0"/>
              </a:rPr>
              <a:t>que é ODS ?</a:t>
            </a:r>
          </a:p>
        </xdr:txBody>
      </xdr:sp>
    </xdr:grpSp>
    <xdr:clientData/>
  </xdr:twoCellAnchor>
  <xdr:twoCellAnchor>
    <xdr:from>
      <xdr:col>3</xdr:col>
      <xdr:colOff>547077</xdr:colOff>
      <xdr:row>12</xdr:row>
      <xdr:rowOff>107461</xdr:rowOff>
    </xdr:from>
    <xdr:to>
      <xdr:col>17</xdr:col>
      <xdr:colOff>947615</xdr:colOff>
      <xdr:row>21</xdr:row>
      <xdr:rowOff>166076</xdr:rowOff>
    </xdr:to>
    <xdr:sp macro="" textlink="">
      <xdr:nvSpPr>
        <xdr:cNvPr id="63" name="CaixaDeTexto 62">
          <a:extLst>
            <a:ext uri="{FF2B5EF4-FFF2-40B4-BE49-F238E27FC236}">
              <a16:creationId xmlns:a16="http://schemas.microsoft.com/office/drawing/2014/main" id="{0CDBF9AC-CFAA-4C5A-83E8-E42886CB8B2F}"/>
            </a:ext>
          </a:extLst>
        </xdr:cNvPr>
        <xdr:cNvSpPr txBox="1"/>
      </xdr:nvSpPr>
      <xdr:spPr>
        <a:xfrm>
          <a:off x="2540000" y="2745153"/>
          <a:ext cx="12700000" cy="16412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600">
              <a:latin typeface="Arial" panose="020B0604020202020204" pitchFamily="34" charset="0"/>
              <a:cs typeface="Arial" panose="020B0604020202020204" pitchFamily="34" charset="0"/>
            </a:rPr>
            <a:t>A </a:t>
          </a:r>
          <a:r>
            <a:rPr lang="pt-BR" sz="1600" b="1">
              <a:latin typeface="Arial" panose="020B0604020202020204" pitchFamily="34" charset="0"/>
              <a:cs typeface="Arial" panose="020B0604020202020204" pitchFamily="34" charset="0"/>
            </a:rPr>
            <a:t>Metodologia WELL</a:t>
          </a:r>
          <a:r>
            <a:rPr lang="pt-BR" sz="1600">
              <a:latin typeface="Arial" panose="020B0604020202020204" pitchFamily="34" charset="0"/>
              <a:cs typeface="Arial" panose="020B0604020202020204" pitchFamily="34" charset="0"/>
            </a:rPr>
            <a:t> se baseia em uma Agenda Global, estabelecida pela </a:t>
          </a:r>
          <a:r>
            <a:rPr lang="pt-BR" sz="1600" b="1">
              <a:latin typeface="Arial" panose="020B0604020202020204" pitchFamily="34" charset="0"/>
              <a:cs typeface="Arial" panose="020B0604020202020204" pitchFamily="34" charset="0"/>
            </a:rPr>
            <a:t>ONU</a:t>
          </a:r>
          <a:r>
            <a:rPr lang="pt-BR" sz="1600">
              <a:latin typeface="Arial" panose="020B0604020202020204" pitchFamily="34" charset="0"/>
              <a:cs typeface="Arial" panose="020B0604020202020204" pitchFamily="34" charset="0"/>
            </a:rPr>
            <a:t> e da qual o </a:t>
          </a:r>
          <a:r>
            <a:rPr lang="pt-BR" sz="1600" b="1">
              <a:latin typeface="Arial" panose="020B0604020202020204" pitchFamily="34" charset="0"/>
              <a:cs typeface="Arial" panose="020B0604020202020204" pitchFamily="34" charset="0"/>
            </a:rPr>
            <a:t>Brasil</a:t>
          </a:r>
          <a:r>
            <a:rPr lang="pt-BR" sz="1600">
              <a:latin typeface="Arial" panose="020B0604020202020204" pitchFamily="34" charset="0"/>
              <a:cs typeface="Arial" panose="020B0604020202020204" pitchFamily="34" charset="0"/>
            </a:rPr>
            <a:t> é membro. Ao</a:t>
          </a:r>
          <a:r>
            <a:rPr lang="pt-BR" sz="1600" baseline="0">
              <a:latin typeface="Arial" panose="020B0604020202020204" pitchFamily="34" charset="0"/>
              <a:cs typeface="Arial" panose="020B0604020202020204" pitchFamily="34" charset="0"/>
            </a:rPr>
            <a:t> aderir à Agenda, o município sinaliza para o mercado e para a sociedade que está aberto a todo tipo de parceria (com empresas, ONGs, universidades), que facilita a </a:t>
          </a:r>
          <a:r>
            <a:rPr lang="pt-BR" sz="1600" b="1" baseline="0">
              <a:latin typeface="Arial" panose="020B0604020202020204" pitchFamily="34" charset="0"/>
              <a:cs typeface="Arial" panose="020B0604020202020204" pitchFamily="34" charset="0"/>
            </a:rPr>
            <a:t>viabilização de todos os objetivos e captação de recursos</a:t>
          </a:r>
          <a:r>
            <a:rPr lang="pt-BR" sz="1600" baseline="0">
              <a:latin typeface="Arial" panose="020B0604020202020204" pitchFamily="34" charset="0"/>
              <a:cs typeface="Arial" panose="020B0604020202020204" pitchFamily="34" charset="0"/>
            </a:rPr>
            <a:t>.</a:t>
          </a:r>
          <a:endParaRPr lang="pt-BR" sz="160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pt-BR" sz="16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pt-BR" sz="1600" b="1">
              <a:latin typeface="Arial" panose="020B0604020202020204" pitchFamily="34" charset="0"/>
              <a:cs typeface="Arial" panose="020B0604020202020204" pitchFamily="34" charset="0"/>
            </a:rPr>
            <a:t>O</a:t>
          </a:r>
          <a:r>
            <a:rPr lang="pt-BR" sz="1600" b="1" baseline="0">
              <a:latin typeface="Arial" panose="020B0604020202020204" pitchFamily="34" charset="0"/>
              <a:cs typeface="Arial" panose="020B0604020202020204" pitchFamily="34" charset="0"/>
            </a:rPr>
            <a:t> Compromisso Global funciona com duas frentes complementares ODS e IDS, e que em essência um mostra a Direção e o outro, o Resultado. </a:t>
          </a:r>
          <a:endParaRPr lang="pt-BR" sz="16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185614</xdr:colOff>
      <xdr:row>23</xdr:row>
      <xdr:rowOff>87920</xdr:rowOff>
    </xdr:from>
    <xdr:to>
      <xdr:col>17</xdr:col>
      <xdr:colOff>1445845</xdr:colOff>
      <xdr:row>38</xdr:row>
      <xdr:rowOff>175845</xdr:rowOff>
    </xdr:to>
    <xdr:grpSp>
      <xdr:nvGrpSpPr>
        <xdr:cNvPr id="64" name="Agrupar 63">
          <a:extLst>
            <a:ext uri="{FF2B5EF4-FFF2-40B4-BE49-F238E27FC236}">
              <a16:creationId xmlns:a16="http://schemas.microsoft.com/office/drawing/2014/main" id="{5C8771FF-032B-411C-B40C-28249CD353E8}"/>
            </a:ext>
          </a:extLst>
        </xdr:cNvPr>
        <xdr:cNvGrpSpPr/>
      </xdr:nvGrpSpPr>
      <xdr:grpSpPr>
        <a:xfrm>
          <a:off x="10814537" y="4659920"/>
          <a:ext cx="4923693" cy="2725617"/>
          <a:chOff x="1348153" y="4659921"/>
          <a:chExt cx="4923693" cy="2432540"/>
        </a:xfrm>
      </xdr:grpSpPr>
      <xdr:sp macro="" textlink="">
        <xdr:nvSpPr>
          <xdr:cNvPr id="65" name="CaixaDeTexto 64">
            <a:extLst>
              <a:ext uri="{FF2B5EF4-FFF2-40B4-BE49-F238E27FC236}">
                <a16:creationId xmlns:a16="http://schemas.microsoft.com/office/drawing/2014/main" id="{FD30C7DA-DB86-442C-A141-E420AB2FF1EB}"/>
              </a:ext>
            </a:extLst>
          </xdr:cNvPr>
          <xdr:cNvSpPr txBox="1"/>
        </xdr:nvSpPr>
        <xdr:spPr>
          <a:xfrm>
            <a:off x="1348153" y="5441461"/>
            <a:ext cx="4923693" cy="1651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pt-BR" sz="1600" b="1">
              <a:latin typeface="Calibri" panose="020F0502020204030204" pitchFamily="34" charset="0"/>
              <a:cs typeface="Calibri" panose="020F0502020204030204" pitchFamily="34" charset="0"/>
            </a:endParaRPr>
          </a:p>
          <a:p>
            <a:pPr algn="ctr"/>
            <a:r>
              <a:rPr lang="pt-BR" sz="1600" b="1"/>
              <a:t>IDS (Indicadores de Desenvolvimento Sustentável):</a:t>
            </a:r>
          </a:p>
          <a:p>
            <a:pPr algn="ctr"/>
            <a:endParaRPr lang="pt-BR" sz="1600" b="1">
              <a:latin typeface="Calibri" panose="020F0502020204030204" pitchFamily="34" charset="0"/>
              <a:cs typeface="Calibri" panose="020F0502020204030204" pitchFamily="34" charset="0"/>
            </a:endParaRPr>
          </a:p>
          <a:p>
            <a:r>
              <a:rPr lang="pt-BR" sz="1600"/>
              <a:t>É o nosso </a:t>
            </a:r>
            <a:r>
              <a:rPr lang="pt-BR" sz="1600" b="1"/>
              <a:t>Painel de Controle</a:t>
            </a:r>
            <a:r>
              <a:rPr lang="pt-BR" sz="1600"/>
              <a:t>. Eles trazem os dados que medem e comprovam o avanço em cada meta, respondendo à pergunta: </a:t>
            </a:r>
            <a:r>
              <a:rPr lang="pt-BR" sz="1600" b="1"/>
              <a:t>"Como provamos nosso progresso?"</a:t>
            </a:r>
            <a:r>
              <a:rPr lang="pt-BR" sz="1600"/>
              <a:t>.</a:t>
            </a:r>
            <a:endParaRPr lang="pt-BR" sz="1600" b="1"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  <xdr:sp macro="" textlink="">
        <xdr:nvSpPr>
          <xdr:cNvPr id="66" name="CaixaDeTexto 65">
            <a:extLst>
              <a:ext uri="{FF2B5EF4-FFF2-40B4-BE49-F238E27FC236}">
                <a16:creationId xmlns:a16="http://schemas.microsoft.com/office/drawing/2014/main" id="{ABD8BD43-FBD2-438E-8530-8CF7A2832ACC}"/>
              </a:ext>
            </a:extLst>
          </xdr:cNvPr>
          <xdr:cNvSpPr txBox="1"/>
        </xdr:nvSpPr>
        <xdr:spPr>
          <a:xfrm>
            <a:off x="2364154" y="4659921"/>
            <a:ext cx="2637692" cy="69361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2000" b="1">
                <a:latin typeface="Calibri" panose="020F0502020204030204" pitchFamily="34" charset="0"/>
                <a:cs typeface="Calibri" panose="020F0502020204030204" pitchFamily="34" charset="0"/>
              </a:rPr>
              <a:t>O</a:t>
            </a:r>
            <a:r>
              <a:rPr lang="pt-BR" sz="2000" b="1" baseline="0">
                <a:latin typeface="Calibri" panose="020F0502020204030204" pitchFamily="34" charset="0"/>
                <a:cs typeface="Calibri" panose="020F0502020204030204" pitchFamily="34" charset="0"/>
              </a:rPr>
              <a:t> </a:t>
            </a:r>
            <a:r>
              <a:rPr lang="pt-BR" sz="2000" b="1">
                <a:latin typeface="Calibri" panose="020F0502020204030204" pitchFamily="34" charset="0"/>
                <a:cs typeface="Calibri" panose="020F0502020204030204" pitchFamily="34" charset="0"/>
              </a:rPr>
              <a:t>que é IDS ?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485775</xdr:colOff>
      <xdr:row>1</xdr:row>
      <xdr:rowOff>0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D2C8D8-BA48-4334-97F2-86E368889C80}"/>
            </a:ext>
          </a:extLst>
        </xdr:cNvPr>
        <xdr:cNvGrpSpPr/>
      </xdr:nvGrpSpPr>
      <xdr:grpSpPr>
        <a:xfrm>
          <a:off x="0" y="0"/>
          <a:ext cx="1814390" cy="576385"/>
          <a:chOff x="3552825" y="2171700"/>
          <a:chExt cx="1895475" cy="561975"/>
        </a:xfrm>
      </xdr:grpSpPr>
      <xdr:sp macro="" textlink="">
        <xdr:nvSpPr>
          <xdr:cNvPr id="3" name="Retângulo 2">
            <a:extLst>
              <a:ext uri="{FF2B5EF4-FFF2-40B4-BE49-F238E27FC236}">
                <a16:creationId xmlns:a16="http://schemas.microsoft.com/office/drawing/2014/main" id="{2997BB63-4E5C-4518-B436-D4026B3FFA4B}"/>
              </a:ext>
            </a:extLst>
          </xdr:cNvPr>
          <xdr:cNvSpPr/>
        </xdr:nvSpPr>
        <xdr:spPr>
          <a:xfrm>
            <a:off x="3552825" y="2171700"/>
            <a:ext cx="1895475" cy="561975"/>
          </a:xfrm>
          <a:prstGeom prst="rect">
            <a:avLst/>
          </a:prstGeom>
          <a:gradFill>
            <a:gsLst>
              <a:gs pos="0">
                <a:schemeClr val="bg1"/>
              </a:gs>
              <a:gs pos="89000">
                <a:srgbClr val="FFCC29">
                  <a:alpha val="50000"/>
                </a:srgbClr>
              </a:gs>
              <a:gs pos="100000">
                <a:srgbClr val="FFCC29">
                  <a:alpha val="50000"/>
                </a:srgbClr>
              </a:gs>
            </a:gsLst>
            <a:lin ang="27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79BE726A-1129-4CD2-A44C-4115A17FFD6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-1261" t="29165" r="1261" b="28126"/>
          <a:stretch/>
        </xdr:blipFill>
        <xdr:spPr>
          <a:xfrm>
            <a:off x="3686175" y="2187575"/>
            <a:ext cx="1492250" cy="527050"/>
          </a:xfrm>
          <a:prstGeom prst="rect">
            <a:avLst/>
          </a:prstGeom>
        </xdr:spPr>
      </xdr:pic>
    </xdr:grpSp>
    <xdr:clientData/>
  </xdr:twoCellAnchor>
  <xdr:twoCellAnchor editAs="oneCell">
    <xdr:from>
      <xdr:col>16</xdr:col>
      <xdr:colOff>1822904</xdr:colOff>
      <xdr:row>0</xdr:row>
      <xdr:rowOff>0</xdr:rowOff>
    </xdr:from>
    <xdr:to>
      <xdr:col>17</xdr:col>
      <xdr:colOff>1487554</xdr:colOff>
      <xdr:row>1</xdr:row>
      <xdr:rowOff>63501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8846D39-FC4A-4D3B-A0E2-05C4FA4376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08" t="30769" r="-2208" b="27473"/>
        <a:stretch/>
      </xdr:blipFill>
      <xdr:spPr>
        <a:xfrm>
          <a:off x="12273190" y="0"/>
          <a:ext cx="3338578" cy="63817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0</xdr:row>
      <xdr:rowOff>454</xdr:rowOff>
    </xdr:from>
    <xdr:to>
      <xdr:col>4</xdr:col>
      <xdr:colOff>28575</xdr:colOff>
      <xdr:row>0</xdr:row>
      <xdr:rowOff>568779</xdr:rowOff>
    </xdr:to>
    <xdr:grpSp>
      <xdr:nvGrpSpPr>
        <xdr:cNvPr id="26" name="Agrupar 2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6DBA1F-58E7-49F5-9916-0F5EA5DB53A8}"/>
            </a:ext>
          </a:extLst>
        </xdr:cNvPr>
        <xdr:cNvGrpSpPr/>
      </xdr:nvGrpSpPr>
      <xdr:grpSpPr>
        <a:xfrm>
          <a:off x="1992923" y="454"/>
          <a:ext cx="692883" cy="568325"/>
          <a:chOff x="1990594" y="-9022"/>
          <a:chExt cx="615017" cy="581025"/>
        </a:xfrm>
        <a:solidFill>
          <a:schemeClr val="bg1"/>
        </a:solidFill>
      </xdr:grpSpPr>
      <xdr:sp macro="" textlink="">
        <xdr:nvSpPr>
          <xdr:cNvPr id="27" name="Retângulo 26">
            <a:extLst>
              <a:ext uri="{FF2B5EF4-FFF2-40B4-BE49-F238E27FC236}">
                <a16:creationId xmlns:a16="http://schemas.microsoft.com/office/drawing/2014/main" id="{09997FAD-561A-4ADF-9829-DD864B725067}"/>
              </a:ext>
            </a:extLst>
          </xdr:cNvPr>
          <xdr:cNvSpPr/>
        </xdr:nvSpPr>
        <xdr:spPr>
          <a:xfrm>
            <a:off x="1990594" y="-9022"/>
            <a:ext cx="615017" cy="5810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28" name="Imagem 27">
            <a:extLst>
              <a:ext uri="{FF2B5EF4-FFF2-40B4-BE49-F238E27FC236}">
                <a16:creationId xmlns:a16="http://schemas.microsoft.com/office/drawing/2014/main" id="{2691FF0E-1C2B-4963-A9AA-291A28FBFD3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 cstate="print"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10000" b="90000" l="10000" r="90000">
                        <a14:foregroundMark x1="52252" y1="78333" x2="52252" y2="78333"/>
                        <a14:foregroundMark x1="62162" y1="68889" x2="62162" y2="68889"/>
                        <a14:foregroundMark x1="65165" y1="57222" x2="65165" y2="57222"/>
                        <a14:foregroundMark x1="65165" y1="40556" x2="65165" y2="40556"/>
                        <a14:foregroundMark x1="62763" y1="27222" x2="62763" y2="27222"/>
                        <a14:foregroundMark x1="46847" y1="22222" x2="46847" y2="22222"/>
                        <a14:foregroundMark x1="40841" y1="26667" x2="40841" y2="26667"/>
                        <a14:foregroundMark x1="47147" y1="76111" x2="47147" y2="76111"/>
                        <a14:foregroundMark x1="46847" y1="73889" x2="45646" y2="7277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l="28569" t="6871" r="29129" b="14812"/>
          <a:stretch/>
        </xdr:blipFill>
        <xdr:spPr>
          <a:xfrm>
            <a:off x="2168525" y="66674"/>
            <a:ext cx="281358" cy="276223"/>
          </a:xfrm>
          <a:prstGeom prst="rect">
            <a:avLst/>
          </a:prstGeom>
          <a:grpFill/>
        </xdr:spPr>
      </xdr:pic>
      <xdr:sp macro="" textlink="">
        <xdr:nvSpPr>
          <xdr:cNvPr id="29" name="CaixaDeTexto 28">
            <a:extLst>
              <a:ext uri="{FF2B5EF4-FFF2-40B4-BE49-F238E27FC236}">
                <a16:creationId xmlns:a16="http://schemas.microsoft.com/office/drawing/2014/main" id="{8D70C28D-5868-4DC1-ABF4-BBEA3DC75E4D}"/>
              </a:ext>
            </a:extLst>
          </xdr:cNvPr>
          <xdr:cNvSpPr txBox="1"/>
        </xdr:nvSpPr>
        <xdr:spPr>
          <a:xfrm>
            <a:off x="2009774" y="342900"/>
            <a:ext cx="587376" cy="2095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700" b="1">
                <a:latin typeface="Calibri" panose="020F0502020204030204" pitchFamily="34" charset="0"/>
                <a:cs typeface="Calibri" panose="020F0502020204030204" pitchFamily="34" charset="0"/>
              </a:rPr>
              <a:t>IDS</a:t>
            </a:r>
            <a:r>
              <a:rPr lang="pt-BR" sz="700" b="1" baseline="0">
                <a:latin typeface="Calibri" panose="020F0502020204030204" pitchFamily="34" charset="0"/>
                <a:cs typeface="Calibri" panose="020F0502020204030204" pitchFamily="34" charset="0"/>
              </a:rPr>
              <a:t> e ODS</a:t>
            </a:r>
            <a:endParaRPr lang="pt-BR" sz="700" b="1"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</xdr:grpSp>
    <xdr:clientData/>
  </xdr:twoCellAnchor>
  <xdr:twoCellAnchor>
    <xdr:from>
      <xdr:col>5</xdr:col>
      <xdr:colOff>134939</xdr:colOff>
      <xdr:row>0</xdr:row>
      <xdr:rowOff>0</xdr:rowOff>
    </xdr:from>
    <xdr:to>
      <xdr:col>6</xdr:col>
      <xdr:colOff>158749</xdr:colOff>
      <xdr:row>1</xdr:row>
      <xdr:rowOff>0</xdr:rowOff>
    </xdr:to>
    <xdr:grpSp>
      <xdr:nvGrpSpPr>
        <xdr:cNvPr id="30" name="Agrupar 2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C1900C6-C13D-487E-BAFA-E3C4890FC77C}"/>
            </a:ext>
          </a:extLst>
        </xdr:cNvPr>
        <xdr:cNvGrpSpPr/>
      </xdr:nvGrpSpPr>
      <xdr:grpSpPr>
        <a:xfrm>
          <a:off x="3456477" y="0"/>
          <a:ext cx="688118" cy="576385"/>
          <a:chOff x="3551240" y="0"/>
          <a:chExt cx="713194" cy="571500"/>
        </a:xfrm>
      </xdr:grpSpPr>
      <xdr:grpSp>
        <xdr:nvGrpSpPr>
          <xdr:cNvPr id="31" name="Agrupar 30">
            <a:extLst>
              <a:ext uri="{FF2B5EF4-FFF2-40B4-BE49-F238E27FC236}">
                <a16:creationId xmlns:a16="http://schemas.microsoft.com/office/drawing/2014/main" id="{1FD57334-4329-46AE-8992-EC3B5D83E47E}"/>
              </a:ext>
            </a:extLst>
          </xdr:cNvPr>
          <xdr:cNvGrpSpPr/>
        </xdr:nvGrpSpPr>
        <xdr:grpSpPr>
          <a:xfrm>
            <a:off x="3551240" y="0"/>
            <a:ext cx="713194" cy="571500"/>
            <a:chOff x="2015062" y="0"/>
            <a:chExt cx="623815" cy="581025"/>
          </a:xfrm>
          <a:solidFill>
            <a:srgbClr val="3399FF"/>
          </a:solidFill>
        </xdr:grpSpPr>
        <xdr:sp macro="" textlink="">
          <xdr:nvSpPr>
            <xdr:cNvPr id="33" name="Retângulo 32">
              <a:extLst>
                <a:ext uri="{FF2B5EF4-FFF2-40B4-BE49-F238E27FC236}">
                  <a16:creationId xmlns:a16="http://schemas.microsoft.com/office/drawing/2014/main" id="{B24974EE-BE4E-4EF1-9D9A-2CD558D6CEE3}"/>
                </a:ext>
              </a:extLst>
            </xdr:cNvPr>
            <xdr:cNvSpPr/>
          </xdr:nvSpPr>
          <xdr:spPr>
            <a:xfrm>
              <a:off x="2015062" y="0"/>
              <a:ext cx="615017" cy="581025"/>
            </a:xfrm>
            <a:prstGeom prst="rect">
              <a:avLst/>
            </a:prstGeom>
            <a:solidFill>
              <a:srgbClr val="FFCC29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18BF26F2-469D-4AEF-84D7-AAE7DEBC0323}"/>
                </a:ext>
              </a:extLst>
            </xdr:cNvPr>
            <xdr:cNvSpPr txBox="1"/>
          </xdr:nvSpPr>
          <xdr:spPr>
            <a:xfrm>
              <a:off x="2024778" y="416894"/>
              <a:ext cx="614099" cy="116204"/>
            </a:xfrm>
            <a:prstGeom prst="rect">
              <a:avLst/>
            </a:prstGeom>
            <a:noFill/>
            <a:ln w="9525" cmpd="sng">
              <a:noFill/>
            </a:ln>
            <a:effectLst>
              <a:softEdge rad="12700"/>
            </a:effec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600" b="1">
                  <a:latin typeface="Calibri" panose="020F0502020204030204" pitchFamily="34" charset="0"/>
                  <a:cs typeface="Calibri" panose="020F0502020204030204" pitchFamily="34" charset="0"/>
                </a:rPr>
                <a:t>COMPARATIVO</a:t>
              </a:r>
              <a:endParaRPr lang="pt-BR" sz="700" b="1">
                <a:latin typeface="Calibri" panose="020F0502020204030204" pitchFamily="34" charset="0"/>
                <a:cs typeface="Calibri" panose="020F0502020204030204" pitchFamily="34" charset="0"/>
              </a:endParaRPr>
            </a:p>
          </xdr:txBody>
        </xdr:sp>
      </xdr:grpSp>
      <xdr:pic>
        <xdr:nvPicPr>
          <xdr:cNvPr id="32" name="Imagem 31">
            <a:extLst>
              <a:ext uri="{FF2B5EF4-FFF2-40B4-BE49-F238E27FC236}">
                <a16:creationId xmlns:a16="http://schemas.microsoft.com/office/drawing/2014/main" id="{4C58CE30-A89C-4A58-A301-DD024748103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52850" y="76684"/>
            <a:ext cx="314325" cy="314325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68271</xdr:colOff>
      <xdr:row>0</xdr:row>
      <xdr:rowOff>0</xdr:rowOff>
    </xdr:from>
    <xdr:to>
      <xdr:col>5</xdr:col>
      <xdr:colOff>95251</xdr:colOff>
      <xdr:row>1</xdr:row>
      <xdr:rowOff>0</xdr:rowOff>
    </xdr:to>
    <xdr:grpSp>
      <xdr:nvGrpSpPr>
        <xdr:cNvPr id="35" name="Agrupar 3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F41A196-509C-4D38-985B-67A7A1BBEE21}"/>
            </a:ext>
          </a:extLst>
        </xdr:cNvPr>
        <xdr:cNvGrpSpPr/>
      </xdr:nvGrpSpPr>
      <xdr:grpSpPr>
        <a:xfrm>
          <a:off x="2725502" y="0"/>
          <a:ext cx="691287" cy="576385"/>
          <a:chOff x="2808296" y="0"/>
          <a:chExt cx="703255" cy="571500"/>
        </a:xfrm>
        <a:solidFill>
          <a:srgbClr val="FFCC29"/>
        </a:solidFill>
      </xdr:grpSpPr>
      <xdr:grpSp>
        <xdr:nvGrpSpPr>
          <xdr:cNvPr id="36" name="Agrupar 35">
            <a:extLst>
              <a:ext uri="{FF2B5EF4-FFF2-40B4-BE49-F238E27FC236}">
                <a16:creationId xmlns:a16="http://schemas.microsoft.com/office/drawing/2014/main" id="{52705710-715F-4530-A8A8-4EF4D342CF59}"/>
              </a:ext>
            </a:extLst>
          </xdr:cNvPr>
          <xdr:cNvGrpSpPr/>
        </xdr:nvGrpSpPr>
        <xdr:grpSpPr>
          <a:xfrm>
            <a:off x="2808296" y="0"/>
            <a:ext cx="703255" cy="571500"/>
            <a:chOff x="2015062" y="0"/>
            <a:chExt cx="615017" cy="581025"/>
          </a:xfrm>
          <a:grpFill/>
        </xdr:grpSpPr>
        <xdr:sp macro="" textlink="">
          <xdr:nvSpPr>
            <xdr:cNvPr id="38" name="Retângulo 37">
              <a:extLst>
                <a:ext uri="{FF2B5EF4-FFF2-40B4-BE49-F238E27FC236}">
                  <a16:creationId xmlns:a16="http://schemas.microsoft.com/office/drawing/2014/main" id="{6191FC68-A093-4E24-B8B6-C8D50CB1ED03}"/>
                </a:ext>
              </a:extLst>
            </xdr:cNvPr>
            <xdr:cNvSpPr/>
          </xdr:nvSpPr>
          <xdr:spPr>
            <a:xfrm>
              <a:off x="2015062" y="0"/>
              <a:ext cx="615017" cy="581025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CBA6E2E7-2FA7-46AF-805F-1E85E948A7C6}"/>
                </a:ext>
              </a:extLst>
            </xdr:cNvPr>
            <xdr:cNvSpPr txBox="1"/>
          </xdr:nvSpPr>
          <xdr:spPr>
            <a:xfrm>
              <a:off x="2021497" y="363951"/>
              <a:ext cx="587376" cy="209550"/>
            </a:xfrm>
            <a:prstGeom prst="rect">
              <a:avLst/>
            </a:prstGeom>
            <a:grpFill/>
            <a:ln w="9525" cmpd="sng">
              <a:noFill/>
            </a:ln>
            <a:effectLst>
              <a:softEdge rad="12700"/>
            </a:effec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600" b="1">
                  <a:latin typeface="Calibri" panose="020F0502020204030204" pitchFamily="34" charset="0"/>
                  <a:cs typeface="Calibri" panose="020F0502020204030204" pitchFamily="34" charset="0"/>
                </a:rPr>
                <a:t>DASHBOARD</a:t>
              </a:r>
              <a:endParaRPr lang="pt-BR" sz="700" b="1">
                <a:latin typeface="Calibri" panose="020F0502020204030204" pitchFamily="34" charset="0"/>
                <a:cs typeface="Calibri" panose="020F0502020204030204" pitchFamily="34" charset="0"/>
              </a:endParaRPr>
            </a:p>
          </xdr:txBody>
        </xdr:sp>
      </xdr:grpSp>
      <xdr:pic>
        <xdr:nvPicPr>
          <xdr:cNvPr id="37" name="Imagem 36">
            <a:extLst>
              <a:ext uri="{FF2B5EF4-FFF2-40B4-BE49-F238E27FC236}">
                <a16:creationId xmlns:a16="http://schemas.microsoft.com/office/drawing/2014/main" id="{AAA2100E-F69F-4B97-9332-5308E4738E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88450" y="54750"/>
            <a:ext cx="360000" cy="360000"/>
          </a:xfrm>
          <a:prstGeom prst="rect">
            <a:avLst/>
          </a:prstGeom>
          <a:grpFill/>
        </xdr:spPr>
      </xdr:pic>
    </xdr:grp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527050</xdr:colOff>
      <xdr:row>0</xdr:row>
      <xdr:rowOff>570533</xdr:rowOff>
    </xdr:to>
    <xdr:grpSp>
      <xdr:nvGrpSpPr>
        <xdr:cNvPr id="40" name="Agrupar 3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88D854B-1575-4A45-9091-D22B026D69CE}"/>
            </a:ext>
          </a:extLst>
        </xdr:cNvPr>
        <xdr:cNvGrpSpPr/>
      </xdr:nvGrpSpPr>
      <xdr:grpSpPr>
        <a:xfrm>
          <a:off x="5314462" y="0"/>
          <a:ext cx="1191357" cy="570533"/>
          <a:chOff x="5569357" y="6421"/>
          <a:chExt cx="1200150" cy="576943"/>
        </a:xfrm>
        <a:gradFill>
          <a:gsLst>
            <a:gs pos="0">
              <a:srgbClr val="FFCC29"/>
            </a:gs>
            <a:gs pos="74000">
              <a:schemeClr val="bg1"/>
            </a:gs>
            <a:gs pos="39000">
              <a:srgbClr val="FFCC29"/>
            </a:gs>
            <a:gs pos="21000">
              <a:srgbClr val="FFCC29"/>
            </a:gs>
          </a:gsLst>
          <a:lin ang="5400000" scaled="1"/>
        </a:gradFill>
      </xdr:grpSpPr>
      <xdr:sp macro="" textlink="">
        <xdr:nvSpPr>
          <xdr:cNvPr id="41" name="Retângulo 40">
            <a:extLst>
              <a:ext uri="{FF2B5EF4-FFF2-40B4-BE49-F238E27FC236}">
                <a16:creationId xmlns:a16="http://schemas.microsoft.com/office/drawing/2014/main" id="{50209E30-6163-450D-8250-8D1BFE7FCD67}"/>
              </a:ext>
            </a:extLst>
          </xdr:cNvPr>
          <xdr:cNvSpPr/>
        </xdr:nvSpPr>
        <xdr:spPr>
          <a:xfrm>
            <a:off x="5569357" y="6421"/>
            <a:ext cx="1200150" cy="571500"/>
          </a:xfrm>
          <a:prstGeom prst="rect">
            <a:avLst/>
          </a:prstGeom>
          <a:grp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2" name="CaixaDeTexto 41">
            <a:extLst>
              <a:ext uri="{FF2B5EF4-FFF2-40B4-BE49-F238E27FC236}">
                <a16:creationId xmlns:a16="http://schemas.microsoft.com/office/drawing/2014/main" id="{F28E3725-E07B-4C23-A4D4-2FF1BA0CA799}"/>
              </a:ext>
            </a:extLst>
          </xdr:cNvPr>
          <xdr:cNvSpPr txBox="1"/>
        </xdr:nvSpPr>
        <xdr:spPr>
          <a:xfrm>
            <a:off x="5819654" y="391702"/>
            <a:ext cx="731643" cy="191662"/>
          </a:xfrm>
          <a:prstGeom prst="rect">
            <a:avLst/>
          </a:prstGeom>
          <a:noFill/>
          <a:ln w="3175" cmpd="sng">
            <a:noFill/>
          </a:ln>
          <a:effectLst>
            <a:softEdge rad="12700"/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Calibri" panose="020F0502020204030204" pitchFamily="34" charset="0"/>
                <a:cs typeface="Calibri" panose="020F0502020204030204" pitchFamily="34" charset="0"/>
              </a:rPr>
              <a:t>EIXOS</a:t>
            </a:r>
            <a:r>
              <a:rPr lang="pt-BR" sz="800" b="1" baseline="0">
                <a:latin typeface="Calibri" panose="020F0502020204030204" pitchFamily="34" charset="0"/>
                <a:cs typeface="Calibri" panose="020F0502020204030204" pitchFamily="34" charset="0"/>
              </a:rPr>
              <a:t> WELL</a:t>
            </a:r>
            <a:endParaRPr lang="pt-BR" sz="800" b="1"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  <xdr:pic>
        <xdr:nvPicPr>
          <xdr:cNvPr id="43" name="Imagem 42">
            <a:extLst>
              <a:ext uri="{FF2B5EF4-FFF2-40B4-BE49-F238E27FC236}">
                <a16:creationId xmlns:a16="http://schemas.microsoft.com/office/drawing/2014/main" id="{8F646A26-529E-4584-8204-CFDFDA0A8E1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01700" y="69453"/>
            <a:ext cx="316719" cy="316719"/>
          </a:xfrm>
          <a:prstGeom prst="rect">
            <a:avLst/>
          </a:prstGeom>
          <a:grpFill/>
          <a:ln w="3175">
            <a:noFill/>
          </a:ln>
        </xdr:spPr>
      </xdr:pic>
    </xdr:grpSp>
    <xdr:clientData/>
  </xdr:twoCellAnchor>
  <xdr:twoCellAnchor>
    <xdr:from>
      <xdr:col>0</xdr:col>
      <xdr:colOff>86178</xdr:colOff>
      <xdr:row>4</xdr:row>
      <xdr:rowOff>68036</xdr:rowOff>
    </xdr:from>
    <xdr:to>
      <xdr:col>17</xdr:col>
      <xdr:colOff>3061825</xdr:colOff>
      <xdr:row>8</xdr:row>
      <xdr:rowOff>159457</xdr:rowOff>
    </xdr:to>
    <xdr:grpSp>
      <xdr:nvGrpSpPr>
        <xdr:cNvPr id="44" name="Agrupar 43">
          <a:extLst>
            <a:ext uri="{FF2B5EF4-FFF2-40B4-BE49-F238E27FC236}">
              <a16:creationId xmlns:a16="http://schemas.microsoft.com/office/drawing/2014/main" id="{5F51B340-5BB0-4D08-9E9F-59EDDD32399B}"/>
            </a:ext>
          </a:extLst>
        </xdr:cNvPr>
        <xdr:cNvGrpSpPr/>
      </xdr:nvGrpSpPr>
      <xdr:grpSpPr>
        <a:xfrm>
          <a:off x="86178" y="1298959"/>
          <a:ext cx="17268032" cy="794806"/>
          <a:chOff x="340180" y="1269544"/>
          <a:chExt cx="17093503" cy="794387"/>
        </a:xfrm>
      </xdr:grpSpPr>
      <xdr:grpSp>
        <xdr:nvGrpSpPr>
          <xdr:cNvPr id="45" name="Agrupar 44">
            <a:extLst>
              <a:ext uri="{FF2B5EF4-FFF2-40B4-BE49-F238E27FC236}">
                <a16:creationId xmlns:a16="http://schemas.microsoft.com/office/drawing/2014/main" id="{05E3262D-1D23-47F4-9150-BB38B8BCE2A4}"/>
              </a:ext>
            </a:extLst>
          </xdr:cNvPr>
          <xdr:cNvGrpSpPr/>
        </xdr:nvGrpSpPr>
        <xdr:grpSpPr>
          <a:xfrm>
            <a:off x="340180" y="1269544"/>
            <a:ext cx="16039976" cy="794387"/>
            <a:chOff x="559583" y="1156287"/>
            <a:chExt cx="16046331" cy="788037"/>
          </a:xfrm>
        </xdr:grpSpPr>
        <xdr:pic>
          <xdr:nvPicPr>
            <xdr:cNvPr id="47" name="ods.2">
              <a:extLst>
                <a:ext uri="{FF2B5EF4-FFF2-40B4-BE49-F238E27FC236}">
                  <a16:creationId xmlns:a16="http://schemas.microsoft.com/office/drawing/2014/main" id="{1CB726A8-D436-490B-AE0D-202D361628B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567329" y="1227499"/>
              <a:ext cx="903121" cy="716825"/>
            </a:xfrm>
            <a:prstGeom prst="rect">
              <a:avLst/>
            </a:prstGeom>
          </xdr:spPr>
        </xdr:pic>
        <xdr:pic>
          <xdr:nvPicPr>
            <xdr:cNvPr id="48" name="Imagem 47">
              <a:extLst>
                <a:ext uri="{FF2B5EF4-FFF2-40B4-BE49-F238E27FC236}">
                  <a16:creationId xmlns:a16="http://schemas.microsoft.com/office/drawing/2014/main" id="{413B9671-1332-48DE-8090-9CEB47C3686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595034" y="1207542"/>
              <a:ext cx="827452" cy="726350"/>
            </a:xfrm>
            <a:prstGeom prst="rect">
              <a:avLst/>
            </a:prstGeom>
          </xdr:spPr>
        </xdr:pic>
        <xdr:pic>
          <xdr:nvPicPr>
            <xdr:cNvPr id="49" name="ods.4">
              <a:extLst>
                <a:ext uri="{FF2B5EF4-FFF2-40B4-BE49-F238E27FC236}">
                  <a16:creationId xmlns:a16="http://schemas.microsoft.com/office/drawing/2014/main" id="{752799B1-CFE8-4D58-A1F6-25419771E91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547070" y="1217973"/>
              <a:ext cx="854829" cy="726350"/>
            </a:xfrm>
            <a:prstGeom prst="rect">
              <a:avLst/>
            </a:prstGeom>
          </xdr:spPr>
        </xdr:pic>
        <xdr:pic>
          <xdr:nvPicPr>
            <xdr:cNvPr id="50" name="Imagem 49">
              <a:extLst>
                <a:ext uri="{FF2B5EF4-FFF2-40B4-BE49-F238E27FC236}">
                  <a16:creationId xmlns:a16="http://schemas.microsoft.com/office/drawing/2014/main" id="{BDC7C350-8165-4B22-91AA-EBB114114AC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526483" y="1210717"/>
              <a:ext cx="850264" cy="723175"/>
            </a:xfrm>
            <a:prstGeom prst="rect">
              <a:avLst/>
            </a:prstGeom>
          </xdr:spPr>
        </xdr:pic>
        <xdr:pic>
          <xdr:nvPicPr>
            <xdr:cNvPr id="51" name="ods.1">
              <a:extLst>
                <a:ext uri="{FF2B5EF4-FFF2-40B4-BE49-F238E27FC236}">
                  <a16:creationId xmlns:a16="http://schemas.microsoft.com/office/drawing/2014/main" id="{A8AF08E1-B630-4240-9B5C-A842AA3C753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59583" y="1221147"/>
              <a:ext cx="883162" cy="723175"/>
            </a:xfrm>
            <a:prstGeom prst="rect">
              <a:avLst/>
            </a:prstGeom>
          </xdr:spPr>
        </xdr:pic>
        <xdr:pic>
          <xdr:nvPicPr>
            <xdr:cNvPr id="52" name="Imagem 51">
              <a:extLst>
                <a:ext uri="{FF2B5EF4-FFF2-40B4-BE49-F238E27FC236}">
                  <a16:creationId xmlns:a16="http://schemas.microsoft.com/office/drawing/2014/main" id="{A33C7C8D-CD67-41AB-BC28-0FDC12BF78F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8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501331" y="1190759"/>
              <a:ext cx="860593" cy="726350"/>
            </a:xfrm>
            <a:prstGeom prst="rect">
              <a:avLst/>
            </a:prstGeom>
          </xdr:spPr>
        </xdr:pic>
        <xdr:pic>
          <xdr:nvPicPr>
            <xdr:cNvPr id="53" name="Imagem 52">
              <a:extLst>
                <a:ext uri="{FF2B5EF4-FFF2-40B4-BE49-F238E27FC236}">
                  <a16:creationId xmlns:a16="http://schemas.microsoft.com/office/drawing/2014/main" id="{EA3B979C-8CCB-4B3A-9838-FE1D518C89C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486508" y="1190760"/>
              <a:ext cx="840495" cy="726350"/>
            </a:xfrm>
            <a:prstGeom prst="rect">
              <a:avLst/>
            </a:prstGeom>
          </xdr:spPr>
        </xdr:pic>
        <xdr:pic>
          <xdr:nvPicPr>
            <xdr:cNvPr id="54" name="Imagem 53">
              <a:extLst>
                <a:ext uri="{FF2B5EF4-FFF2-40B4-BE49-F238E27FC236}">
                  <a16:creationId xmlns:a16="http://schemas.microsoft.com/office/drawing/2014/main" id="{E82556F2-53F7-4609-AE85-B627BFC8447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0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451587" y="1187584"/>
              <a:ext cx="848574" cy="729525"/>
            </a:xfrm>
            <a:prstGeom prst="rect">
              <a:avLst/>
            </a:prstGeom>
          </xdr:spPr>
        </xdr:pic>
        <xdr:pic>
          <xdr:nvPicPr>
            <xdr:cNvPr id="55" name="Imagem 54">
              <a:extLst>
                <a:ext uri="{FF2B5EF4-FFF2-40B4-BE49-F238E27FC236}">
                  <a16:creationId xmlns:a16="http://schemas.microsoft.com/office/drawing/2014/main" id="{B3827B4B-E0FB-441C-913D-71BDE7C225E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8424745" y="1193885"/>
              <a:ext cx="965397" cy="723175"/>
            </a:xfrm>
            <a:prstGeom prst="rect">
              <a:avLst/>
            </a:prstGeom>
          </xdr:spPr>
        </xdr:pic>
        <xdr:pic>
          <xdr:nvPicPr>
            <xdr:cNvPr id="56" name="Imagem 55">
              <a:extLst>
                <a:ext uri="{FF2B5EF4-FFF2-40B4-BE49-F238E27FC236}">
                  <a16:creationId xmlns:a16="http://schemas.microsoft.com/office/drawing/2014/main" id="{BB83EA47-1CC1-43CB-96BF-3C41BB3A381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9514726" y="1173977"/>
              <a:ext cx="922068" cy="726350"/>
            </a:xfrm>
            <a:prstGeom prst="rect">
              <a:avLst/>
            </a:prstGeom>
          </xdr:spPr>
        </xdr:pic>
        <xdr:pic>
          <xdr:nvPicPr>
            <xdr:cNvPr id="57" name="Imagem 56">
              <a:extLst>
                <a:ext uri="{FF2B5EF4-FFF2-40B4-BE49-F238E27FC236}">
                  <a16:creationId xmlns:a16="http://schemas.microsoft.com/office/drawing/2014/main" id="{2D9D46D8-0360-4680-8AE3-F6A59F1DBB5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561378" y="1177151"/>
              <a:ext cx="922839" cy="720000"/>
            </a:xfrm>
            <a:prstGeom prst="rect">
              <a:avLst/>
            </a:prstGeom>
          </xdr:spPr>
        </xdr:pic>
        <xdr:pic>
          <xdr:nvPicPr>
            <xdr:cNvPr id="58" name="Imagem 57">
              <a:extLst>
                <a:ext uri="{FF2B5EF4-FFF2-40B4-BE49-F238E27FC236}">
                  <a16:creationId xmlns:a16="http://schemas.microsoft.com/office/drawing/2014/main" id="{03DD15E6-3180-4B9B-8587-CC3D78346BA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1622411" y="1180080"/>
              <a:ext cx="920027" cy="720000"/>
            </a:xfrm>
            <a:prstGeom prst="rect">
              <a:avLst/>
            </a:prstGeom>
          </xdr:spPr>
        </xdr:pic>
        <xdr:pic>
          <xdr:nvPicPr>
            <xdr:cNvPr id="59" name="Imagem 58">
              <a:extLst>
                <a:ext uri="{FF2B5EF4-FFF2-40B4-BE49-F238E27FC236}">
                  <a16:creationId xmlns:a16="http://schemas.microsoft.com/office/drawing/2014/main" id="{9413ED5D-17CC-46E8-BF99-AF680793C86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667019" y="1156287"/>
              <a:ext cx="858815" cy="723175"/>
            </a:xfrm>
            <a:prstGeom prst="rect">
              <a:avLst/>
            </a:prstGeom>
          </xdr:spPr>
        </xdr:pic>
        <xdr:pic>
          <xdr:nvPicPr>
            <xdr:cNvPr id="60" name="Imagem 59">
              <a:extLst>
                <a:ext uri="{FF2B5EF4-FFF2-40B4-BE49-F238E27FC236}">
                  <a16:creationId xmlns:a16="http://schemas.microsoft.com/office/drawing/2014/main" id="{19A532B8-3BE8-43A8-925C-4FE0A0E9A05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3650421" y="1159167"/>
              <a:ext cx="960371" cy="713650"/>
            </a:xfrm>
            <a:prstGeom prst="rect">
              <a:avLst/>
            </a:prstGeom>
          </xdr:spPr>
        </xdr:pic>
        <xdr:pic>
          <xdr:nvPicPr>
            <xdr:cNvPr id="61" name="Imagem 60">
              <a:extLst>
                <a:ext uri="{FF2B5EF4-FFF2-40B4-BE49-F238E27FC236}">
                  <a16:creationId xmlns:a16="http://schemas.microsoft.com/office/drawing/2014/main" id="{98751504-9E9D-432F-9297-FD5BEA8856C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4721766" y="1156289"/>
              <a:ext cx="857955" cy="716825"/>
            </a:xfrm>
            <a:prstGeom prst="rect">
              <a:avLst/>
            </a:prstGeom>
          </xdr:spPr>
        </xdr:pic>
        <xdr:pic>
          <xdr:nvPicPr>
            <xdr:cNvPr id="62" name="Imagem 61">
              <a:extLst>
                <a:ext uri="{FF2B5EF4-FFF2-40B4-BE49-F238E27FC236}">
                  <a16:creationId xmlns:a16="http://schemas.microsoft.com/office/drawing/2014/main" id="{A8C63113-DEA4-48D4-8BFC-B2E59E0690A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8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5731531" y="1159464"/>
              <a:ext cx="874383" cy="716825"/>
            </a:xfrm>
            <a:prstGeom prst="rect">
              <a:avLst/>
            </a:prstGeom>
          </xdr:spPr>
        </xdr:pic>
      </xdr:grpSp>
      <xdr:pic>
        <xdr:nvPicPr>
          <xdr:cNvPr id="46" name="Imagem 45">
            <a:extLst>
              <a:ext uri="{FF2B5EF4-FFF2-40B4-BE49-F238E27FC236}">
                <a16:creationId xmlns:a16="http://schemas.microsoft.com/office/drawing/2014/main" id="{265F6A70-7200-45B6-8C97-AC34B158912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543104" y="1282355"/>
            <a:ext cx="890579" cy="726682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476412</xdr:colOff>
      <xdr:row>1</xdr:row>
      <xdr:rowOff>176875</xdr:rowOff>
    </xdr:from>
    <xdr:to>
      <xdr:col>6</xdr:col>
      <xdr:colOff>260689</xdr:colOff>
      <xdr:row>4</xdr:row>
      <xdr:rowOff>77828</xdr:rowOff>
    </xdr:to>
    <xdr:grpSp>
      <xdr:nvGrpSpPr>
        <xdr:cNvPr id="76" name="Agrupar 75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B8057C33-CEC4-468E-B0F8-75CB9B4D4845}"/>
            </a:ext>
          </a:extLst>
        </xdr:cNvPr>
        <xdr:cNvGrpSpPr/>
      </xdr:nvGrpSpPr>
      <xdr:grpSpPr>
        <a:xfrm>
          <a:off x="3133643" y="753260"/>
          <a:ext cx="1112892" cy="555491"/>
          <a:chOff x="2497130" y="628714"/>
          <a:chExt cx="814688" cy="610998"/>
        </a:xfrm>
      </xdr:grpSpPr>
      <xdr:sp macro="" textlink="">
        <xdr:nvSpPr>
          <xdr:cNvPr id="80" name="Retângulo: Cantos Arredondados 79">
            <a:extLst>
              <a:ext uri="{FF2B5EF4-FFF2-40B4-BE49-F238E27FC236}">
                <a16:creationId xmlns:a16="http://schemas.microsoft.com/office/drawing/2014/main" id="{050E16C0-D3B9-4654-8CD8-D1A0B154ED41}"/>
              </a:ext>
            </a:extLst>
          </xdr:cNvPr>
          <xdr:cNvSpPr/>
        </xdr:nvSpPr>
        <xdr:spPr>
          <a:xfrm>
            <a:off x="2523671" y="762000"/>
            <a:ext cx="725261" cy="354866"/>
          </a:xfrm>
          <a:prstGeom prst="roundRect">
            <a:avLst/>
          </a:prstGeom>
          <a:gradFill flip="none" rotWithShape="1">
            <a:gsLst>
              <a:gs pos="40000">
                <a:schemeClr val="bg2">
                  <a:lumMod val="75000"/>
                </a:schemeClr>
              </a:gs>
              <a:gs pos="72000">
                <a:schemeClr val="bg1"/>
              </a:gs>
              <a:gs pos="8000">
                <a:schemeClr val="bg2">
                  <a:lumMod val="75000"/>
                </a:schemeClr>
              </a:gs>
            </a:gsLst>
            <a:lin ang="2700000" scaled="1"/>
            <a:tileRect/>
          </a:gradFill>
          <a:ln>
            <a:solidFill>
              <a:schemeClr val="tx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1" name="CaixaDeTexto 80">
            <a:extLst>
              <a:ext uri="{FF2B5EF4-FFF2-40B4-BE49-F238E27FC236}">
                <a16:creationId xmlns:a16="http://schemas.microsoft.com/office/drawing/2014/main" id="{720ECF7F-4376-414B-8647-8D6F6AB09B5C}"/>
              </a:ext>
            </a:extLst>
          </xdr:cNvPr>
          <xdr:cNvSpPr txBox="1"/>
        </xdr:nvSpPr>
        <xdr:spPr>
          <a:xfrm>
            <a:off x="2497130" y="628714"/>
            <a:ext cx="814688" cy="6109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050" b="1">
                <a:latin typeface="Calibri" panose="020F0502020204030204" pitchFamily="34" charset="0"/>
                <a:cs typeface="Calibri" panose="020F0502020204030204" pitchFamily="34" charset="0"/>
              </a:rPr>
              <a:t>VANTAGENS</a:t>
            </a:r>
            <a:r>
              <a:rPr lang="pt-BR" sz="1050" b="1" baseline="0">
                <a:latin typeface="Calibri" panose="020F0502020204030204" pitchFamily="34" charset="0"/>
                <a:cs typeface="Calibri" panose="020F0502020204030204" pitchFamily="34" charset="0"/>
              </a:rPr>
              <a:t> ESTRATÉGICAS</a:t>
            </a:r>
            <a:endParaRPr lang="pt-BR" sz="1050" b="1"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</xdr:grpSp>
    <xdr:clientData/>
  </xdr:twoCellAnchor>
  <xdr:twoCellAnchor>
    <xdr:from>
      <xdr:col>2</xdr:col>
      <xdr:colOff>575573</xdr:colOff>
      <xdr:row>1</xdr:row>
      <xdr:rowOff>176875</xdr:rowOff>
    </xdr:from>
    <xdr:to>
      <xdr:col>4</xdr:col>
      <xdr:colOff>353484</xdr:colOff>
      <xdr:row>4</xdr:row>
      <xdr:rowOff>74671</xdr:rowOff>
    </xdr:to>
    <xdr:grpSp>
      <xdr:nvGrpSpPr>
        <xdr:cNvPr id="77" name="Agrupar 76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4A77EBB0-CC5C-423F-83BD-51E321BA9EA4}"/>
            </a:ext>
          </a:extLst>
        </xdr:cNvPr>
        <xdr:cNvGrpSpPr/>
      </xdr:nvGrpSpPr>
      <xdr:grpSpPr>
        <a:xfrm>
          <a:off x="1904188" y="753260"/>
          <a:ext cx="1106527" cy="552334"/>
          <a:chOff x="2497130" y="628714"/>
          <a:chExt cx="814688" cy="610998"/>
        </a:xfrm>
      </xdr:grpSpPr>
      <xdr:sp macro="" textlink="">
        <xdr:nvSpPr>
          <xdr:cNvPr id="78" name="Retângulo: Cantos Arredondados 77">
            <a:extLst>
              <a:ext uri="{FF2B5EF4-FFF2-40B4-BE49-F238E27FC236}">
                <a16:creationId xmlns:a16="http://schemas.microsoft.com/office/drawing/2014/main" id="{C5D53357-09B2-48E9-BBE0-EBB2E3A34CCA}"/>
              </a:ext>
            </a:extLst>
          </xdr:cNvPr>
          <xdr:cNvSpPr/>
        </xdr:nvSpPr>
        <xdr:spPr>
          <a:xfrm>
            <a:off x="2523671" y="762000"/>
            <a:ext cx="725261" cy="354866"/>
          </a:xfrm>
          <a:prstGeom prst="roundRect">
            <a:avLst/>
          </a:prstGeom>
          <a:gradFill flip="none" rotWithShape="1">
            <a:gsLst>
              <a:gs pos="40000">
                <a:schemeClr val="bg2">
                  <a:lumMod val="75000"/>
                </a:schemeClr>
              </a:gs>
              <a:gs pos="72000">
                <a:schemeClr val="bg1"/>
              </a:gs>
              <a:gs pos="8000">
                <a:schemeClr val="bg2">
                  <a:lumMod val="75000"/>
                </a:schemeClr>
              </a:gs>
            </a:gsLst>
            <a:lin ang="2700000" scaled="1"/>
            <a:tileRect/>
          </a:gradFill>
          <a:ln>
            <a:solidFill>
              <a:schemeClr val="tx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79" name="CaixaDeTexto 78">
            <a:extLst>
              <a:ext uri="{FF2B5EF4-FFF2-40B4-BE49-F238E27FC236}">
                <a16:creationId xmlns:a16="http://schemas.microsoft.com/office/drawing/2014/main" id="{112CA9A5-AF93-4629-9B88-2BB69BCF2FD8}"/>
              </a:ext>
            </a:extLst>
          </xdr:cNvPr>
          <xdr:cNvSpPr txBox="1"/>
        </xdr:nvSpPr>
        <xdr:spPr>
          <a:xfrm>
            <a:off x="2497130" y="628714"/>
            <a:ext cx="814688" cy="6109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050" b="1">
                <a:latin typeface="Calibri" panose="020F0502020204030204" pitchFamily="34" charset="0"/>
                <a:cs typeface="Calibri" panose="020F0502020204030204" pitchFamily="34" charset="0"/>
              </a:rPr>
              <a:t>BÚSSOLA</a:t>
            </a:r>
            <a:r>
              <a:rPr lang="pt-BR" sz="1050" b="1" baseline="0">
                <a:latin typeface="Calibri" panose="020F0502020204030204" pitchFamily="34" charset="0"/>
                <a:cs typeface="Calibri" panose="020F0502020204030204" pitchFamily="34" charset="0"/>
              </a:rPr>
              <a:t> 2030</a:t>
            </a:r>
            <a:endParaRPr lang="pt-BR" sz="1050" b="1"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</xdr:grpSp>
    <xdr:clientData/>
  </xdr:twoCellAnchor>
  <xdr:twoCellAnchor>
    <xdr:from>
      <xdr:col>7</xdr:col>
      <xdr:colOff>33262</xdr:colOff>
      <xdr:row>21</xdr:row>
      <xdr:rowOff>45357</xdr:rowOff>
    </xdr:from>
    <xdr:to>
      <xdr:col>12</xdr:col>
      <xdr:colOff>405191</xdr:colOff>
      <xdr:row>34</xdr:row>
      <xdr:rowOff>117928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2149BC92-1DE9-4134-B64D-C1B639D36E19}"/>
            </a:ext>
          </a:extLst>
        </xdr:cNvPr>
        <xdr:cNvSpPr/>
      </xdr:nvSpPr>
      <xdr:spPr>
        <a:xfrm>
          <a:off x="4668762" y="4363357"/>
          <a:ext cx="3683000" cy="2431142"/>
        </a:xfrm>
        <a:prstGeom prst="rect">
          <a:avLst/>
        </a:prstGeom>
        <a:solidFill>
          <a:srgbClr val="FFCC2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562429</xdr:colOff>
      <xdr:row>21</xdr:row>
      <xdr:rowOff>36286</xdr:rowOff>
    </xdr:from>
    <xdr:to>
      <xdr:col>6</xdr:col>
      <xdr:colOff>272143</xdr:colOff>
      <xdr:row>34</xdr:row>
      <xdr:rowOff>108857</xdr:rowOff>
    </xdr:to>
    <xdr:sp macro="" textlink="">
      <xdr:nvSpPr>
        <xdr:cNvPr id="63" name="Retângulo 62">
          <a:extLst>
            <a:ext uri="{FF2B5EF4-FFF2-40B4-BE49-F238E27FC236}">
              <a16:creationId xmlns:a16="http://schemas.microsoft.com/office/drawing/2014/main" id="{E8C0376E-DA15-4CA2-A3E9-D539A8687FFE}"/>
            </a:ext>
          </a:extLst>
        </xdr:cNvPr>
        <xdr:cNvSpPr/>
      </xdr:nvSpPr>
      <xdr:spPr>
        <a:xfrm>
          <a:off x="562429" y="4354286"/>
          <a:ext cx="3683000" cy="2431142"/>
        </a:xfrm>
        <a:prstGeom prst="rect">
          <a:avLst/>
        </a:prstGeom>
        <a:solidFill>
          <a:srgbClr val="FFCC2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2285999</xdr:colOff>
      <xdr:row>21</xdr:row>
      <xdr:rowOff>45357</xdr:rowOff>
    </xdr:from>
    <xdr:to>
      <xdr:col>17</xdr:col>
      <xdr:colOff>2304142</xdr:colOff>
      <xdr:row>34</xdr:row>
      <xdr:rowOff>117928</xdr:rowOff>
    </xdr:to>
    <xdr:sp macro="" textlink="">
      <xdr:nvSpPr>
        <xdr:cNvPr id="64" name="Retângulo 63">
          <a:extLst>
            <a:ext uri="{FF2B5EF4-FFF2-40B4-BE49-F238E27FC236}">
              <a16:creationId xmlns:a16="http://schemas.microsoft.com/office/drawing/2014/main" id="{D1C8B563-D3E3-47AC-B144-E91DF6CB9B4B}"/>
            </a:ext>
          </a:extLst>
        </xdr:cNvPr>
        <xdr:cNvSpPr/>
      </xdr:nvSpPr>
      <xdr:spPr>
        <a:xfrm>
          <a:off x="12881428" y="4363357"/>
          <a:ext cx="3683000" cy="2431142"/>
        </a:xfrm>
        <a:prstGeom prst="rect">
          <a:avLst/>
        </a:prstGeom>
        <a:solidFill>
          <a:srgbClr val="FFCC2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166309</xdr:colOff>
      <xdr:row>21</xdr:row>
      <xdr:rowOff>36286</xdr:rowOff>
    </xdr:from>
    <xdr:to>
      <xdr:col>16</xdr:col>
      <xdr:colOff>1862666</xdr:colOff>
      <xdr:row>34</xdr:row>
      <xdr:rowOff>108857</xdr:rowOff>
    </xdr:to>
    <xdr:sp macro="" textlink="">
      <xdr:nvSpPr>
        <xdr:cNvPr id="65" name="Retângulo 64">
          <a:extLst>
            <a:ext uri="{FF2B5EF4-FFF2-40B4-BE49-F238E27FC236}">
              <a16:creationId xmlns:a16="http://schemas.microsoft.com/office/drawing/2014/main" id="{B7D0D5DD-E7A9-4C98-988F-9EBE9488B916}"/>
            </a:ext>
          </a:extLst>
        </xdr:cNvPr>
        <xdr:cNvSpPr/>
      </xdr:nvSpPr>
      <xdr:spPr>
        <a:xfrm>
          <a:off x="8775095" y="4354286"/>
          <a:ext cx="3683000" cy="2431142"/>
        </a:xfrm>
        <a:prstGeom prst="rect">
          <a:avLst/>
        </a:prstGeom>
        <a:solidFill>
          <a:srgbClr val="FFCC2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353785</xdr:colOff>
      <xdr:row>11</xdr:row>
      <xdr:rowOff>63501</xdr:rowOff>
    </xdr:from>
    <xdr:to>
      <xdr:col>17</xdr:col>
      <xdr:colOff>654747</xdr:colOff>
      <xdr:row>18</xdr:row>
      <xdr:rowOff>18143</xdr:rowOff>
    </xdr:to>
    <xdr:sp macro="" textlink="">
      <xdr:nvSpPr>
        <xdr:cNvPr id="66" name="Retângulo: Cantos Arredondados 65">
          <a:extLst>
            <a:ext uri="{FF2B5EF4-FFF2-40B4-BE49-F238E27FC236}">
              <a16:creationId xmlns:a16="http://schemas.microsoft.com/office/drawing/2014/main" id="{C94117D7-F399-467D-81DF-E643824AB61C}"/>
            </a:ext>
          </a:extLst>
        </xdr:cNvPr>
        <xdr:cNvSpPr/>
      </xdr:nvSpPr>
      <xdr:spPr>
        <a:xfrm>
          <a:off x="1678214" y="2567215"/>
          <a:ext cx="13236819" cy="1224642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504266</xdr:colOff>
      <xdr:row>12</xdr:row>
      <xdr:rowOff>45357</xdr:rowOff>
    </xdr:from>
    <xdr:to>
      <xdr:col>17</xdr:col>
      <xdr:colOff>504266</xdr:colOff>
      <xdr:row>17</xdr:row>
      <xdr:rowOff>27214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DB61CE2F-2151-4899-AF34-A89567F1F1CD}"/>
            </a:ext>
          </a:extLst>
        </xdr:cNvPr>
        <xdr:cNvSpPr txBox="1"/>
      </xdr:nvSpPr>
      <xdr:spPr>
        <a:xfrm>
          <a:off x="1828695" y="2730500"/>
          <a:ext cx="12935857" cy="889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500" b="1">
              <a:latin typeface="Calibri" panose="020F0502020204030204" pitchFamily="34" charset="0"/>
              <a:cs typeface="Calibri" panose="020F0502020204030204" pitchFamily="34" charset="0"/>
            </a:rPr>
            <a:t>Aderindo</a:t>
          </a:r>
          <a:r>
            <a:rPr lang="pt-BR" sz="1500" b="1" baseline="0">
              <a:latin typeface="Calibri" panose="020F0502020204030204" pitchFamily="34" charset="0"/>
              <a:cs typeface="Calibri" panose="020F0502020204030204" pitchFamily="34" charset="0"/>
            </a:rPr>
            <a:t> a esta Agenda, o município não está apenas cumprindo um protocolo. Mas na verdade, está adotando um poderoso modelo de gestão através de dados e que gera vantagens competitivas claras e mensuráveis.</a:t>
          </a:r>
          <a:endParaRPr lang="pt-BR" sz="1500" b="1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</xdr:col>
      <xdr:colOff>154214</xdr:colOff>
      <xdr:row>21</xdr:row>
      <xdr:rowOff>99786</xdr:rowOff>
    </xdr:from>
    <xdr:to>
      <xdr:col>5</xdr:col>
      <xdr:colOff>616857</xdr:colOff>
      <xdr:row>24</xdr:row>
      <xdr:rowOff>0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F66D7712-0920-4B29-B99D-0E03E48E009F}"/>
            </a:ext>
          </a:extLst>
        </xdr:cNvPr>
        <xdr:cNvSpPr txBox="1"/>
      </xdr:nvSpPr>
      <xdr:spPr>
        <a:xfrm>
          <a:off x="816428" y="4417786"/>
          <a:ext cx="311150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 b="1">
              <a:latin typeface="Arial" panose="020B0604020202020204" pitchFamily="34" charset="0"/>
              <a:cs typeface="Arial" panose="020B0604020202020204" pitchFamily="34" charset="0"/>
            </a:rPr>
            <a:t>Governança</a:t>
          </a:r>
          <a:r>
            <a:rPr lang="pt-BR" sz="1400" b="1" baseline="0">
              <a:latin typeface="Arial" panose="020B0604020202020204" pitchFamily="34" charset="0"/>
              <a:cs typeface="Arial" panose="020B0604020202020204" pitchFamily="34" charset="0"/>
            </a:rPr>
            <a:t> de Alta Performance</a:t>
          </a:r>
          <a:endParaRPr lang="pt-BR" sz="14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154214</xdr:colOff>
      <xdr:row>24</xdr:row>
      <xdr:rowOff>99785</xdr:rowOff>
    </xdr:from>
    <xdr:to>
      <xdr:col>5</xdr:col>
      <xdr:colOff>616857</xdr:colOff>
      <xdr:row>34</xdr:row>
      <xdr:rowOff>45358</xdr:rowOff>
    </xdr:to>
    <xdr:sp macro="" textlink="">
      <xdr:nvSpPr>
        <xdr:cNvPr id="67" name="CaixaDeTexto 66">
          <a:extLst>
            <a:ext uri="{FF2B5EF4-FFF2-40B4-BE49-F238E27FC236}">
              <a16:creationId xmlns:a16="http://schemas.microsoft.com/office/drawing/2014/main" id="{0F6AAD22-DEDC-4378-A968-EF88720B7CD2}"/>
            </a:ext>
          </a:extLst>
        </xdr:cNvPr>
        <xdr:cNvSpPr txBox="1"/>
      </xdr:nvSpPr>
      <xdr:spPr>
        <a:xfrm>
          <a:off x="816428" y="4962071"/>
          <a:ext cx="3111500" cy="1759858"/>
        </a:xfrm>
        <a:prstGeom prst="round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 b="1"/>
            <a:t>Menos 'achismo', mais gestão: transforme sua prefeitura em uma máquina de resultados com um plano claro e dados que comprovam o progresso.</a:t>
          </a:r>
          <a:endParaRPr lang="pt-BR" sz="15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253999</xdr:colOff>
      <xdr:row>21</xdr:row>
      <xdr:rowOff>99785</xdr:rowOff>
    </xdr:from>
    <xdr:to>
      <xdr:col>12</xdr:col>
      <xdr:colOff>54428</xdr:colOff>
      <xdr:row>24</xdr:row>
      <xdr:rowOff>99784</xdr:rowOff>
    </xdr:to>
    <xdr:sp macro="" textlink="">
      <xdr:nvSpPr>
        <xdr:cNvPr id="68" name="CaixaDeTexto 67">
          <a:extLst>
            <a:ext uri="{FF2B5EF4-FFF2-40B4-BE49-F238E27FC236}">
              <a16:creationId xmlns:a16="http://schemas.microsoft.com/office/drawing/2014/main" id="{898964DD-D9CD-440A-9F8E-F7F09AD63AF1}"/>
            </a:ext>
          </a:extLst>
        </xdr:cNvPr>
        <xdr:cNvSpPr txBox="1"/>
      </xdr:nvSpPr>
      <xdr:spPr>
        <a:xfrm>
          <a:off x="4889499" y="4417785"/>
          <a:ext cx="3111500" cy="5442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 b="1">
              <a:latin typeface="Arial" panose="020B0604020202020204" pitchFamily="34" charset="0"/>
              <a:cs typeface="Arial" panose="020B0604020202020204" pitchFamily="34" charset="0"/>
            </a:rPr>
            <a:t>Acesso a Capital e Novos Investimentos</a:t>
          </a:r>
        </a:p>
      </xdr:txBody>
    </xdr:sp>
    <xdr:clientData/>
  </xdr:twoCellAnchor>
  <xdr:twoCellAnchor>
    <xdr:from>
      <xdr:col>7</xdr:col>
      <xdr:colOff>253999</xdr:colOff>
      <xdr:row>24</xdr:row>
      <xdr:rowOff>99785</xdr:rowOff>
    </xdr:from>
    <xdr:to>
      <xdr:col>12</xdr:col>
      <xdr:colOff>54428</xdr:colOff>
      <xdr:row>34</xdr:row>
      <xdr:rowOff>45358</xdr:rowOff>
    </xdr:to>
    <xdr:sp macro="" textlink="">
      <xdr:nvSpPr>
        <xdr:cNvPr id="69" name="CaixaDeTexto 68">
          <a:extLst>
            <a:ext uri="{FF2B5EF4-FFF2-40B4-BE49-F238E27FC236}">
              <a16:creationId xmlns:a16="http://schemas.microsoft.com/office/drawing/2014/main" id="{445107F1-52C9-44D3-9B95-B71E3FF3E1B8}"/>
            </a:ext>
          </a:extLst>
        </xdr:cNvPr>
        <xdr:cNvSpPr txBox="1"/>
      </xdr:nvSpPr>
      <xdr:spPr>
        <a:xfrm>
          <a:off x="4889499" y="4962071"/>
          <a:ext cx="3111500" cy="1759858"/>
        </a:xfrm>
        <a:prstGeom prst="round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 b="1"/>
            <a:t>Coloque seu município no radar dos grandes investidores: quem se alinha aos ODS atrai mais recursos, empresas e empregos.</a:t>
          </a:r>
          <a:endParaRPr lang="pt-BR" sz="15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462642</xdr:colOff>
      <xdr:row>21</xdr:row>
      <xdr:rowOff>99786</xdr:rowOff>
    </xdr:from>
    <xdr:to>
      <xdr:col>16</xdr:col>
      <xdr:colOff>1587499</xdr:colOff>
      <xdr:row>24</xdr:row>
      <xdr:rowOff>63500</xdr:rowOff>
    </xdr:to>
    <xdr:sp macro="" textlink="">
      <xdr:nvSpPr>
        <xdr:cNvPr id="70" name="CaixaDeTexto 69">
          <a:extLst>
            <a:ext uri="{FF2B5EF4-FFF2-40B4-BE49-F238E27FC236}">
              <a16:creationId xmlns:a16="http://schemas.microsoft.com/office/drawing/2014/main" id="{1F6EE400-F6F3-454B-935A-FE68AE95385C}"/>
            </a:ext>
          </a:extLst>
        </xdr:cNvPr>
        <xdr:cNvSpPr txBox="1"/>
      </xdr:nvSpPr>
      <xdr:spPr>
        <a:xfrm>
          <a:off x="9071428" y="4417786"/>
          <a:ext cx="3111500" cy="50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 b="1">
              <a:latin typeface="Arial" panose="020B0604020202020204" pitchFamily="34" charset="0"/>
              <a:cs typeface="Arial" panose="020B0604020202020204" pitchFamily="34" charset="0"/>
            </a:rPr>
            <a:t>Fortalecimento do Capital Político e Social</a:t>
          </a:r>
        </a:p>
      </xdr:txBody>
    </xdr:sp>
    <xdr:clientData/>
  </xdr:twoCellAnchor>
  <xdr:twoCellAnchor>
    <xdr:from>
      <xdr:col>13</xdr:col>
      <xdr:colOff>462642</xdr:colOff>
      <xdr:row>24</xdr:row>
      <xdr:rowOff>99785</xdr:rowOff>
    </xdr:from>
    <xdr:to>
      <xdr:col>16</xdr:col>
      <xdr:colOff>1587499</xdr:colOff>
      <xdr:row>34</xdr:row>
      <xdr:rowOff>45358</xdr:rowOff>
    </xdr:to>
    <xdr:sp macro="" textlink="">
      <xdr:nvSpPr>
        <xdr:cNvPr id="71" name="CaixaDeTexto 70">
          <a:extLst>
            <a:ext uri="{FF2B5EF4-FFF2-40B4-BE49-F238E27FC236}">
              <a16:creationId xmlns:a16="http://schemas.microsoft.com/office/drawing/2014/main" id="{BA607F77-0918-4CEF-80B5-D4569DDE37C2}"/>
            </a:ext>
          </a:extLst>
        </xdr:cNvPr>
        <xdr:cNvSpPr txBox="1"/>
      </xdr:nvSpPr>
      <xdr:spPr>
        <a:xfrm>
          <a:off x="9071428" y="4962071"/>
          <a:ext cx="3111500" cy="1759858"/>
        </a:xfrm>
        <a:prstGeom prst="round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 b="1"/>
            <a:t>Comunique realizações de forma clara e construa uma marca positiva para a cidade, aumentando a confiança do cidadão e o seu capital político.</a:t>
          </a:r>
          <a:endParaRPr lang="pt-BR" sz="15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2571749</xdr:colOff>
      <xdr:row>21</xdr:row>
      <xdr:rowOff>99785</xdr:rowOff>
    </xdr:from>
    <xdr:to>
      <xdr:col>17</xdr:col>
      <xdr:colOff>2018392</xdr:colOff>
      <xdr:row>24</xdr:row>
      <xdr:rowOff>81642</xdr:rowOff>
    </xdr:to>
    <xdr:sp macro="" textlink="">
      <xdr:nvSpPr>
        <xdr:cNvPr id="72" name="CaixaDeTexto 71">
          <a:extLst>
            <a:ext uri="{FF2B5EF4-FFF2-40B4-BE49-F238E27FC236}">
              <a16:creationId xmlns:a16="http://schemas.microsoft.com/office/drawing/2014/main" id="{0DEBC34B-82C9-4843-98D6-3DE0275F48F2}"/>
            </a:ext>
          </a:extLst>
        </xdr:cNvPr>
        <xdr:cNvSpPr txBox="1"/>
      </xdr:nvSpPr>
      <xdr:spPr>
        <a:xfrm>
          <a:off x="13167178" y="4417785"/>
          <a:ext cx="3111500" cy="526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 b="1">
              <a:latin typeface="Arial" panose="020B0604020202020204" pitchFamily="34" charset="0"/>
              <a:cs typeface="Arial" panose="020B0604020202020204" pitchFamily="34" charset="0"/>
            </a:rPr>
            <a:t>Construção de uma Cidade Resiliente</a:t>
          </a:r>
        </a:p>
      </xdr:txBody>
    </xdr:sp>
    <xdr:clientData/>
  </xdr:twoCellAnchor>
  <xdr:twoCellAnchor>
    <xdr:from>
      <xdr:col>16</xdr:col>
      <xdr:colOff>2571749</xdr:colOff>
      <xdr:row>24</xdr:row>
      <xdr:rowOff>99785</xdr:rowOff>
    </xdr:from>
    <xdr:to>
      <xdr:col>17</xdr:col>
      <xdr:colOff>2018392</xdr:colOff>
      <xdr:row>34</xdr:row>
      <xdr:rowOff>45358</xdr:rowOff>
    </xdr:to>
    <xdr:sp macro="" textlink="">
      <xdr:nvSpPr>
        <xdr:cNvPr id="73" name="CaixaDeTexto 72">
          <a:extLst>
            <a:ext uri="{FF2B5EF4-FFF2-40B4-BE49-F238E27FC236}">
              <a16:creationId xmlns:a16="http://schemas.microsoft.com/office/drawing/2014/main" id="{9BA31F99-D015-4FAE-854C-A9C68F5F7248}"/>
            </a:ext>
          </a:extLst>
        </xdr:cNvPr>
        <xdr:cNvSpPr txBox="1"/>
      </xdr:nvSpPr>
      <xdr:spPr>
        <a:xfrm>
          <a:off x="13167178" y="4962071"/>
          <a:ext cx="3111500" cy="1759858"/>
        </a:xfrm>
        <a:prstGeom prst="round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 b="1"/>
            <a:t>Governe hoje pensando no amanhã: prepare sua cidade para os desafios do futuro e deixe um legado de qualidade de vida e segurança.</a:t>
          </a:r>
          <a:endParaRPr lang="pt-BR" sz="15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139758</xdr:colOff>
      <xdr:row>24</xdr:row>
      <xdr:rowOff>117231</xdr:rowOff>
    </xdr:from>
    <xdr:to>
      <xdr:col>5</xdr:col>
      <xdr:colOff>508000</xdr:colOff>
      <xdr:row>43</xdr:row>
      <xdr:rowOff>97692</xdr:rowOff>
    </xdr:to>
    <xdr:sp macro="" textlink="" fLocksText="0">
      <xdr:nvSpPr>
        <xdr:cNvPr id="17" name="Retângulo 16">
          <a:extLst>
            <a:ext uri="{FF2B5EF4-FFF2-40B4-BE49-F238E27FC236}">
              <a16:creationId xmlns:a16="http://schemas.microsoft.com/office/drawing/2014/main" id="{B3D93317-986F-4E17-ACB3-ED2B130CEAA8}"/>
            </a:ext>
          </a:extLst>
        </xdr:cNvPr>
        <xdr:cNvSpPr/>
      </xdr:nvSpPr>
      <xdr:spPr>
        <a:xfrm>
          <a:off x="794296" y="4865077"/>
          <a:ext cx="2986396" cy="3321538"/>
        </a:xfrm>
        <a:prstGeom prst="rect">
          <a:avLst/>
        </a:prstGeom>
        <a:solidFill>
          <a:schemeClr val="bg1"/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485775</xdr:colOff>
      <xdr:row>1</xdr:row>
      <xdr:rowOff>0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5BDC5B-946D-4AD5-8758-47556ED59198}"/>
            </a:ext>
          </a:extLst>
        </xdr:cNvPr>
        <xdr:cNvGrpSpPr/>
      </xdr:nvGrpSpPr>
      <xdr:grpSpPr>
        <a:xfrm>
          <a:off x="0" y="0"/>
          <a:ext cx="1794852" cy="576385"/>
          <a:chOff x="3552825" y="2171700"/>
          <a:chExt cx="1895475" cy="561975"/>
        </a:xfrm>
      </xdr:grpSpPr>
      <xdr:sp macro="" textlink="">
        <xdr:nvSpPr>
          <xdr:cNvPr id="3" name="Retângulo 2">
            <a:extLst>
              <a:ext uri="{FF2B5EF4-FFF2-40B4-BE49-F238E27FC236}">
                <a16:creationId xmlns:a16="http://schemas.microsoft.com/office/drawing/2014/main" id="{DDA4A4A8-A22C-45C8-94ED-2C756AE26432}"/>
              </a:ext>
            </a:extLst>
          </xdr:cNvPr>
          <xdr:cNvSpPr/>
        </xdr:nvSpPr>
        <xdr:spPr>
          <a:xfrm>
            <a:off x="3552825" y="2171700"/>
            <a:ext cx="1895475" cy="561975"/>
          </a:xfrm>
          <a:prstGeom prst="rect">
            <a:avLst/>
          </a:prstGeom>
          <a:gradFill>
            <a:gsLst>
              <a:gs pos="0">
                <a:schemeClr val="bg1"/>
              </a:gs>
              <a:gs pos="89000">
                <a:srgbClr val="FFCC29">
                  <a:alpha val="50000"/>
                </a:srgbClr>
              </a:gs>
              <a:gs pos="100000">
                <a:srgbClr val="FFCC29">
                  <a:alpha val="50000"/>
                </a:srgbClr>
              </a:gs>
            </a:gsLst>
            <a:lin ang="27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72E5AB41-1B64-4B05-AC10-8B241414BD8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-1261" t="29165" r="1261" b="28126"/>
          <a:stretch/>
        </xdr:blipFill>
        <xdr:spPr>
          <a:xfrm>
            <a:off x="3686175" y="2187575"/>
            <a:ext cx="1492250" cy="527050"/>
          </a:xfrm>
          <a:prstGeom prst="rect">
            <a:avLst/>
          </a:prstGeom>
        </xdr:spPr>
      </xdr:pic>
    </xdr:grpSp>
    <xdr:clientData fLocksWithSheet="0"/>
  </xdr:twoCellAnchor>
  <xdr:twoCellAnchor editAs="oneCell">
    <xdr:from>
      <xdr:col>16</xdr:col>
      <xdr:colOff>1781865</xdr:colOff>
      <xdr:row>0</xdr:row>
      <xdr:rowOff>0</xdr:rowOff>
    </xdr:from>
    <xdr:to>
      <xdr:col>17</xdr:col>
      <xdr:colOff>1450073</xdr:colOff>
      <xdr:row>1</xdr:row>
      <xdr:rowOff>63501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AE4FD5C3-EFCB-4E95-A7F4-4855505943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08" t="30769" r="-2208" b="27473"/>
        <a:stretch/>
      </xdr:blipFill>
      <xdr:spPr>
        <a:xfrm>
          <a:off x="12327401" y="0"/>
          <a:ext cx="3342136" cy="635001"/>
        </a:xfrm>
        <a:prstGeom prst="rect">
          <a:avLst/>
        </a:prstGeom>
      </xdr:spPr>
    </xdr:pic>
    <xdr:clientData/>
  </xdr:twoCellAnchor>
  <xdr:twoCellAnchor>
    <xdr:from>
      <xdr:col>1</xdr:col>
      <xdr:colOff>192491</xdr:colOff>
      <xdr:row>11</xdr:row>
      <xdr:rowOff>19539</xdr:rowOff>
    </xdr:from>
    <xdr:to>
      <xdr:col>5</xdr:col>
      <xdr:colOff>527537</xdr:colOff>
      <xdr:row>22</xdr:row>
      <xdr:rowOff>133771</xdr:rowOff>
    </xdr:to>
    <xdr:grpSp>
      <xdr:nvGrpSpPr>
        <xdr:cNvPr id="25" name="Agrupar 24">
          <a:extLst>
            <a:ext uri="{FF2B5EF4-FFF2-40B4-BE49-F238E27FC236}">
              <a16:creationId xmlns:a16="http://schemas.microsoft.com/office/drawing/2014/main" id="{741699C7-411A-4E1B-851A-3B0DE2D24D75}"/>
            </a:ext>
          </a:extLst>
        </xdr:cNvPr>
        <xdr:cNvGrpSpPr/>
      </xdr:nvGrpSpPr>
      <xdr:grpSpPr>
        <a:xfrm>
          <a:off x="847029" y="2481385"/>
          <a:ext cx="2953200" cy="2048540"/>
          <a:chOff x="2505075" y="1200150"/>
          <a:chExt cx="1444625" cy="1082675"/>
        </a:xfrm>
      </xdr:grpSpPr>
      <xdr:sp macro="" textlink="">
        <xdr:nvSpPr>
          <xdr:cNvPr id="20" name="Retângulo 19">
            <a:extLst>
              <a:ext uri="{FF2B5EF4-FFF2-40B4-BE49-F238E27FC236}">
                <a16:creationId xmlns:a16="http://schemas.microsoft.com/office/drawing/2014/main" id="{53FAB0B4-5D52-4538-9703-84924F9DB3CE}"/>
              </a:ext>
            </a:extLst>
          </xdr:cNvPr>
          <xdr:cNvSpPr/>
        </xdr:nvSpPr>
        <xdr:spPr>
          <a:xfrm>
            <a:off x="2505075" y="1200150"/>
            <a:ext cx="1444625" cy="108267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mc:AlternateContent xmlns:mc="http://schemas.openxmlformats.org/markup-compatibility/2006" xmlns:a14="http://schemas.microsoft.com/office/drawing/2010/main">
        <mc:Choice Requires="a14">
          <xdr:pic>
            <xdr:nvPicPr>
              <xdr:cNvPr id="14" name="Imagem 13">
                <a:extLst>
                  <a:ext uri="{FF2B5EF4-FFF2-40B4-BE49-F238E27FC236}">
                    <a16:creationId xmlns:a16="http://schemas.microsoft.com/office/drawing/2014/main" id="{C34EB2AE-01A7-4795-91A6-72EEB076A785}"/>
                  </a:ext>
                </a:extLst>
              </xdr:cNvPr>
              <xdr:cNvPicPr>
                <a:picLocks noChangeAspect="1" noChangeArrowheads="1"/>
                <a:extLst>
                  <a:ext uri="{84589F7E-364E-4C9E-8A38-B11213B215E9}">
                    <a14:cameraTool cellRange="ImagemODS_Dinamica" spid="_x0000_s13556"/>
                  </a:ext>
                </a:extLst>
              </xdr:cNvPicPr>
            </xdr:nvPicPr>
            <xdr:blipFill>
              <a:blip xmlns:r="http://schemas.openxmlformats.org/officeDocument/2006/relationships" r:embed="rId4"/>
              <a:srcRect/>
              <a:stretch>
                <a:fillRect/>
              </a:stretch>
            </xdr:blipFill>
            <xdr:spPr bwMode="auto">
              <a:xfrm>
                <a:off x="2532391" y="1217952"/>
                <a:ext cx="1393826" cy="1055348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</mc:Choice>
        <mc:Fallback xmlns=""/>
      </mc:AlternateContent>
    </xdr:grpSp>
    <xdr:clientData/>
  </xdr:twoCellAnchor>
  <xdr:twoCellAnchor editAs="oneCell">
    <xdr:from>
      <xdr:col>17</xdr:col>
      <xdr:colOff>2574926</xdr:colOff>
      <xdr:row>6</xdr:row>
      <xdr:rowOff>13698</xdr:rowOff>
    </xdr:from>
    <xdr:to>
      <xdr:col>17</xdr:col>
      <xdr:colOff>3513667</xdr:colOff>
      <xdr:row>12</xdr:row>
      <xdr:rowOff>13050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C8920209-1B92-4161-9183-681AEC641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695" y="1596313"/>
          <a:ext cx="938741" cy="1054429"/>
        </a:xfrm>
        <a:prstGeom prst="rect">
          <a:avLst/>
        </a:prstGeom>
      </xdr:spPr>
    </xdr:pic>
    <xdr:clientData/>
  </xdr:twoCellAnchor>
  <xdr:twoCellAnchor editAs="absolute">
    <xdr:from>
      <xdr:col>7</xdr:col>
      <xdr:colOff>302847</xdr:colOff>
      <xdr:row>11</xdr:row>
      <xdr:rowOff>87922</xdr:rowOff>
    </xdr:from>
    <xdr:to>
      <xdr:col>12</xdr:col>
      <xdr:colOff>478693</xdr:colOff>
      <xdr:row>15</xdr:row>
      <xdr:rowOff>56084</xdr:rowOff>
    </xdr:to>
    <xdr:sp macro="" textlink="'Tabela Dinamica'!B2">
      <xdr:nvSpPr>
        <xdr:cNvPr id="16" name="Retângulo: Cantos Arredondados 15">
          <a:extLst>
            <a:ext uri="{FF2B5EF4-FFF2-40B4-BE49-F238E27FC236}">
              <a16:creationId xmlns:a16="http://schemas.microsoft.com/office/drawing/2014/main" id="{ACDB31BA-E930-4C77-AE5E-61121ACE1E0B}"/>
            </a:ext>
          </a:extLst>
        </xdr:cNvPr>
        <xdr:cNvSpPr/>
      </xdr:nvSpPr>
      <xdr:spPr>
        <a:xfrm>
          <a:off x="4884616" y="2549768"/>
          <a:ext cx="3448539" cy="67154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fld id="{33656394-B200-468B-9967-9A74AEE985DB}" type="TxLink">
            <a:rPr lang="en-US" sz="1200" b="1" i="0" u="none" strike="noStrike">
              <a:solidFill>
                <a:srgbClr val="000000"/>
              </a:solidFill>
              <a:latin typeface="Arial"/>
              <a:cs typeface="Arial"/>
            </a:rPr>
            <a:pPr algn="r"/>
            <a:t>Promover o crescimento econômico e trabalho decente.</a:t>
          </a:fld>
          <a:endParaRPr lang="en-US" sz="1100"/>
        </a:p>
      </xdr:txBody>
    </xdr:sp>
    <xdr:clientData/>
  </xdr:twoCellAnchor>
  <xdr:twoCellAnchor editAs="absolute">
    <xdr:from>
      <xdr:col>13</xdr:col>
      <xdr:colOff>576384</xdr:colOff>
      <xdr:row>10</xdr:row>
      <xdr:rowOff>107461</xdr:rowOff>
    </xdr:from>
    <xdr:to>
      <xdr:col>17</xdr:col>
      <xdr:colOff>446216</xdr:colOff>
      <xdr:row>15</xdr:row>
      <xdr:rowOff>58615</xdr:rowOff>
    </xdr:to>
    <xdr:sp macro="" textlink="'Tabela Dinamica'!D2">
      <xdr:nvSpPr>
        <xdr:cNvPr id="31" name="Retângulo: Cantos Arredondados 30">
          <a:extLst>
            <a:ext uri="{FF2B5EF4-FFF2-40B4-BE49-F238E27FC236}">
              <a16:creationId xmlns:a16="http://schemas.microsoft.com/office/drawing/2014/main" id="{E97AE901-F4C2-40CF-B67F-B89AFCCD83C5}"/>
            </a:ext>
          </a:extLst>
        </xdr:cNvPr>
        <xdr:cNvSpPr/>
      </xdr:nvSpPr>
      <xdr:spPr>
        <a:xfrm>
          <a:off x="9085384" y="2393461"/>
          <a:ext cx="5594601" cy="83038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fld id="{8B232392-8EA5-40E5-BB06-3ADDF93409B6}" type="TxLink">
            <a:rPr lang="en-US" sz="1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pPr algn="r"/>
            <a:t>Taxa de emprego formal de 80% e redução da taxa de desemprego para menos de 5%.</a:t>
          </a:fld>
          <a:endParaRPr lang="en-US" sz="1400" b="1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 editAs="absolute">
    <xdr:from>
      <xdr:col>7</xdr:col>
      <xdr:colOff>224185</xdr:colOff>
      <xdr:row>21</xdr:row>
      <xdr:rowOff>54546</xdr:rowOff>
    </xdr:from>
    <xdr:to>
      <xdr:col>17</xdr:col>
      <xdr:colOff>539028</xdr:colOff>
      <xdr:row>38</xdr:row>
      <xdr:rowOff>266</xdr:rowOff>
    </xdr:to>
    <xdr:grpSp>
      <xdr:nvGrpSpPr>
        <xdr:cNvPr id="27" name="Agrupar 26">
          <a:extLst>
            <a:ext uri="{FF2B5EF4-FFF2-40B4-BE49-F238E27FC236}">
              <a16:creationId xmlns:a16="http://schemas.microsoft.com/office/drawing/2014/main" id="{5FFD4BAD-D125-4382-A574-18990787359F}"/>
            </a:ext>
          </a:extLst>
        </xdr:cNvPr>
        <xdr:cNvGrpSpPr/>
      </xdr:nvGrpSpPr>
      <xdr:grpSpPr>
        <a:xfrm>
          <a:off x="4805954" y="4274854"/>
          <a:ext cx="9966843" cy="2935104"/>
          <a:chOff x="3653126" y="4275365"/>
          <a:chExt cx="8399628" cy="2959099"/>
        </a:xfrm>
      </xdr:grpSpPr>
      <xdr:grpSp>
        <xdr:nvGrpSpPr>
          <xdr:cNvPr id="26" name="Agrupar 25">
            <a:extLst>
              <a:ext uri="{FF2B5EF4-FFF2-40B4-BE49-F238E27FC236}">
                <a16:creationId xmlns:a16="http://schemas.microsoft.com/office/drawing/2014/main" id="{3E99F4ED-DBCB-4AA1-B0C1-9F673D92E2A6}"/>
              </a:ext>
            </a:extLst>
          </xdr:cNvPr>
          <xdr:cNvGrpSpPr/>
        </xdr:nvGrpSpPr>
        <xdr:grpSpPr>
          <a:xfrm>
            <a:off x="3653126" y="4275365"/>
            <a:ext cx="8399628" cy="2959099"/>
            <a:chOff x="3190483" y="2615293"/>
            <a:chExt cx="8399628" cy="2959099"/>
          </a:xfrm>
        </xdr:grpSpPr>
        <xdr:grpSp>
          <xdr:nvGrpSpPr>
            <xdr:cNvPr id="22" name="Agrupar 21">
              <a:extLst>
                <a:ext uri="{FF2B5EF4-FFF2-40B4-BE49-F238E27FC236}">
                  <a16:creationId xmlns:a16="http://schemas.microsoft.com/office/drawing/2014/main" id="{A11F9FD4-B760-4528-9F89-9D1DC95A2CA2}"/>
                </a:ext>
              </a:extLst>
            </xdr:cNvPr>
            <xdr:cNvGrpSpPr/>
          </xdr:nvGrpSpPr>
          <xdr:grpSpPr>
            <a:xfrm>
              <a:off x="3190483" y="2615293"/>
              <a:ext cx="8399628" cy="2827111"/>
              <a:chOff x="4048330" y="2577823"/>
              <a:chExt cx="6226175" cy="2724150"/>
            </a:xfrm>
          </xdr:grpSpPr>
          <xdr:sp macro="" textlink="">
            <xdr:nvSpPr>
              <xdr:cNvPr id="21" name="Retângulo: Cantos Arredondados 20">
                <a:extLst>
                  <a:ext uri="{FF2B5EF4-FFF2-40B4-BE49-F238E27FC236}">
                    <a16:creationId xmlns:a16="http://schemas.microsoft.com/office/drawing/2014/main" id="{9E62AA4A-D7D8-48AB-A73C-44A29B3BAA65}"/>
                  </a:ext>
                </a:extLst>
              </xdr:cNvPr>
              <xdr:cNvSpPr/>
            </xdr:nvSpPr>
            <xdr:spPr>
              <a:xfrm>
                <a:off x="4048330" y="2577823"/>
                <a:ext cx="6226175" cy="2724150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graphicFrame macro="">
            <xdr:nvGraphicFramePr>
              <xdr:cNvPr id="15" name="Gráfico 14">
                <a:extLst>
                  <a:ext uri="{FF2B5EF4-FFF2-40B4-BE49-F238E27FC236}">
                    <a16:creationId xmlns:a16="http://schemas.microsoft.com/office/drawing/2014/main" id="{EE3B515D-AB38-4643-B816-51B8F99457A9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4210049" y="2616200"/>
              <a:ext cx="5448301" cy="2402778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6"/>
              </a:graphicData>
            </a:graphic>
          </xdr:graphicFrame>
        </xdr:grpSp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4FA28263-2F36-4273-AD84-B4115199FBA3}"/>
                </a:ext>
              </a:extLst>
            </xdr:cNvPr>
            <xdr:cNvSpPr txBox="1"/>
          </xdr:nvSpPr>
          <xdr:spPr>
            <a:xfrm>
              <a:off x="5248699" y="4874274"/>
              <a:ext cx="1000759" cy="39506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1100">
                  <a:latin typeface="Arial Black" panose="020B0A04020102020204" pitchFamily="34" charset="0"/>
                </a:rPr>
                <a:t>Goiana</a:t>
              </a:r>
              <a:r>
                <a:rPr lang="pt-BR" sz="1100" baseline="0">
                  <a:latin typeface="Arial Black" panose="020B0A04020102020204" pitchFamily="34" charset="0"/>
                </a:rPr>
                <a:t>/PE</a:t>
              </a:r>
              <a:endParaRPr lang="pt-BR" sz="1100">
                <a:latin typeface="Arial Black" panose="020B0A04020102020204" pitchFamily="34" charset="0"/>
              </a:endParaRPr>
            </a:p>
          </xdr:txBody>
        </xdr:sp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990754B0-7D09-4B7A-B03E-B98D49E8C34D}"/>
                </a:ext>
              </a:extLst>
            </xdr:cNvPr>
            <xdr:cNvSpPr txBox="1"/>
          </xdr:nvSpPr>
          <xdr:spPr>
            <a:xfrm>
              <a:off x="7460478" y="4810123"/>
              <a:ext cx="1170532" cy="52115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1100">
                  <a:latin typeface="Arial Black" panose="020B0A04020102020204" pitchFamily="34" charset="0"/>
                </a:rPr>
                <a:t>Média Região - PE</a:t>
              </a:r>
            </a:p>
          </xdr:txBody>
        </xdr:sp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83BE82E3-BA90-470E-AAF2-E6D5F9878937}"/>
                </a:ext>
              </a:extLst>
            </xdr:cNvPr>
            <xdr:cNvSpPr txBox="1"/>
          </xdr:nvSpPr>
          <xdr:spPr>
            <a:xfrm>
              <a:off x="8471035" y="4796518"/>
              <a:ext cx="1449933" cy="58465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1100">
                  <a:latin typeface="Arial Black" panose="020B0A04020102020204" pitchFamily="34" charset="0"/>
                </a:rPr>
                <a:t>Média 5 maiores PIB</a:t>
              </a:r>
              <a:r>
                <a:rPr lang="pt-BR" sz="1100" baseline="0">
                  <a:latin typeface="Arial Black" panose="020B0A04020102020204" pitchFamily="34" charset="0"/>
                </a:rPr>
                <a:t> - PE</a:t>
              </a:r>
              <a:endParaRPr lang="pt-BR" sz="1100">
                <a:latin typeface="Arial Black" panose="020B0A04020102020204" pitchFamily="34" charset="0"/>
              </a:endParaRPr>
            </a:p>
          </xdr:txBody>
        </xdr:sp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C7A2EE83-6AB8-448F-9923-BA7AE6319406}"/>
                </a:ext>
              </a:extLst>
            </xdr:cNvPr>
            <xdr:cNvSpPr txBox="1"/>
          </xdr:nvSpPr>
          <xdr:spPr>
            <a:xfrm>
              <a:off x="6286183" y="4677225"/>
              <a:ext cx="1234032" cy="89716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900">
                  <a:latin typeface="Arial Black" panose="020B0A04020102020204" pitchFamily="34" charset="0"/>
                </a:rPr>
                <a:t>Média Cidades</a:t>
              </a:r>
              <a:r>
                <a:rPr lang="pt-BR" sz="900" baseline="0">
                  <a:latin typeface="Arial Black" panose="020B0A04020102020204" pitchFamily="34" charset="0"/>
                </a:rPr>
                <a:t> 80.000 - 100.000 Habitantes</a:t>
              </a:r>
              <a:endParaRPr lang="pt-BR" sz="900">
                <a:latin typeface="Arial Black" panose="020B0A04020102020204" pitchFamily="34" charset="0"/>
              </a:endParaRPr>
            </a:p>
          </xdr:txBody>
        </xdr:sp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2250E945-3C92-4644-BE1F-BE08BB4C6B05}"/>
                </a:ext>
              </a:extLst>
            </xdr:cNvPr>
            <xdr:cNvSpPr txBox="1"/>
          </xdr:nvSpPr>
          <xdr:spPr>
            <a:xfrm>
              <a:off x="10511421" y="4918074"/>
              <a:ext cx="1060450" cy="56560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6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Araripina,</a:t>
              </a:r>
              <a:r>
                <a:rPr lang="pt-BR" sz="600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St Cruz Capibaripe e Serra Talhada foram usadas como base para as cidades de mesma base populacional. (80.000 - 100.000 Hab)</a:t>
              </a:r>
            </a:p>
            <a:p>
              <a:endParaRPr lang="pt-BR" sz="1050"/>
            </a:p>
          </xdr:txBody>
        </xdr:sp>
      </xdr:grpSp>
      <xdr:sp macro="" textlink="'Tabela Dinamica'!L2">
        <xdr:nvSpPr>
          <xdr:cNvPr id="28" name="CaixaDeTexto 27">
            <a:extLst>
              <a:ext uri="{FF2B5EF4-FFF2-40B4-BE49-F238E27FC236}">
                <a16:creationId xmlns:a16="http://schemas.microsoft.com/office/drawing/2014/main" id="{00B3A104-A9A3-4BE0-89F5-734561153B57}"/>
              </a:ext>
            </a:extLst>
          </xdr:cNvPr>
          <xdr:cNvSpPr txBox="1"/>
        </xdr:nvSpPr>
        <xdr:spPr>
          <a:xfrm>
            <a:off x="10535198" y="4678027"/>
            <a:ext cx="1457324" cy="508453"/>
          </a:xfrm>
          <a:prstGeom prst="rect">
            <a:avLst/>
          </a:prstGeom>
          <a:solidFill>
            <a:schemeClr val="bg1"/>
          </a:solidFill>
          <a:ln w="9525" cmpd="sng"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90DFEC4-47C7-461F-8F8C-1BE499E98655}" type="TxLink">
              <a:rPr lang="en-US" sz="1800" b="1" i="0" u="none" strike="noStrike">
                <a:solidFill>
                  <a:srgbClr val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pPr algn="ctr"/>
              <a:t>85% a 95%</a:t>
            </a:fld>
            <a:endParaRPr lang="pt-BR" sz="1800" b="1"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</xdr:grpSp>
    <xdr:clientData/>
  </xdr:twoCellAnchor>
  <xdr:twoCellAnchor editAs="absolute">
    <xdr:from>
      <xdr:col>3</xdr:col>
      <xdr:colOff>0</xdr:colOff>
      <xdr:row>0</xdr:row>
      <xdr:rowOff>454</xdr:rowOff>
    </xdr:from>
    <xdr:to>
      <xdr:col>4</xdr:col>
      <xdr:colOff>53975</xdr:colOff>
      <xdr:row>0</xdr:row>
      <xdr:rowOff>559254</xdr:rowOff>
    </xdr:to>
    <xdr:grpSp>
      <xdr:nvGrpSpPr>
        <xdr:cNvPr id="38" name="Agrupar 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811D9-2284-4B4B-9C14-00267F232652}"/>
            </a:ext>
          </a:extLst>
        </xdr:cNvPr>
        <xdr:cNvGrpSpPr/>
      </xdr:nvGrpSpPr>
      <xdr:grpSpPr>
        <a:xfrm>
          <a:off x="1963615" y="454"/>
          <a:ext cx="708514" cy="558800"/>
          <a:chOff x="1990594" y="-9022"/>
          <a:chExt cx="615017" cy="581025"/>
        </a:xfrm>
        <a:solidFill>
          <a:srgbClr val="FFCC29"/>
        </a:solidFill>
      </xdr:grpSpPr>
      <xdr:sp macro="" textlink="">
        <xdr:nvSpPr>
          <xdr:cNvPr id="39" name="Retângulo 38">
            <a:extLst>
              <a:ext uri="{FF2B5EF4-FFF2-40B4-BE49-F238E27FC236}">
                <a16:creationId xmlns:a16="http://schemas.microsoft.com/office/drawing/2014/main" id="{028C1EBA-161D-4AFC-B27F-D19BA448A1E4}"/>
              </a:ext>
            </a:extLst>
          </xdr:cNvPr>
          <xdr:cNvSpPr/>
        </xdr:nvSpPr>
        <xdr:spPr>
          <a:xfrm>
            <a:off x="1990594" y="-9022"/>
            <a:ext cx="615017" cy="5810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40" name="Imagem 39">
            <a:extLst>
              <a:ext uri="{FF2B5EF4-FFF2-40B4-BE49-F238E27FC236}">
                <a16:creationId xmlns:a16="http://schemas.microsoft.com/office/drawing/2014/main" id="{5FB906A6-CA99-4419-89EF-D3FBD602F41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7" cstate="print">
            <a:extLst>
              <a:ext uri="{BEBA8EAE-BF5A-486C-A8C5-ECC9F3942E4B}">
                <a14:imgProps xmlns:a14="http://schemas.microsoft.com/office/drawing/2010/main">
                  <a14:imgLayer r:embed="rId8">
                    <a14:imgEffect>
                      <a14:backgroundRemoval t="10000" b="90000" l="10000" r="90000">
                        <a14:foregroundMark x1="52252" y1="78333" x2="52252" y2="78333"/>
                        <a14:foregroundMark x1="62162" y1="68889" x2="62162" y2="68889"/>
                        <a14:foregroundMark x1="65165" y1="57222" x2="65165" y2="57222"/>
                        <a14:foregroundMark x1="65165" y1="40556" x2="65165" y2="40556"/>
                        <a14:foregroundMark x1="62763" y1="27222" x2="62763" y2="27222"/>
                        <a14:foregroundMark x1="46847" y1="22222" x2="46847" y2="22222"/>
                        <a14:foregroundMark x1="40841" y1="26667" x2="40841" y2="26667"/>
                        <a14:foregroundMark x1="47147" y1="76111" x2="47147" y2="76111"/>
                        <a14:foregroundMark x1="46847" y1="73889" x2="45646" y2="7277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l="28569" t="6871" r="29129" b="14812"/>
          <a:stretch/>
        </xdr:blipFill>
        <xdr:spPr>
          <a:xfrm>
            <a:off x="2168525" y="66674"/>
            <a:ext cx="281358" cy="276223"/>
          </a:xfrm>
          <a:prstGeom prst="rect">
            <a:avLst/>
          </a:prstGeom>
          <a:grpFill/>
        </xdr:spPr>
      </xdr:pic>
      <xdr:sp macro="" textlink="">
        <xdr:nvSpPr>
          <xdr:cNvPr id="41" name="CaixaDeTexto 40">
            <a:extLst>
              <a:ext uri="{FF2B5EF4-FFF2-40B4-BE49-F238E27FC236}">
                <a16:creationId xmlns:a16="http://schemas.microsoft.com/office/drawing/2014/main" id="{F5155C1B-6922-4BC9-B6D4-CBCCAE13F937}"/>
              </a:ext>
            </a:extLst>
          </xdr:cNvPr>
          <xdr:cNvSpPr txBox="1"/>
        </xdr:nvSpPr>
        <xdr:spPr>
          <a:xfrm>
            <a:off x="2009774" y="342900"/>
            <a:ext cx="587376" cy="2095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700" b="1">
                <a:latin typeface="Calibri" panose="020F0502020204030204" pitchFamily="34" charset="0"/>
                <a:cs typeface="Calibri" panose="020F0502020204030204" pitchFamily="34" charset="0"/>
              </a:rPr>
              <a:t>IDS</a:t>
            </a:r>
            <a:r>
              <a:rPr lang="pt-BR" sz="700" b="1" baseline="0">
                <a:latin typeface="Calibri" panose="020F0502020204030204" pitchFamily="34" charset="0"/>
                <a:cs typeface="Calibri" panose="020F0502020204030204" pitchFamily="34" charset="0"/>
              </a:rPr>
              <a:t> e ODS</a:t>
            </a:r>
            <a:endParaRPr lang="pt-BR" sz="700" b="1"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</xdr:grpSp>
    <xdr:clientData fLocksWithSheet="0"/>
  </xdr:twoCellAnchor>
  <xdr:twoCellAnchor editAs="absolute">
    <xdr:from>
      <xdr:col>5</xdr:col>
      <xdr:colOff>182564</xdr:colOff>
      <xdr:row>0</xdr:row>
      <xdr:rowOff>0</xdr:rowOff>
    </xdr:from>
    <xdr:to>
      <xdr:col>6</xdr:col>
      <xdr:colOff>222124</xdr:colOff>
      <xdr:row>1</xdr:row>
      <xdr:rowOff>0</xdr:rowOff>
    </xdr:to>
    <xdr:grpSp>
      <xdr:nvGrpSpPr>
        <xdr:cNvPr id="42" name="Agrupar 4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FA7A029-9CDD-4F07-9E98-ADD099506C8C}"/>
            </a:ext>
          </a:extLst>
        </xdr:cNvPr>
        <xdr:cNvGrpSpPr/>
      </xdr:nvGrpSpPr>
      <xdr:grpSpPr>
        <a:xfrm>
          <a:off x="3455256" y="0"/>
          <a:ext cx="694099" cy="576385"/>
          <a:chOff x="3551239" y="0"/>
          <a:chExt cx="703135" cy="571500"/>
        </a:xfrm>
      </xdr:grpSpPr>
      <xdr:grpSp>
        <xdr:nvGrpSpPr>
          <xdr:cNvPr id="43" name="Agrupar 42">
            <a:extLst>
              <a:ext uri="{FF2B5EF4-FFF2-40B4-BE49-F238E27FC236}">
                <a16:creationId xmlns:a16="http://schemas.microsoft.com/office/drawing/2014/main" id="{DDE3A067-8569-40E1-9ED3-2572A6CB67E9}"/>
              </a:ext>
            </a:extLst>
          </xdr:cNvPr>
          <xdr:cNvGrpSpPr/>
        </xdr:nvGrpSpPr>
        <xdr:grpSpPr>
          <a:xfrm>
            <a:off x="3551239" y="0"/>
            <a:ext cx="703135" cy="571500"/>
            <a:chOff x="2015062" y="0"/>
            <a:chExt cx="615017" cy="581025"/>
          </a:xfrm>
          <a:solidFill>
            <a:srgbClr val="3399FF"/>
          </a:solidFill>
        </xdr:grpSpPr>
        <xdr:sp macro="" textlink="">
          <xdr:nvSpPr>
            <xdr:cNvPr id="45" name="Retângulo 44">
              <a:extLst>
                <a:ext uri="{FF2B5EF4-FFF2-40B4-BE49-F238E27FC236}">
                  <a16:creationId xmlns:a16="http://schemas.microsoft.com/office/drawing/2014/main" id="{8FF2FC20-1C63-440A-AA09-683A30E229EE}"/>
                </a:ext>
              </a:extLst>
            </xdr:cNvPr>
            <xdr:cNvSpPr/>
          </xdr:nvSpPr>
          <xdr:spPr>
            <a:xfrm>
              <a:off x="2015062" y="0"/>
              <a:ext cx="615017" cy="581025"/>
            </a:xfrm>
            <a:prstGeom prst="rect">
              <a:avLst/>
            </a:prstGeom>
            <a:solidFill>
              <a:srgbClr val="FFCC29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C1CC099C-FEC3-45D9-897A-B3D2A5C7E49A}"/>
                </a:ext>
              </a:extLst>
            </xdr:cNvPr>
            <xdr:cNvSpPr txBox="1"/>
          </xdr:nvSpPr>
          <xdr:spPr>
            <a:xfrm>
              <a:off x="2024779" y="387351"/>
              <a:ext cx="599855" cy="145255"/>
            </a:xfrm>
            <a:prstGeom prst="rect">
              <a:avLst/>
            </a:prstGeom>
            <a:noFill/>
            <a:ln w="9525" cmpd="sng">
              <a:noFill/>
            </a:ln>
            <a:effectLst>
              <a:softEdge rad="12700"/>
            </a:effec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600" b="1">
                  <a:latin typeface="Calibri" panose="020F0502020204030204" pitchFamily="34" charset="0"/>
                  <a:cs typeface="Calibri" panose="020F0502020204030204" pitchFamily="34" charset="0"/>
                </a:rPr>
                <a:t>COMPARATIVO</a:t>
              </a:r>
              <a:endParaRPr lang="pt-BR" sz="700" b="1">
                <a:latin typeface="Calibri" panose="020F0502020204030204" pitchFamily="34" charset="0"/>
                <a:cs typeface="Calibri" panose="020F0502020204030204" pitchFamily="34" charset="0"/>
              </a:endParaRPr>
            </a:p>
          </xdr:txBody>
        </xdr:sp>
      </xdr:grpSp>
      <xdr:pic>
        <xdr:nvPicPr>
          <xdr:cNvPr id="44" name="Imagem 43">
            <a:extLst>
              <a:ext uri="{FF2B5EF4-FFF2-40B4-BE49-F238E27FC236}">
                <a16:creationId xmlns:a16="http://schemas.microsoft.com/office/drawing/2014/main" id="{5E1CF776-5BC5-453E-B4EC-CCDEB81241C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52850" y="47625"/>
            <a:ext cx="314325" cy="314325"/>
          </a:xfrm>
          <a:prstGeom prst="rect">
            <a:avLst/>
          </a:prstGeom>
        </xdr:spPr>
      </xdr:pic>
    </xdr:grpSp>
    <xdr:clientData fLocksWithSheet="0"/>
  </xdr:twoCellAnchor>
  <xdr:twoCellAnchor editAs="absolute">
    <xdr:from>
      <xdr:col>4</xdr:col>
      <xdr:colOff>93671</xdr:colOff>
      <xdr:row>0</xdr:row>
      <xdr:rowOff>0</xdr:rowOff>
    </xdr:from>
    <xdr:to>
      <xdr:col>5</xdr:col>
      <xdr:colOff>142876</xdr:colOff>
      <xdr:row>1</xdr:row>
      <xdr:rowOff>0</xdr:rowOff>
    </xdr:to>
    <xdr:grpSp>
      <xdr:nvGrpSpPr>
        <xdr:cNvPr id="47" name="Agrupar 4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B01CEE1-3EF0-436F-BA2D-E06FC3A6AD26}"/>
            </a:ext>
          </a:extLst>
        </xdr:cNvPr>
        <xdr:cNvGrpSpPr/>
      </xdr:nvGrpSpPr>
      <xdr:grpSpPr>
        <a:xfrm>
          <a:off x="2711825" y="0"/>
          <a:ext cx="703743" cy="576385"/>
          <a:chOff x="2808296" y="0"/>
          <a:chExt cx="703255" cy="571500"/>
        </a:xfrm>
        <a:solidFill>
          <a:schemeClr val="bg1"/>
        </a:solidFill>
      </xdr:grpSpPr>
      <xdr:grpSp>
        <xdr:nvGrpSpPr>
          <xdr:cNvPr id="48" name="Agrupar 47">
            <a:extLst>
              <a:ext uri="{FF2B5EF4-FFF2-40B4-BE49-F238E27FC236}">
                <a16:creationId xmlns:a16="http://schemas.microsoft.com/office/drawing/2014/main" id="{15466F0F-45D0-476B-92A5-2DBF2332E74A}"/>
              </a:ext>
            </a:extLst>
          </xdr:cNvPr>
          <xdr:cNvGrpSpPr/>
        </xdr:nvGrpSpPr>
        <xdr:grpSpPr>
          <a:xfrm>
            <a:off x="2808296" y="0"/>
            <a:ext cx="703255" cy="571500"/>
            <a:chOff x="2015062" y="0"/>
            <a:chExt cx="615017" cy="581025"/>
          </a:xfrm>
          <a:grpFill/>
        </xdr:grpSpPr>
        <xdr:sp macro="" textlink="">
          <xdr:nvSpPr>
            <xdr:cNvPr id="50" name="Retângulo 49">
              <a:extLst>
                <a:ext uri="{FF2B5EF4-FFF2-40B4-BE49-F238E27FC236}">
                  <a16:creationId xmlns:a16="http://schemas.microsoft.com/office/drawing/2014/main" id="{E6EFE608-7EB3-481D-996B-D034D02D9BC3}"/>
                </a:ext>
              </a:extLst>
            </xdr:cNvPr>
            <xdr:cNvSpPr/>
          </xdr:nvSpPr>
          <xdr:spPr>
            <a:xfrm>
              <a:off x="2015062" y="0"/>
              <a:ext cx="615017" cy="581025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897237B0-8DBE-42D7-B1A3-16EE79981140}"/>
                </a:ext>
              </a:extLst>
            </xdr:cNvPr>
            <xdr:cNvSpPr txBox="1"/>
          </xdr:nvSpPr>
          <xdr:spPr>
            <a:xfrm>
              <a:off x="2021497" y="363951"/>
              <a:ext cx="587376" cy="209550"/>
            </a:xfrm>
            <a:prstGeom prst="rect">
              <a:avLst/>
            </a:prstGeom>
            <a:grpFill/>
            <a:ln w="9525" cmpd="sng">
              <a:noFill/>
            </a:ln>
            <a:effectLst>
              <a:softEdge rad="12700"/>
            </a:effec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600" b="1">
                  <a:latin typeface="Calibri" panose="020F0502020204030204" pitchFamily="34" charset="0"/>
                  <a:cs typeface="Calibri" panose="020F0502020204030204" pitchFamily="34" charset="0"/>
                </a:rPr>
                <a:t>DASHBOARD</a:t>
              </a:r>
              <a:endParaRPr lang="pt-BR" sz="700" b="1">
                <a:latin typeface="Calibri" panose="020F0502020204030204" pitchFamily="34" charset="0"/>
                <a:cs typeface="Calibri" panose="020F0502020204030204" pitchFamily="34" charset="0"/>
              </a:endParaRPr>
            </a:p>
          </xdr:txBody>
        </xdr:sp>
      </xdr:grpSp>
      <xdr:pic>
        <xdr:nvPicPr>
          <xdr:cNvPr id="49" name="Imagem 48">
            <a:extLst>
              <a:ext uri="{FF2B5EF4-FFF2-40B4-BE49-F238E27FC236}">
                <a16:creationId xmlns:a16="http://schemas.microsoft.com/office/drawing/2014/main" id="{526C1F59-F0F7-4BE8-A652-815F623BAFA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88450" y="54750"/>
            <a:ext cx="360000" cy="360000"/>
          </a:xfrm>
          <a:prstGeom prst="rect">
            <a:avLst/>
          </a:prstGeom>
          <a:grpFill/>
        </xdr:spPr>
      </xdr:pic>
    </xdr:grpSp>
    <xdr:clientData fLocksWithSheet="0"/>
  </xdr:twoCellAnchor>
  <xdr:twoCellAnchor>
    <xdr:from>
      <xdr:col>17</xdr:col>
      <xdr:colOff>2218470</xdr:colOff>
      <xdr:row>3</xdr:row>
      <xdr:rowOff>63501</xdr:rowOff>
    </xdr:from>
    <xdr:to>
      <xdr:col>17</xdr:col>
      <xdr:colOff>3537682</xdr:colOff>
      <xdr:row>5</xdr:row>
      <xdr:rowOff>12398</xdr:rowOff>
    </xdr:to>
    <xdr:sp macro="" textlink="'Tabela Dinamica'!D31">
      <xdr:nvSpPr>
        <xdr:cNvPr id="30" name="Retângulo: Cantos Arredondados 29">
          <a:extLst>
            <a:ext uri="{FF2B5EF4-FFF2-40B4-BE49-F238E27FC236}">
              <a16:creationId xmlns:a16="http://schemas.microsoft.com/office/drawing/2014/main" id="{B96DD205-629A-4AE1-AD43-0FE057CECE1A}"/>
            </a:ext>
          </a:extLst>
        </xdr:cNvPr>
        <xdr:cNvSpPr/>
      </xdr:nvSpPr>
      <xdr:spPr>
        <a:xfrm>
          <a:off x="16452239" y="1118578"/>
          <a:ext cx="1319212" cy="300589"/>
        </a:xfrm>
        <a:prstGeom prst="roundRect">
          <a:avLst/>
        </a:prstGeom>
        <a:solidFill>
          <a:schemeClr val="bg1"/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641DC527-2AFD-4D92-B953-8985D5C11519}" type="TxLink">
            <a:rPr lang="en-US" sz="1800" b="1" i="0" u="none" strike="noStrike">
              <a:solidFill>
                <a:srgbClr val="000000"/>
              </a:solidFill>
              <a:latin typeface="Aptos Narrow"/>
            </a:rPr>
            <a:pPr algn="ctr"/>
            <a:t>Goiana</a:t>
          </a:fld>
          <a:endParaRPr lang="pt-BR" sz="1800" b="1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14</xdr:col>
      <xdr:colOff>517770</xdr:colOff>
      <xdr:row>3</xdr:row>
      <xdr:rowOff>117231</xdr:rowOff>
    </xdr:from>
    <xdr:to>
      <xdr:col>16</xdr:col>
      <xdr:colOff>244231</xdr:colOff>
      <xdr:row>6</xdr:row>
      <xdr:rowOff>107462</xdr:rowOff>
    </xdr:to>
    <xdr:grpSp>
      <xdr:nvGrpSpPr>
        <xdr:cNvPr id="55" name="Agrupar 54">
          <a:extLst>
            <a:ext uri="{FF2B5EF4-FFF2-40B4-BE49-F238E27FC236}">
              <a16:creationId xmlns:a16="http://schemas.microsoft.com/office/drawing/2014/main" id="{82B525E8-FCD4-4258-A587-8007F19FF11B}"/>
            </a:ext>
          </a:extLst>
        </xdr:cNvPr>
        <xdr:cNvGrpSpPr/>
      </xdr:nvGrpSpPr>
      <xdr:grpSpPr>
        <a:xfrm>
          <a:off x="9681308" y="1172308"/>
          <a:ext cx="1133231" cy="517769"/>
          <a:chOff x="4365368" y="1084071"/>
          <a:chExt cx="1812456" cy="652654"/>
        </a:xfrm>
      </xdr:grpSpPr>
      <xdr:sp macro="" textlink="'Tabela Dinamica'!E42">
        <xdr:nvSpPr>
          <xdr:cNvPr id="32" name="Retângulo: Cantos Arredondados 31">
            <a:extLst>
              <a:ext uri="{FF2B5EF4-FFF2-40B4-BE49-F238E27FC236}">
                <a16:creationId xmlns:a16="http://schemas.microsoft.com/office/drawing/2014/main" id="{AFB34F5E-EC36-4A0B-9F10-CAE1897D6433}"/>
              </a:ext>
            </a:extLst>
          </xdr:cNvPr>
          <xdr:cNvSpPr/>
        </xdr:nvSpPr>
        <xdr:spPr>
          <a:xfrm>
            <a:off x="4611252" y="1084071"/>
            <a:ext cx="1566572" cy="652654"/>
          </a:xfrm>
          <a:prstGeom prst="roundRect">
            <a:avLst/>
          </a:prstGeom>
          <a:solidFill>
            <a:schemeClr val="bg1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r"/>
            <a:fld id="{6F251944-54CF-4234-946F-95A358E801CE}" type="TxLink">
              <a:rPr lang="en-US" sz="1600" b="0" i="0" u="none" strike="noStrike">
                <a:solidFill>
                  <a:srgbClr val="000000"/>
                </a:solidFill>
                <a:latin typeface="Aptos Narrow"/>
              </a:rPr>
              <a:pPr algn="r"/>
              <a:t>81055</a:t>
            </a:fld>
            <a:endParaRPr lang="pt-BR" sz="1050"/>
          </a:p>
        </xdr:txBody>
      </xdr:sp>
      <xdr:sp macro="" textlink="'Tabela Dinamica'!D42">
        <xdr:nvSpPr>
          <xdr:cNvPr id="54" name="CaixaDeTexto 53">
            <a:extLst>
              <a:ext uri="{FF2B5EF4-FFF2-40B4-BE49-F238E27FC236}">
                <a16:creationId xmlns:a16="http://schemas.microsoft.com/office/drawing/2014/main" id="{469FB28B-43DD-455C-BC68-1850CA77005A}"/>
              </a:ext>
            </a:extLst>
          </xdr:cNvPr>
          <xdr:cNvSpPr txBox="1"/>
        </xdr:nvSpPr>
        <xdr:spPr>
          <a:xfrm>
            <a:off x="4365368" y="1163105"/>
            <a:ext cx="1534478" cy="1838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r"/>
            <a:fld id="{287CE2C2-0734-48B7-86C4-667ECDDFD905}" type="TxLink">
              <a:rPr lang="en-US" sz="1200" b="1" i="0" u="none" strike="noStrike">
                <a:solidFill>
                  <a:srgbClr val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pPr algn="r"/>
              <a:t>População</a:t>
            </a:fld>
            <a:endParaRPr lang="pt-BR" sz="1050" b="1"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</xdr:grpSp>
    <xdr:clientData/>
  </xdr:twoCellAnchor>
  <xdr:twoCellAnchor editAs="absolute">
    <xdr:from>
      <xdr:col>16</xdr:col>
      <xdr:colOff>674928</xdr:colOff>
      <xdr:row>3</xdr:row>
      <xdr:rowOff>107913</xdr:rowOff>
    </xdr:from>
    <xdr:to>
      <xdr:col>17</xdr:col>
      <xdr:colOff>548670</xdr:colOff>
      <xdr:row>7</xdr:row>
      <xdr:rowOff>70378</xdr:rowOff>
    </xdr:to>
    <xdr:grpSp>
      <xdr:nvGrpSpPr>
        <xdr:cNvPr id="56" name="Agrupar 55">
          <a:extLst>
            <a:ext uri="{FF2B5EF4-FFF2-40B4-BE49-F238E27FC236}">
              <a16:creationId xmlns:a16="http://schemas.microsoft.com/office/drawing/2014/main" id="{5EEDD074-200A-4318-8350-322C255525D6}"/>
            </a:ext>
          </a:extLst>
        </xdr:cNvPr>
        <xdr:cNvGrpSpPr/>
      </xdr:nvGrpSpPr>
      <xdr:grpSpPr>
        <a:xfrm>
          <a:off x="11245236" y="1162990"/>
          <a:ext cx="3537203" cy="665850"/>
          <a:chOff x="4685681" y="1138753"/>
          <a:chExt cx="1797847" cy="642001"/>
        </a:xfrm>
      </xdr:grpSpPr>
      <xdr:sp macro="" textlink="'Tabela Dinamica'!E46">
        <xdr:nvSpPr>
          <xdr:cNvPr id="57" name="Retângulo: Cantos Arredondados 56">
            <a:extLst>
              <a:ext uri="{FF2B5EF4-FFF2-40B4-BE49-F238E27FC236}">
                <a16:creationId xmlns:a16="http://schemas.microsoft.com/office/drawing/2014/main" id="{94B05E78-07BA-424B-B1AC-70CDC16734B0}"/>
              </a:ext>
            </a:extLst>
          </xdr:cNvPr>
          <xdr:cNvSpPr/>
        </xdr:nvSpPr>
        <xdr:spPr>
          <a:xfrm>
            <a:off x="4685681" y="1139404"/>
            <a:ext cx="1611312" cy="641350"/>
          </a:xfrm>
          <a:prstGeom prst="roundRect">
            <a:avLst/>
          </a:prstGeom>
          <a:solidFill>
            <a:schemeClr val="bg1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r"/>
            <a:fld id="{DFAA412E-DAA0-4FF8-A6DB-43FFC71F252D}" type="TxLink">
              <a:rPr lang="en-US" sz="1800" b="0" i="0" u="none" strike="noStrike">
                <a:solidFill>
                  <a:srgbClr val="000000"/>
                </a:solidFill>
                <a:latin typeface="Aptos Narrow"/>
              </a:rPr>
              <a:pPr algn="r"/>
              <a:t>R$ 132.714,70</a:t>
            </a:fld>
            <a:endParaRPr lang="pt-BR" sz="1100"/>
          </a:p>
        </xdr:txBody>
      </xdr:sp>
      <xdr:sp macro="" textlink="'Tabela Dinamica'!D46">
        <xdr:nvSpPr>
          <xdr:cNvPr id="58" name="CaixaDeTexto 57">
            <a:extLst>
              <a:ext uri="{FF2B5EF4-FFF2-40B4-BE49-F238E27FC236}">
                <a16:creationId xmlns:a16="http://schemas.microsoft.com/office/drawing/2014/main" id="{B1A5EF7D-6B21-40F5-A2E8-BAD7F169B29F}"/>
              </a:ext>
            </a:extLst>
          </xdr:cNvPr>
          <xdr:cNvSpPr txBox="1"/>
        </xdr:nvSpPr>
        <xdr:spPr>
          <a:xfrm>
            <a:off x="4699179" y="1138753"/>
            <a:ext cx="1784349" cy="306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397DE28A-7360-424D-AB5B-13F70CC4A29D}" type="TxLink">
              <a:rPr lang="en-US" sz="1600" b="1" i="0" u="none" strike="noStrike">
                <a:solidFill>
                  <a:srgbClr val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pPr algn="l"/>
              <a:t>PIB per Capita</a:t>
            </a:fld>
            <a:endParaRPr lang="en-US" sz="1200" b="1"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</xdr:grpSp>
    <xdr:clientData/>
  </xdr:twoCellAnchor>
  <xdr:twoCellAnchor>
    <xdr:from>
      <xdr:col>7</xdr:col>
      <xdr:colOff>297469</xdr:colOff>
      <xdr:row>16</xdr:row>
      <xdr:rowOff>1511</xdr:rowOff>
    </xdr:from>
    <xdr:to>
      <xdr:col>17</xdr:col>
      <xdr:colOff>435429</xdr:colOff>
      <xdr:row>20</xdr:row>
      <xdr:rowOff>123825</xdr:rowOff>
    </xdr:to>
    <xdr:sp macro="" textlink="'Tabela Dinamica'!F34">
      <xdr:nvSpPr>
        <xdr:cNvPr id="59" name="Retângulo: Cantos Arredondados 58">
          <a:extLst>
            <a:ext uri="{FF2B5EF4-FFF2-40B4-BE49-F238E27FC236}">
              <a16:creationId xmlns:a16="http://schemas.microsoft.com/office/drawing/2014/main" id="{E7377BA4-ADCE-4D84-AA98-BE3E6D48924E}"/>
            </a:ext>
          </a:extLst>
        </xdr:cNvPr>
        <xdr:cNvSpPr/>
      </xdr:nvSpPr>
      <xdr:spPr>
        <a:xfrm>
          <a:off x="4869469" y="3348868"/>
          <a:ext cx="8166174" cy="829886"/>
        </a:xfrm>
        <a:prstGeom prst="roundRect">
          <a:avLst/>
        </a:prstGeom>
        <a:solidFill>
          <a:schemeClr val="bg1"/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B852A2A1-561D-47AA-8B9C-A26EB10482F8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Para um município crescer de forma equilibrada, é preciso gerar oportunidades de trabalho digno para sua população, fortalecendo a economia local.</a:t>
          </a:fld>
          <a:endParaRPr lang="pt-BR" sz="1400" b="1"/>
        </a:p>
      </xdr:txBody>
    </xdr:sp>
    <xdr:clientData/>
  </xdr:twoCellAnchor>
  <xdr:twoCellAnchor editAs="absolute">
    <xdr:from>
      <xdr:col>8</xdr:col>
      <xdr:colOff>309483</xdr:colOff>
      <xdr:row>39</xdr:row>
      <xdr:rowOff>63814</xdr:rowOff>
    </xdr:from>
    <xdr:to>
      <xdr:col>17</xdr:col>
      <xdr:colOff>207981</xdr:colOff>
      <xdr:row>43</xdr:row>
      <xdr:rowOff>46717</xdr:rowOff>
    </xdr:to>
    <xdr:sp macro="" textlink="'Tabela Dinamica'!G39">
      <xdr:nvSpPr>
        <xdr:cNvPr id="61" name="Retângulo: Cantos Arredondados 60">
          <a:extLst>
            <a:ext uri="{FF2B5EF4-FFF2-40B4-BE49-F238E27FC236}">
              <a16:creationId xmlns:a16="http://schemas.microsoft.com/office/drawing/2014/main" id="{83831FCC-B228-4550-B01C-265AF54E8F13}"/>
            </a:ext>
          </a:extLst>
        </xdr:cNvPr>
        <xdr:cNvSpPr/>
      </xdr:nvSpPr>
      <xdr:spPr>
        <a:xfrm>
          <a:off x="5545791" y="7449352"/>
          <a:ext cx="8895959" cy="68628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C25B5E75-F4B4-4A63-8D3D-D845BF0EE451}" type="TxLink"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pPr algn="ctr"/>
            <a:t>MUITO BAIXO - Este é um indicativo crítico, o município enfrenta grandes desafios e precisa de ações imediatas e substanciais para alcançar resultados mínimos em áreas essenciais como educação, saúde, meio ambiente, infraestrutura, entre outros.</a:t>
          </a:fld>
          <a:endParaRPr lang="pt-BR" sz="1100" b="1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 editAs="absolute">
    <xdr:from>
      <xdr:col>8</xdr:col>
      <xdr:colOff>0</xdr:colOff>
      <xdr:row>0</xdr:row>
      <xdr:rowOff>0</xdr:rowOff>
    </xdr:from>
    <xdr:to>
      <xdr:col>9</xdr:col>
      <xdr:colOff>532912</xdr:colOff>
      <xdr:row>0</xdr:row>
      <xdr:rowOff>570533</xdr:rowOff>
    </xdr:to>
    <xdr:grpSp>
      <xdr:nvGrpSpPr>
        <xdr:cNvPr id="52" name="Agrupar 51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2E415EF-CF31-41E2-8ABF-5A5FE570ABA3}"/>
            </a:ext>
          </a:extLst>
        </xdr:cNvPr>
        <xdr:cNvGrpSpPr/>
      </xdr:nvGrpSpPr>
      <xdr:grpSpPr>
        <a:xfrm>
          <a:off x="5236308" y="0"/>
          <a:ext cx="1187450" cy="570533"/>
          <a:chOff x="5569357" y="6421"/>
          <a:chExt cx="1200150" cy="576943"/>
        </a:xfrm>
        <a:gradFill>
          <a:gsLst>
            <a:gs pos="0">
              <a:srgbClr val="FFCC29"/>
            </a:gs>
            <a:gs pos="74000">
              <a:schemeClr val="bg1"/>
            </a:gs>
            <a:gs pos="39000">
              <a:srgbClr val="FFCC29"/>
            </a:gs>
            <a:gs pos="21000">
              <a:srgbClr val="FFCC29"/>
            </a:gs>
          </a:gsLst>
          <a:lin ang="5400000" scaled="1"/>
        </a:gradFill>
      </xdr:grpSpPr>
      <xdr:sp macro="" textlink="">
        <xdr:nvSpPr>
          <xdr:cNvPr id="53" name="Retângulo 52">
            <a:extLst>
              <a:ext uri="{FF2B5EF4-FFF2-40B4-BE49-F238E27FC236}">
                <a16:creationId xmlns:a16="http://schemas.microsoft.com/office/drawing/2014/main" id="{FF20AEBF-C3AF-4525-A419-D93C2B57BC4F}"/>
              </a:ext>
            </a:extLst>
          </xdr:cNvPr>
          <xdr:cNvSpPr/>
        </xdr:nvSpPr>
        <xdr:spPr>
          <a:xfrm>
            <a:off x="5569357" y="6421"/>
            <a:ext cx="1200150" cy="571500"/>
          </a:xfrm>
          <a:prstGeom prst="rect">
            <a:avLst/>
          </a:prstGeom>
          <a:grp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60" name="CaixaDeTexto 59">
            <a:extLst>
              <a:ext uri="{FF2B5EF4-FFF2-40B4-BE49-F238E27FC236}">
                <a16:creationId xmlns:a16="http://schemas.microsoft.com/office/drawing/2014/main" id="{AA4B2CFD-8876-45EA-8716-914D01C39AE0}"/>
              </a:ext>
            </a:extLst>
          </xdr:cNvPr>
          <xdr:cNvSpPr txBox="1"/>
        </xdr:nvSpPr>
        <xdr:spPr>
          <a:xfrm>
            <a:off x="5819654" y="391702"/>
            <a:ext cx="731643" cy="191662"/>
          </a:xfrm>
          <a:prstGeom prst="rect">
            <a:avLst/>
          </a:prstGeom>
          <a:noFill/>
          <a:ln w="3175" cmpd="sng">
            <a:noFill/>
          </a:ln>
          <a:effectLst>
            <a:softEdge rad="12700"/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Calibri" panose="020F0502020204030204" pitchFamily="34" charset="0"/>
                <a:cs typeface="Calibri" panose="020F0502020204030204" pitchFamily="34" charset="0"/>
              </a:rPr>
              <a:t>EIXOS</a:t>
            </a:r>
            <a:r>
              <a:rPr lang="pt-BR" sz="800" b="1" baseline="0">
                <a:latin typeface="Calibri" panose="020F0502020204030204" pitchFamily="34" charset="0"/>
                <a:cs typeface="Calibri" panose="020F0502020204030204" pitchFamily="34" charset="0"/>
              </a:rPr>
              <a:t> WELL</a:t>
            </a:r>
            <a:endParaRPr lang="pt-BR" sz="800" b="1"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  <xdr:pic>
        <xdr:nvPicPr>
          <xdr:cNvPr id="62" name="Imagem 61">
            <a:extLst>
              <a:ext uri="{FF2B5EF4-FFF2-40B4-BE49-F238E27FC236}">
                <a16:creationId xmlns:a16="http://schemas.microsoft.com/office/drawing/2014/main" id="{9D1C4EE5-13D7-45AE-AB65-0FA613FC1C5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01700" y="69453"/>
            <a:ext cx="316719" cy="316719"/>
          </a:xfrm>
          <a:prstGeom prst="rect">
            <a:avLst/>
          </a:prstGeom>
          <a:grpFill/>
          <a:ln w="3175">
            <a:noFill/>
          </a:ln>
        </xdr:spPr>
      </xdr:pic>
    </xdr:grpSp>
    <xdr:clientData fLocksWithSheet="0"/>
  </xdr:twoCellAnchor>
  <xdr:twoCellAnchor editAs="absolute">
    <xdr:from>
      <xdr:col>1</xdr:col>
      <xdr:colOff>222656</xdr:colOff>
      <xdr:row>25</xdr:row>
      <xdr:rowOff>117392</xdr:rowOff>
    </xdr:from>
    <xdr:to>
      <xdr:col>5</xdr:col>
      <xdr:colOff>425102</xdr:colOff>
      <xdr:row>42</xdr:row>
      <xdr:rowOff>166076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Nº ODS">
              <a:extLst>
                <a:ext uri="{FF2B5EF4-FFF2-40B4-BE49-F238E27FC236}">
                  <a16:creationId xmlns:a16="http://schemas.microsoft.com/office/drawing/2014/main" id="{78250996-58F5-4ADB-8D58-9238D7B9F7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º OD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7194" y="5041084"/>
              <a:ext cx="2820600" cy="30380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 fLocksWithSheet="0"/>
  </xdr:twoCellAnchor>
  <xdr:twoCellAnchor editAs="absolute">
    <xdr:from>
      <xdr:col>17</xdr:col>
      <xdr:colOff>1215571</xdr:colOff>
      <xdr:row>15</xdr:row>
      <xdr:rowOff>115137</xdr:rowOff>
    </xdr:from>
    <xdr:to>
      <xdr:col>17</xdr:col>
      <xdr:colOff>3490231</xdr:colOff>
      <xdr:row>33</xdr:row>
      <xdr:rowOff>66291</xdr:rowOff>
    </xdr:to>
    <xdr:grpSp>
      <xdr:nvGrpSpPr>
        <xdr:cNvPr id="10" name="Agrupar 9">
          <a:extLst>
            <a:ext uri="{FF2B5EF4-FFF2-40B4-BE49-F238E27FC236}">
              <a16:creationId xmlns:a16="http://schemas.microsoft.com/office/drawing/2014/main" id="{E8427F85-C498-4BDB-A5BE-38D5A211DC22}"/>
            </a:ext>
          </a:extLst>
        </xdr:cNvPr>
        <xdr:cNvGrpSpPr/>
      </xdr:nvGrpSpPr>
      <xdr:grpSpPr>
        <a:xfrm>
          <a:off x="15449340" y="3280368"/>
          <a:ext cx="2274660" cy="3116385"/>
          <a:chOff x="15449340" y="3192445"/>
          <a:chExt cx="2274660" cy="3116385"/>
        </a:xfrm>
      </xdr:grpSpPr>
      <xdr:sp macro="" textlink="">
        <xdr:nvSpPr>
          <xdr:cNvPr id="6" name="Retângulo: Cantos Arredondados 5">
            <a:extLst>
              <a:ext uri="{FF2B5EF4-FFF2-40B4-BE49-F238E27FC236}">
                <a16:creationId xmlns:a16="http://schemas.microsoft.com/office/drawing/2014/main" id="{9730B1F3-273B-4EA4-A55A-B0B86E90E5DD}"/>
              </a:ext>
            </a:extLst>
          </xdr:cNvPr>
          <xdr:cNvSpPr/>
        </xdr:nvSpPr>
        <xdr:spPr>
          <a:xfrm>
            <a:off x="15449340" y="3192445"/>
            <a:ext cx="2274660" cy="1285351"/>
          </a:xfrm>
          <a:prstGeom prst="roundRect">
            <a:avLst/>
          </a:prstGeom>
          <a:solidFill>
            <a:srgbClr val="FFCC29"/>
          </a:solidFill>
          <a:ln w="28575"/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4400"/>
          </a:p>
        </xdr:txBody>
      </xdr:sp>
      <xdr:sp macro="" textlink="'Tabela Dinamica'!R34">
        <xdr:nvSpPr>
          <xdr:cNvPr id="7" name="CaixaDeTexto 6">
            <a:extLst>
              <a:ext uri="{FF2B5EF4-FFF2-40B4-BE49-F238E27FC236}">
                <a16:creationId xmlns:a16="http://schemas.microsoft.com/office/drawing/2014/main" id="{BB98E54C-14F3-42CD-B752-A4C4E6ED578E}"/>
              </a:ext>
            </a:extLst>
          </xdr:cNvPr>
          <xdr:cNvSpPr txBox="1"/>
        </xdr:nvSpPr>
        <xdr:spPr>
          <a:xfrm>
            <a:off x="15620563" y="3219659"/>
            <a:ext cx="1932215" cy="11548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06B476E7-7F05-47CB-9075-CE92722F5063}" type="TxLink">
              <a:rPr lang="en-US" sz="16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Desenvolvimento Econômico e Geração de Empregos</a:t>
            </a:fld>
            <a:endParaRPr lang="pt-BR" sz="1600" b="1"/>
          </a:p>
        </xdr:txBody>
      </xdr:sp>
      <xdr:sp macro="" textlink="'Tabela Dinamica'!R34">
        <xdr:nvSpPr>
          <xdr:cNvPr id="75" name="CaixaDeTexto 74">
            <a:extLst>
              <a:ext uri="{FF2B5EF4-FFF2-40B4-BE49-F238E27FC236}">
                <a16:creationId xmlns:a16="http://schemas.microsoft.com/office/drawing/2014/main" id="{5E47FD92-AD64-40F0-A9A3-2D1A4B5A4F90}"/>
              </a:ext>
            </a:extLst>
          </xdr:cNvPr>
          <xdr:cNvSpPr txBox="1"/>
        </xdr:nvSpPr>
        <xdr:spPr>
          <a:xfrm>
            <a:off x="15620563" y="5153967"/>
            <a:ext cx="1932215" cy="11548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06B476E7-7F05-47CB-9075-CE92722F5063}" type="TxLink">
              <a:rPr lang="en-US" sz="16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Desenvolvimento Econômico e Geração de Empregos</a:t>
            </a:fld>
            <a:endParaRPr lang="pt-BR" sz="1600" b="1"/>
          </a:p>
        </xdr:txBody>
      </xdr:sp>
    </xdr:grpSp>
    <xdr:clientData/>
  </xdr:twoCellAnchor>
  <xdr:twoCellAnchor editAs="absolute">
    <xdr:from>
      <xdr:col>17</xdr:col>
      <xdr:colOff>1186264</xdr:colOff>
      <xdr:row>26</xdr:row>
      <xdr:rowOff>95599</xdr:rowOff>
    </xdr:from>
    <xdr:to>
      <xdr:col>17</xdr:col>
      <xdr:colOff>3460924</xdr:colOff>
      <xdr:row>43</xdr:row>
      <xdr:rowOff>107462</xdr:rowOff>
    </xdr:to>
    <xdr:sp macro="" textlink="">
      <xdr:nvSpPr>
        <xdr:cNvPr id="63" name="Retângulo: Cantos Arredondados 62">
          <a:extLst>
            <a:ext uri="{FF2B5EF4-FFF2-40B4-BE49-F238E27FC236}">
              <a16:creationId xmlns:a16="http://schemas.microsoft.com/office/drawing/2014/main" id="{0123FB75-FC17-478D-90A0-201C51D3F5AF}"/>
            </a:ext>
          </a:extLst>
        </xdr:cNvPr>
        <xdr:cNvSpPr/>
      </xdr:nvSpPr>
      <xdr:spPr>
        <a:xfrm>
          <a:off x="15420033" y="5195137"/>
          <a:ext cx="2274660" cy="3001248"/>
        </a:xfrm>
        <a:prstGeom prst="roundRect">
          <a:avLst/>
        </a:prstGeom>
        <a:solidFill>
          <a:srgbClr val="FFCC29"/>
        </a:solidFill>
        <a:ln w="28575"/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BR" sz="1500" b="1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algn="ctr"/>
          <a:endParaRPr lang="pt-BR" sz="1500" b="1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17</xdr:col>
      <xdr:colOff>898769</xdr:colOff>
      <xdr:row>23</xdr:row>
      <xdr:rowOff>78154</xdr:rowOff>
    </xdr:from>
    <xdr:to>
      <xdr:col>17</xdr:col>
      <xdr:colOff>3604846</xdr:colOff>
      <xdr:row>26</xdr:row>
      <xdr:rowOff>87924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53E496DE-ED72-4680-A6E9-82971D326C7C}"/>
            </a:ext>
          </a:extLst>
        </xdr:cNvPr>
        <xdr:cNvSpPr txBox="1"/>
      </xdr:nvSpPr>
      <xdr:spPr>
        <a:xfrm>
          <a:off x="15132538" y="4650154"/>
          <a:ext cx="2706077" cy="5373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 b="1">
              <a:latin typeface="Century Gothic" panose="020B0502020202020204" pitchFamily="34" charset="0"/>
            </a:rPr>
            <a:t>MÉTODO WELL </a:t>
          </a:r>
        </a:p>
      </xdr:txBody>
    </xdr:sp>
    <xdr:clientData/>
  </xdr:twoCellAnchor>
  <xdr:twoCellAnchor editAs="absolute">
    <xdr:from>
      <xdr:col>3</xdr:col>
      <xdr:colOff>351690</xdr:colOff>
      <xdr:row>3</xdr:row>
      <xdr:rowOff>96492</xdr:rowOff>
    </xdr:from>
    <xdr:to>
      <xdr:col>5</xdr:col>
      <xdr:colOff>527532</xdr:colOff>
      <xdr:row>9</xdr:row>
      <xdr:rowOff>136770</xdr:rowOff>
    </xdr:to>
    <xdr:grpSp>
      <xdr:nvGrpSpPr>
        <xdr:cNvPr id="66" name="Agrupar 65">
          <a:extLst>
            <a:ext uri="{FF2B5EF4-FFF2-40B4-BE49-F238E27FC236}">
              <a16:creationId xmlns:a16="http://schemas.microsoft.com/office/drawing/2014/main" id="{798CCE2A-2ECE-4842-93EA-9FB0B01008AC}"/>
            </a:ext>
          </a:extLst>
        </xdr:cNvPr>
        <xdr:cNvGrpSpPr/>
      </xdr:nvGrpSpPr>
      <xdr:grpSpPr>
        <a:xfrm>
          <a:off x="2315305" y="1151569"/>
          <a:ext cx="1484919" cy="1095355"/>
          <a:chOff x="5024388" y="1207171"/>
          <a:chExt cx="1316620" cy="648568"/>
        </a:xfrm>
      </xdr:grpSpPr>
      <xdr:sp macro="" textlink="'Dados Tabela Din'!F22">
        <xdr:nvSpPr>
          <xdr:cNvPr id="67" name="Retângulo: Cantos Arredondados 66">
            <a:extLst>
              <a:ext uri="{FF2B5EF4-FFF2-40B4-BE49-F238E27FC236}">
                <a16:creationId xmlns:a16="http://schemas.microsoft.com/office/drawing/2014/main" id="{F5095EC7-B85D-4C89-86D0-3CD08312477B}"/>
              </a:ext>
            </a:extLst>
          </xdr:cNvPr>
          <xdr:cNvSpPr/>
        </xdr:nvSpPr>
        <xdr:spPr>
          <a:xfrm>
            <a:off x="5069572" y="1207777"/>
            <a:ext cx="1260900" cy="647962"/>
          </a:xfrm>
          <a:prstGeom prst="roundRect">
            <a:avLst/>
          </a:prstGeom>
          <a:solidFill>
            <a:srgbClr val="FA7676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fld id="{E6955EEB-D35A-46CA-B284-9D6CC2F3C032}" type="TxLink">
              <a:rPr lang="en-US" sz="2400" b="1" i="0" u="none" strike="noStrike">
                <a:solidFill>
                  <a:schemeClr val="bg1"/>
                </a:solidFill>
                <a:latin typeface="Times"/>
                <a:cs typeface="Times"/>
              </a:rPr>
              <a:pPr algn="ctr"/>
              <a:t>45,16%</a:t>
            </a:fld>
            <a:endParaRPr lang="pt-BR" sz="2400" b="1">
              <a:solidFill>
                <a:schemeClr val="bg1"/>
              </a:solidFill>
            </a:endParaRPr>
          </a:p>
        </xdr:txBody>
      </xdr:sp>
      <xdr:sp macro="" textlink="'Dados Tabela Din'!B21">
        <xdr:nvSpPr>
          <xdr:cNvPr id="68" name="CaixaDeTexto 67">
            <a:extLst>
              <a:ext uri="{FF2B5EF4-FFF2-40B4-BE49-F238E27FC236}">
                <a16:creationId xmlns:a16="http://schemas.microsoft.com/office/drawing/2014/main" id="{B1BD0B8F-2176-4656-B3D6-E28469D6299C}"/>
              </a:ext>
            </a:extLst>
          </xdr:cNvPr>
          <xdr:cNvSpPr txBox="1"/>
        </xdr:nvSpPr>
        <xdr:spPr>
          <a:xfrm>
            <a:off x="5024388" y="1207171"/>
            <a:ext cx="1316620" cy="4006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5470314D-2D79-44BE-A410-03A9111C7F51}" type="TxLink">
              <a:rPr lang="en-US" sz="1200" b="1" i="0" u="none" strike="noStrike">
                <a:solidFill>
                  <a:srgbClr val="000000"/>
                </a:solidFill>
                <a:latin typeface="Arial Black" panose="020B0A04020102020204" pitchFamily="34" charset="0"/>
                <a:cs typeface="Times"/>
              </a:rPr>
              <a:pPr algn="ctr"/>
              <a:t>Pontuação Geral</a:t>
            </a:fld>
            <a:endParaRPr lang="pt-BR" sz="1400" b="1">
              <a:latin typeface="Arial Black" panose="020B0A04020102020204" pitchFamily="34" charset="0"/>
              <a:cs typeface="Calibri" panose="020F0502020204030204" pitchFamily="34" charset="0"/>
            </a:endParaRPr>
          </a:p>
        </xdr:txBody>
      </xdr:sp>
    </xdr:grpSp>
    <xdr:clientData/>
  </xdr:twoCellAnchor>
  <xdr:twoCellAnchor editAs="absolute">
    <xdr:from>
      <xdr:col>9</xdr:col>
      <xdr:colOff>615463</xdr:colOff>
      <xdr:row>3</xdr:row>
      <xdr:rowOff>29308</xdr:rowOff>
    </xdr:from>
    <xdr:to>
      <xdr:col>12</xdr:col>
      <xdr:colOff>449385</xdr:colOff>
      <xdr:row>10</xdr:row>
      <xdr:rowOff>58616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id="{71487DA6-6D8A-4E40-8DAF-A6F9BC573319}"/>
            </a:ext>
          </a:extLst>
        </xdr:cNvPr>
        <xdr:cNvGrpSpPr/>
      </xdr:nvGrpSpPr>
      <xdr:grpSpPr>
        <a:xfrm>
          <a:off x="6506309" y="1084385"/>
          <a:ext cx="1797538" cy="1260231"/>
          <a:chOff x="5832231" y="1015999"/>
          <a:chExt cx="2217615" cy="1436077"/>
        </a:xfrm>
      </xdr:grpSpPr>
      <xdr:sp macro="" textlink="">
        <xdr:nvSpPr>
          <xdr:cNvPr id="11" name="Retângulo: Cantos Arredondados 10">
            <a:extLst>
              <a:ext uri="{FF2B5EF4-FFF2-40B4-BE49-F238E27FC236}">
                <a16:creationId xmlns:a16="http://schemas.microsoft.com/office/drawing/2014/main" id="{8E1ADACF-13D4-4E23-AFA4-7326C677235A}"/>
              </a:ext>
            </a:extLst>
          </xdr:cNvPr>
          <xdr:cNvSpPr/>
        </xdr:nvSpPr>
        <xdr:spPr>
          <a:xfrm>
            <a:off x="5832231" y="1015999"/>
            <a:ext cx="2217615" cy="1436077"/>
          </a:xfrm>
          <a:prstGeom prst="roundRect">
            <a:avLst/>
          </a:prstGeom>
          <a:noFill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12" name="Agrupar 11">
            <a:extLst>
              <a:ext uri="{FF2B5EF4-FFF2-40B4-BE49-F238E27FC236}">
                <a16:creationId xmlns:a16="http://schemas.microsoft.com/office/drawing/2014/main" id="{DCF6C21F-26C5-45EF-A759-16B017754C65}"/>
              </a:ext>
            </a:extLst>
          </xdr:cNvPr>
          <xdr:cNvGrpSpPr/>
        </xdr:nvGrpSpPr>
        <xdr:grpSpPr>
          <a:xfrm>
            <a:off x="5891101" y="1094155"/>
            <a:ext cx="2011952" cy="1143000"/>
            <a:chOff x="5891101" y="1094155"/>
            <a:chExt cx="2011952" cy="1143000"/>
          </a:xfrm>
        </xdr:grpSpPr>
        <xdr:grpSp>
          <xdr:nvGrpSpPr>
            <xdr:cNvPr id="69" name="Agrupar 68">
              <a:extLst>
                <a:ext uri="{FF2B5EF4-FFF2-40B4-BE49-F238E27FC236}">
                  <a16:creationId xmlns:a16="http://schemas.microsoft.com/office/drawing/2014/main" id="{061E8EAE-1021-4E33-BB6B-332F0931829F}"/>
                </a:ext>
              </a:extLst>
            </xdr:cNvPr>
            <xdr:cNvGrpSpPr/>
          </xdr:nvGrpSpPr>
          <xdr:grpSpPr>
            <a:xfrm>
              <a:off x="5891101" y="1094155"/>
              <a:ext cx="2011952" cy="488463"/>
              <a:chOff x="4300151" y="1031960"/>
              <a:chExt cx="2037311" cy="687355"/>
            </a:xfrm>
          </xdr:grpSpPr>
          <xdr:sp macro="" textlink="'Dados Tabela Din'!F23">
            <xdr:nvSpPr>
              <xdr:cNvPr id="70" name="Retângulo: Cantos Arredondados 69">
                <a:extLst>
                  <a:ext uri="{FF2B5EF4-FFF2-40B4-BE49-F238E27FC236}">
                    <a16:creationId xmlns:a16="http://schemas.microsoft.com/office/drawing/2014/main" id="{36697C05-4623-41CE-A33A-8C0DD137882A}"/>
                  </a:ext>
                </a:extLst>
              </xdr:cNvPr>
              <xdr:cNvSpPr/>
            </xdr:nvSpPr>
            <xdr:spPr>
              <a:xfrm>
                <a:off x="4529978" y="1300251"/>
                <a:ext cx="1611312" cy="419064"/>
              </a:xfrm>
              <a:prstGeom prst="roundRect">
                <a:avLst/>
              </a:prstGeom>
              <a:solidFill>
                <a:schemeClr val="bg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b"/>
              <a:lstStyle/>
              <a:p>
                <a:pPr algn="ctr"/>
                <a:fld id="{5160FBBC-57E4-4933-A261-9E3E83677E2B}" type="TxLink">
                  <a:rPr lang="en-US" sz="1100" b="1" i="0" u="none" strike="noStrike">
                    <a:solidFill>
                      <a:srgbClr val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pPr algn="ctr"/>
                  <a:t>4360 / 5570</a:t>
                </a:fld>
                <a:endParaRPr lang="pt-BR" sz="1000" b="1"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71" name="CaixaDeTexto 70">
                <a:extLst>
                  <a:ext uri="{FF2B5EF4-FFF2-40B4-BE49-F238E27FC236}">
                    <a16:creationId xmlns:a16="http://schemas.microsoft.com/office/drawing/2014/main" id="{955A65B8-F0B6-4E02-88E5-815C3A468BFE}"/>
                  </a:ext>
                </a:extLst>
              </xdr:cNvPr>
              <xdr:cNvSpPr txBox="1"/>
            </xdr:nvSpPr>
            <xdr:spPr>
              <a:xfrm>
                <a:off x="4300151" y="1031960"/>
                <a:ext cx="2037311" cy="233697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200" b="1" i="0" u="none" strike="noStrike">
                    <a:solidFill>
                      <a:srgbClr val="000000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Posição Brasil </a:t>
                </a:r>
              </a:p>
            </xdr:txBody>
          </xdr:sp>
        </xdr:grpSp>
        <xdr:grpSp>
          <xdr:nvGrpSpPr>
            <xdr:cNvPr id="72" name="Agrupar 71">
              <a:extLst>
                <a:ext uri="{FF2B5EF4-FFF2-40B4-BE49-F238E27FC236}">
                  <a16:creationId xmlns:a16="http://schemas.microsoft.com/office/drawing/2014/main" id="{C55D6C13-105E-49D3-B4F3-408616E4641B}"/>
                </a:ext>
              </a:extLst>
            </xdr:cNvPr>
            <xdr:cNvGrpSpPr/>
          </xdr:nvGrpSpPr>
          <xdr:grpSpPr>
            <a:xfrm>
              <a:off x="5891101" y="1748692"/>
              <a:ext cx="2011952" cy="488463"/>
              <a:chOff x="4300151" y="1031960"/>
              <a:chExt cx="2037311" cy="687355"/>
            </a:xfrm>
          </xdr:grpSpPr>
          <xdr:sp macro="" textlink="'Dados Tabela Din'!F21">
            <xdr:nvSpPr>
              <xdr:cNvPr id="73" name="Retângulo: Cantos Arredondados 72">
                <a:extLst>
                  <a:ext uri="{FF2B5EF4-FFF2-40B4-BE49-F238E27FC236}">
                    <a16:creationId xmlns:a16="http://schemas.microsoft.com/office/drawing/2014/main" id="{0981626E-984C-4F9A-B31D-FE4449395A44}"/>
                  </a:ext>
                </a:extLst>
              </xdr:cNvPr>
              <xdr:cNvSpPr/>
            </xdr:nvSpPr>
            <xdr:spPr>
              <a:xfrm>
                <a:off x="4529978" y="1300251"/>
                <a:ext cx="1611312" cy="419064"/>
              </a:xfrm>
              <a:prstGeom prst="roundRect">
                <a:avLst/>
              </a:prstGeom>
              <a:solidFill>
                <a:schemeClr val="bg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b"/>
              <a:lstStyle/>
              <a:p>
                <a:pPr algn="ctr"/>
                <a:fld id="{BF116A5C-B053-4168-891A-4FF0C206145E}" type="TxLink">
                  <a:rPr lang="en-US" sz="1100" b="1" i="0" u="none" strike="noStrike">
                    <a:solidFill>
                      <a:srgbClr val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pPr algn="ctr"/>
                  <a:t>94/184</a:t>
                </a:fld>
                <a:endParaRPr lang="pt-BR" sz="1000" b="1"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74" name="CaixaDeTexto 73">
                <a:extLst>
                  <a:ext uri="{FF2B5EF4-FFF2-40B4-BE49-F238E27FC236}">
                    <a16:creationId xmlns:a16="http://schemas.microsoft.com/office/drawing/2014/main" id="{2E8274FF-4BAF-414E-AA33-DC80E9D6C300}"/>
                  </a:ext>
                </a:extLst>
              </xdr:cNvPr>
              <xdr:cNvSpPr txBox="1"/>
            </xdr:nvSpPr>
            <xdr:spPr>
              <a:xfrm>
                <a:off x="4300151" y="1031960"/>
                <a:ext cx="2037311" cy="233697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200" b="1" i="0" u="none" strike="noStrike">
                    <a:solidFill>
                      <a:srgbClr val="000000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Posição Pernambuco </a:t>
                </a:r>
              </a:p>
            </xdr:txBody>
          </xdr:sp>
        </xdr:grpSp>
      </xdr:grpSp>
    </xdr:grpSp>
    <xdr:clientData/>
  </xdr:twoCellAnchor>
  <xdr:twoCellAnchor>
    <xdr:from>
      <xdr:col>17</xdr:col>
      <xdr:colOff>1391417</xdr:colOff>
      <xdr:row>25</xdr:row>
      <xdr:rowOff>163983</xdr:rowOff>
    </xdr:from>
    <xdr:to>
      <xdr:col>17</xdr:col>
      <xdr:colOff>3323632</xdr:colOff>
      <xdr:row>42</xdr:row>
      <xdr:rowOff>78153</xdr:rowOff>
    </xdr:to>
    <xdr:sp macro="" textlink="'Tabela Dinamica'!R38">
      <xdr:nvSpPr>
        <xdr:cNvPr id="76" name="CaixaDeTexto 75">
          <a:extLst>
            <a:ext uri="{FF2B5EF4-FFF2-40B4-BE49-F238E27FC236}">
              <a16:creationId xmlns:a16="http://schemas.microsoft.com/office/drawing/2014/main" id="{8240CB85-AE2F-4A76-BB7E-0E7FEEF1CEB2}"/>
            </a:ext>
          </a:extLst>
        </xdr:cNvPr>
        <xdr:cNvSpPr txBox="1"/>
      </xdr:nvSpPr>
      <xdr:spPr>
        <a:xfrm>
          <a:off x="15625186" y="5087675"/>
          <a:ext cx="1932215" cy="2903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88DFA2F-0E3B-4674-8168-1468E9C3088A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Atração de linhas do BNDES para financiar grandes projetos de infraestrutura que melhoram a produtividade da cidade.</a:t>
          </a:fld>
          <a:endParaRPr lang="pt-BR" sz="20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485775</xdr:colOff>
      <xdr:row>0</xdr:row>
      <xdr:rowOff>565150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11F5DF-B6AD-49E4-AEB4-47056CF5F1A2}"/>
            </a:ext>
          </a:extLst>
        </xdr:cNvPr>
        <xdr:cNvGrpSpPr/>
      </xdr:nvGrpSpPr>
      <xdr:grpSpPr>
        <a:xfrm>
          <a:off x="0" y="0"/>
          <a:ext cx="1860363" cy="565150"/>
          <a:chOff x="3552825" y="2171700"/>
          <a:chExt cx="1895475" cy="561975"/>
        </a:xfrm>
      </xdr:grpSpPr>
      <xdr:sp macro="" textlink="">
        <xdr:nvSpPr>
          <xdr:cNvPr id="3" name="Retângulo 2">
            <a:extLst>
              <a:ext uri="{FF2B5EF4-FFF2-40B4-BE49-F238E27FC236}">
                <a16:creationId xmlns:a16="http://schemas.microsoft.com/office/drawing/2014/main" id="{96E361F1-B271-4C34-9511-3E2DDEEB90D4}"/>
              </a:ext>
            </a:extLst>
          </xdr:cNvPr>
          <xdr:cNvSpPr/>
        </xdr:nvSpPr>
        <xdr:spPr>
          <a:xfrm>
            <a:off x="3552825" y="2171700"/>
            <a:ext cx="1895475" cy="561975"/>
          </a:xfrm>
          <a:prstGeom prst="rect">
            <a:avLst/>
          </a:prstGeom>
          <a:gradFill>
            <a:gsLst>
              <a:gs pos="0">
                <a:schemeClr val="bg1"/>
              </a:gs>
              <a:gs pos="89000">
                <a:srgbClr val="FFCC29">
                  <a:alpha val="50000"/>
                </a:srgbClr>
              </a:gs>
              <a:gs pos="100000">
                <a:srgbClr val="FFCC29">
                  <a:alpha val="50000"/>
                </a:srgbClr>
              </a:gs>
            </a:gsLst>
            <a:lin ang="27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EA9F79D4-2631-465D-A26D-E039AC62895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-1261" t="29165" r="1261" b="28126"/>
          <a:stretch/>
        </xdr:blipFill>
        <xdr:spPr>
          <a:xfrm>
            <a:off x="3686175" y="2187575"/>
            <a:ext cx="1492250" cy="527050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184151</xdr:colOff>
      <xdr:row>0</xdr:row>
      <xdr:rowOff>0</xdr:rowOff>
    </xdr:from>
    <xdr:to>
      <xdr:col>15</xdr:col>
      <xdr:colOff>936464</xdr:colOff>
      <xdr:row>1</xdr:row>
      <xdr:rowOff>66676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63898E1-32B1-421A-9CC0-C06DA5E80D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08" t="30769" r="-2208" b="27473"/>
        <a:stretch/>
      </xdr:blipFill>
      <xdr:spPr>
        <a:xfrm>
          <a:off x="7727951" y="0"/>
          <a:ext cx="3498688" cy="63817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0</xdr:row>
      <xdr:rowOff>454</xdr:rowOff>
    </xdr:from>
    <xdr:to>
      <xdr:col>4</xdr:col>
      <xdr:colOff>30389</xdr:colOff>
      <xdr:row>0</xdr:row>
      <xdr:rowOff>568779</xdr:rowOff>
    </xdr:to>
    <xdr:grpSp>
      <xdr:nvGrpSpPr>
        <xdr:cNvPr id="61" name="Agrupar 6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EB8164A-E41A-4A48-9E8A-9BB174A36E90}"/>
            </a:ext>
          </a:extLst>
        </xdr:cNvPr>
        <xdr:cNvGrpSpPr/>
      </xdr:nvGrpSpPr>
      <xdr:grpSpPr>
        <a:xfrm>
          <a:off x="2061882" y="454"/>
          <a:ext cx="717683" cy="568325"/>
          <a:chOff x="1990594" y="-9022"/>
          <a:chExt cx="615017" cy="581025"/>
        </a:xfrm>
        <a:solidFill>
          <a:srgbClr val="FFCC29"/>
        </a:solidFill>
      </xdr:grpSpPr>
      <xdr:sp macro="" textlink="">
        <xdr:nvSpPr>
          <xdr:cNvPr id="62" name="Retângulo 61">
            <a:extLst>
              <a:ext uri="{FF2B5EF4-FFF2-40B4-BE49-F238E27FC236}">
                <a16:creationId xmlns:a16="http://schemas.microsoft.com/office/drawing/2014/main" id="{CD2544F7-B3F5-48DA-9D22-B4E980B0DB03}"/>
              </a:ext>
            </a:extLst>
          </xdr:cNvPr>
          <xdr:cNvSpPr/>
        </xdr:nvSpPr>
        <xdr:spPr>
          <a:xfrm>
            <a:off x="1990594" y="-9022"/>
            <a:ext cx="615017" cy="5810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63" name="Imagem 62">
            <a:extLst>
              <a:ext uri="{FF2B5EF4-FFF2-40B4-BE49-F238E27FC236}">
                <a16:creationId xmlns:a16="http://schemas.microsoft.com/office/drawing/2014/main" id="{C4176B7A-30B6-4A69-8C4B-B128F7D8AC4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 cstate="print"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10000" b="90000" l="10000" r="90000">
                        <a14:foregroundMark x1="52252" y1="78333" x2="52252" y2="78333"/>
                        <a14:foregroundMark x1="62162" y1="68889" x2="62162" y2="68889"/>
                        <a14:foregroundMark x1="65165" y1="57222" x2="65165" y2="57222"/>
                        <a14:foregroundMark x1="65165" y1="40556" x2="65165" y2="40556"/>
                        <a14:foregroundMark x1="62763" y1="27222" x2="62763" y2="27222"/>
                        <a14:foregroundMark x1="46847" y1="22222" x2="46847" y2="22222"/>
                        <a14:foregroundMark x1="40841" y1="26667" x2="40841" y2="26667"/>
                        <a14:foregroundMark x1="47147" y1="76111" x2="47147" y2="76111"/>
                        <a14:foregroundMark x1="46847" y1="73889" x2="45646" y2="7277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l="28569" t="6871" r="29129" b="14812"/>
          <a:stretch/>
        </xdr:blipFill>
        <xdr:spPr>
          <a:xfrm>
            <a:off x="2168525" y="66674"/>
            <a:ext cx="281358" cy="276223"/>
          </a:xfrm>
          <a:prstGeom prst="rect">
            <a:avLst/>
          </a:prstGeom>
          <a:grpFill/>
        </xdr:spPr>
      </xdr:pic>
      <xdr:sp macro="" textlink="">
        <xdr:nvSpPr>
          <xdr:cNvPr id="64" name="CaixaDeTexto 63">
            <a:extLst>
              <a:ext uri="{FF2B5EF4-FFF2-40B4-BE49-F238E27FC236}">
                <a16:creationId xmlns:a16="http://schemas.microsoft.com/office/drawing/2014/main" id="{453AE84A-9E62-4335-B63E-0EBE543C1F51}"/>
              </a:ext>
            </a:extLst>
          </xdr:cNvPr>
          <xdr:cNvSpPr txBox="1"/>
        </xdr:nvSpPr>
        <xdr:spPr>
          <a:xfrm>
            <a:off x="2009774" y="342900"/>
            <a:ext cx="587376" cy="2095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700" b="1">
                <a:latin typeface="Calibri" panose="020F0502020204030204" pitchFamily="34" charset="0"/>
                <a:cs typeface="Calibri" panose="020F0502020204030204" pitchFamily="34" charset="0"/>
              </a:rPr>
              <a:t>IDS</a:t>
            </a:r>
            <a:r>
              <a:rPr lang="pt-BR" sz="700" b="1" baseline="0">
                <a:latin typeface="Calibri" panose="020F0502020204030204" pitchFamily="34" charset="0"/>
                <a:cs typeface="Calibri" panose="020F0502020204030204" pitchFamily="34" charset="0"/>
              </a:rPr>
              <a:t> e ODS</a:t>
            </a:r>
            <a:endParaRPr lang="pt-BR" sz="700" b="1"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</xdr:grpSp>
    <xdr:clientData/>
  </xdr:twoCellAnchor>
  <xdr:twoCellAnchor>
    <xdr:from>
      <xdr:col>5</xdr:col>
      <xdr:colOff>138567</xdr:colOff>
      <xdr:row>0</xdr:row>
      <xdr:rowOff>0</xdr:rowOff>
    </xdr:from>
    <xdr:to>
      <xdr:col>6</xdr:col>
      <xdr:colOff>154542</xdr:colOff>
      <xdr:row>1</xdr:row>
      <xdr:rowOff>0</xdr:rowOff>
    </xdr:to>
    <xdr:grpSp>
      <xdr:nvGrpSpPr>
        <xdr:cNvPr id="65" name="Agrupar 6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1E88EDD-8E07-4649-8F55-E2CE8EF1EE62}"/>
            </a:ext>
          </a:extLst>
        </xdr:cNvPr>
        <xdr:cNvGrpSpPr/>
      </xdr:nvGrpSpPr>
      <xdr:grpSpPr>
        <a:xfrm>
          <a:off x="3575038" y="0"/>
          <a:ext cx="703269" cy="575235"/>
          <a:chOff x="3551239" y="0"/>
          <a:chExt cx="703135" cy="571500"/>
        </a:xfrm>
      </xdr:grpSpPr>
      <xdr:grpSp>
        <xdr:nvGrpSpPr>
          <xdr:cNvPr id="66" name="Agrupar 65">
            <a:extLst>
              <a:ext uri="{FF2B5EF4-FFF2-40B4-BE49-F238E27FC236}">
                <a16:creationId xmlns:a16="http://schemas.microsoft.com/office/drawing/2014/main" id="{36F756A8-FFA9-45A0-8336-CCC5DF0D3B49}"/>
              </a:ext>
            </a:extLst>
          </xdr:cNvPr>
          <xdr:cNvGrpSpPr/>
        </xdr:nvGrpSpPr>
        <xdr:grpSpPr>
          <a:xfrm>
            <a:off x="3551239" y="0"/>
            <a:ext cx="703135" cy="571500"/>
            <a:chOff x="2015062" y="0"/>
            <a:chExt cx="615017" cy="581025"/>
          </a:xfrm>
          <a:solidFill>
            <a:srgbClr val="3399FF"/>
          </a:solidFill>
        </xdr:grpSpPr>
        <xdr:sp macro="" textlink="">
          <xdr:nvSpPr>
            <xdr:cNvPr id="68" name="Retângulo 67">
              <a:extLst>
                <a:ext uri="{FF2B5EF4-FFF2-40B4-BE49-F238E27FC236}">
                  <a16:creationId xmlns:a16="http://schemas.microsoft.com/office/drawing/2014/main" id="{A570C801-798B-49BD-8A4D-ECD4F55F0E46}"/>
                </a:ext>
              </a:extLst>
            </xdr:cNvPr>
            <xdr:cNvSpPr/>
          </xdr:nvSpPr>
          <xdr:spPr>
            <a:xfrm>
              <a:off x="2015062" y="0"/>
              <a:ext cx="615017" cy="581025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69" name="CaixaDeTexto 68">
              <a:extLst>
                <a:ext uri="{FF2B5EF4-FFF2-40B4-BE49-F238E27FC236}">
                  <a16:creationId xmlns:a16="http://schemas.microsoft.com/office/drawing/2014/main" id="{F38C20C3-A793-4FFF-BCA8-F724DE0D1935}"/>
                </a:ext>
              </a:extLst>
            </xdr:cNvPr>
            <xdr:cNvSpPr txBox="1"/>
          </xdr:nvSpPr>
          <xdr:spPr>
            <a:xfrm>
              <a:off x="2024779" y="387351"/>
              <a:ext cx="599855" cy="145255"/>
            </a:xfrm>
            <a:prstGeom prst="rect">
              <a:avLst/>
            </a:prstGeom>
            <a:noFill/>
            <a:ln w="9525" cmpd="sng">
              <a:noFill/>
            </a:ln>
            <a:effectLst>
              <a:softEdge rad="12700"/>
            </a:effec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600" b="1">
                  <a:latin typeface="Calibri" panose="020F0502020204030204" pitchFamily="34" charset="0"/>
                  <a:cs typeface="Calibri" panose="020F0502020204030204" pitchFamily="34" charset="0"/>
                </a:rPr>
                <a:t>COMPARATIVO</a:t>
              </a:r>
              <a:endParaRPr lang="pt-BR" sz="700" b="1">
                <a:latin typeface="Calibri" panose="020F0502020204030204" pitchFamily="34" charset="0"/>
                <a:cs typeface="Calibri" panose="020F0502020204030204" pitchFamily="34" charset="0"/>
              </a:endParaRPr>
            </a:p>
          </xdr:txBody>
        </xdr:sp>
      </xdr:grpSp>
      <xdr:pic>
        <xdr:nvPicPr>
          <xdr:cNvPr id="67" name="Imagem 66">
            <a:extLst>
              <a:ext uri="{FF2B5EF4-FFF2-40B4-BE49-F238E27FC236}">
                <a16:creationId xmlns:a16="http://schemas.microsoft.com/office/drawing/2014/main" id="{BF0C6D70-F761-411A-B932-48F066002C6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52850" y="47625"/>
            <a:ext cx="314325" cy="314325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70085</xdr:colOff>
      <xdr:row>0</xdr:row>
      <xdr:rowOff>0</xdr:rowOff>
    </xdr:from>
    <xdr:to>
      <xdr:col>5</xdr:col>
      <xdr:colOff>98879</xdr:colOff>
      <xdr:row>1</xdr:row>
      <xdr:rowOff>0</xdr:rowOff>
    </xdr:to>
    <xdr:grpSp>
      <xdr:nvGrpSpPr>
        <xdr:cNvPr id="70" name="Agrupar 6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F27A0EB-FB39-4346-BE6D-ADC0B29A7CFD}"/>
            </a:ext>
          </a:extLst>
        </xdr:cNvPr>
        <xdr:cNvGrpSpPr/>
      </xdr:nvGrpSpPr>
      <xdr:grpSpPr>
        <a:xfrm>
          <a:off x="2819261" y="0"/>
          <a:ext cx="716089" cy="575235"/>
          <a:chOff x="2808296" y="0"/>
          <a:chExt cx="703255" cy="571500"/>
        </a:xfrm>
        <a:solidFill>
          <a:srgbClr val="FFCC29"/>
        </a:solidFill>
      </xdr:grpSpPr>
      <xdr:grpSp>
        <xdr:nvGrpSpPr>
          <xdr:cNvPr id="71" name="Agrupar 70">
            <a:extLst>
              <a:ext uri="{FF2B5EF4-FFF2-40B4-BE49-F238E27FC236}">
                <a16:creationId xmlns:a16="http://schemas.microsoft.com/office/drawing/2014/main" id="{929CA1B9-D95F-4185-AFA7-32E99FD91B69}"/>
              </a:ext>
            </a:extLst>
          </xdr:cNvPr>
          <xdr:cNvGrpSpPr/>
        </xdr:nvGrpSpPr>
        <xdr:grpSpPr>
          <a:xfrm>
            <a:off x="2808296" y="0"/>
            <a:ext cx="703255" cy="571500"/>
            <a:chOff x="2015062" y="0"/>
            <a:chExt cx="615017" cy="581025"/>
          </a:xfrm>
          <a:grpFill/>
        </xdr:grpSpPr>
        <xdr:sp macro="" textlink="">
          <xdr:nvSpPr>
            <xdr:cNvPr id="73" name="Retângulo 72">
              <a:extLst>
                <a:ext uri="{FF2B5EF4-FFF2-40B4-BE49-F238E27FC236}">
                  <a16:creationId xmlns:a16="http://schemas.microsoft.com/office/drawing/2014/main" id="{30803162-29B1-4691-9DF4-C876C13A64FC}"/>
                </a:ext>
              </a:extLst>
            </xdr:cNvPr>
            <xdr:cNvSpPr/>
          </xdr:nvSpPr>
          <xdr:spPr>
            <a:xfrm>
              <a:off x="2015062" y="0"/>
              <a:ext cx="615017" cy="581025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74" name="CaixaDeTexto 73">
              <a:extLst>
                <a:ext uri="{FF2B5EF4-FFF2-40B4-BE49-F238E27FC236}">
                  <a16:creationId xmlns:a16="http://schemas.microsoft.com/office/drawing/2014/main" id="{19E21506-45BD-483F-AF2C-54EDBFBCF8C1}"/>
                </a:ext>
              </a:extLst>
            </xdr:cNvPr>
            <xdr:cNvSpPr txBox="1"/>
          </xdr:nvSpPr>
          <xdr:spPr>
            <a:xfrm>
              <a:off x="2021497" y="363951"/>
              <a:ext cx="587376" cy="209550"/>
            </a:xfrm>
            <a:prstGeom prst="rect">
              <a:avLst/>
            </a:prstGeom>
            <a:grpFill/>
            <a:ln w="9525" cmpd="sng">
              <a:noFill/>
            </a:ln>
            <a:effectLst>
              <a:softEdge rad="12700"/>
            </a:effec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600" b="1">
                  <a:latin typeface="Calibri" panose="020F0502020204030204" pitchFamily="34" charset="0"/>
                  <a:cs typeface="Calibri" panose="020F0502020204030204" pitchFamily="34" charset="0"/>
                </a:rPr>
                <a:t>DASHBOARD</a:t>
              </a:r>
              <a:endParaRPr lang="pt-BR" sz="700" b="1">
                <a:latin typeface="Calibri" panose="020F0502020204030204" pitchFamily="34" charset="0"/>
                <a:cs typeface="Calibri" panose="020F0502020204030204" pitchFamily="34" charset="0"/>
              </a:endParaRPr>
            </a:p>
          </xdr:txBody>
        </xdr:sp>
      </xdr:grpSp>
      <xdr:pic>
        <xdr:nvPicPr>
          <xdr:cNvPr id="72" name="Imagem 71">
            <a:extLst>
              <a:ext uri="{FF2B5EF4-FFF2-40B4-BE49-F238E27FC236}">
                <a16:creationId xmlns:a16="http://schemas.microsoft.com/office/drawing/2014/main" id="{2CEE3238-1C7D-4F82-84FD-5241868ECAF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BEBA8EAE-BF5A-486C-A8C5-ECC9F3942E4B}">
                <a14:imgProps xmlns:a14="http://schemas.microsoft.com/office/drawing/2010/main">
                  <a14:imgLayer r:embed="rId11">
                    <a14:imgEffect>
                      <a14:sharpenSoften amount="-100000"/>
                    </a14:imgEffect>
                    <a14:imgEffect>
                      <a14:brightnessContrast bright="-100000" contrast="12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88450" y="54750"/>
            <a:ext cx="360000" cy="360000"/>
          </a:xfrm>
          <a:prstGeom prst="rect">
            <a:avLst/>
          </a:prstGeom>
          <a:grpFill/>
        </xdr:spPr>
      </xdr:pic>
    </xdr:grp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501650</xdr:colOff>
      <xdr:row>0</xdr:row>
      <xdr:rowOff>570533</xdr:rowOff>
    </xdr:to>
    <xdr:grpSp>
      <xdr:nvGrpSpPr>
        <xdr:cNvPr id="8" name="Agrupar 7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9FA6ED2-BF8E-4FC1-A808-0258557D128D}"/>
            </a:ext>
          </a:extLst>
        </xdr:cNvPr>
        <xdr:cNvGrpSpPr/>
      </xdr:nvGrpSpPr>
      <xdr:grpSpPr>
        <a:xfrm>
          <a:off x="5498353" y="0"/>
          <a:ext cx="1188944" cy="570533"/>
          <a:chOff x="5569357" y="6421"/>
          <a:chExt cx="1200150" cy="576943"/>
        </a:xfrm>
        <a:gradFill>
          <a:gsLst>
            <a:gs pos="0">
              <a:srgbClr val="FFCC29"/>
            </a:gs>
            <a:gs pos="74000">
              <a:schemeClr val="bg1"/>
            </a:gs>
            <a:gs pos="39000">
              <a:srgbClr val="FFCC29"/>
            </a:gs>
            <a:gs pos="21000">
              <a:srgbClr val="FFCC29"/>
            </a:gs>
          </a:gsLst>
          <a:lin ang="5400000" scaled="1"/>
        </a:gradFill>
      </xdr:grpSpPr>
      <xdr:sp macro="" textlink="">
        <xdr:nvSpPr>
          <xdr:cNvPr id="23" name="Retângulo 22">
            <a:extLst>
              <a:ext uri="{FF2B5EF4-FFF2-40B4-BE49-F238E27FC236}">
                <a16:creationId xmlns:a16="http://schemas.microsoft.com/office/drawing/2014/main" id="{BC4FD9CB-2CCA-4381-A53A-633D3ECCFF09}"/>
              </a:ext>
            </a:extLst>
          </xdr:cNvPr>
          <xdr:cNvSpPr/>
        </xdr:nvSpPr>
        <xdr:spPr>
          <a:xfrm>
            <a:off x="5569357" y="6421"/>
            <a:ext cx="1200150" cy="571500"/>
          </a:xfrm>
          <a:prstGeom prst="rect">
            <a:avLst/>
          </a:prstGeom>
          <a:grp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4" name="CaixaDeTexto 23">
            <a:extLst>
              <a:ext uri="{FF2B5EF4-FFF2-40B4-BE49-F238E27FC236}">
                <a16:creationId xmlns:a16="http://schemas.microsoft.com/office/drawing/2014/main" id="{D41AB60C-A5DF-4CCF-ACC3-0E341CE67D13}"/>
              </a:ext>
            </a:extLst>
          </xdr:cNvPr>
          <xdr:cNvSpPr txBox="1"/>
        </xdr:nvSpPr>
        <xdr:spPr>
          <a:xfrm>
            <a:off x="5819654" y="391702"/>
            <a:ext cx="731643" cy="191662"/>
          </a:xfrm>
          <a:prstGeom prst="rect">
            <a:avLst/>
          </a:prstGeom>
          <a:noFill/>
          <a:ln w="3175" cmpd="sng">
            <a:noFill/>
          </a:ln>
          <a:effectLst>
            <a:softEdge rad="12700"/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Calibri" panose="020F0502020204030204" pitchFamily="34" charset="0"/>
                <a:cs typeface="Calibri" panose="020F0502020204030204" pitchFamily="34" charset="0"/>
              </a:rPr>
              <a:t>EIXOS</a:t>
            </a:r>
            <a:r>
              <a:rPr lang="pt-BR" sz="800" b="1" baseline="0">
                <a:latin typeface="Calibri" panose="020F0502020204030204" pitchFamily="34" charset="0"/>
                <a:cs typeface="Calibri" panose="020F0502020204030204" pitchFamily="34" charset="0"/>
              </a:rPr>
              <a:t> WELL</a:t>
            </a:r>
            <a:endParaRPr lang="pt-BR" sz="800" b="1"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  <xdr:pic>
        <xdr:nvPicPr>
          <xdr:cNvPr id="7" name="Imagem 6">
            <a:extLst>
              <a:ext uri="{FF2B5EF4-FFF2-40B4-BE49-F238E27FC236}">
                <a16:creationId xmlns:a16="http://schemas.microsoft.com/office/drawing/2014/main" id="{CF0C7A3D-6637-42F8-89F2-02B49E4321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01700" y="69453"/>
            <a:ext cx="316719" cy="316719"/>
          </a:xfrm>
          <a:prstGeom prst="rect">
            <a:avLst/>
          </a:prstGeom>
          <a:grpFill/>
          <a:ln w="3175">
            <a:noFill/>
          </a:ln>
        </xdr:spPr>
      </xdr:pic>
    </xdr:grpSp>
    <xdr:clientData/>
  </xdr:twoCellAnchor>
  <xdr:twoCellAnchor>
    <xdr:from>
      <xdr:col>2</xdr:col>
      <xdr:colOff>148167</xdr:colOff>
      <xdr:row>3</xdr:row>
      <xdr:rowOff>162279</xdr:rowOff>
    </xdr:from>
    <xdr:to>
      <xdr:col>15</xdr:col>
      <xdr:colOff>310446</xdr:colOff>
      <xdr:row>10</xdr:row>
      <xdr:rowOff>155223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6AE9AC7C-273F-4669-985D-F5CA06A23B72}"/>
            </a:ext>
          </a:extLst>
        </xdr:cNvPr>
        <xdr:cNvSpPr txBox="1"/>
      </xdr:nvSpPr>
      <xdr:spPr>
        <a:xfrm>
          <a:off x="1516945" y="1206501"/>
          <a:ext cx="9059334" cy="1227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400">
              <a:latin typeface="Arial Black" panose="020B0A04020102020204" pitchFamily="34" charset="0"/>
            </a:rPr>
            <a:t>COMPARATIVOS</a:t>
          </a:r>
          <a:r>
            <a:rPr lang="pt-BR" sz="2400" baseline="0">
              <a:latin typeface="Arial Black" panose="020B0A04020102020204" pitchFamily="34" charset="0"/>
            </a:rPr>
            <a:t> ENTRE MUNICÍPIOS DE PERNAMBUCO</a:t>
          </a:r>
          <a:endParaRPr lang="pt-BR" sz="2400">
            <a:latin typeface="Arial Black" panose="020B0A0402010202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485775</xdr:colOff>
      <xdr:row>0</xdr:row>
      <xdr:rowOff>565150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C6398C-E7E7-43E5-B2DE-9027A6D76B09}"/>
            </a:ext>
          </a:extLst>
        </xdr:cNvPr>
        <xdr:cNvGrpSpPr/>
      </xdr:nvGrpSpPr>
      <xdr:grpSpPr>
        <a:xfrm>
          <a:off x="0" y="0"/>
          <a:ext cx="1854553" cy="565150"/>
          <a:chOff x="3552825" y="2171700"/>
          <a:chExt cx="1895475" cy="561975"/>
        </a:xfrm>
      </xdr:grpSpPr>
      <xdr:sp macro="" textlink="">
        <xdr:nvSpPr>
          <xdr:cNvPr id="3" name="Retângulo 2">
            <a:extLst>
              <a:ext uri="{FF2B5EF4-FFF2-40B4-BE49-F238E27FC236}">
                <a16:creationId xmlns:a16="http://schemas.microsoft.com/office/drawing/2014/main" id="{A2CDEF38-5E18-46E7-8DF7-A7A47014622F}"/>
              </a:ext>
            </a:extLst>
          </xdr:cNvPr>
          <xdr:cNvSpPr/>
        </xdr:nvSpPr>
        <xdr:spPr>
          <a:xfrm>
            <a:off x="3552825" y="2171700"/>
            <a:ext cx="1895475" cy="561975"/>
          </a:xfrm>
          <a:prstGeom prst="rect">
            <a:avLst/>
          </a:prstGeom>
          <a:gradFill>
            <a:gsLst>
              <a:gs pos="0">
                <a:schemeClr val="bg1"/>
              </a:gs>
              <a:gs pos="89000">
                <a:srgbClr val="FFCC29">
                  <a:alpha val="50000"/>
                </a:srgbClr>
              </a:gs>
              <a:gs pos="100000">
                <a:srgbClr val="FFCC29">
                  <a:alpha val="50000"/>
                </a:srgbClr>
              </a:gs>
            </a:gsLst>
            <a:lin ang="27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E7ED2A8F-5374-41E0-A145-D4D643C497F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-1261" t="29165" r="1261" b="28126"/>
          <a:stretch/>
        </xdr:blipFill>
        <xdr:spPr>
          <a:xfrm>
            <a:off x="3686175" y="2187575"/>
            <a:ext cx="1492250" cy="527050"/>
          </a:xfrm>
          <a:prstGeom prst="rect">
            <a:avLst/>
          </a:prstGeom>
        </xdr:spPr>
      </xdr:pic>
    </xdr:grpSp>
    <xdr:clientData fLocksWithSheet="0"/>
  </xdr:twoCellAnchor>
  <xdr:twoCellAnchor editAs="oneCell">
    <xdr:from>
      <xdr:col>13</xdr:col>
      <xdr:colOff>218703</xdr:colOff>
      <xdr:row>0</xdr:row>
      <xdr:rowOff>0</xdr:rowOff>
    </xdr:from>
    <xdr:to>
      <xdr:col>17</xdr:col>
      <xdr:colOff>304266</xdr:colOff>
      <xdr:row>1</xdr:row>
      <xdr:rowOff>63501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DB7AFD9-E835-4755-8F5F-7D4080753C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08" t="30769" r="-2208" b="27473"/>
        <a:stretch/>
      </xdr:blipFill>
      <xdr:spPr>
        <a:xfrm>
          <a:off x="9134103" y="0"/>
          <a:ext cx="3505038" cy="63500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0</xdr:row>
      <xdr:rowOff>454</xdr:rowOff>
    </xdr:from>
    <xdr:to>
      <xdr:col>4</xdr:col>
      <xdr:colOff>33564</xdr:colOff>
      <xdr:row>0</xdr:row>
      <xdr:rowOff>568779</xdr:rowOff>
    </xdr:to>
    <xdr:grpSp>
      <xdr:nvGrpSpPr>
        <xdr:cNvPr id="34" name="Agrupar 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A5B244-DDC6-414A-AA98-7D2479CD9DBC}"/>
            </a:ext>
          </a:extLst>
        </xdr:cNvPr>
        <xdr:cNvGrpSpPr/>
      </xdr:nvGrpSpPr>
      <xdr:grpSpPr>
        <a:xfrm>
          <a:off x="2053167" y="454"/>
          <a:ext cx="717953" cy="568325"/>
          <a:chOff x="1990594" y="-9022"/>
          <a:chExt cx="615017" cy="581025"/>
        </a:xfrm>
        <a:solidFill>
          <a:srgbClr val="FFCC29"/>
        </a:solidFill>
      </xdr:grpSpPr>
      <xdr:sp macro="" textlink="">
        <xdr:nvSpPr>
          <xdr:cNvPr id="35" name="Retângulo 34">
            <a:extLst>
              <a:ext uri="{FF2B5EF4-FFF2-40B4-BE49-F238E27FC236}">
                <a16:creationId xmlns:a16="http://schemas.microsoft.com/office/drawing/2014/main" id="{4F383008-1706-43C5-8216-A5D82BFE0903}"/>
              </a:ext>
            </a:extLst>
          </xdr:cNvPr>
          <xdr:cNvSpPr/>
        </xdr:nvSpPr>
        <xdr:spPr>
          <a:xfrm>
            <a:off x="1990594" y="-9022"/>
            <a:ext cx="615017" cy="5810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36" name="Imagem 35">
            <a:extLst>
              <a:ext uri="{FF2B5EF4-FFF2-40B4-BE49-F238E27FC236}">
                <a16:creationId xmlns:a16="http://schemas.microsoft.com/office/drawing/2014/main" id="{8D1C0C4E-92F6-4C06-8414-20E5F2747DA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BEBA8EAE-BF5A-486C-A8C5-ECC9F3942E4B}">
                <a14:imgProps xmlns:a14="http://schemas.microsoft.com/office/drawing/2010/main">
                  <a14:imgLayer r:embed="rId5">
                    <a14:imgEffect>
                      <a14:backgroundRemoval t="10000" b="90000" l="10000" r="90000">
                        <a14:foregroundMark x1="52252" y1="78333" x2="52252" y2="78333"/>
                        <a14:foregroundMark x1="62162" y1="68889" x2="62162" y2="68889"/>
                        <a14:foregroundMark x1="65165" y1="57222" x2="65165" y2="57222"/>
                        <a14:foregroundMark x1="65165" y1="40556" x2="65165" y2="40556"/>
                        <a14:foregroundMark x1="62763" y1="27222" x2="62763" y2="27222"/>
                        <a14:foregroundMark x1="46847" y1="22222" x2="46847" y2="22222"/>
                        <a14:foregroundMark x1="40841" y1="26667" x2="40841" y2="26667"/>
                        <a14:foregroundMark x1="47147" y1="76111" x2="47147" y2="76111"/>
                        <a14:foregroundMark x1="46847" y1="73889" x2="45646" y2="7277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l="28569" t="6871" r="29129" b="14812"/>
          <a:stretch/>
        </xdr:blipFill>
        <xdr:spPr>
          <a:xfrm>
            <a:off x="2168525" y="66674"/>
            <a:ext cx="281358" cy="276223"/>
          </a:xfrm>
          <a:prstGeom prst="rect">
            <a:avLst/>
          </a:prstGeom>
          <a:grpFill/>
        </xdr:spPr>
      </xdr:pic>
      <xdr:sp macro="" textlink="">
        <xdr:nvSpPr>
          <xdr:cNvPr id="37" name="CaixaDeTexto 36">
            <a:extLst>
              <a:ext uri="{FF2B5EF4-FFF2-40B4-BE49-F238E27FC236}">
                <a16:creationId xmlns:a16="http://schemas.microsoft.com/office/drawing/2014/main" id="{EDE4B398-D850-42FC-B8DA-69DE3FD93368}"/>
              </a:ext>
            </a:extLst>
          </xdr:cNvPr>
          <xdr:cNvSpPr txBox="1"/>
        </xdr:nvSpPr>
        <xdr:spPr>
          <a:xfrm>
            <a:off x="2009774" y="342900"/>
            <a:ext cx="587376" cy="2095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700" b="1">
                <a:latin typeface="Calibri" panose="020F0502020204030204" pitchFamily="34" charset="0"/>
                <a:cs typeface="Calibri" panose="020F0502020204030204" pitchFamily="34" charset="0"/>
              </a:rPr>
              <a:t>IDS</a:t>
            </a:r>
            <a:r>
              <a:rPr lang="pt-BR" sz="700" b="1" baseline="0">
                <a:latin typeface="Calibri" panose="020F0502020204030204" pitchFamily="34" charset="0"/>
                <a:cs typeface="Calibri" panose="020F0502020204030204" pitchFamily="34" charset="0"/>
              </a:rPr>
              <a:t> e ODS</a:t>
            </a:r>
            <a:endParaRPr lang="pt-BR" sz="700" b="1"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</xdr:grpSp>
    <xdr:clientData fLocksWithSheet="0"/>
  </xdr:twoCellAnchor>
  <xdr:twoCellAnchor>
    <xdr:from>
      <xdr:col>5</xdr:col>
      <xdr:colOff>138567</xdr:colOff>
      <xdr:row>0</xdr:row>
      <xdr:rowOff>0</xdr:rowOff>
    </xdr:from>
    <xdr:to>
      <xdr:col>6</xdr:col>
      <xdr:colOff>154542</xdr:colOff>
      <xdr:row>1</xdr:row>
      <xdr:rowOff>0</xdr:rowOff>
    </xdr:to>
    <xdr:grpSp>
      <xdr:nvGrpSpPr>
        <xdr:cNvPr id="38" name="Agrupar 3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E2175D6-D913-4A5A-B15F-021975D1F11B}"/>
            </a:ext>
          </a:extLst>
        </xdr:cNvPr>
        <xdr:cNvGrpSpPr/>
      </xdr:nvGrpSpPr>
      <xdr:grpSpPr>
        <a:xfrm>
          <a:off x="3560511" y="0"/>
          <a:ext cx="700364" cy="571500"/>
          <a:chOff x="3551239" y="0"/>
          <a:chExt cx="703135" cy="571500"/>
        </a:xfrm>
      </xdr:grpSpPr>
      <xdr:grpSp>
        <xdr:nvGrpSpPr>
          <xdr:cNvPr id="39" name="Agrupar 38">
            <a:extLst>
              <a:ext uri="{FF2B5EF4-FFF2-40B4-BE49-F238E27FC236}">
                <a16:creationId xmlns:a16="http://schemas.microsoft.com/office/drawing/2014/main" id="{3447418F-A565-410F-A403-4322AC393E23}"/>
              </a:ext>
            </a:extLst>
          </xdr:cNvPr>
          <xdr:cNvGrpSpPr/>
        </xdr:nvGrpSpPr>
        <xdr:grpSpPr>
          <a:xfrm>
            <a:off x="3551239" y="0"/>
            <a:ext cx="703135" cy="571500"/>
            <a:chOff x="2015062" y="0"/>
            <a:chExt cx="615017" cy="581025"/>
          </a:xfrm>
          <a:solidFill>
            <a:srgbClr val="3399FF"/>
          </a:solidFill>
        </xdr:grpSpPr>
        <xdr:sp macro="" textlink="">
          <xdr:nvSpPr>
            <xdr:cNvPr id="41" name="Retângulo 40">
              <a:extLst>
                <a:ext uri="{FF2B5EF4-FFF2-40B4-BE49-F238E27FC236}">
                  <a16:creationId xmlns:a16="http://schemas.microsoft.com/office/drawing/2014/main" id="{73A512CD-CA93-4AF4-9C53-35BFD59A180A}"/>
                </a:ext>
              </a:extLst>
            </xdr:cNvPr>
            <xdr:cNvSpPr/>
          </xdr:nvSpPr>
          <xdr:spPr>
            <a:xfrm>
              <a:off x="2015062" y="0"/>
              <a:ext cx="615017" cy="581025"/>
            </a:xfrm>
            <a:prstGeom prst="rect">
              <a:avLst/>
            </a:prstGeom>
            <a:solidFill>
              <a:srgbClr val="FFCC29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EEEB4601-D7BA-4AE0-8D79-F83F4EBC605A}"/>
                </a:ext>
              </a:extLst>
            </xdr:cNvPr>
            <xdr:cNvSpPr txBox="1"/>
          </xdr:nvSpPr>
          <xdr:spPr>
            <a:xfrm>
              <a:off x="2024779" y="387351"/>
              <a:ext cx="599855" cy="145255"/>
            </a:xfrm>
            <a:prstGeom prst="rect">
              <a:avLst/>
            </a:prstGeom>
            <a:noFill/>
            <a:ln w="9525" cmpd="sng">
              <a:noFill/>
            </a:ln>
            <a:effectLst>
              <a:softEdge rad="12700"/>
            </a:effec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600" b="1">
                  <a:latin typeface="Calibri" panose="020F0502020204030204" pitchFamily="34" charset="0"/>
                  <a:cs typeface="Calibri" panose="020F0502020204030204" pitchFamily="34" charset="0"/>
                </a:rPr>
                <a:t>COMPARATIVO</a:t>
              </a:r>
              <a:endParaRPr lang="pt-BR" sz="700" b="1">
                <a:latin typeface="Calibri" panose="020F0502020204030204" pitchFamily="34" charset="0"/>
                <a:cs typeface="Calibri" panose="020F0502020204030204" pitchFamily="34" charset="0"/>
              </a:endParaRPr>
            </a:p>
          </xdr:txBody>
        </xdr:sp>
      </xdr:grpSp>
      <xdr:pic>
        <xdr:nvPicPr>
          <xdr:cNvPr id="40" name="Imagem 39">
            <a:extLst>
              <a:ext uri="{FF2B5EF4-FFF2-40B4-BE49-F238E27FC236}">
                <a16:creationId xmlns:a16="http://schemas.microsoft.com/office/drawing/2014/main" id="{48DBE0F0-12AF-42ED-A14D-1202FF24B9A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52850" y="47625"/>
            <a:ext cx="314325" cy="314325"/>
          </a:xfrm>
          <a:prstGeom prst="rect">
            <a:avLst/>
          </a:prstGeom>
        </xdr:spPr>
      </xdr:pic>
    </xdr:grpSp>
    <xdr:clientData fLocksWithSheet="0"/>
  </xdr:twoCellAnchor>
  <xdr:twoCellAnchor>
    <xdr:from>
      <xdr:col>4</xdr:col>
      <xdr:colOff>70085</xdr:colOff>
      <xdr:row>0</xdr:row>
      <xdr:rowOff>0</xdr:rowOff>
    </xdr:from>
    <xdr:to>
      <xdr:col>5</xdr:col>
      <xdr:colOff>98879</xdr:colOff>
      <xdr:row>1</xdr:row>
      <xdr:rowOff>0</xdr:rowOff>
    </xdr:to>
    <xdr:grpSp>
      <xdr:nvGrpSpPr>
        <xdr:cNvPr id="43" name="Agrupar 4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C287DD7-B38C-4AB7-B236-A4933211A658}"/>
            </a:ext>
          </a:extLst>
        </xdr:cNvPr>
        <xdr:cNvGrpSpPr/>
      </xdr:nvGrpSpPr>
      <xdr:grpSpPr>
        <a:xfrm>
          <a:off x="2807641" y="0"/>
          <a:ext cx="713182" cy="571500"/>
          <a:chOff x="2808296" y="0"/>
          <a:chExt cx="703255" cy="571500"/>
        </a:xfrm>
        <a:solidFill>
          <a:srgbClr val="FFCC29"/>
        </a:solidFill>
      </xdr:grpSpPr>
      <xdr:grpSp>
        <xdr:nvGrpSpPr>
          <xdr:cNvPr id="44" name="Agrupar 43">
            <a:extLst>
              <a:ext uri="{FF2B5EF4-FFF2-40B4-BE49-F238E27FC236}">
                <a16:creationId xmlns:a16="http://schemas.microsoft.com/office/drawing/2014/main" id="{1CDFEEC0-3AD9-4A05-B7F4-35DB53C64F5A}"/>
              </a:ext>
            </a:extLst>
          </xdr:cNvPr>
          <xdr:cNvGrpSpPr/>
        </xdr:nvGrpSpPr>
        <xdr:grpSpPr>
          <a:xfrm>
            <a:off x="2808296" y="0"/>
            <a:ext cx="703255" cy="571500"/>
            <a:chOff x="2015062" y="0"/>
            <a:chExt cx="615017" cy="581025"/>
          </a:xfrm>
          <a:grpFill/>
        </xdr:grpSpPr>
        <xdr:sp macro="" textlink="">
          <xdr:nvSpPr>
            <xdr:cNvPr id="46" name="Retângulo 45">
              <a:extLst>
                <a:ext uri="{FF2B5EF4-FFF2-40B4-BE49-F238E27FC236}">
                  <a16:creationId xmlns:a16="http://schemas.microsoft.com/office/drawing/2014/main" id="{7CD229B1-FBA7-4CC4-9E9A-DD6B02D1D670}"/>
                </a:ext>
              </a:extLst>
            </xdr:cNvPr>
            <xdr:cNvSpPr/>
          </xdr:nvSpPr>
          <xdr:spPr>
            <a:xfrm>
              <a:off x="2015062" y="0"/>
              <a:ext cx="615017" cy="581025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D66B37A1-8F4F-4E6C-9F81-2010251880F9}"/>
                </a:ext>
              </a:extLst>
            </xdr:cNvPr>
            <xdr:cNvSpPr txBox="1"/>
          </xdr:nvSpPr>
          <xdr:spPr>
            <a:xfrm>
              <a:off x="2021497" y="363951"/>
              <a:ext cx="587376" cy="209550"/>
            </a:xfrm>
            <a:prstGeom prst="rect">
              <a:avLst/>
            </a:prstGeom>
            <a:grpFill/>
            <a:ln w="9525" cmpd="sng">
              <a:noFill/>
            </a:ln>
            <a:effectLst>
              <a:softEdge rad="12700"/>
            </a:effec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600" b="1">
                  <a:latin typeface="Calibri" panose="020F0502020204030204" pitchFamily="34" charset="0"/>
                  <a:cs typeface="Calibri" panose="020F0502020204030204" pitchFamily="34" charset="0"/>
                </a:rPr>
                <a:t>DASHBOARD</a:t>
              </a:r>
              <a:endParaRPr lang="pt-BR" sz="700" b="1">
                <a:latin typeface="Calibri" panose="020F0502020204030204" pitchFamily="34" charset="0"/>
                <a:cs typeface="Calibri" panose="020F0502020204030204" pitchFamily="34" charset="0"/>
              </a:endParaRPr>
            </a:p>
          </xdr:txBody>
        </xdr:sp>
      </xdr:grpSp>
      <xdr:pic>
        <xdr:nvPicPr>
          <xdr:cNvPr id="45" name="Imagem 44">
            <a:extLst>
              <a:ext uri="{FF2B5EF4-FFF2-40B4-BE49-F238E27FC236}">
                <a16:creationId xmlns:a16="http://schemas.microsoft.com/office/drawing/2014/main" id="{3320A1CF-19CE-4FAC-8ADD-CAC1C31EEFB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88450" y="54750"/>
            <a:ext cx="360000" cy="360000"/>
          </a:xfrm>
          <a:prstGeom prst="rect">
            <a:avLst/>
          </a:prstGeom>
          <a:grpFill/>
        </xdr:spPr>
      </xdr:pic>
    </xdr:grpSp>
    <xdr:clientData fLocksWithSheet="0"/>
  </xdr:twoCellAnchor>
  <xdr:twoCellAnchor>
    <xdr:from>
      <xdr:col>2</xdr:col>
      <xdr:colOff>0</xdr:colOff>
      <xdr:row>3</xdr:row>
      <xdr:rowOff>0</xdr:rowOff>
    </xdr:from>
    <xdr:to>
      <xdr:col>16</xdr:col>
      <xdr:colOff>0</xdr:colOff>
      <xdr:row>10</xdr:row>
      <xdr:rowOff>0</xdr:rowOff>
    </xdr:to>
    <xdr:sp macro="" textlink="">
      <xdr:nvSpPr>
        <xdr:cNvPr id="73" name="CaixaDeTexto 72">
          <a:extLst>
            <a:ext uri="{FF2B5EF4-FFF2-40B4-BE49-F238E27FC236}">
              <a16:creationId xmlns:a16="http://schemas.microsoft.com/office/drawing/2014/main" id="{3E08D20B-622F-4678-B362-06DBD4795520}"/>
            </a:ext>
          </a:extLst>
        </xdr:cNvPr>
        <xdr:cNvSpPr txBox="1"/>
      </xdr:nvSpPr>
      <xdr:spPr>
        <a:xfrm>
          <a:off x="1371600" y="1047750"/>
          <a:ext cx="9601200" cy="1266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6600" b="1">
              <a:latin typeface="Calibri" panose="020F0502020204030204" pitchFamily="34" charset="0"/>
              <a:cs typeface="Calibri" panose="020F0502020204030204" pitchFamily="34" charset="0"/>
            </a:rPr>
            <a:t>EIXO</a:t>
          </a:r>
          <a:r>
            <a:rPr lang="pt-BR" sz="6600" b="1" baseline="0">
              <a:latin typeface="Calibri" panose="020F0502020204030204" pitchFamily="34" charset="0"/>
              <a:cs typeface="Calibri" panose="020F0502020204030204" pitchFamily="34" charset="0"/>
            </a:rPr>
            <a:t>S DE SOLUÇÕES WELL</a:t>
          </a:r>
          <a:endParaRPr lang="pt-BR" sz="6600" b="1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</xdr:col>
      <xdr:colOff>514350</xdr:colOff>
      <xdr:row>11</xdr:row>
      <xdr:rowOff>57150</xdr:rowOff>
    </xdr:from>
    <xdr:to>
      <xdr:col>4</xdr:col>
      <xdr:colOff>82550</xdr:colOff>
      <xdr:row>26</xdr:row>
      <xdr:rowOff>0</xdr:rowOff>
    </xdr:to>
    <xdr:grpSp>
      <xdr:nvGrpSpPr>
        <xdr:cNvPr id="10" name="Agrupar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4A9A6D3-D116-4298-A0F7-196E5EF8C7C1}"/>
            </a:ext>
          </a:extLst>
        </xdr:cNvPr>
        <xdr:cNvGrpSpPr/>
      </xdr:nvGrpSpPr>
      <xdr:grpSpPr>
        <a:xfrm>
          <a:off x="1198739" y="2512483"/>
          <a:ext cx="1621367" cy="2588684"/>
          <a:chOff x="1200150" y="2527300"/>
          <a:chExt cx="1625600" cy="2609850"/>
        </a:xfrm>
      </xdr:grpSpPr>
      <xdr:grpSp>
        <xdr:nvGrpSpPr>
          <xdr:cNvPr id="71" name="Agrupar 70">
            <a:extLst>
              <a:ext uri="{FF2B5EF4-FFF2-40B4-BE49-F238E27FC236}">
                <a16:creationId xmlns:a16="http://schemas.microsoft.com/office/drawing/2014/main" id="{1B7F2920-BA6B-4013-A7B6-1DBB67D9A50C}"/>
              </a:ext>
            </a:extLst>
          </xdr:cNvPr>
          <xdr:cNvGrpSpPr/>
        </xdr:nvGrpSpPr>
        <xdr:grpSpPr>
          <a:xfrm>
            <a:off x="1200150" y="2527300"/>
            <a:ext cx="1619250" cy="1562100"/>
            <a:chOff x="1171575" y="1962149"/>
            <a:chExt cx="1619250" cy="1590675"/>
          </a:xfrm>
        </xdr:grpSpPr>
        <xdr:sp macro="" textlink="">
          <xdr:nvSpPr>
            <xdr:cNvPr id="60" name="Elipse 59">
              <a:extLst>
                <a:ext uri="{FF2B5EF4-FFF2-40B4-BE49-F238E27FC236}">
                  <a16:creationId xmlns:a16="http://schemas.microsoft.com/office/drawing/2014/main" id="{3E5C28BC-FE75-4D47-A222-80183E7945C6}"/>
                </a:ext>
              </a:extLst>
            </xdr:cNvPr>
            <xdr:cNvSpPr/>
          </xdr:nvSpPr>
          <xdr:spPr>
            <a:xfrm>
              <a:off x="1171575" y="1962149"/>
              <a:ext cx="1619250" cy="1590675"/>
            </a:xfrm>
            <a:prstGeom prst="ellipse">
              <a:avLst/>
            </a:prstGeom>
            <a:solidFill>
              <a:srgbClr val="FFCC29"/>
            </a:solidFill>
            <a:ln w="9525">
              <a:solidFill>
                <a:schemeClr val="bg1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>
                <a:solidFill>
                  <a:sysClr val="windowText" lastClr="000000"/>
                </a:solidFill>
              </a:endParaRPr>
            </a:p>
          </xdr:txBody>
        </xdr:sp>
        <xdr:pic>
          <xdr:nvPicPr>
            <xdr:cNvPr id="59" name="Imagem 58">
              <a:extLst>
                <a:ext uri="{FF2B5EF4-FFF2-40B4-BE49-F238E27FC236}">
                  <a16:creationId xmlns:a16="http://schemas.microsoft.com/office/drawing/2014/main" id="{3BDC3E7F-B0A3-40C1-8C60-45EAE86B94D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569150" y="2207325"/>
              <a:ext cx="1080000" cy="1080000"/>
            </a:xfrm>
            <a:prstGeom prst="rect">
              <a:avLst/>
            </a:prstGeom>
          </xdr:spPr>
        </xdr:pic>
      </xdr:grpSp>
      <xdr:sp macro="" textlink="'Dados Tabela Din'!B202">
        <xdr:nvSpPr>
          <xdr:cNvPr id="6" name="CaixaDeTexto 5">
            <a:extLst>
              <a:ext uri="{FF2B5EF4-FFF2-40B4-BE49-F238E27FC236}">
                <a16:creationId xmlns:a16="http://schemas.microsoft.com/office/drawing/2014/main" id="{36D9A717-9D5F-449B-8D8C-C8DAAA86F53E}"/>
              </a:ext>
            </a:extLst>
          </xdr:cNvPr>
          <xdr:cNvSpPr txBox="1"/>
        </xdr:nvSpPr>
        <xdr:spPr>
          <a:xfrm>
            <a:off x="1270000" y="4406900"/>
            <a:ext cx="1555750" cy="730250"/>
          </a:xfrm>
          <a:prstGeom prst="roundRect">
            <a:avLst/>
          </a:prstGeom>
          <a:noFill/>
          <a:ln w="12700" cmpd="sng">
            <a:solidFill>
              <a:schemeClr val="tx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065105AA-A41F-408A-8FC8-2C4FCC21A173}" type="TxLink">
              <a:rPr lang="en-US" sz="1100" b="1" i="0" u="none" strike="noStrike">
                <a:ln>
                  <a:noFill/>
                </a:ln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pPr algn="ctr"/>
              <a:t>Desenvolvimento Econômico e Geração de Empregos</a:t>
            </a:fld>
            <a:endParaRPr lang="pt-BR" sz="1100" b="1">
              <a:ln>
                <a:noFill/>
              </a:ln>
              <a:solidFill>
                <a:sysClr val="windowText" lastClr="000000"/>
              </a:solidFill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</xdr:grpSp>
    <xdr:clientData fLocksWithSheet="0"/>
  </xdr:twoCellAnchor>
  <xdr:twoCellAnchor>
    <xdr:from>
      <xdr:col>7</xdr:col>
      <xdr:colOff>476250</xdr:colOff>
      <xdr:row>11</xdr:row>
      <xdr:rowOff>38100</xdr:rowOff>
    </xdr:from>
    <xdr:to>
      <xdr:col>10</xdr:col>
      <xdr:colOff>57150</xdr:colOff>
      <xdr:row>26</xdr:row>
      <xdr:rowOff>6350</xdr:rowOff>
    </xdr:to>
    <xdr:grpSp>
      <xdr:nvGrpSpPr>
        <xdr:cNvPr id="11" name="Agrupar 10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D75F510-9FB6-4648-A472-2B682F9832F9}"/>
            </a:ext>
          </a:extLst>
        </xdr:cNvPr>
        <xdr:cNvGrpSpPr/>
      </xdr:nvGrpSpPr>
      <xdr:grpSpPr>
        <a:xfrm>
          <a:off x="5266972" y="2493433"/>
          <a:ext cx="1634067" cy="2614084"/>
          <a:chOff x="5276850" y="2508250"/>
          <a:chExt cx="1638300" cy="2635250"/>
        </a:xfrm>
      </xdr:grpSpPr>
      <xdr:grpSp>
        <xdr:nvGrpSpPr>
          <xdr:cNvPr id="67" name="Agrupar 66">
            <a:extLst>
              <a:ext uri="{FF2B5EF4-FFF2-40B4-BE49-F238E27FC236}">
                <a16:creationId xmlns:a16="http://schemas.microsoft.com/office/drawing/2014/main" id="{4849C82B-4A67-4307-9FF8-303FF170E626}"/>
              </a:ext>
            </a:extLst>
          </xdr:cNvPr>
          <xdr:cNvGrpSpPr/>
        </xdr:nvGrpSpPr>
        <xdr:grpSpPr>
          <a:xfrm>
            <a:off x="5276850" y="2508250"/>
            <a:ext cx="1619250" cy="1562100"/>
            <a:chOff x="5076825" y="1981199"/>
            <a:chExt cx="1619250" cy="1590675"/>
          </a:xfrm>
        </xdr:grpSpPr>
        <xdr:sp macro="" textlink="">
          <xdr:nvSpPr>
            <xdr:cNvPr id="61" name="Elipse 60">
              <a:extLst>
                <a:ext uri="{FF2B5EF4-FFF2-40B4-BE49-F238E27FC236}">
                  <a16:creationId xmlns:a16="http://schemas.microsoft.com/office/drawing/2014/main" id="{B61D329A-03C8-4971-99CA-B93959F20B78}"/>
                </a:ext>
              </a:extLst>
            </xdr:cNvPr>
            <xdr:cNvSpPr/>
          </xdr:nvSpPr>
          <xdr:spPr>
            <a:xfrm>
              <a:off x="5076825" y="1981199"/>
              <a:ext cx="1619250" cy="1590675"/>
            </a:xfrm>
            <a:prstGeom prst="ellipse">
              <a:avLst/>
            </a:prstGeom>
            <a:solidFill>
              <a:srgbClr val="FFCC29"/>
            </a:solidFill>
            <a:ln w="9525">
              <a:solidFill>
                <a:schemeClr val="bg1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>
                <a:solidFill>
                  <a:sysClr val="windowText" lastClr="000000"/>
                </a:solidFill>
              </a:endParaRPr>
            </a:p>
          </xdr:txBody>
        </xdr:sp>
        <xdr:pic>
          <xdr:nvPicPr>
            <xdr:cNvPr id="57" name="Imagem 56">
              <a:extLst>
                <a:ext uri="{FF2B5EF4-FFF2-40B4-BE49-F238E27FC236}">
                  <a16:creationId xmlns:a16="http://schemas.microsoft.com/office/drawing/2014/main" id="{0BB86477-79AD-4216-8DFB-4EE03EDECF5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333925" y="2209725"/>
              <a:ext cx="1080000" cy="1080000"/>
            </a:xfrm>
            <a:prstGeom prst="rect">
              <a:avLst/>
            </a:prstGeom>
          </xdr:spPr>
        </xdr:pic>
      </xdr:grpSp>
      <xdr:sp macro="" textlink="'Dados Tabela Din'!B203">
        <xdr:nvSpPr>
          <xdr:cNvPr id="48" name="CaixaDeTexto 47">
            <a:extLst>
              <a:ext uri="{FF2B5EF4-FFF2-40B4-BE49-F238E27FC236}">
                <a16:creationId xmlns:a16="http://schemas.microsoft.com/office/drawing/2014/main" id="{1C978285-904A-4F20-A835-0012B7E2FBE7}"/>
              </a:ext>
            </a:extLst>
          </xdr:cNvPr>
          <xdr:cNvSpPr txBox="1"/>
        </xdr:nvSpPr>
        <xdr:spPr>
          <a:xfrm>
            <a:off x="5422900" y="4381500"/>
            <a:ext cx="1492250" cy="762000"/>
          </a:xfrm>
          <a:prstGeom prst="roundRect">
            <a:avLst/>
          </a:prstGeom>
          <a:noFill/>
          <a:ln w="12700" cmpd="sng">
            <a:solidFill>
              <a:schemeClr val="tx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7CD108ED-7EA1-40A4-86EF-8EE57A545EF7}" type="TxLink">
              <a:rPr lang="en-US" sz="1200" b="1" i="0" u="none" strike="noStrike">
                <a:solidFill>
                  <a:srgbClr val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pPr algn="ctr"/>
              <a:t>Infraestrutura e Mobilidade</a:t>
            </a:fld>
            <a:endParaRPr lang="pt-BR" sz="1200" b="1"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</xdr:grpSp>
    <xdr:clientData/>
  </xdr:twoCellAnchor>
  <xdr:twoCellAnchor>
    <xdr:from>
      <xdr:col>13</xdr:col>
      <xdr:colOff>416984</xdr:colOff>
      <xdr:row>11</xdr:row>
      <xdr:rowOff>67734</xdr:rowOff>
    </xdr:from>
    <xdr:to>
      <xdr:col>16</xdr:col>
      <xdr:colOff>27518</xdr:colOff>
      <xdr:row>25</xdr:row>
      <xdr:rowOff>173567</xdr:rowOff>
    </xdr:to>
    <xdr:grpSp>
      <xdr:nvGrpSpPr>
        <xdr:cNvPr id="12" name="Agrupar 11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6D51BCC-6559-4BC7-A1CD-67EFD73DBE6D}"/>
            </a:ext>
          </a:extLst>
        </xdr:cNvPr>
        <xdr:cNvGrpSpPr/>
      </xdr:nvGrpSpPr>
      <xdr:grpSpPr>
        <a:xfrm>
          <a:off x="9314040" y="2523067"/>
          <a:ext cx="1663700" cy="2575278"/>
          <a:chOff x="9332464" y="2532213"/>
          <a:chExt cx="1667852" cy="2598861"/>
        </a:xfrm>
      </xdr:grpSpPr>
      <xdr:grpSp>
        <xdr:nvGrpSpPr>
          <xdr:cNvPr id="68" name="Agrupar 67">
            <a:extLst>
              <a:ext uri="{FF2B5EF4-FFF2-40B4-BE49-F238E27FC236}">
                <a16:creationId xmlns:a16="http://schemas.microsoft.com/office/drawing/2014/main" id="{A2AE1157-554B-4E85-87C1-B4CE3338BD0F}"/>
              </a:ext>
            </a:extLst>
          </xdr:cNvPr>
          <xdr:cNvGrpSpPr/>
        </xdr:nvGrpSpPr>
        <xdr:grpSpPr>
          <a:xfrm>
            <a:off x="9332464" y="2532213"/>
            <a:ext cx="1619250" cy="1562100"/>
            <a:chOff x="9913489" y="1918482"/>
            <a:chExt cx="1619250" cy="1590675"/>
          </a:xfrm>
        </xdr:grpSpPr>
        <xdr:sp macro="" textlink="">
          <xdr:nvSpPr>
            <xdr:cNvPr id="62" name="Elipse 61">
              <a:extLst>
                <a:ext uri="{FF2B5EF4-FFF2-40B4-BE49-F238E27FC236}">
                  <a16:creationId xmlns:a16="http://schemas.microsoft.com/office/drawing/2014/main" id="{FD322897-4457-42A0-BC35-7130A7B048F3}"/>
                </a:ext>
              </a:extLst>
            </xdr:cNvPr>
            <xdr:cNvSpPr/>
          </xdr:nvSpPr>
          <xdr:spPr>
            <a:xfrm>
              <a:off x="9913489" y="1918482"/>
              <a:ext cx="1619250" cy="1590675"/>
            </a:xfrm>
            <a:prstGeom prst="ellipse">
              <a:avLst/>
            </a:prstGeom>
            <a:solidFill>
              <a:srgbClr val="FFCC29"/>
            </a:solidFill>
            <a:ln w="9525">
              <a:solidFill>
                <a:schemeClr val="bg1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>
                <a:solidFill>
                  <a:sysClr val="windowText" lastClr="000000"/>
                </a:solidFill>
              </a:endParaRPr>
            </a:p>
          </xdr:txBody>
        </xdr:sp>
        <xdr:pic>
          <xdr:nvPicPr>
            <xdr:cNvPr id="55" name="Imagem 54">
              <a:extLst>
                <a:ext uri="{FF2B5EF4-FFF2-40B4-BE49-F238E27FC236}">
                  <a16:creationId xmlns:a16="http://schemas.microsoft.com/office/drawing/2014/main" id="{2C2223E8-1DBE-4807-ACA3-E97C05BC00F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172572" y="2105117"/>
              <a:ext cx="1080000" cy="1079999"/>
            </a:xfrm>
            <a:prstGeom prst="rect">
              <a:avLst/>
            </a:prstGeom>
          </xdr:spPr>
        </xdr:pic>
      </xdr:grpSp>
      <xdr:sp macro="" textlink="'Dados Tabela Din'!B204">
        <xdr:nvSpPr>
          <xdr:cNvPr id="50" name="CaixaDeTexto 49">
            <a:extLst>
              <a:ext uri="{FF2B5EF4-FFF2-40B4-BE49-F238E27FC236}">
                <a16:creationId xmlns:a16="http://schemas.microsoft.com/office/drawing/2014/main" id="{66066ACD-C3E9-4C08-AABB-7935E086173F}"/>
              </a:ext>
            </a:extLst>
          </xdr:cNvPr>
          <xdr:cNvSpPr txBox="1"/>
        </xdr:nvSpPr>
        <xdr:spPr>
          <a:xfrm>
            <a:off x="9508066" y="4356374"/>
            <a:ext cx="1492250" cy="774700"/>
          </a:xfrm>
          <a:prstGeom prst="roundRect">
            <a:avLst/>
          </a:prstGeom>
          <a:noFill/>
          <a:ln w="12700" cmpd="sng">
            <a:solidFill>
              <a:schemeClr val="tx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604C28F1-577B-4EC1-8301-030CC191F040}" type="TxLink">
              <a:rPr lang="en-US" sz="1200" b="1" i="0" u="none" strike="noStrike">
                <a:solidFill>
                  <a:srgbClr val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pPr algn="ctr"/>
              <a:t>Educação e Capacitação Profissional</a:t>
            </a:fld>
            <a:endParaRPr lang="pt-BR" sz="1200" b="1"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</xdr:grpSp>
    <xdr:clientData/>
  </xdr:twoCellAnchor>
  <xdr:twoCellAnchor>
    <xdr:from>
      <xdr:col>1</xdr:col>
      <xdr:colOff>438150</xdr:colOff>
      <xdr:row>28</xdr:row>
      <xdr:rowOff>0</xdr:rowOff>
    </xdr:from>
    <xdr:to>
      <xdr:col>4</xdr:col>
      <xdr:colOff>0</xdr:colOff>
      <xdr:row>42</xdr:row>
      <xdr:rowOff>38100</xdr:rowOff>
    </xdr:to>
    <xdr:grpSp>
      <xdr:nvGrpSpPr>
        <xdr:cNvPr id="7" name="Agrupar 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22D4B96-D2C5-4AB8-B3C1-7961F15B299F}"/>
            </a:ext>
          </a:extLst>
        </xdr:cNvPr>
        <xdr:cNvGrpSpPr/>
      </xdr:nvGrpSpPr>
      <xdr:grpSpPr>
        <a:xfrm>
          <a:off x="1122539" y="5453944"/>
          <a:ext cx="1615017" cy="2507545"/>
          <a:chOff x="1123950" y="5492750"/>
          <a:chExt cx="1619250" cy="2527300"/>
        </a:xfrm>
      </xdr:grpSpPr>
      <xdr:grpSp>
        <xdr:nvGrpSpPr>
          <xdr:cNvPr id="69" name="Agrupar 68">
            <a:extLst>
              <a:ext uri="{FF2B5EF4-FFF2-40B4-BE49-F238E27FC236}">
                <a16:creationId xmlns:a16="http://schemas.microsoft.com/office/drawing/2014/main" id="{3A11576A-CD7C-4282-AC41-6D55FB0DA4F9}"/>
              </a:ext>
            </a:extLst>
          </xdr:cNvPr>
          <xdr:cNvGrpSpPr/>
        </xdr:nvGrpSpPr>
        <xdr:grpSpPr>
          <a:xfrm>
            <a:off x="1123950" y="5492750"/>
            <a:ext cx="1619250" cy="1565275"/>
            <a:chOff x="1190625" y="4486274"/>
            <a:chExt cx="1619250" cy="1590675"/>
          </a:xfrm>
        </xdr:grpSpPr>
        <xdr:sp macro="" textlink="">
          <xdr:nvSpPr>
            <xdr:cNvPr id="63" name="Elipse 62">
              <a:extLst>
                <a:ext uri="{FF2B5EF4-FFF2-40B4-BE49-F238E27FC236}">
                  <a16:creationId xmlns:a16="http://schemas.microsoft.com/office/drawing/2014/main" id="{2F9E4123-2C34-413F-97EB-2B956EA7D79E}"/>
                </a:ext>
              </a:extLst>
            </xdr:cNvPr>
            <xdr:cNvSpPr/>
          </xdr:nvSpPr>
          <xdr:spPr>
            <a:xfrm>
              <a:off x="1190625" y="4486274"/>
              <a:ext cx="1619250" cy="1590675"/>
            </a:xfrm>
            <a:prstGeom prst="ellipse">
              <a:avLst/>
            </a:prstGeom>
            <a:solidFill>
              <a:srgbClr val="FFCC29"/>
            </a:solidFill>
            <a:ln w="9525">
              <a:solidFill>
                <a:schemeClr val="bg1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>
                <a:solidFill>
                  <a:sysClr val="windowText" lastClr="000000"/>
                </a:solidFill>
              </a:endParaRPr>
            </a:p>
          </xdr:txBody>
        </xdr:sp>
        <xdr:pic>
          <xdr:nvPicPr>
            <xdr:cNvPr id="53" name="Imagem 52">
              <a:extLst>
                <a:ext uri="{FF2B5EF4-FFF2-40B4-BE49-F238E27FC236}">
                  <a16:creationId xmlns:a16="http://schemas.microsoft.com/office/drawing/2014/main" id="{3AC1211E-5323-416D-8935-386EDFC12C2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490625" y="4757700"/>
              <a:ext cx="1080000" cy="1080000"/>
            </a:xfrm>
            <a:prstGeom prst="rect">
              <a:avLst/>
            </a:prstGeom>
          </xdr:spPr>
        </xdr:pic>
      </xdr:grpSp>
      <xdr:sp macro="" textlink="'Dados Tabela Din'!B205">
        <xdr:nvSpPr>
          <xdr:cNvPr id="52" name="CaixaDeTexto 51">
            <a:extLst>
              <a:ext uri="{FF2B5EF4-FFF2-40B4-BE49-F238E27FC236}">
                <a16:creationId xmlns:a16="http://schemas.microsoft.com/office/drawing/2014/main" id="{AB40EEA2-9BE6-4F2D-8D6C-369438F02642}"/>
              </a:ext>
            </a:extLst>
          </xdr:cNvPr>
          <xdr:cNvSpPr txBox="1"/>
        </xdr:nvSpPr>
        <xdr:spPr>
          <a:xfrm>
            <a:off x="1225550" y="7391400"/>
            <a:ext cx="1492250" cy="628650"/>
          </a:xfrm>
          <a:prstGeom prst="roundRect">
            <a:avLst/>
          </a:prstGeom>
          <a:noFill/>
          <a:ln w="12700" cmpd="sng">
            <a:solidFill>
              <a:schemeClr val="tx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8EC4189-54A5-4B5C-94B4-769C763A2350}" type="TxLink">
              <a:rPr lang="en-US" sz="1200" b="1" i="0" u="none" strike="noStrike">
                <a:solidFill>
                  <a:srgbClr val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pPr algn="ctr"/>
              <a:t>Saúde e Bem-Estar Social</a:t>
            </a:fld>
            <a:endParaRPr lang="pt-BR" sz="1200" b="1"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</xdr:grpSp>
    <xdr:clientData/>
  </xdr:twoCellAnchor>
  <xdr:twoCellAnchor>
    <xdr:from>
      <xdr:col>8</xdr:col>
      <xdr:colOff>0</xdr:colOff>
      <xdr:row>28</xdr:row>
      <xdr:rowOff>0</xdr:rowOff>
    </xdr:from>
    <xdr:to>
      <xdr:col>10</xdr:col>
      <xdr:colOff>254000</xdr:colOff>
      <xdr:row>42</xdr:row>
      <xdr:rowOff>76200</xdr:rowOff>
    </xdr:to>
    <xdr:grpSp>
      <xdr:nvGrpSpPr>
        <xdr:cNvPr id="8" name="Agrupar 7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A8AE769-9CA6-412D-BFF3-7766015B6470}"/>
            </a:ext>
          </a:extLst>
        </xdr:cNvPr>
        <xdr:cNvGrpSpPr/>
      </xdr:nvGrpSpPr>
      <xdr:grpSpPr>
        <a:xfrm>
          <a:off x="5475111" y="5453944"/>
          <a:ext cx="1622778" cy="2545645"/>
          <a:chOff x="5486400" y="5492750"/>
          <a:chExt cx="1625600" cy="2565400"/>
        </a:xfrm>
      </xdr:grpSpPr>
      <xdr:grpSp>
        <xdr:nvGrpSpPr>
          <xdr:cNvPr id="70" name="Agrupar 69">
            <a:extLst>
              <a:ext uri="{FF2B5EF4-FFF2-40B4-BE49-F238E27FC236}">
                <a16:creationId xmlns:a16="http://schemas.microsoft.com/office/drawing/2014/main" id="{75B3C2EA-7DB2-4145-BF4D-699C6F14EB3E}"/>
              </a:ext>
            </a:extLst>
          </xdr:cNvPr>
          <xdr:cNvGrpSpPr/>
        </xdr:nvGrpSpPr>
        <xdr:grpSpPr>
          <a:xfrm>
            <a:off x="5486400" y="5492750"/>
            <a:ext cx="1619250" cy="1565275"/>
            <a:chOff x="5562600" y="4571999"/>
            <a:chExt cx="1619250" cy="1590675"/>
          </a:xfrm>
        </xdr:grpSpPr>
        <xdr:sp macro="" textlink="">
          <xdr:nvSpPr>
            <xdr:cNvPr id="64" name="Elipse 63">
              <a:extLst>
                <a:ext uri="{FF2B5EF4-FFF2-40B4-BE49-F238E27FC236}">
                  <a16:creationId xmlns:a16="http://schemas.microsoft.com/office/drawing/2014/main" id="{69ADE8D9-738B-4632-B208-356D216C4CD6}"/>
                </a:ext>
              </a:extLst>
            </xdr:cNvPr>
            <xdr:cNvSpPr/>
          </xdr:nvSpPr>
          <xdr:spPr>
            <a:xfrm>
              <a:off x="5562600" y="4571999"/>
              <a:ext cx="1619250" cy="1590675"/>
            </a:xfrm>
            <a:prstGeom prst="ellipse">
              <a:avLst/>
            </a:prstGeom>
            <a:solidFill>
              <a:srgbClr val="FFCC29"/>
            </a:solidFill>
            <a:ln w="9525">
              <a:solidFill>
                <a:schemeClr val="bg1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>
                <a:solidFill>
                  <a:sysClr val="windowText" lastClr="000000"/>
                </a:solidFill>
              </a:endParaRPr>
            </a:p>
          </xdr:txBody>
        </xdr:sp>
        <xdr:pic>
          <xdr:nvPicPr>
            <xdr:cNvPr id="51" name="Imagem 50">
              <a:extLst>
                <a:ext uri="{FF2B5EF4-FFF2-40B4-BE49-F238E27FC236}">
                  <a16:creationId xmlns:a16="http://schemas.microsoft.com/office/drawing/2014/main" id="{A5503A6A-46BC-42C2-B054-DCA2DBECE86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836425" y="4817250"/>
              <a:ext cx="1080000" cy="1080000"/>
            </a:xfrm>
            <a:prstGeom prst="rect">
              <a:avLst/>
            </a:prstGeom>
          </xdr:spPr>
        </xdr:pic>
      </xdr:grpSp>
      <xdr:sp macro="" textlink="'Dados Tabela Din'!B206">
        <xdr:nvSpPr>
          <xdr:cNvPr id="54" name="CaixaDeTexto 53">
            <a:extLst>
              <a:ext uri="{FF2B5EF4-FFF2-40B4-BE49-F238E27FC236}">
                <a16:creationId xmlns:a16="http://schemas.microsoft.com/office/drawing/2014/main" id="{3DE29B53-7994-4694-9FAA-FFE6CC6E7157}"/>
              </a:ext>
            </a:extLst>
          </xdr:cNvPr>
          <xdr:cNvSpPr txBox="1"/>
        </xdr:nvSpPr>
        <xdr:spPr>
          <a:xfrm>
            <a:off x="5619750" y="7410450"/>
            <a:ext cx="1492250" cy="647700"/>
          </a:xfrm>
          <a:prstGeom prst="roundRect">
            <a:avLst/>
          </a:prstGeom>
          <a:noFill/>
          <a:ln w="12700" cmpd="sng">
            <a:solidFill>
              <a:schemeClr val="tx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9D47B84A-B159-40BB-B985-ED7E02E182E2}" type="TxLink">
              <a:rPr lang="en-US" sz="1200" b="1" i="0" u="none" strike="noStrike">
                <a:solidFill>
                  <a:srgbClr val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pPr algn="ctr"/>
              <a:t>Meio Ambiente e Sustentabilidade</a:t>
            </a:fld>
            <a:endParaRPr lang="pt-BR" sz="1200" b="1"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</xdr:grpSp>
    <xdr:clientData/>
  </xdr:twoCellAnchor>
  <xdr:twoCellAnchor>
    <xdr:from>
      <xdr:col>14</xdr:col>
      <xdr:colOff>0</xdr:colOff>
      <xdr:row>28</xdr:row>
      <xdr:rowOff>38100</xdr:rowOff>
    </xdr:from>
    <xdr:to>
      <xdr:col>16</xdr:col>
      <xdr:colOff>298450</xdr:colOff>
      <xdr:row>42</xdr:row>
      <xdr:rowOff>63500</xdr:rowOff>
    </xdr:to>
    <xdr:grpSp>
      <xdr:nvGrpSpPr>
        <xdr:cNvPr id="9" name="Agrupar 8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45AD2728-C517-4549-882A-57081E24D407}"/>
            </a:ext>
          </a:extLst>
        </xdr:cNvPr>
        <xdr:cNvGrpSpPr/>
      </xdr:nvGrpSpPr>
      <xdr:grpSpPr>
        <a:xfrm>
          <a:off x="9581444" y="5492044"/>
          <a:ext cx="1667228" cy="2494845"/>
          <a:chOff x="9601200" y="5530850"/>
          <a:chExt cx="1670050" cy="2514600"/>
        </a:xfrm>
      </xdr:grpSpPr>
      <xdr:grpSp>
        <xdr:nvGrpSpPr>
          <xdr:cNvPr id="72" name="Agrupar 71">
            <a:extLst>
              <a:ext uri="{FF2B5EF4-FFF2-40B4-BE49-F238E27FC236}">
                <a16:creationId xmlns:a16="http://schemas.microsoft.com/office/drawing/2014/main" id="{29BC3DB9-A24A-4EAB-B654-E13A2DBABD7B}"/>
              </a:ext>
            </a:extLst>
          </xdr:cNvPr>
          <xdr:cNvGrpSpPr/>
        </xdr:nvGrpSpPr>
        <xdr:grpSpPr>
          <a:xfrm>
            <a:off x="9601200" y="5530850"/>
            <a:ext cx="1619250" cy="1562100"/>
            <a:chOff x="9896475" y="4562474"/>
            <a:chExt cx="1619250" cy="1590675"/>
          </a:xfrm>
        </xdr:grpSpPr>
        <xdr:sp macro="" textlink="">
          <xdr:nvSpPr>
            <xdr:cNvPr id="65" name="Elipse 64">
              <a:extLst>
                <a:ext uri="{FF2B5EF4-FFF2-40B4-BE49-F238E27FC236}">
                  <a16:creationId xmlns:a16="http://schemas.microsoft.com/office/drawing/2014/main" id="{68AB6832-54D7-4B04-B4A9-E42528A3F20F}"/>
                </a:ext>
              </a:extLst>
            </xdr:cNvPr>
            <xdr:cNvSpPr/>
          </xdr:nvSpPr>
          <xdr:spPr>
            <a:xfrm>
              <a:off x="9896475" y="4562474"/>
              <a:ext cx="1619250" cy="1590675"/>
            </a:xfrm>
            <a:prstGeom prst="ellipse">
              <a:avLst/>
            </a:prstGeom>
            <a:solidFill>
              <a:srgbClr val="FFCC29"/>
            </a:solidFill>
            <a:ln w="9525">
              <a:solidFill>
                <a:schemeClr val="bg1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>
                <a:solidFill>
                  <a:sysClr val="windowText" lastClr="000000"/>
                </a:solidFill>
              </a:endParaRPr>
            </a:p>
          </xdr:txBody>
        </xdr:sp>
        <xdr:pic>
          <xdr:nvPicPr>
            <xdr:cNvPr id="49" name="Imagem 48">
              <a:extLst>
                <a:ext uri="{FF2B5EF4-FFF2-40B4-BE49-F238E27FC236}">
                  <a16:creationId xmlns:a16="http://schemas.microsoft.com/office/drawing/2014/main" id="{387FB116-CD53-4BE1-B47D-68656693E7F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182225" y="4752975"/>
              <a:ext cx="1080000" cy="1080000"/>
            </a:xfrm>
            <a:prstGeom prst="rect">
              <a:avLst/>
            </a:prstGeom>
          </xdr:spPr>
        </xdr:pic>
      </xdr:grpSp>
      <xdr:sp macro="" textlink="'Dados Tabela Din'!B207">
        <xdr:nvSpPr>
          <xdr:cNvPr id="56" name="CaixaDeTexto 55">
            <a:extLst>
              <a:ext uri="{FF2B5EF4-FFF2-40B4-BE49-F238E27FC236}">
                <a16:creationId xmlns:a16="http://schemas.microsoft.com/office/drawing/2014/main" id="{61EE56D8-C525-4742-A52C-480A99E0457F}"/>
              </a:ext>
            </a:extLst>
          </xdr:cNvPr>
          <xdr:cNvSpPr txBox="1"/>
        </xdr:nvSpPr>
        <xdr:spPr>
          <a:xfrm>
            <a:off x="9779000" y="7423150"/>
            <a:ext cx="1492250" cy="622300"/>
          </a:xfrm>
          <a:prstGeom prst="roundRect">
            <a:avLst/>
          </a:prstGeom>
          <a:noFill/>
          <a:ln w="12700" cmpd="sng">
            <a:solidFill>
              <a:schemeClr val="tx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544A2951-FAD9-4322-B3D9-EB746547CBB9}" type="TxLink">
              <a:rPr lang="en-US" sz="1200" b="1" i="0" u="none" strike="noStrike">
                <a:solidFill>
                  <a:srgbClr val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pPr algn="ctr"/>
              <a:t>Governança e Transparência</a:t>
            </a:fld>
            <a:endParaRPr lang="pt-BR" sz="1200" b="1"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</xdr:grp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503061</xdr:colOff>
      <xdr:row>1</xdr:row>
      <xdr:rowOff>7056</xdr:rowOff>
    </xdr:to>
    <xdr:grpSp>
      <xdr:nvGrpSpPr>
        <xdr:cNvPr id="58" name="Agrupar 57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4E5BCC35-92E6-4A2B-BB86-17F4EA6C82C3}"/>
            </a:ext>
          </a:extLst>
        </xdr:cNvPr>
        <xdr:cNvGrpSpPr/>
      </xdr:nvGrpSpPr>
      <xdr:grpSpPr>
        <a:xfrm>
          <a:off x="5475111" y="0"/>
          <a:ext cx="1187450" cy="578556"/>
          <a:chOff x="5569357" y="6421"/>
          <a:chExt cx="1200150" cy="576943"/>
        </a:xfrm>
        <a:gradFill>
          <a:gsLst>
            <a:gs pos="0">
              <a:srgbClr val="FFCC29"/>
            </a:gs>
            <a:gs pos="74000">
              <a:schemeClr val="bg1"/>
            </a:gs>
            <a:gs pos="39000">
              <a:srgbClr val="FFCC29"/>
            </a:gs>
            <a:gs pos="21000">
              <a:srgbClr val="FFCC29"/>
            </a:gs>
          </a:gsLst>
          <a:lin ang="5400000" scaled="1"/>
        </a:gradFill>
      </xdr:grpSpPr>
      <xdr:sp macro="" textlink="">
        <xdr:nvSpPr>
          <xdr:cNvPr id="66" name="Retângulo 65">
            <a:extLst>
              <a:ext uri="{FF2B5EF4-FFF2-40B4-BE49-F238E27FC236}">
                <a16:creationId xmlns:a16="http://schemas.microsoft.com/office/drawing/2014/main" id="{34224EFA-4577-446F-9B3C-E09093973872}"/>
              </a:ext>
            </a:extLst>
          </xdr:cNvPr>
          <xdr:cNvSpPr/>
        </xdr:nvSpPr>
        <xdr:spPr>
          <a:xfrm>
            <a:off x="5569357" y="6421"/>
            <a:ext cx="1200150" cy="571500"/>
          </a:xfrm>
          <a:prstGeom prst="rect">
            <a:avLst/>
          </a:prstGeom>
          <a:solidFill>
            <a:schemeClr val="bg1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74" name="CaixaDeTexto 73">
            <a:extLst>
              <a:ext uri="{FF2B5EF4-FFF2-40B4-BE49-F238E27FC236}">
                <a16:creationId xmlns:a16="http://schemas.microsoft.com/office/drawing/2014/main" id="{A2D571A4-AA0A-4E30-BAA1-494053F5DC0D}"/>
              </a:ext>
            </a:extLst>
          </xdr:cNvPr>
          <xdr:cNvSpPr txBox="1"/>
        </xdr:nvSpPr>
        <xdr:spPr>
          <a:xfrm>
            <a:off x="5819654" y="391702"/>
            <a:ext cx="731643" cy="191662"/>
          </a:xfrm>
          <a:prstGeom prst="rect">
            <a:avLst/>
          </a:prstGeom>
          <a:noFill/>
          <a:ln w="3175" cmpd="sng">
            <a:noFill/>
          </a:ln>
          <a:effectLst>
            <a:softEdge rad="12700"/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Calibri" panose="020F0502020204030204" pitchFamily="34" charset="0"/>
                <a:cs typeface="Calibri" panose="020F0502020204030204" pitchFamily="34" charset="0"/>
              </a:rPr>
              <a:t>EIXOS</a:t>
            </a:r>
            <a:r>
              <a:rPr lang="pt-BR" sz="800" b="1" baseline="0">
                <a:latin typeface="Calibri" panose="020F0502020204030204" pitchFamily="34" charset="0"/>
                <a:cs typeface="Calibri" panose="020F0502020204030204" pitchFamily="34" charset="0"/>
              </a:rPr>
              <a:t> WELL</a:t>
            </a:r>
            <a:endParaRPr lang="pt-BR" sz="800" b="1"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  <xdr:pic>
        <xdr:nvPicPr>
          <xdr:cNvPr id="75" name="Imagem 74">
            <a:extLst>
              <a:ext uri="{FF2B5EF4-FFF2-40B4-BE49-F238E27FC236}">
                <a16:creationId xmlns:a16="http://schemas.microsoft.com/office/drawing/2014/main" id="{1C986632-D182-4585-80A0-0735FE52935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01700" y="69453"/>
            <a:ext cx="316719" cy="316719"/>
          </a:xfrm>
          <a:prstGeom prst="rect">
            <a:avLst/>
          </a:prstGeom>
          <a:noFill/>
          <a:ln w="3175">
            <a:noFill/>
          </a:ln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485775</xdr:colOff>
      <xdr:row>0</xdr:row>
      <xdr:rowOff>565150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612685-2B39-4A1D-9647-A254C94E3B91}"/>
            </a:ext>
          </a:extLst>
        </xdr:cNvPr>
        <xdr:cNvGrpSpPr/>
      </xdr:nvGrpSpPr>
      <xdr:grpSpPr>
        <a:xfrm>
          <a:off x="0" y="0"/>
          <a:ext cx="1854553" cy="565150"/>
          <a:chOff x="3552825" y="2171700"/>
          <a:chExt cx="1895475" cy="561975"/>
        </a:xfrm>
      </xdr:grpSpPr>
      <xdr:sp macro="" textlink="">
        <xdr:nvSpPr>
          <xdr:cNvPr id="3" name="Retângulo 2">
            <a:extLst>
              <a:ext uri="{FF2B5EF4-FFF2-40B4-BE49-F238E27FC236}">
                <a16:creationId xmlns:a16="http://schemas.microsoft.com/office/drawing/2014/main" id="{6A109174-8AF0-4B04-BCF6-7B309C4D3CA1}"/>
              </a:ext>
            </a:extLst>
          </xdr:cNvPr>
          <xdr:cNvSpPr/>
        </xdr:nvSpPr>
        <xdr:spPr>
          <a:xfrm>
            <a:off x="3552825" y="2171700"/>
            <a:ext cx="1895475" cy="561975"/>
          </a:xfrm>
          <a:prstGeom prst="rect">
            <a:avLst/>
          </a:prstGeom>
          <a:gradFill>
            <a:gsLst>
              <a:gs pos="0">
                <a:schemeClr val="bg1"/>
              </a:gs>
              <a:gs pos="89000">
                <a:srgbClr val="FFCC29">
                  <a:alpha val="50000"/>
                </a:srgbClr>
              </a:gs>
              <a:gs pos="100000">
                <a:srgbClr val="FFCC29">
                  <a:alpha val="50000"/>
                </a:srgbClr>
              </a:gs>
            </a:gsLst>
            <a:lin ang="27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BD966B74-21A2-445D-8242-F7C65FB6082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-1261" t="29165" r="1261" b="28126"/>
          <a:stretch/>
        </xdr:blipFill>
        <xdr:spPr>
          <a:xfrm>
            <a:off x="3686175" y="2187575"/>
            <a:ext cx="1492250" cy="527050"/>
          </a:xfrm>
          <a:prstGeom prst="rect">
            <a:avLst/>
          </a:prstGeom>
        </xdr:spPr>
      </xdr:pic>
    </xdr:grpSp>
    <xdr:clientData/>
  </xdr:twoCellAnchor>
  <xdr:twoCellAnchor editAs="oneCell">
    <xdr:from>
      <xdr:col>13</xdr:col>
      <xdr:colOff>257176</xdr:colOff>
      <xdr:row>0</xdr:row>
      <xdr:rowOff>0</xdr:rowOff>
    </xdr:from>
    <xdr:to>
      <xdr:col>17</xdr:col>
      <xdr:colOff>342739</xdr:colOff>
      <xdr:row>1</xdr:row>
      <xdr:rowOff>63501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86E3B15-F46D-4AE7-975A-73D01EDCB9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08" t="30769" r="-2208" b="27473"/>
        <a:stretch/>
      </xdr:blipFill>
      <xdr:spPr>
        <a:xfrm>
          <a:off x="9172576" y="0"/>
          <a:ext cx="3505038" cy="63500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0</xdr:row>
      <xdr:rowOff>454</xdr:rowOff>
    </xdr:from>
    <xdr:to>
      <xdr:col>4</xdr:col>
      <xdr:colOff>30389</xdr:colOff>
      <xdr:row>0</xdr:row>
      <xdr:rowOff>568779</xdr:rowOff>
    </xdr:to>
    <xdr:grpSp>
      <xdr:nvGrpSpPr>
        <xdr:cNvPr id="6" name="Agrupar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26402F-09F6-4FD4-A490-E2D226F7465E}"/>
            </a:ext>
          </a:extLst>
        </xdr:cNvPr>
        <xdr:cNvGrpSpPr/>
      </xdr:nvGrpSpPr>
      <xdr:grpSpPr>
        <a:xfrm>
          <a:off x="2053167" y="454"/>
          <a:ext cx="714778" cy="568325"/>
          <a:chOff x="1990594" y="-9022"/>
          <a:chExt cx="615017" cy="581025"/>
        </a:xfrm>
        <a:solidFill>
          <a:srgbClr val="FFCC29"/>
        </a:solidFill>
      </xdr:grpSpPr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268D387D-42AF-40D5-A294-77F89149BC8A}"/>
              </a:ext>
            </a:extLst>
          </xdr:cNvPr>
          <xdr:cNvSpPr/>
        </xdr:nvSpPr>
        <xdr:spPr>
          <a:xfrm>
            <a:off x="1990594" y="-9022"/>
            <a:ext cx="615017" cy="5810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8" name="Imagem 7">
            <a:extLst>
              <a:ext uri="{FF2B5EF4-FFF2-40B4-BE49-F238E27FC236}">
                <a16:creationId xmlns:a16="http://schemas.microsoft.com/office/drawing/2014/main" id="{62ECD64F-312B-47ED-9B2C-7F973435FD0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BEBA8EAE-BF5A-486C-A8C5-ECC9F3942E4B}">
                <a14:imgProps xmlns:a14="http://schemas.microsoft.com/office/drawing/2010/main">
                  <a14:imgLayer r:embed="rId5">
                    <a14:imgEffect>
                      <a14:backgroundRemoval t="10000" b="90000" l="10000" r="90000">
                        <a14:foregroundMark x1="52252" y1="78333" x2="52252" y2="78333"/>
                        <a14:foregroundMark x1="62162" y1="68889" x2="62162" y2="68889"/>
                        <a14:foregroundMark x1="65165" y1="57222" x2="65165" y2="57222"/>
                        <a14:foregroundMark x1="65165" y1="40556" x2="65165" y2="40556"/>
                        <a14:foregroundMark x1="62763" y1="27222" x2="62763" y2="27222"/>
                        <a14:foregroundMark x1="46847" y1="22222" x2="46847" y2="22222"/>
                        <a14:foregroundMark x1="40841" y1="26667" x2="40841" y2="26667"/>
                        <a14:foregroundMark x1="47147" y1="76111" x2="47147" y2="76111"/>
                        <a14:foregroundMark x1="46847" y1="73889" x2="45646" y2="7277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l="28569" t="6871" r="29129" b="14812"/>
          <a:stretch/>
        </xdr:blipFill>
        <xdr:spPr>
          <a:xfrm>
            <a:off x="2168525" y="66674"/>
            <a:ext cx="281358" cy="276223"/>
          </a:xfrm>
          <a:prstGeom prst="rect">
            <a:avLst/>
          </a:prstGeom>
          <a:grpFill/>
        </xdr:spPr>
      </xdr:pic>
      <xdr:sp macro="" textlink="">
        <xdr:nvSpPr>
          <xdr:cNvPr id="9" name="CaixaDeTexto 8">
            <a:extLst>
              <a:ext uri="{FF2B5EF4-FFF2-40B4-BE49-F238E27FC236}">
                <a16:creationId xmlns:a16="http://schemas.microsoft.com/office/drawing/2014/main" id="{97A8674E-274F-4742-9819-58DDFF86F99A}"/>
              </a:ext>
            </a:extLst>
          </xdr:cNvPr>
          <xdr:cNvSpPr txBox="1"/>
        </xdr:nvSpPr>
        <xdr:spPr>
          <a:xfrm>
            <a:off x="2009774" y="342900"/>
            <a:ext cx="587376" cy="2095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700" b="1">
                <a:latin typeface="Calibri" panose="020F0502020204030204" pitchFamily="34" charset="0"/>
                <a:cs typeface="Calibri" panose="020F0502020204030204" pitchFamily="34" charset="0"/>
              </a:rPr>
              <a:t>IDS</a:t>
            </a:r>
            <a:r>
              <a:rPr lang="pt-BR" sz="700" b="1" baseline="0">
                <a:latin typeface="Calibri" panose="020F0502020204030204" pitchFamily="34" charset="0"/>
                <a:cs typeface="Calibri" panose="020F0502020204030204" pitchFamily="34" charset="0"/>
              </a:rPr>
              <a:t> e ODS</a:t>
            </a:r>
            <a:endParaRPr lang="pt-BR" sz="700" b="1"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</xdr:grpSp>
    <xdr:clientData/>
  </xdr:twoCellAnchor>
  <xdr:twoCellAnchor>
    <xdr:from>
      <xdr:col>5</xdr:col>
      <xdr:colOff>138567</xdr:colOff>
      <xdr:row>0</xdr:row>
      <xdr:rowOff>0</xdr:rowOff>
    </xdr:from>
    <xdr:to>
      <xdr:col>6</xdr:col>
      <xdr:colOff>154542</xdr:colOff>
      <xdr:row>1</xdr:row>
      <xdr:rowOff>0</xdr:rowOff>
    </xdr:to>
    <xdr:grpSp>
      <xdr:nvGrpSpPr>
        <xdr:cNvPr id="10" name="Agrupar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C388716-4FFC-46D6-8D1E-B54CEE5C1724}"/>
            </a:ext>
          </a:extLst>
        </xdr:cNvPr>
        <xdr:cNvGrpSpPr/>
      </xdr:nvGrpSpPr>
      <xdr:grpSpPr>
        <a:xfrm>
          <a:off x="3560511" y="0"/>
          <a:ext cx="700364" cy="571500"/>
          <a:chOff x="3551239" y="0"/>
          <a:chExt cx="703135" cy="571500"/>
        </a:xfrm>
        <a:solidFill>
          <a:srgbClr val="FFCC29"/>
        </a:solidFill>
      </xdr:grpSpPr>
      <xdr:grpSp>
        <xdr:nvGrpSpPr>
          <xdr:cNvPr id="11" name="Agrupar 10">
            <a:extLst>
              <a:ext uri="{FF2B5EF4-FFF2-40B4-BE49-F238E27FC236}">
                <a16:creationId xmlns:a16="http://schemas.microsoft.com/office/drawing/2014/main" id="{AC618BC2-0AB5-4DD9-8F00-9F8CADE34F39}"/>
              </a:ext>
            </a:extLst>
          </xdr:cNvPr>
          <xdr:cNvGrpSpPr/>
        </xdr:nvGrpSpPr>
        <xdr:grpSpPr>
          <a:xfrm>
            <a:off x="3551239" y="0"/>
            <a:ext cx="703135" cy="571500"/>
            <a:chOff x="2015062" y="0"/>
            <a:chExt cx="615017" cy="581025"/>
          </a:xfrm>
          <a:grpFill/>
        </xdr:grpSpPr>
        <xdr:sp macro="" textlink="">
          <xdr:nvSpPr>
            <xdr:cNvPr id="13" name="Retângulo 12">
              <a:extLst>
                <a:ext uri="{FF2B5EF4-FFF2-40B4-BE49-F238E27FC236}">
                  <a16:creationId xmlns:a16="http://schemas.microsoft.com/office/drawing/2014/main" id="{C7213732-5D9B-4BCA-B2ED-14C23F922CB8}"/>
                </a:ext>
              </a:extLst>
            </xdr:cNvPr>
            <xdr:cNvSpPr/>
          </xdr:nvSpPr>
          <xdr:spPr>
            <a:xfrm>
              <a:off x="2015062" y="0"/>
              <a:ext cx="615017" cy="581025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B9782DA2-02EC-49FB-B40D-20CDDA663939}"/>
                </a:ext>
              </a:extLst>
            </xdr:cNvPr>
            <xdr:cNvSpPr txBox="1"/>
          </xdr:nvSpPr>
          <xdr:spPr>
            <a:xfrm>
              <a:off x="2024779" y="387351"/>
              <a:ext cx="599855" cy="145255"/>
            </a:xfrm>
            <a:prstGeom prst="rect">
              <a:avLst/>
            </a:prstGeom>
            <a:grpFill/>
            <a:ln w="9525" cmpd="sng">
              <a:noFill/>
            </a:ln>
            <a:effectLst>
              <a:softEdge rad="12700"/>
            </a:effec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600" b="1">
                  <a:latin typeface="Calibri" panose="020F0502020204030204" pitchFamily="34" charset="0"/>
                  <a:cs typeface="Calibri" panose="020F0502020204030204" pitchFamily="34" charset="0"/>
                </a:rPr>
                <a:t>COMPARATIVO</a:t>
              </a:r>
              <a:endParaRPr lang="pt-BR" sz="700" b="1">
                <a:latin typeface="Calibri" panose="020F0502020204030204" pitchFamily="34" charset="0"/>
                <a:cs typeface="Calibri" panose="020F0502020204030204" pitchFamily="34" charset="0"/>
              </a:endParaRPr>
            </a:p>
          </xdr:txBody>
        </xdr:sp>
      </xdr:grpSp>
      <xdr:pic>
        <xdr:nvPicPr>
          <xdr:cNvPr id="12" name="Imagem 11">
            <a:extLst>
              <a:ext uri="{FF2B5EF4-FFF2-40B4-BE49-F238E27FC236}">
                <a16:creationId xmlns:a16="http://schemas.microsoft.com/office/drawing/2014/main" id="{20ECB502-E9EB-4A4B-950E-EBA4EFCDFEE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52850" y="47625"/>
            <a:ext cx="314325" cy="314325"/>
          </a:xfrm>
          <a:prstGeom prst="rect">
            <a:avLst/>
          </a:prstGeom>
          <a:grpFill/>
        </xdr:spPr>
      </xdr:pic>
    </xdr:grpSp>
    <xdr:clientData/>
  </xdr:twoCellAnchor>
  <xdr:twoCellAnchor>
    <xdr:from>
      <xdr:col>4</xdr:col>
      <xdr:colOff>70085</xdr:colOff>
      <xdr:row>0</xdr:row>
      <xdr:rowOff>0</xdr:rowOff>
    </xdr:from>
    <xdr:to>
      <xdr:col>5</xdr:col>
      <xdr:colOff>98879</xdr:colOff>
      <xdr:row>1</xdr:row>
      <xdr:rowOff>0</xdr:rowOff>
    </xdr:to>
    <xdr:grpSp>
      <xdr:nvGrpSpPr>
        <xdr:cNvPr id="15" name="Agrupar 1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4122C77-4C5C-4476-91CA-5F824DCF624C}"/>
            </a:ext>
          </a:extLst>
        </xdr:cNvPr>
        <xdr:cNvGrpSpPr/>
      </xdr:nvGrpSpPr>
      <xdr:grpSpPr>
        <a:xfrm>
          <a:off x="2807641" y="0"/>
          <a:ext cx="713182" cy="571500"/>
          <a:chOff x="2808296" y="0"/>
          <a:chExt cx="703255" cy="571500"/>
        </a:xfrm>
        <a:solidFill>
          <a:srgbClr val="FFCC29"/>
        </a:solidFill>
      </xdr:grpSpPr>
      <xdr:grpSp>
        <xdr:nvGrpSpPr>
          <xdr:cNvPr id="16" name="Agrupar 15">
            <a:extLst>
              <a:ext uri="{FF2B5EF4-FFF2-40B4-BE49-F238E27FC236}">
                <a16:creationId xmlns:a16="http://schemas.microsoft.com/office/drawing/2014/main" id="{1C138521-8FEA-4960-AD5D-690C57FB2F1E}"/>
              </a:ext>
            </a:extLst>
          </xdr:cNvPr>
          <xdr:cNvGrpSpPr/>
        </xdr:nvGrpSpPr>
        <xdr:grpSpPr>
          <a:xfrm>
            <a:off x="2808296" y="0"/>
            <a:ext cx="703255" cy="571500"/>
            <a:chOff x="2015062" y="0"/>
            <a:chExt cx="615017" cy="581025"/>
          </a:xfrm>
          <a:grpFill/>
        </xdr:grpSpPr>
        <xdr:sp macro="" textlink="">
          <xdr:nvSpPr>
            <xdr:cNvPr id="18" name="Retângulo 17">
              <a:extLst>
                <a:ext uri="{FF2B5EF4-FFF2-40B4-BE49-F238E27FC236}">
                  <a16:creationId xmlns:a16="http://schemas.microsoft.com/office/drawing/2014/main" id="{0CAEB320-1365-4DEB-B811-00691F7551FA}"/>
                </a:ext>
              </a:extLst>
            </xdr:cNvPr>
            <xdr:cNvSpPr/>
          </xdr:nvSpPr>
          <xdr:spPr>
            <a:xfrm>
              <a:off x="2015062" y="0"/>
              <a:ext cx="615017" cy="581025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E26C4977-A44A-4524-B012-501889F5EFDD}"/>
                </a:ext>
              </a:extLst>
            </xdr:cNvPr>
            <xdr:cNvSpPr txBox="1"/>
          </xdr:nvSpPr>
          <xdr:spPr>
            <a:xfrm>
              <a:off x="2021497" y="363951"/>
              <a:ext cx="587376" cy="209550"/>
            </a:xfrm>
            <a:prstGeom prst="rect">
              <a:avLst/>
            </a:prstGeom>
            <a:grpFill/>
            <a:ln w="9525" cmpd="sng">
              <a:noFill/>
            </a:ln>
            <a:effectLst>
              <a:softEdge rad="12700"/>
            </a:effec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600" b="1">
                  <a:latin typeface="Calibri" panose="020F0502020204030204" pitchFamily="34" charset="0"/>
                  <a:cs typeface="Calibri" panose="020F0502020204030204" pitchFamily="34" charset="0"/>
                </a:rPr>
                <a:t>DASHBOARD</a:t>
              </a:r>
              <a:endParaRPr lang="pt-BR" sz="700" b="1">
                <a:latin typeface="Calibri" panose="020F0502020204030204" pitchFamily="34" charset="0"/>
                <a:cs typeface="Calibri" panose="020F0502020204030204" pitchFamily="34" charset="0"/>
              </a:endParaRPr>
            </a:p>
          </xdr:txBody>
        </xdr:sp>
      </xdr:grpSp>
      <xdr:pic>
        <xdr:nvPicPr>
          <xdr:cNvPr id="17" name="Imagem 16">
            <a:extLst>
              <a:ext uri="{FF2B5EF4-FFF2-40B4-BE49-F238E27FC236}">
                <a16:creationId xmlns:a16="http://schemas.microsoft.com/office/drawing/2014/main" id="{223E64D5-791D-4C31-A208-1AF793D6BA5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sharpenSoften amount="-100000"/>
                    </a14:imgEffect>
                    <a14:imgEffect>
                      <a14:brightnessContrast bright="-100000" contrast="12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88450" y="54750"/>
            <a:ext cx="360000" cy="360000"/>
          </a:xfrm>
          <a:prstGeom prst="rect">
            <a:avLst/>
          </a:prstGeom>
          <a:grpFill/>
        </xdr:spPr>
      </xdr:pic>
    </xdr:grp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501650</xdr:colOff>
      <xdr:row>0</xdr:row>
      <xdr:rowOff>570533</xdr:rowOff>
    </xdr:to>
    <xdr:grpSp>
      <xdr:nvGrpSpPr>
        <xdr:cNvPr id="20" name="Agrupar 1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F64886D-B7A4-44BF-A783-41FC71D39CF5}"/>
            </a:ext>
          </a:extLst>
        </xdr:cNvPr>
        <xdr:cNvGrpSpPr/>
      </xdr:nvGrpSpPr>
      <xdr:grpSpPr>
        <a:xfrm>
          <a:off x="5475111" y="0"/>
          <a:ext cx="1186039" cy="570533"/>
          <a:chOff x="5569357" y="6421"/>
          <a:chExt cx="1200150" cy="576943"/>
        </a:xfrm>
        <a:gradFill>
          <a:gsLst>
            <a:gs pos="0">
              <a:srgbClr val="FFCC29"/>
            </a:gs>
            <a:gs pos="74000">
              <a:schemeClr val="bg1"/>
            </a:gs>
            <a:gs pos="39000">
              <a:srgbClr val="FFCC29"/>
            </a:gs>
            <a:gs pos="21000">
              <a:srgbClr val="FFCC29"/>
            </a:gs>
          </a:gsLst>
          <a:lin ang="5400000" scaled="1"/>
        </a:gradFill>
      </xdr:grpSpPr>
      <xdr:sp macro="" textlink="">
        <xdr:nvSpPr>
          <xdr:cNvPr id="21" name="Retângulo 20">
            <a:extLst>
              <a:ext uri="{FF2B5EF4-FFF2-40B4-BE49-F238E27FC236}">
                <a16:creationId xmlns:a16="http://schemas.microsoft.com/office/drawing/2014/main" id="{8C425D08-B686-4D8F-A07B-5FF50130FC22}"/>
              </a:ext>
            </a:extLst>
          </xdr:cNvPr>
          <xdr:cNvSpPr/>
        </xdr:nvSpPr>
        <xdr:spPr>
          <a:xfrm>
            <a:off x="5569357" y="6421"/>
            <a:ext cx="1200150" cy="571500"/>
          </a:xfrm>
          <a:prstGeom prst="rect">
            <a:avLst/>
          </a:prstGeom>
          <a:grp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2" name="CaixaDeTexto 21">
            <a:extLst>
              <a:ext uri="{FF2B5EF4-FFF2-40B4-BE49-F238E27FC236}">
                <a16:creationId xmlns:a16="http://schemas.microsoft.com/office/drawing/2014/main" id="{3F472D1E-E821-4707-B93C-7D8B51E53518}"/>
              </a:ext>
            </a:extLst>
          </xdr:cNvPr>
          <xdr:cNvSpPr txBox="1"/>
        </xdr:nvSpPr>
        <xdr:spPr>
          <a:xfrm>
            <a:off x="5819654" y="391702"/>
            <a:ext cx="731643" cy="191662"/>
          </a:xfrm>
          <a:prstGeom prst="rect">
            <a:avLst/>
          </a:prstGeom>
          <a:noFill/>
          <a:ln w="3175" cmpd="sng">
            <a:noFill/>
          </a:ln>
          <a:effectLst>
            <a:softEdge rad="12700"/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Calibri" panose="020F0502020204030204" pitchFamily="34" charset="0"/>
                <a:cs typeface="Calibri" panose="020F0502020204030204" pitchFamily="34" charset="0"/>
              </a:rPr>
              <a:t>EIXOS</a:t>
            </a:r>
            <a:r>
              <a:rPr lang="pt-BR" sz="800" b="1" baseline="0">
                <a:latin typeface="Calibri" panose="020F0502020204030204" pitchFamily="34" charset="0"/>
                <a:cs typeface="Calibri" panose="020F0502020204030204" pitchFamily="34" charset="0"/>
              </a:rPr>
              <a:t> WELL</a:t>
            </a:r>
            <a:endParaRPr lang="pt-BR" sz="800" b="1"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  <xdr:pic>
        <xdr:nvPicPr>
          <xdr:cNvPr id="23" name="Imagem 22">
            <a:extLst>
              <a:ext uri="{FF2B5EF4-FFF2-40B4-BE49-F238E27FC236}">
                <a16:creationId xmlns:a16="http://schemas.microsoft.com/office/drawing/2014/main" id="{F95CD1B8-E341-486B-8829-A07DFFCB35B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01700" y="69453"/>
            <a:ext cx="316719" cy="316719"/>
          </a:xfrm>
          <a:prstGeom prst="rect">
            <a:avLst/>
          </a:prstGeom>
          <a:grpFill/>
          <a:ln w="3175">
            <a:noFill/>
          </a:ln>
        </xdr:spPr>
      </xdr:pic>
    </xdr:grpSp>
    <xdr:clientData/>
  </xdr:twoCellAnchor>
  <xdr:oneCellAnchor>
    <xdr:from>
      <xdr:col>1</xdr:col>
      <xdr:colOff>673100</xdr:colOff>
      <xdr:row>4</xdr:row>
      <xdr:rowOff>120650</xdr:rowOff>
    </xdr:from>
    <xdr:ext cx="184731" cy="264560"/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CAD7B2FC-F527-4FCE-A71F-A59494B33466}"/>
            </a:ext>
          </a:extLst>
        </xdr:cNvPr>
        <xdr:cNvSpPr txBox="1"/>
      </xdr:nvSpPr>
      <xdr:spPr>
        <a:xfrm>
          <a:off x="1358900" y="134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0</xdr:col>
      <xdr:colOff>63501</xdr:colOff>
      <xdr:row>0</xdr:row>
      <xdr:rowOff>561975</xdr:rowOff>
    </xdr:from>
    <xdr:to>
      <xdr:col>1</xdr:col>
      <xdr:colOff>85725</xdr:colOff>
      <xdr:row>1</xdr:row>
      <xdr:rowOff>276225</xdr:rowOff>
    </xdr:to>
    <xdr:grpSp>
      <xdr:nvGrpSpPr>
        <xdr:cNvPr id="28" name="Agrupar 2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C926E4E-9E7F-4AFA-8929-70E8095CC82A}"/>
            </a:ext>
          </a:extLst>
        </xdr:cNvPr>
        <xdr:cNvGrpSpPr/>
      </xdr:nvGrpSpPr>
      <xdr:grpSpPr>
        <a:xfrm>
          <a:off x="63501" y="561975"/>
          <a:ext cx="706613" cy="285750"/>
          <a:chOff x="63501" y="561975"/>
          <a:chExt cx="708024" cy="285750"/>
        </a:xfrm>
      </xdr:grpSpPr>
      <xdr:pic>
        <xdr:nvPicPr>
          <xdr:cNvPr id="25" name="Imagem 24">
            <a:extLst>
              <a:ext uri="{FF2B5EF4-FFF2-40B4-BE49-F238E27FC236}">
                <a16:creationId xmlns:a16="http://schemas.microsoft.com/office/drawing/2014/main" id="{293495F8-B784-49A7-9171-3EBB6FB19E5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501" y="589777"/>
            <a:ext cx="247649" cy="247812"/>
          </a:xfrm>
          <a:prstGeom prst="rect">
            <a:avLst/>
          </a:prstGeom>
        </xdr:spPr>
      </xdr:pic>
      <xdr:sp macro="" textlink="">
        <xdr:nvSpPr>
          <xdr:cNvPr id="27" name="CaixaDeTexto 26">
            <a:extLst>
              <a:ext uri="{FF2B5EF4-FFF2-40B4-BE49-F238E27FC236}">
                <a16:creationId xmlns:a16="http://schemas.microsoft.com/office/drawing/2014/main" id="{E0DDBC36-6E0F-42DE-8DDD-9630CAD2B6F1}"/>
              </a:ext>
            </a:extLst>
          </xdr:cNvPr>
          <xdr:cNvSpPr txBox="1"/>
        </xdr:nvSpPr>
        <xdr:spPr>
          <a:xfrm>
            <a:off x="196850" y="561975"/>
            <a:ext cx="57467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500">
                <a:latin typeface="Arial Black" panose="020B0A04020102020204" pitchFamily="34" charset="0"/>
              </a:rPr>
              <a:t>VOLTAR</a:t>
            </a:r>
            <a:r>
              <a:rPr lang="pt-BR" sz="500" baseline="0">
                <a:latin typeface="Arial Black" panose="020B0A04020102020204" pitchFamily="34" charset="0"/>
              </a:rPr>
              <a:t> EIXOS</a:t>
            </a:r>
            <a:endParaRPr lang="pt-BR" sz="500">
              <a:latin typeface="Arial Black" panose="020B0A04020102020204" pitchFamily="34" charset="0"/>
            </a:endParaRPr>
          </a:p>
        </xdr:txBody>
      </xdr:sp>
    </xdr:grpSp>
    <xdr:clientData/>
  </xdr:twoCellAnchor>
  <xdr:twoCellAnchor>
    <xdr:from>
      <xdr:col>3</xdr:col>
      <xdr:colOff>323850</xdr:colOff>
      <xdr:row>2</xdr:row>
      <xdr:rowOff>152400</xdr:rowOff>
    </xdr:from>
    <xdr:to>
      <xdr:col>15</xdr:col>
      <xdr:colOff>533400</xdr:colOff>
      <xdr:row>8</xdr:row>
      <xdr:rowOff>0</xdr:rowOff>
    </xdr:to>
    <xdr:sp macro="" textlink="'Dados Tabela Din'!B202">
      <xdr:nvSpPr>
        <xdr:cNvPr id="30" name="Retângulo: Cantos Arredondados 29">
          <a:extLst>
            <a:ext uri="{FF2B5EF4-FFF2-40B4-BE49-F238E27FC236}">
              <a16:creationId xmlns:a16="http://schemas.microsoft.com/office/drawing/2014/main" id="{DA6CBA35-D361-48F2-A35B-1C653C52CD37}"/>
            </a:ext>
          </a:extLst>
        </xdr:cNvPr>
        <xdr:cNvSpPr/>
      </xdr:nvSpPr>
      <xdr:spPr>
        <a:xfrm>
          <a:off x="2381250" y="1019175"/>
          <a:ext cx="8439150" cy="933450"/>
        </a:xfrm>
        <a:prstGeom prst="round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5D9D898-D35D-4438-A779-B51E86213F1B}" type="TxLink">
            <a:rPr lang="en-US" sz="2800" b="1" i="0" u="none" strike="noStrike">
              <a:solidFill>
                <a:sysClr val="windowText" lastClr="000000"/>
              </a:solidFill>
              <a:latin typeface="Aptos Narrow"/>
            </a:rPr>
            <a:pPr algn="ctr"/>
            <a:t>Desenvolvimento Econômico e Geração de Empregos</a:t>
          </a:fld>
          <a:endParaRPr lang="pt-BR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95250</xdr:colOff>
      <xdr:row>15</xdr:row>
      <xdr:rowOff>114299</xdr:rowOff>
    </xdr:from>
    <xdr:to>
      <xdr:col>4</xdr:col>
      <xdr:colOff>561975</xdr:colOff>
      <xdr:row>20</xdr:row>
      <xdr:rowOff>158750</xdr:rowOff>
    </xdr:to>
    <xdr:sp macro="" textlink="'Dados Tabela Din'!C202">
      <xdr:nvSpPr>
        <xdr:cNvPr id="31" name="Retângulo: Cantos Arredondados 30">
          <a:extLst>
            <a:ext uri="{FF2B5EF4-FFF2-40B4-BE49-F238E27FC236}">
              <a16:creationId xmlns:a16="http://schemas.microsoft.com/office/drawing/2014/main" id="{03CFFB78-AB54-4203-B287-8D459ACA31AE}"/>
            </a:ext>
          </a:extLst>
        </xdr:cNvPr>
        <xdr:cNvSpPr/>
      </xdr:nvSpPr>
      <xdr:spPr>
        <a:xfrm>
          <a:off x="1466850" y="3295649"/>
          <a:ext cx="1838325" cy="933451"/>
        </a:xfrm>
        <a:prstGeom prst="roundRect">
          <a:avLst/>
        </a:prstGeom>
        <a:solidFill>
          <a:schemeClr val="bg1"/>
        </a:solidFill>
        <a:effectLst>
          <a:glow rad="63500">
            <a:schemeClr val="accent1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EADFC572-E199-40F2-92B1-11C3E78FDDDA}" type="TxLink">
            <a:rPr lang="en-US" sz="1100" b="1" i="0" u="none" strike="noStrike">
              <a:solidFill>
                <a:srgbClr val="000000"/>
              </a:solidFill>
              <a:latin typeface="Aptos Narrow"/>
            </a:rPr>
            <a:pPr algn="ctr"/>
            <a:t>Aumento da arrecadação, dinamismo econômico, redução da desigualdade e fixação de talentos locais.</a:t>
          </a:fld>
          <a:endParaRPr lang="pt-BR" sz="1100" b="1"/>
        </a:p>
      </xdr:txBody>
    </xdr:sp>
    <xdr:clientData/>
  </xdr:twoCellAnchor>
  <xdr:twoCellAnchor>
    <xdr:from>
      <xdr:col>5</xdr:col>
      <xdr:colOff>301625</xdr:colOff>
      <xdr:row>17</xdr:row>
      <xdr:rowOff>139700</xdr:rowOff>
    </xdr:from>
    <xdr:to>
      <xdr:col>5</xdr:col>
      <xdr:colOff>619125</xdr:colOff>
      <xdr:row>18</xdr:row>
      <xdr:rowOff>158750</xdr:rowOff>
    </xdr:to>
    <xdr:sp macro="" textlink="">
      <xdr:nvSpPr>
        <xdr:cNvPr id="32" name="Seta: para a Direita 31">
          <a:extLst>
            <a:ext uri="{FF2B5EF4-FFF2-40B4-BE49-F238E27FC236}">
              <a16:creationId xmlns:a16="http://schemas.microsoft.com/office/drawing/2014/main" id="{E06F8FEE-60D2-4C6E-A31F-8848213463A9}"/>
            </a:ext>
          </a:extLst>
        </xdr:cNvPr>
        <xdr:cNvSpPr/>
      </xdr:nvSpPr>
      <xdr:spPr>
        <a:xfrm>
          <a:off x="3730625" y="3721100"/>
          <a:ext cx="317500" cy="200025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304799</xdr:colOff>
      <xdr:row>15</xdr:row>
      <xdr:rowOff>104774</xdr:rowOff>
    </xdr:from>
    <xdr:to>
      <xdr:col>11</xdr:col>
      <xdr:colOff>276224</xdr:colOff>
      <xdr:row>20</xdr:row>
      <xdr:rowOff>149225</xdr:rowOff>
    </xdr:to>
    <xdr:sp macro="" textlink="'Dados Tabela Din'!H202">
      <xdr:nvSpPr>
        <xdr:cNvPr id="33" name="Retângulo: Cantos Arredondados 32">
          <a:extLst>
            <a:ext uri="{FF2B5EF4-FFF2-40B4-BE49-F238E27FC236}">
              <a16:creationId xmlns:a16="http://schemas.microsoft.com/office/drawing/2014/main" id="{1739FF7B-2FD9-45F1-B254-15A4E785247E}"/>
            </a:ext>
          </a:extLst>
        </xdr:cNvPr>
        <xdr:cNvSpPr/>
      </xdr:nvSpPr>
      <xdr:spPr>
        <a:xfrm>
          <a:off x="4419599" y="3324224"/>
          <a:ext cx="3400425" cy="949326"/>
        </a:xfrm>
        <a:prstGeom prst="roundRect">
          <a:avLst/>
        </a:prstGeom>
        <a:solidFill>
          <a:schemeClr val="bg1"/>
        </a:solidFill>
        <a:effectLst>
          <a:glow rad="63500">
            <a:schemeClr val="accent1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96C71B49-1FF6-4C29-B6B6-B7C748145345}" type="TxLink"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pPr algn="ctr"/>
            <a:t>Um município só pode se desenvolver se sua base econômica for forte e inclusiva, gerando riqueza, autonomia para os cidadãos e recursos para investir em outras áreas.</a:t>
          </a:fld>
          <a:endParaRPr lang="pt-BR" sz="1100" b="1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270933</xdr:colOff>
      <xdr:row>6</xdr:row>
      <xdr:rowOff>135082</xdr:rowOff>
    </xdr:from>
    <xdr:to>
      <xdr:col>1</xdr:col>
      <xdr:colOff>467945</xdr:colOff>
      <xdr:row>10</xdr:row>
      <xdr:rowOff>141948</xdr:rowOff>
    </xdr:to>
    <xdr:pic>
      <xdr:nvPicPr>
        <xdr:cNvPr id="34" name="ods.1">
          <a:extLst>
            <a:ext uri="{FF2B5EF4-FFF2-40B4-BE49-F238E27FC236}">
              <a16:creationId xmlns:a16="http://schemas.microsoft.com/office/drawing/2014/main" id="{6D26D257-252B-40E1-823D-CE4FCC10A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933" y="1708471"/>
          <a:ext cx="881401" cy="712421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7</xdr:row>
      <xdr:rowOff>28575</xdr:rowOff>
    </xdr:from>
    <xdr:to>
      <xdr:col>18</xdr:col>
      <xdr:colOff>0</xdr:colOff>
      <xdr:row>11</xdr:row>
      <xdr:rowOff>40079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F770903A-0578-4610-BE0D-381B9B2E7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20675" y="1800225"/>
          <a:ext cx="0" cy="735404"/>
        </a:xfrm>
        <a:prstGeom prst="rect">
          <a:avLst/>
        </a:prstGeom>
      </xdr:spPr>
    </xdr:pic>
    <xdr:clientData/>
  </xdr:twoCellAnchor>
  <xdr:twoCellAnchor>
    <xdr:from>
      <xdr:col>1</xdr:col>
      <xdr:colOff>606072</xdr:colOff>
      <xdr:row>6</xdr:row>
      <xdr:rowOff>132998</xdr:rowOff>
    </xdr:from>
    <xdr:to>
      <xdr:col>3</xdr:col>
      <xdr:colOff>87296</xdr:colOff>
      <xdr:row>10</xdr:row>
      <xdr:rowOff>143091</xdr:rowOff>
    </xdr:to>
    <xdr:pic>
      <xdr:nvPicPr>
        <xdr:cNvPr id="36" name="Imagem 35">
          <a:extLst>
            <a:ext uri="{FF2B5EF4-FFF2-40B4-BE49-F238E27FC236}">
              <a16:creationId xmlns:a16="http://schemas.microsoft.com/office/drawing/2014/main" id="{154154B3-4783-4134-9898-74BAB6B88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0461" y="1706387"/>
          <a:ext cx="850002" cy="715648"/>
        </a:xfrm>
        <a:prstGeom prst="rect">
          <a:avLst/>
        </a:prstGeom>
      </xdr:spPr>
    </xdr:pic>
    <xdr:clientData/>
  </xdr:twoCellAnchor>
  <xdr:twoCellAnchor>
    <xdr:from>
      <xdr:col>12</xdr:col>
      <xdr:colOff>15875</xdr:colOff>
      <xdr:row>17</xdr:row>
      <xdr:rowOff>142875</xdr:rowOff>
    </xdr:from>
    <xdr:to>
      <xdr:col>12</xdr:col>
      <xdr:colOff>330200</xdr:colOff>
      <xdr:row>18</xdr:row>
      <xdr:rowOff>161925</xdr:rowOff>
    </xdr:to>
    <xdr:sp macro="" textlink="">
      <xdr:nvSpPr>
        <xdr:cNvPr id="37" name="Seta: para a Direita 36">
          <a:extLst>
            <a:ext uri="{FF2B5EF4-FFF2-40B4-BE49-F238E27FC236}">
              <a16:creationId xmlns:a16="http://schemas.microsoft.com/office/drawing/2014/main" id="{6FC0222A-1E16-459B-8011-E88459D81300}"/>
            </a:ext>
          </a:extLst>
        </xdr:cNvPr>
        <xdr:cNvSpPr/>
      </xdr:nvSpPr>
      <xdr:spPr>
        <a:xfrm>
          <a:off x="8245475" y="3724275"/>
          <a:ext cx="314325" cy="200025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38099</xdr:colOff>
      <xdr:row>14</xdr:row>
      <xdr:rowOff>152398</xdr:rowOff>
    </xdr:from>
    <xdr:to>
      <xdr:col>15</xdr:col>
      <xdr:colOff>654050</xdr:colOff>
      <xdr:row>21</xdr:row>
      <xdr:rowOff>133349</xdr:rowOff>
    </xdr:to>
    <xdr:sp macro="" textlink="">
      <xdr:nvSpPr>
        <xdr:cNvPr id="38" name="Retângulo: Cantos Arredondados 37">
          <a:extLst>
            <a:ext uri="{FF2B5EF4-FFF2-40B4-BE49-F238E27FC236}">
              <a16:creationId xmlns:a16="http://schemas.microsoft.com/office/drawing/2014/main" id="{1CF0AE24-83F9-4FAB-90BD-0A79D078340B}"/>
            </a:ext>
          </a:extLst>
        </xdr:cNvPr>
        <xdr:cNvSpPr/>
      </xdr:nvSpPr>
      <xdr:spPr>
        <a:xfrm>
          <a:off x="8953499" y="3155948"/>
          <a:ext cx="1987551" cy="1225551"/>
        </a:xfrm>
        <a:prstGeom prst="roundRect">
          <a:avLst/>
        </a:prstGeom>
        <a:solidFill>
          <a:srgbClr val="FFCC29"/>
        </a:solidFill>
        <a:effectLst>
          <a:glow rad="63500">
            <a:schemeClr val="accent1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 u="none" strike="noStrike" baseline="0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Ações estratégicas através do MÉTODO WELL, com base nos dados do Município para trazer soluções específicas.</a:t>
          </a:r>
        </a:p>
      </xdr:txBody>
    </xdr:sp>
    <xdr:clientData/>
  </xdr:twoCellAnchor>
  <xdr:twoCellAnchor>
    <xdr:from>
      <xdr:col>6</xdr:col>
      <xdr:colOff>215900</xdr:colOff>
      <xdr:row>28</xdr:row>
      <xdr:rowOff>88899</xdr:rowOff>
    </xdr:from>
    <xdr:to>
      <xdr:col>11</xdr:col>
      <xdr:colOff>82550</xdr:colOff>
      <xdr:row>33</xdr:row>
      <xdr:rowOff>133350</xdr:rowOff>
    </xdr:to>
    <xdr:sp macro="" textlink="'Dados Tabela Din'!J202">
      <xdr:nvSpPr>
        <xdr:cNvPr id="39" name="Retângulo: Cantos Arredondados 38">
          <a:extLst>
            <a:ext uri="{FF2B5EF4-FFF2-40B4-BE49-F238E27FC236}">
              <a16:creationId xmlns:a16="http://schemas.microsoft.com/office/drawing/2014/main" id="{B8836BD9-C26E-4087-82EF-B55CE07C701F}"/>
            </a:ext>
          </a:extLst>
        </xdr:cNvPr>
        <xdr:cNvSpPr/>
      </xdr:nvSpPr>
      <xdr:spPr>
        <a:xfrm>
          <a:off x="4330700" y="5581649"/>
          <a:ext cx="3295650" cy="933451"/>
        </a:xfrm>
        <a:prstGeom prst="roundRect">
          <a:avLst/>
        </a:prstGeom>
        <a:solidFill>
          <a:schemeClr val="bg1"/>
        </a:solidFill>
        <a:effectLst>
          <a:glow rad="63500">
            <a:schemeClr val="accent1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9CD9AA1-1BC0-41EC-A312-F5182B03A56F}" type="TxLink"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pPr algn="ctr"/>
            <a:t>Atração de linhas do BNDES para financiar grandes projetos de infraestrutura que melhoram a produtividade da cidade.</a:t>
          </a:fld>
          <a:endParaRPr lang="en-US" sz="11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12</xdr:col>
      <xdr:colOff>471830</xdr:colOff>
      <xdr:row>26</xdr:row>
      <xdr:rowOff>12205</xdr:rowOff>
    </xdr:from>
    <xdr:to>
      <xdr:col>14</xdr:col>
      <xdr:colOff>72230</xdr:colOff>
      <xdr:row>27</xdr:row>
      <xdr:rowOff>50742</xdr:rowOff>
    </xdr:to>
    <xdr:sp macro="" textlink="">
      <xdr:nvSpPr>
        <xdr:cNvPr id="40" name="Seta: para a Direita 39">
          <a:extLst>
            <a:ext uri="{FF2B5EF4-FFF2-40B4-BE49-F238E27FC236}">
              <a16:creationId xmlns:a16="http://schemas.microsoft.com/office/drawing/2014/main" id="{16E4CDFE-5CDF-4E9E-98F6-353B11C734F5}"/>
            </a:ext>
          </a:extLst>
        </xdr:cNvPr>
        <xdr:cNvSpPr/>
      </xdr:nvSpPr>
      <xdr:spPr>
        <a:xfrm rot="8741477">
          <a:off x="8701430" y="5149355"/>
          <a:ext cx="972000" cy="216337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372959</xdr:colOff>
      <xdr:row>24</xdr:row>
      <xdr:rowOff>89218</xdr:rowOff>
    </xdr:from>
    <xdr:to>
      <xdr:col>4</xdr:col>
      <xdr:colOff>589296</xdr:colOff>
      <xdr:row>29</xdr:row>
      <xdr:rowOff>172218</xdr:rowOff>
    </xdr:to>
    <xdr:sp macro="" textlink="">
      <xdr:nvSpPr>
        <xdr:cNvPr id="41" name="Seta: para a Direita 40">
          <a:extLst>
            <a:ext uri="{FF2B5EF4-FFF2-40B4-BE49-F238E27FC236}">
              <a16:creationId xmlns:a16="http://schemas.microsoft.com/office/drawing/2014/main" id="{5C80B729-6674-4FF1-AE2A-421FFE7B1901}"/>
            </a:ext>
          </a:extLst>
        </xdr:cNvPr>
        <xdr:cNvSpPr/>
      </xdr:nvSpPr>
      <xdr:spPr>
        <a:xfrm rot="13690160">
          <a:off x="2738328" y="5248599"/>
          <a:ext cx="972000" cy="216337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485775</xdr:colOff>
      <xdr:row>0</xdr:row>
      <xdr:rowOff>565150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C792AC-9243-4C91-ADFA-D4B710BDE2AD}"/>
            </a:ext>
          </a:extLst>
        </xdr:cNvPr>
        <xdr:cNvGrpSpPr/>
      </xdr:nvGrpSpPr>
      <xdr:grpSpPr>
        <a:xfrm>
          <a:off x="0" y="0"/>
          <a:ext cx="1854553" cy="565150"/>
          <a:chOff x="3552825" y="2171700"/>
          <a:chExt cx="1895475" cy="561975"/>
        </a:xfrm>
      </xdr:grpSpPr>
      <xdr:sp macro="" textlink="">
        <xdr:nvSpPr>
          <xdr:cNvPr id="3" name="Retângulo 2">
            <a:extLst>
              <a:ext uri="{FF2B5EF4-FFF2-40B4-BE49-F238E27FC236}">
                <a16:creationId xmlns:a16="http://schemas.microsoft.com/office/drawing/2014/main" id="{6D2262B8-9408-43DC-91D8-0F0C58307B28}"/>
              </a:ext>
            </a:extLst>
          </xdr:cNvPr>
          <xdr:cNvSpPr/>
        </xdr:nvSpPr>
        <xdr:spPr>
          <a:xfrm>
            <a:off x="3552825" y="2171700"/>
            <a:ext cx="1895475" cy="561975"/>
          </a:xfrm>
          <a:prstGeom prst="rect">
            <a:avLst/>
          </a:prstGeom>
          <a:gradFill>
            <a:gsLst>
              <a:gs pos="0">
                <a:schemeClr val="bg1"/>
              </a:gs>
              <a:gs pos="89000">
                <a:srgbClr val="FFCC29">
                  <a:alpha val="50000"/>
                </a:srgbClr>
              </a:gs>
              <a:gs pos="100000">
                <a:srgbClr val="FFCC29">
                  <a:alpha val="50000"/>
                </a:srgbClr>
              </a:gs>
            </a:gsLst>
            <a:lin ang="27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1E35BEE2-B222-4F37-9B5D-759BD1C76CE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-1261" t="29165" r="1261" b="28126"/>
          <a:stretch/>
        </xdr:blipFill>
        <xdr:spPr>
          <a:xfrm>
            <a:off x="3686175" y="2187575"/>
            <a:ext cx="1492250" cy="527050"/>
          </a:xfrm>
          <a:prstGeom prst="rect">
            <a:avLst/>
          </a:prstGeom>
        </xdr:spPr>
      </xdr:pic>
    </xdr:grpSp>
    <xdr:clientData/>
  </xdr:twoCellAnchor>
  <xdr:twoCellAnchor editAs="oneCell">
    <xdr:from>
      <xdr:col>13</xdr:col>
      <xdr:colOff>257176</xdr:colOff>
      <xdr:row>0</xdr:row>
      <xdr:rowOff>0</xdr:rowOff>
    </xdr:from>
    <xdr:to>
      <xdr:col>17</xdr:col>
      <xdr:colOff>342739</xdr:colOff>
      <xdr:row>1</xdr:row>
      <xdr:rowOff>63501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0C4DB9C-B043-4D77-BA73-F06B888299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08" t="30769" r="-2208" b="27473"/>
        <a:stretch/>
      </xdr:blipFill>
      <xdr:spPr>
        <a:xfrm>
          <a:off x="9172576" y="0"/>
          <a:ext cx="3501863" cy="63500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0</xdr:row>
      <xdr:rowOff>454</xdr:rowOff>
    </xdr:from>
    <xdr:to>
      <xdr:col>4</xdr:col>
      <xdr:colOff>30389</xdr:colOff>
      <xdr:row>0</xdr:row>
      <xdr:rowOff>568779</xdr:rowOff>
    </xdr:to>
    <xdr:grpSp>
      <xdr:nvGrpSpPr>
        <xdr:cNvPr id="6" name="Agrupar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CDB00D-ECA2-46A6-94CB-9DABD346CC60}"/>
            </a:ext>
          </a:extLst>
        </xdr:cNvPr>
        <xdr:cNvGrpSpPr/>
      </xdr:nvGrpSpPr>
      <xdr:grpSpPr>
        <a:xfrm>
          <a:off x="2053167" y="454"/>
          <a:ext cx="714778" cy="568325"/>
          <a:chOff x="1990594" y="-9022"/>
          <a:chExt cx="615017" cy="581025"/>
        </a:xfrm>
        <a:solidFill>
          <a:srgbClr val="FFCC29"/>
        </a:solidFill>
      </xdr:grpSpPr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68B57B3A-6931-4DFA-8A53-FED338614F58}"/>
              </a:ext>
            </a:extLst>
          </xdr:cNvPr>
          <xdr:cNvSpPr/>
        </xdr:nvSpPr>
        <xdr:spPr>
          <a:xfrm>
            <a:off x="1990594" y="-9022"/>
            <a:ext cx="615017" cy="5810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8" name="Imagem 7">
            <a:extLst>
              <a:ext uri="{FF2B5EF4-FFF2-40B4-BE49-F238E27FC236}">
                <a16:creationId xmlns:a16="http://schemas.microsoft.com/office/drawing/2014/main" id="{03BC4FE2-B7B6-4657-8E74-B2F3E5AEA6E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BEBA8EAE-BF5A-486C-A8C5-ECC9F3942E4B}">
                <a14:imgProps xmlns:a14="http://schemas.microsoft.com/office/drawing/2010/main">
                  <a14:imgLayer r:embed="rId5">
                    <a14:imgEffect>
                      <a14:backgroundRemoval t="10000" b="90000" l="10000" r="90000">
                        <a14:foregroundMark x1="52252" y1="78333" x2="52252" y2="78333"/>
                        <a14:foregroundMark x1="62162" y1="68889" x2="62162" y2="68889"/>
                        <a14:foregroundMark x1="65165" y1="57222" x2="65165" y2="57222"/>
                        <a14:foregroundMark x1="65165" y1="40556" x2="65165" y2="40556"/>
                        <a14:foregroundMark x1="62763" y1="27222" x2="62763" y2="27222"/>
                        <a14:foregroundMark x1="46847" y1="22222" x2="46847" y2="22222"/>
                        <a14:foregroundMark x1="40841" y1="26667" x2="40841" y2="26667"/>
                        <a14:foregroundMark x1="47147" y1="76111" x2="47147" y2="76111"/>
                        <a14:foregroundMark x1="46847" y1="73889" x2="45646" y2="7277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l="28569" t="6871" r="29129" b="14812"/>
          <a:stretch/>
        </xdr:blipFill>
        <xdr:spPr>
          <a:xfrm>
            <a:off x="2168525" y="66674"/>
            <a:ext cx="281358" cy="276223"/>
          </a:xfrm>
          <a:prstGeom prst="rect">
            <a:avLst/>
          </a:prstGeom>
          <a:grpFill/>
        </xdr:spPr>
      </xdr:pic>
      <xdr:sp macro="" textlink="">
        <xdr:nvSpPr>
          <xdr:cNvPr id="9" name="CaixaDeTexto 8">
            <a:extLst>
              <a:ext uri="{FF2B5EF4-FFF2-40B4-BE49-F238E27FC236}">
                <a16:creationId xmlns:a16="http://schemas.microsoft.com/office/drawing/2014/main" id="{15FC8739-C478-4A60-9414-F8C6438E345C}"/>
              </a:ext>
            </a:extLst>
          </xdr:cNvPr>
          <xdr:cNvSpPr txBox="1"/>
        </xdr:nvSpPr>
        <xdr:spPr>
          <a:xfrm>
            <a:off x="2009774" y="342900"/>
            <a:ext cx="587376" cy="2095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700" b="1">
                <a:latin typeface="Calibri" panose="020F0502020204030204" pitchFamily="34" charset="0"/>
                <a:cs typeface="Calibri" panose="020F0502020204030204" pitchFamily="34" charset="0"/>
              </a:rPr>
              <a:t>IDS</a:t>
            </a:r>
            <a:r>
              <a:rPr lang="pt-BR" sz="700" b="1" baseline="0">
                <a:latin typeface="Calibri" panose="020F0502020204030204" pitchFamily="34" charset="0"/>
                <a:cs typeface="Calibri" panose="020F0502020204030204" pitchFamily="34" charset="0"/>
              </a:rPr>
              <a:t> e ODS</a:t>
            </a:r>
            <a:endParaRPr lang="pt-BR" sz="700" b="1"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</xdr:grpSp>
    <xdr:clientData/>
  </xdr:twoCellAnchor>
  <xdr:twoCellAnchor>
    <xdr:from>
      <xdr:col>5</xdr:col>
      <xdr:colOff>138567</xdr:colOff>
      <xdr:row>0</xdr:row>
      <xdr:rowOff>0</xdr:rowOff>
    </xdr:from>
    <xdr:to>
      <xdr:col>6</xdr:col>
      <xdr:colOff>154542</xdr:colOff>
      <xdr:row>1</xdr:row>
      <xdr:rowOff>0</xdr:rowOff>
    </xdr:to>
    <xdr:grpSp>
      <xdr:nvGrpSpPr>
        <xdr:cNvPr id="10" name="Agrupar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EE095B2-F68B-4C13-81BF-4204037FCFBF}"/>
            </a:ext>
          </a:extLst>
        </xdr:cNvPr>
        <xdr:cNvGrpSpPr/>
      </xdr:nvGrpSpPr>
      <xdr:grpSpPr>
        <a:xfrm>
          <a:off x="3560511" y="0"/>
          <a:ext cx="700364" cy="571500"/>
          <a:chOff x="3551239" y="0"/>
          <a:chExt cx="703135" cy="571500"/>
        </a:xfrm>
        <a:solidFill>
          <a:srgbClr val="FFCC29"/>
        </a:solidFill>
      </xdr:grpSpPr>
      <xdr:grpSp>
        <xdr:nvGrpSpPr>
          <xdr:cNvPr id="11" name="Agrupar 10">
            <a:extLst>
              <a:ext uri="{FF2B5EF4-FFF2-40B4-BE49-F238E27FC236}">
                <a16:creationId xmlns:a16="http://schemas.microsoft.com/office/drawing/2014/main" id="{5285921F-5E6D-4277-B4A0-05FD72AE6899}"/>
              </a:ext>
            </a:extLst>
          </xdr:cNvPr>
          <xdr:cNvGrpSpPr/>
        </xdr:nvGrpSpPr>
        <xdr:grpSpPr>
          <a:xfrm>
            <a:off x="3551239" y="0"/>
            <a:ext cx="703135" cy="571500"/>
            <a:chOff x="2015062" y="0"/>
            <a:chExt cx="615017" cy="581025"/>
          </a:xfrm>
          <a:grpFill/>
        </xdr:grpSpPr>
        <xdr:sp macro="" textlink="">
          <xdr:nvSpPr>
            <xdr:cNvPr id="13" name="Retângulo 12">
              <a:extLst>
                <a:ext uri="{FF2B5EF4-FFF2-40B4-BE49-F238E27FC236}">
                  <a16:creationId xmlns:a16="http://schemas.microsoft.com/office/drawing/2014/main" id="{3AE0B9AA-A527-49E5-AA44-85A178B68FCB}"/>
                </a:ext>
              </a:extLst>
            </xdr:cNvPr>
            <xdr:cNvSpPr/>
          </xdr:nvSpPr>
          <xdr:spPr>
            <a:xfrm>
              <a:off x="2015062" y="0"/>
              <a:ext cx="615017" cy="581025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DDF92001-CA5B-4009-898D-ADB6418B965A}"/>
                </a:ext>
              </a:extLst>
            </xdr:cNvPr>
            <xdr:cNvSpPr txBox="1"/>
          </xdr:nvSpPr>
          <xdr:spPr>
            <a:xfrm>
              <a:off x="2024779" y="387351"/>
              <a:ext cx="599855" cy="145255"/>
            </a:xfrm>
            <a:prstGeom prst="rect">
              <a:avLst/>
            </a:prstGeom>
            <a:grpFill/>
            <a:ln w="9525" cmpd="sng">
              <a:noFill/>
            </a:ln>
            <a:effectLst>
              <a:softEdge rad="12700"/>
            </a:effec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600" b="1">
                  <a:latin typeface="Calibri" panose="020F0502020204030204" pitchFamily="34" charset="0"/>
                  <a:cs typeface="Calibri" panose="020F0502020204030204" pitchFamily="34" charset="0"/>
                </a:rPr>
                <a:t>COMPARATIVO</a:t>
              </a:r>
              <a:endParaRPr lang="pt-BR" sz="700" b="1">
                <a:latin typeface="Calibri" panose="020F0502020204030204" pitchFamily="34" charset="0"/>
                <a:cs typeface="Calibri" panose="020F0502020204030204" pitchFamily="34" charset="0"/>
              </a:endParaRPr>
            </a:p>
          </xdr:txBody>
        </xdr:sp>
      </xdr:grpSp>
      <xdr:pic>
        <xdr:nvPicPr>
          <xdr:cNvPr id="12" name="Imagem 11">
            <a:extLst>
              <a:ext uri="{FF2B5EF4-FFF2-40B4-BE49-F238E27FC236}">
                <a16:creationId xmlns:a16="http://schemas.microsoft.com/office/drawing/2014/main" id="{A1C6A5C4-AE44-49ED-AABF-67CD012DEB7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52850" y="47625"/>
            <a:ext cx="314325" cy="314325"/>
          </a:xfrm>
          <a:prstGeom prst="rect">
            <a:avLst/>
          </a:prstGeom>
          <a:grpFill/>
        </xdr:spPr>
      </xdr:pic>
    </xdr:grpSp>
    <xdr:clientData/>
  </xdr:twoCellAnchor>
  <xdr:twoCellAnchor>
    <xdr:from>
      <xdr:col>4</xdr:col>
      <xdr:colOff>70085</xdr:colOff>
      <xdr:row>0</xdr:row>
      <xdr:rowOff>0</xdr:rowOff>
    </xdr:from>
    <xdr:to>
      <xdr:col>5</xdr:col>
      <xdr:colOff>98879</xdr:colOff>
      <xdr:row>1</xdr:row>
      <xdr:rowOff>0</xdr:rowOff>
    </xdr:to>
    <xdr:grpSp>
      <xdr:nvGrpSpPr>
        <xdr:cNvPr id="15" name="Agrupar 1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CDFC252-C7E9-4822-A435-6BE477184D73}"/>
            </a:ext>
          </a:extLst>
        </xdr:cNvPr>
        <xdr:cNvGrpSpPr/>
      </xdr:nvGrpSpPr>
      <xdr:grpSpPr>
        <a:xfrm>
          <a:off x="2807641" y="0"/>
          <a:ext cx="713182" cy="571500"/>
          <a:chOff x="2808296" y="0"/>
          <a:chExt cx="703255" cy="571500"/>
        </a:xfrm>
        <a:solidFill>
          <a:srgbClr val="FFCC29"/>
        </a:solidFill>
      </xdr:grpSpPr>
      <xdr:grpSp>
        <xdr:nvGrpSpPr>
          <xdr:cNvPr id="16" name="Agrupar 15">
            <a:extLst>
              <a:ext uri="{FF2B5EF4-FFF2-40B4-BE49-F238E27FC236}">
                <a16:creationId xmlns:a16="http://schemas.microsoft.com/office/drawing/2014/main" id="{989506DC-A928-4534-9361-DAD17F8EBF08}"/>
              </a:ext>
            </a:extLst>
          </xdr:cNvPr>
          <xdr:cNvGrpSpPr/>
        </xdr:nvGrpSpPr>
        <xdr:grpSpPr>
          <a:xfrm>
            <a:off x="2808296" y="0"/>
            <a:ext cx="703255" cy="571500"/>
            <a:chOff x="2015062" y="0"/>
            <a:chExt cx="615017" cy="581025"/>
          </a:xfrm>
          <a:grpFill/>
        </xdr:grpSpPr>
        <xdr:sp macro="" textlink="">
          <xdr:nvSpPr>
            <xdr:cNvPr id="18" name="Retângulo 17">
              <a:extLst>
                <a:ext uri="{FF2B5EF4-FFF2-40B4-BE49-F238E27FC236}">
                  <a16:creationId xmlns:a16="http://schemas.microsoft.com/office/drawing/2014/main" id="{6CAB2342-D911-49C6-BB6F-DB7E73E863D3}"/>
                </a:ext>
              </a:extLst>
            </xdr:cNvPr>
            <xdr:cNvSpPr/>
          </xdr:nvSpPr>
          <xdr:spPr>
            <a:xfrm>
              <a:off x="2015062" y="0"/>
              <a:ext cx="615017" cy="581025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D45DE5F9-40A7-43D1-9AD6-6F3CD8EED66D}"/>
                </a:ext>
              </a:extLst>
            </xdr:cNvPr>
            <xdr:cNvSpPr txBox="1"/>
          </xdr:nvSpPr>
          <xdr:spPr>
            <a:xfrm>
              <a:off x="2021497" y="363951"/>
              <a:ext cx="587376" cy="209550"/>
            </a:xfrm>
            <a:prstGeom prst="rect">
              <a:avLst/>
            </a:prstGeom>
            <a:grpFill/>
            <a:ln w="9525" cmpd="sng">
              <a:noFill/>
            </a:ln>
            <a:effectLst>
              <a:softEdge rad="12700"/>
            </a:effec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600" b="1">
                  <a:latin typeface="Calibri" panose="020F0502020204030204" pitchFamily="34" charset="0"/>
                  <a:cs typeface="Calibri" panose="020F0502020204030204" pitchFamily="34" charset="0"/>
                </a:rPr>
                <a:t>DASHBOARD</a:t>
              </a:r>
              <a:endParaRPr lang="pt-BR" sz="700" b="1">
                <a:latin typeface="Calibri" panose="020F0502020204030204" pitchFamily="34" charset="0"/>
                <a:cs typeface="Calibri" panose="020F0502020204030204" pitchFamily="34" charset="0"/>
              </a:endParaRPr>
            </a:p>
          </xdr:txBody>
        </xdr:sp>
      </xdr:grpSp>
      <xdr:pic>
        <xdr:nvPicPr>
          <xdr:cNvPr id="17" name="Imagem 16">
            <a:extLst>
              <a:ext uri="{FF2B5EF4-FFF2-40B4-BE49-F238E27FC236}">
                <a16:creationId xmlns:a16="http://schemas.microsoft.com/office/drawing/2014/main" id="{CF03E836-54E3-4C1B-BFD3-9DC070BFAD1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sharpenSoften amount="-100000"/>
                    </a14:imgEffect>
                    <a14:imgEffect>
                      <a14:brightnessContrast bright="-100000" contrast="12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88450" y="54750"/>
            <a:ext cx="360000" cy="360000"/>
          </a:xfrm>
          <a:prstGeom prst="rect">
            <a:avLst/>
          </a:prstGeom>
          <a:grpFill/>
        </xdr:spPr>
      </xdr:pic>
    </xdr:grp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501650</xdr:colOff>
      <xdr:row>0</xdr:row>
      <xdr:rowOff>570533</xdr:rowOff>
    </xdr:to>
    <xdr:grpSp>
      <xdr:nvGrpSpPr>
        <xdr:cNvPr id="20" name="Agrupar 1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0F128E8-22C5-434A-90F6-1F8656F6F1A6}"/>
            </a:ext>
          </a:extLst>
        </xdr:cNvPr>
        <xdr:cNvGrpSpPr/>
      </xdr:nvGrpSpPr>
      <xdr:grpSpPr>
        <a:xfrm>
          <a:off x="5475111" y="0"/>
          <a:ext cx="1186039" cy="570533"/>
          <a:chOff x="5569357" y="6421"/>
          <a:chExt cx="1200150" cy="576943"/>
        </a:xfrm>
        <a:gradFill>
          <a:gsLst>
            <a:gs pos="0">
              <a:srgbClr val="FFCC29"/>
            </a:gs>
            <a:gs pos="74000">
              <a:schemeClr val="bg1"/>
            </a:gs>
            <a:gs pos="39000">
              <a:srgbClr val="FFCC29"/>
            </a:gs>
            <a:gs pos="21000">
              <a:srgbClr val="FFCC29"/>
            </a:gs>
          </a:gsLst>
          <a:lin ang="5400000" scaled="1"/>
        </a:gradFill>
      </xdr:grpSpPr>
      <xdr:sp macro="" textlink="">
        <xdr:nvSpPr>
          <xdr:cNvPr id="21" name="Retângulo 20">
            <a:extLst>
              <a:ext uri="{FF2B5EF4-FFF2-40B4-BE49-F238E27FC236}">
                <a16:creationId xmlns:a16="http://schemas.microsoft.com/office/drawing/2014/main" id="{F2600427-EE37-4EE6-8900-E17C2778487C}"/>
              </a:ext>
            </a:extLst>
          </xdr:cNvPr>
          <xdr:cNvSpPr/>
        </xdr:nvSpPr>
        <xdr:spPr>
          <a:xfrm>
            <a:off x="5569357" y="6421"/>
            <a:ext cx="1200150" cy="571500"/>
          </a:xfrm>
          <a:prstGeom prst="rect">
            <a:avLst/>
          </a:prstGeom>
          <a:grp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2" name="CaixaDeTexto 21">
            <a:extLst>
              <a:ext uri="{FF2B5EF4-FFF2-40B4-BE49-F238E27FC236}">
                <a16:creationId xmlns:a16="http://schemas.microsoft.com/office/drawing/2014/main" id="{599D7A4A-7901-4B7C-A8ED-C3ED739872F1}"/>
              </a:ext>
            </a:extLst>
          </xdr:cNvPr>
          <xdr:cNvSpPr txBox="1"/>
        </xdr:nvSpPr>
        <xdr:spPr>
          <a:xfrm>
            <a:off x="5819654" y="391702"/>
            <a:ext cx="731643" cy="191662"/>
          </a:xfrm>
          <a:prstGeom prst="rect">
            <a:avLst/>
          </a:prstGeom>
          <a:noFill/>
          <a:ln w="3175" cmpd="sng">
            <a:noFill/>
          </a:ln>
          <a:effectLst>
            <a:softEdge rad="12700"/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Calibri" panose="020F0502020204030204" pitchFamily="34" charset="0"/>
                <a:cs typeface="Calibri" panose="020F0502020204030204" pitchFamily="34" charset="0"/>
              </a:rPr>
              <a:t>EIXOS</a:t>
            </a:r>
            <a:r>
              <a:rPr lang="pt-BR" sz="800" b="1" baseline="0">
                <a:latin typeface="Calibri" panose="020F0502020204030204" pitchFamily="34" charset="0"/>
                <a:cs typeface="Calibri" panose="020F0502020204030204" pitchFamily="34" charset="0"/>
              </a:rPr>
              <a:t> WELL</a:t>
            </a:r>
            <a:endParaRPr lang="pt-BR" sz="800" b="1"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  <xdr:pic>
        <xdr:nvPicPr>
          <xdr:cNvPr id="23" name="Imagem 22">
            <a:extLst>
              <a:ext uri="{FF2B5EF4-FFF2-40B4-BE49-F238E27FC236}">
                <a16:creationId xmlns:a16="http://schemas.microsoft.com/office/drawing/2014/main" id="{2769D91F-F5DF-47B1-ACFD-784E63AC84E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01700" y="69453"/>
            <a:ext cx="316719" cy="316719"/>
          </a:xfrm>
          <a:prstGeom prst="rect">
            <a:avLst/>
          </a:prstGeom>
          <a:grpFill/>
          <a:ln w="3175">
            <a:noFill/>
          </a:ln>
        </xdr:spPr>
      </xdr:pic>
    </xdr:grpSp>
    <xdr:clientData/>
  </xdr:twoCellAnchor>
  <xdr:oneCellAnchor>
    <xdr:from>
      <xdr:col>1</xdr:col>
      <xdr:colOff>673100</xdr:colOff>
      <xdr:row>4</xdr:row>
      <xdr:rowOff>120650</xdr:rowOff>
    </xdr:from>
    <xdr:ext cx="184731" cy="264560"/>
    <xdr:sp macro="" textlink="">
      <xdr:nvSpPr>
        <xdr:cNvPr id="24" name="CaixaDeTexto 23">
          <a:extLst>
            <a:ext uri="{FF2B5EF4-FFF2-40B4-BE49-F238E27FC236}">
              <a16:creationId xmlns:a16="http://schemas.microsoft.com/office/drawing/2014/main" id="{BA5E57EE-1835-4E6D-9ED8-8C6B6D896A2C}"/>
            </a:ext>
          </a:extLst>
        </xdr:cNvPr>
        <xdr:cNvSpPr txBox="1"/>
      </xdr:nvSpPr>
      <xdr:spPr>
        <a:xfrm>
          <a:off x="1358900" y="134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0</xdr:col>
      <xdr:colOff>63501</xdr:colOff>
      <xdr:row>0</xdr:row>
      <xdr:rowOff>561975</xdr:rowOff>
    </xdr:from>
    <xdr:to>
      <xdr:col>1</xdr:col>
      <xdr:colOff>85725</xdr:colOff>
      <xdr:row>1</xdr:row>
      <xdr:rowOff>276225</xdr:rowOff>
    </xdr:to>
    <xdr:grpSp>
      <xdr:nvGrpSpPr>
        <xdr:cNvPr id="25" name="Agrupar 2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217CDDA-09F4-4095-A6F0-9661436DAE67}"/>
            </a:ext>
          </a:extLst>
        </xdr:cNvPr>
        <xdr:cNvGrpSpPr/>
      </xdr:nvGrpSpPr>
      <xdr:grpSpPr>
        <a:xfrm>
          <a:off x="63501" y="561975"/>
          <a:ext cx="706613" cy="285750"/>
          <a:chOff x="63501" y="561975"/>
          <a:chExt cx="708024" cy="285750"/>
        </a:xfrm>
      </xdr:grpSpPr>
      <xdr:pic>
        <xdr:nvPicPr>
          <xdr:cNvPr id="26" name="Imagem 25">
            <a:extLst>
              <a:ext uri="{FF2B5EF4-FFF2-40B4-BE49-F238E27FC236}">
                <a16:creationId xmlns:a16="http://schemas.microsoft.com/office/drawing/2014/main" id="{C4D322D5-949D-49D6-B1EC-9982A7169A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501" y="589777"/>
            <a:ext cx="247649" cy="247812"/>
          </a:xfrm>
          <a:prstGeom prst="rect">
            <a:avLst/>
          </a:prstGeom>
        </xdr:spPr>
      </xdr:pic>
      <xdr:sp macro="" textlink="">
        <xdr:nvSpPr>
          <xdr:cNvPr id="27" name="CaixaDeTexto 26">
            <a:extLst>
              <a:ext uri="{FF2B5EF4-FFF2-40B4-BE49-F238E27FC236}">
                <a16:creationId xmlns:a16="http://schemas.microsoft.com/office/drawing/2014/main" id="{603FFDD0-8103-4EA6-BE2D-EFD253972CA7}"/>
              </a:ext>
            </a:extLst>
          </xdr:cNvPr>
          <xdr:cNvSpPr txBox="1"/>
        </xdr:nvSpPr>
        <xdr:spPr>
          <a:xfrm>
            <a:off x="196850" y="561975"/>
            <a:ext cx="57467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500">
                <a:latin typeface="Arial Black" panose="020B0A04020102020204" pitchFamily="34" charset="0"/>
              </a:rPr>
              <a:t>VOLTAR</a:t>
            </a:r>
            <a:r>
              <a:rPr lang="pt-BR" sz="500" baseline="0">
                <a:latin typeface="Arial Black" panose="020B0A04020102020204" pitchFamily="34" charset="0"/>
              </a:rPr>
              <a:t> EIXOS</a:t>
            </a:r>
            <a:endParaRPr lang="pt-BR" sz="500">
              <a:latin typeface="Arial Black" panose="020B0A04020102020204" pitchFamily="34" charset="0"/>
            </a:endParaRPr>
          </a:p>
        </xdr:txBody>
      </xdr:sp>
    </xdr:grpSp>
    <xdr:clientData/>
  </xdr:twoCellAnchor>
  <xdr:twoCellAnchor>
    <xdr:from>
      <xdr:col>3</xdr:col>
      <xdr:colOff>323850</xdr:colOff>
      <xdr:row>2</xdr:row>
      <xdr:rowOff>152400</xdr:rowOff>
    </xdr:from>
    <xdr:to>
      <xdr:col>15</xdr:col>
      <xdr:colOff>533400</xdr:colOff>
      <xdr:row>8</xdr:row>
      <xdr:rowOff>0</xdr:rowOff>
    </xdr:to>
    <xdr:sp macro="" textlink="'Dados Tabela Din'!B203">
      <xdr:nvSpPr>
        <xdr:cNvPr id="28" name="Retângulo: Cantos Arredondados 27">
          <a:extLst>
            <a:ext uri="{FF2B5EF4-FFF2-40B4-BE49-F238E27FC236}">
              <a16:creationId xmlns:a16="http://schemas.microsoft.com/office/drawing/2014/main" id="{7D6D9703-EB29-4EB1-958C-F50FD244992E}"/>
            </a:ext>
          </a:extLst>
        </xdr:cNvPr>
        <xdr:cNvSpPr/>
      </xdr:nvSpPr>
      <xdr:spPr>
        <a:xfrm>
          <a:off x="2381250" y="1022350"/>
          <a:ext cx="8439150" cy="914400"/>
        </a:xfrm>
        <a:prstGeom prst="round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DA88FC35-9D70-4AB3-951E-B76DB9C5DB96}" type="TxLink">
            <a:rPr lang="en-US" sz="2800" b="1" i="0" u="none" strike="noStrike">
              <a:solidFill>
                <a:srgbClr val="000000"/>
              </a:solidFill>
              <a:latin typeface="Aptos Narrow"/>
            </a:rPr>
            <a:pPr algn="ctr"/>
            <a:t>Infraestrutura e Mobilidade</a:t>
          </a:fld>
          <a:endParaRPr lang="pt-BR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95250</xdr:colOff>
      <xdr:row>14</xdr:row>
      <xdr:rowOff>28222</xdr:rowOff>
    </xdr:from>
    <xdr:to>
      <xdr:col>5</xdr:col>
      <xdr:colOff>49389</xdr:colOff>
      <xdr:row>20</xdr:row>
      <xdr:rowOff>158750</xdr:rowOff>
    </xdr:to>
    <xdr:sp macro="" textlink="'Dados Tabela Din'!C203">
      <xdr:nvSpPr>
        <xdr:cNvPr id="29" name="Retângulo: Cantos Arredondados 28">
          <a:extLst>
            <a:ext uri="{FF2B5EF4-FFF2-40B4-BE49-F238E27FC236}">
              <a16:creationId xmlns:a16="http://schemas.microsoft.com/office/drawing/2014/main" id="{3371ECA3-D9B9-4276-9057-5AFD296C9E36}"/>
            </a:ext>
          </a:extLst>
        </xdr:cNvPr>
        <xdr:cNvSpPr/>
      </xdr:nvSpPr>
      <xdr:spPr>
        <a:xfrm>
          <a:off x="1464028" y="3012722"/>
          <a:ext cx="2007305" cy="1188861"/>
        </a:xfrm>
        <a:prstGeom prst="roundRect">
          <a:avLst/>
        </a:prstGeom>
        <a:solidFill>
          <a:schemeClr val="bg1"/>
        </a:solidFill>
        <a:effectLst>
          <a:glow rad="63500">
            <a:schemeClr val="accent1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46EC9739-F9ED-4019-B003-A828323CDC7E}" type="TxLink">
            <a:rPr lang="en-US" sz="1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pPr algn="ctr"/>
            <a:t>Melhora na qualidade de vida, atração de investimentos, valorização imobiliária, melhora na saúde pública (com saneamento) e inclusão digital.</a:t>
          </a:fld>
          <a:endParaRPr lang="pt-BR" sz="1000" b="1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5</xdr:col>
      <xdr:colOff>301625</xdr:colOff>
      <xdr:row>17</xdr:row>
      <xdr:rowOff>139700</xdr:rowOff>
    </xdr:from>
    <xdr:to>
      <xdr:col>5</xdr:col>
      <xdr:colOff>619125</xdr:colOff>
      <xdr:row>18</xdr:row>
      <xdr:rowOff>158750</xdr:rowOff>
    </xdr:to>
    <xdr:sp macro="" textlink="">
      <xdr:nvSpPr>
        <xdr:cNvPr id="30" name="Seta: para a Direita 29">
          <a:extLst>
            <a:ext uri="{FF2B5EF4-FFF2-40B4-BE49-F238E27FC236}">
              <a16:creationId xmlns:a16="http://schemas.microsoft.com/office/drawing/2014/main" id="{98673D6A-9CDF-4AB6-854F-19DBF9D93074}"/>
            </a:ext>
          </a:extLst>
        </xdr:cNvPr>
        <xdr:cNvSpPr/>
      </xdr:nvSpPr>
      <xdr:spPr>
        <a:xfrm>
          <a:off x="3730625" y="3676650"/>
          <a:ext cx="317500" cy="19685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304799</xdr:colOff>
      <xdr:row>15</xdr:row>
      <xdr:rowOff>104774</xdr:rowOff>
    </xdr:from>
    <xdr:to>
      <xdr:col>11</xdr:col>
      <xdr:colOff>276224</xdr:colOff>
      <xdr:row>20</xdr:row>
      <xdr:rowOff>149225</xdr:rowOff>
    </xdr:to>
    <xdr:sp macro="" textlink="'Dados Tabela Din'!H203">
      <xdr:nvSpPr>
        <xdr:cNvPr id="31" name="Retângulo: Cantos Arredondados 30">
          <a:extLst>
            <a:ext uri="{FF2B5EF4-FFF2-40B4-BE49-F238E27FC236}">
              <a16:creationId xmlns:a16="http://schemas.microsoft.com/office/drawing/2014/main" id="{A95DF4DB-E57E-4BA9-9527-F42A667C9074}"/>
            </a:ext>
          </a:extLst>
        </xdr:cNvPr>
        <xdr:cNvSpPr/>
      </xdr:nvSpPr>
      <xdr:spPr>
        <a:xfrm>
          <a:off x="4419599" y="3286124"/>
          <a:ext cx="3400425" cy="933451"/>
        </a:xfrm>
        <a:prstGeom prst="roundRect">
          <a:avLst/>
        </a:prstGeom>
        <a:solidFill>
          <a:schemeClr val="bg1"/>
        </a:solidFill>
        <a:effectLst>
          <a:glow rad="63500">
            <a:schemeClr val="accent1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78230C75-EA6F-4F76-A99E-820AB81B3FE6}" type="TxLink">
            <a:rPr lang="en-US" sz="1100" b="1" i="0" u="none" strike="noStrike">
              <a:solidFill>
                <a:srgbClr val="000000"/>
              </a:solidFill>
              <a:latin typeface="Aptos Narrow"/>
              <a:cs typeface="Calibri" panose="020F0502020204030204" pitchFamily="34" charset="0"/>
            </a:rPr>
            <a:pPr algn="ctr"/>
            <a:t>A infraestrutura e a mobilidade são a espinha dorsal de um município funcional, garantindo as condições para a economia fluir, os serviços chegarem a todos e a população viver bem.</a:t>
          </a:fld>
          <a:endParaRPr lang="pt-BR" sz="1100" b="1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18</xdr:col>
      <xdr:colOff>0</xdr:colOff>
      <xdr:row>7</xdr:row>
      <xdr:rowOff>28575</xdr:rowOff>
    </xdr:from>
    <xdr:to>
      <xdr:col>18</xdr:col>
      <xdr:colOff>0</xdr:colOff>
      <xdr:row>11</xdr:row>
      <xdr:rowOff>40079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B74C9014-BAB0-4A40-81F0-C28EFDFFC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17500" y="1787525"/>
          <a:ext cx="0" cy="722704"/>
        </a:xfrm>
        <a:prstGeom prst="rect">
          <a:avLst/>
        </a:prstGeom>
      </xdr:spPr>
    </xdr:pic>
    <xdr:clientData/>
  </xdr:twoCellAnchor>
  <xdr:twoCellAnchor>
    <xdr:from>
      <xdr:col>12</xdr:col>
      <xdr:colOff>15875</xdr:colOff>
      <xdr:row>17</xdr:row>
      <xdr:rowOff>142875</xdr:rowOff>
    </xdr:from>
    <xdr:to>
      <xdr:col>12</xdr:col>
      <xdr:colOff>330200</xdr:colOff>
      <xdr:row>18</xdr:row>
      <xdr:rowOff>161925</xdr:rowOff>
    </xdr:to>
    <xdr:sp macro="" textlink="">
      <xdr:nvSpPr>
        <xdr:cNvPr id="35" name="Seta: para a Direita 34">
          <a:extLst>
            <a:ext uri="{FF2B5EF4-FFF2-40B4-BE49-F238E27FC236}">
              <a16:creationId xmlns:a16="http://schemas.microsoft.com/office/drawing/2014/main" id="{147154A6-07A3-441B-BE09-9FA47DB72611}"/>
            </a:ext>
          </a:extLst>
        </xdr:cNvPr>
        <xdr:cNvSpPr/>
      </xdr:nvSpPr>
      <xdr:spPr>
        <a:xfrm>
          <a:off x="8245475" y="3679825"/>
          <a:ext cx="314325" cy="19685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38099</xdr:colOff>
      <xdr:row>14</xdr:row>
      <xdr:rowOff>152398</xdr:rowOff>
    </xdr:from>
    <xdr:to>
      <xdr:col>15</xdr:col>
      <xdr:colOff>654050</xdr:colOff>
      <xdr:row>21</xdr:row>
      <xdr:rowOff>133349</xdr:rowOff>
    </xdr:to>
    <xdr:sp macro="" textlink="">
      <xdr:nvSpPr>
        <xdr:cNvPr id="36" name="Retângulo: Cantos Arredondados 35">
          <a:extLst>
            <a:ext uri="{FF2B5EF4-FFF2-40B4-BE49-F238E27FC236}">
              <a16:creationId xmlns:a16="http://schemas.microsoft.com/office/drawing/2014/main" id="{024D4CF2-6315-4DC7-B96D-FAF2EC203FB9}"/>
            </a:ext>
          </a:extLst>
        </xdr:cNvPr>
        <xdr:cNvSpPr/>
      </xdr:nvSpPr>
      <xdr:spPr>
        <a:xfrm>
          <a:off x="8953499" y="3155948"/>
          <a:ext cx="1987551" cy="1225551"/>
        </a:xfrm>
        <a:prstGeom prst="roundRect">
          <a:avLst/>
        </a:prstGeom>
        <a:solidFill>
          <a:srgbClr val="FFCC29"/>
        </a:solidFill>
        <a:effectLst>
          <a:glow rad="63500">
            <a:schemeClr val="accent1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 u="none" strike="noStrike" baseline="0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Ações estratégicas através do MÉTODO WELL, com base nos dados do Município para trazer soluções específicas.</a:t>
          </a:r>
        </a:p>
      </xdr:txBody>
    </xdr:sp>
    <xdr:clientData/>
  </xdr:twoCellAnchor>
  <xdr:twoCellAnchor>
    <xdr:from>
      <xdr:col>6</xdr:col>
      <xdr:colOff>215900</xdr:colOff>
      <xdr:row>28</xdr:row>
      <xdr:rowOff>88899</xdr:rowOff>
    </xdr:from>
    <xdr:to>
      <xdr:col>11</xdr:col>
      <xdr:colOff>82550</xdr:colOff>
      <xdr:row>33</xdr:row>
      <xdr:rowOff>133350</xdr:rowOff>
    </xdr:to>
    <xdr:sp macro="" textlink="'Dados Tabela Din'!J203">
      <xdr:nvSpPr>
        <xdr:cNvPr id="37" name="Retângulo: Cantos Arredondados 36">
          <a:extLst>
            <a:ext uri="{FF2B5EF4-FFF2-40B4-BE49-F238E27FC236}">
              <a16:creationId xmlns:a16="http://schemas.microsoft.com/office/drawing/2014/main" id="{A6336EAF-B26F-4429-BE4E-38179AFFBE05}"/>
            </a:ext>
          </a:extLst>
        </xdr:cNvPr>
        <xdr:cNvSpPr/>
      </xdr:nvSpPr>
      <xdr:spPr>
        <a:xfrm>
          <a:off x="4330700" y="5581649"/>
          <a:ext cx="3295650" cy="933451"/>
        </a:xfrm>
        <a:prstGeom prst="roundRect">
          <a:avLst/>
        </a:prstGeom>
        <a:solidFill>
          <a:schemeClr val="bg1"/>
        </a:solidFill>
        <a:effectLst>
          <a:glow rad="63500">
            <a:schemeClr val="accent1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BDC8AE72-004D-443B-B0F6-C5B94B49E8AC}" type="TxLink"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pPr algn="ctr"/>
            <a:t>Acesso a linhas de crédito do BNDES para modernização da infraestrutura urbana, como pavimentação de vias, e para a criação de polos tecnológicos e de inovação.</a:t>
          </a:fld>
          <a:endParaRPr lang="en-US" sz="11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12</xdr:col>
      <xdr:colOff>471830</xdr:colOff>
      <xdr:row>26</xdr:row>
      <xdr:rowOff>12205</xdr:rowOff>
    </xdr:from>
    <xdr:to>
      <xdr:col>14</xdr:col>
      <xdr:colOff>72230</xdr:colOff>
      <xdr:row>27</xdr:row>
      <xdr:rowOff>50742</xdr:rowOff>
    </xdr:to>
    <xdr:sp macro="" textlink="">
      <xdr:nvSpPr>
        <xdr:cNvPr id="38" name="Seta: para a Direita 37">
          <a:extLst>
            <a:ext uri="{FF2B5EF4-FFF2-40B4-BE49-F238E27FC236}">
              <a16:creationId xmlns:a16="http://schemas.microsoft.com/office/drawing/2014/main" id="{06724148-E2C3-413D-82BD-EF94561B4DCA}"/>
            </a:ext>
          </a:extLst>
        </xdr:cNvPr>
        <xdr:cNvSpPr/>
      </xdr:nvSpPr>
      <xdr:spPr>
        <a:xfrm rot="8741477">
          <a:off x="8701430" y="5149355"/>
          <a:ext cx="972000" cy="216337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372959</xdr:colOff>
      <xdr:row>24</xdr:row>
      <xdr:rowOff>89218</xdr:rowOff>
    </xdr:from>
    <xdr:to>
      <xdr:col>4</xdr:col>
      <xdr:colOff>589296</xdr:colOff>
      <xdr:row>29</xdr:row>
      <xdr:rowOff>172218</xdr:rowOff>
    </xdr:to>
    <xdr:sp macro="" textlink="">
      <xdr:nvSpPr>
        <xdr:cNvPr id="39" name="Seta: para a Direita 38">
          <a:extLst>
            <a:ext uri="{FF2B5EF4-FFF2-40B4-BE49-F238E27FC236}">
              <a16:creationId xmlns:a16="http://schemas.microsoft.com/office/drawing/2014/main" id="{30A30305-DAFD-41B2-A909-686E2AAB0E37}"/>
            </a:ext>
          </a:extLst>
        </xdr:cNvPr>
        <xdr:cNvSpPr/>
      </xdr:nvSpPr>
      <xdr:spPr>
        <a:xfrm rot="13690160">
          <a:off x="2738328" y="5248599"/>
          <a:ext cx="972000" cy="216337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317499</xdr:colOff>
      <xdr:row>6</xdr:row>
      <xdr:rowOff>73754</xdr:rowOff>
    </xdr:from>
    <xdr:to>
      <xdr:col>1</xdr:col>
      <xdr:colOff>605989</xdr:colOff>
      <xdr:row>10</xdr:row>
      <xdr:rowOff>116278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9CCCE4B4-CFA7-48CC-9026-49C37C661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499" y="1647143"/>
          <a:ext cx="972879" cy="748079"/>
        </a:xfrm>
        <a:prstGeom prst="rect">
          <a:avLst/>
        </a:prstGeom>
      </xdr:spPr>
    </xdr:pic>
    <xdr:clientData/>
  </xdr:twoCellAnchor>
  <xdr:twoCellAnchor>
    <xdr:from>
      <xdr:col>2</xdr:col>
      <xdr:colOff>114137</xdr:colOff>
      <xdr:row>6</xdr:row>
      <xdr:rowOff>70556</xdr:rowOff>
    </xdr:from>
    <xdr:to>
      <xdr:col>3</xdr:col>
      <xdr:colOff>359739</xdr:colOff>
      <xdr:row>10</xdr:row>
      <xdr:rowOff>109796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CD320D49-DA59-4BB2-919B-A36DF00D5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2915" y="1643945"/>
          <a:ext cx="929991" cy="74479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485775</xdr:colOff>
      <xdr:row>0</xdr:row>
      <xdr:rowOff>565150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473DA2-84BC-44B6-92FC-8A42AF990C24}"/>
            </a:ext>
          </a:extLst>
        </xdr:cNvPr>
        <xdr:cNvGrpSpPr/>
      </xdr:nvGrpSpPr>
      <xdr:grpSpPr>
        <a:xfrm>
          <a:off x="0" y="0"/>
          <a:ext cx="1854553" cy="565150"/>
          <a:chOff x="3552825" y="2171700"/>
          <a:chExt cx="1895475" cy="561975"/>
        </a:xfrm>
      </xdr:grpSpPr>
      <xdr:sp macro="" textlink="">
        <xdr:nvSpPr>
          <xdr:cNvPr id="3" name="Retângulo 2">
            <a:extLst>
              <a:ext uri="{FF2B5EF4-FFF2-40B4-BE49-F238E27FC236}">
                <a16:creationId xmlns:a16="http://schemas.microsoft.com/office/drawing/2014/main" id="{E06177DE-7B11-4EE2-ADDD-CEC9BE2A1884}"/>
              </a:ext>
            </a:extLst>
          </xdr:cNvPr>
          <xdr:cNvSpPr/>
        </xdr:nvSpPr>
        <xdr:spPr>
          <a:xfrm>
            <a:off x="3552825" y="2171700"/>
            <a:ext cx="1895475" cy="561975"/>
          </a:xfrm>
          <a:prstGeom prst="rect">
            <a:avLst/>
          </a:prstGeom>
          <a:gradFill>
            <a:gsLst>
              <a:gs pos="0">
                <a:schemeClr val="bg1"/>
              </a:gs>
              <a:gs pos="89000">
                <a:srgbClr val="FFCC29">
                  <a:alpha val="50000"/>
                </a:srgbClr>
              </a:gs>
              <a:gs pos="100000">
                <a:srgbClr val="FFCC29">
                  <a:alpha val="50000"/>
                </a:srgbClr>
              </a:gs>
            </a:gsLst>
            <a:lin ang="27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64FBA041-D81A-4481-BE61-1CC1C906515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-1261" t="29165" r="1261" b="28126"/>
          <a:stretch/>
        </xdr:blipFill>
        <xdr:spPr>
          <a:xfrm>
            <a:off x="3686175" y="2187575"/>
            <a:ext cx="1492250" cy="527050"/>
          </a:xfrm>
          <a:prstGeom prst="rect">
            <a:avLst/>
          </a:prstGeom>
        </xdr:spPr>
      </xdr:pic>
    </xdr:grpSp>
    <xdr:clientData/>
  </xdr:twoCellAnchor>
  <xdr:twoCellAnchor editAs="oneCell">
    <xdr:from>
      <xdr:col>13</xdr:col>
      <xdr:colOff>257176</xdr:colOff>
      <xdr:row>0</xdr:row>
      <xdr:rowOff>0</xdr:rowOff>
    </xdr:from>
    <xdr:to>
      <xdr:col>17</xdr:col>
      <xdr:colOff>342739</xdr:colOff>
      <xdr:row>1</xdr:row>
      <xdr:rowOff>63501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A8534CA5-AD4A-48D9-8107-4E71761686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08" t="30769" r="-2208" b="27473"/>
        <a:stretch/>
      </xdr:blipFill>
      <xdr:spPr>
        <a:xfrm>
          <a:off x="9172576" y="0"/>
          <a:ext cx="3501863" cy="63500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0</xdr:row>
      <xdr:rowOff>454</xdr:rowOff>
    </xdr:from>
    <xdr:to>
      <xdr:col>4</xdr:col>
      <xdr:colOff>30389</xdr:colOff>
      <xdr:row>0</xdr:row>
      <xdr:rowOff>568779</xdr:rowOff>
    </xdr:to>
    <xdr:grpSp>
      <xdr:nvGrpSpPr>
        <xdr:cNvPr id="6" name="Agrupar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1192CC-937E-44F6-A984-3FB4159BFA52}"/>
            </a:ext>
          </a:extLst>
        </xdr:cNvPr>
        <xdr:cNvGrpSpPr/>
      </xdr:nvGrpSpPr>
      <xdr:grpSpPr>
        <a:xfrm>
          <a:off x="2053167" y="454"/>
          <a:ext cx="714778" cy="568325"/>
          <a:chOff x="1990594" y="-9022"/>
          <a:chExt cx="615017" cy="581025"/>
        </a:xfrm>
        <a:solidFill>
          <a:srgbClr val="FFCC29"/>
        </a:solidFill>
      </xdr:grpSpPr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E53C28DC-65C7-4472-86D4-129B88C4EBC7}"/>
              </a:ext>
            </a:extLst>
          </xdr:cNvPr>
          <xdr:cNvSpPr/>
        </xdr:nvSpPr>
        <xdr:spPr>
          <a:xfrm>
            <a:off x="1990594" y="-9022"/>
            <a:ext cx="615017" cy="5810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8" name="Imagem 7">
            <a:extLst>
              <a:ext uri="{FF2B5EF4-FFF2-40B4-BE49-F238E27FC236}">
                <a16:creationId xmlns:a16="http://schemas.microsoft.com/office/drawing/2014/main" id="{6A38F6AF-950F-48BA-BA7D-77683CCC015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BEBA8EAE-BF5A-486C-A8C5-ECC9F3942E4B}">
                <a14:imgProps xmlns:a14="http://schemas.microsoft.com/office/drawing/2010/main">
                  <a14:imgLayer r:embed="rId5">
                    <a14:imgEffect>
                      <a14:backgroundRemoval t="10000" b="90000" l="10000" r="90000">
                        <a14:foregroundMark x1="52252" y1="78333" x2="52252" y2="78333"/>
                        <a14:foregroundMark x1="62162" y1="68889" x2="62162" y2="68889"/>
                        <a14:foregroundMark x1="65165" y1="57222" x2="65165" y2="57222"/>
                        <a14:foregroundMark x1="65165" y1="40556" x2="65165" y2="40556"/>
                        <a14:foregroundMark x1="62763" y1="27222" x2="62763" y2="27222"/>
                        <a14:foregroundMark x1="46847" y1="22222" x2="46847" y2="22222"/>
                        <a14:foregroundMark x1="40841" y1="26667" x2="40841" y2="26667"/>
                        <a14:foregroundMark x1="47147" y1="76111" x2="47147" y2="76111"/>
                        <a14:foregroundMark x1="46847" y1="73889" x2="45646" y2="7277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l="28569" t="6871" r="29129" b="14812"/>
          <a:stretch/>
        </xdr:blipFill>
        <xdr:spPr>
          <a:xfrm>
            <a:off x="2168525" y="66674"/>
            <a:ext cx="281358" cy="276223"/>
          </a:xfrm>
          <a:prstGeom prst="rect">
            <a:avLst/>
          </a:prstGeom>
          <a:grpFill/>
        </xdr:spPr>
      </xdr:pic>
      <xdr:sp macro="" textlink="">
        <xdr:nvSpPr>
          <xdr:cNvPr id="9" name="CaixaDeTexto 8">
            <a:extLst>
              <a:ext uri="{FF2B5EF4-FFF2-40B4-BE49-F238E27FC236}">
                <a16:creationId xmlns:a16="http://schemas.microsoft.com/office/drawing/2014/main" id="{73528723-D0A6-443E-BF64-B017B9645F24}"/>
              </a:ext>
            </a:extLst>
          </xdr:cNvPr>
          <xdr:cNvSpPr txBox="1"/>
        </xdr:nvSpPr>
        <xdr:spPr>
          <a:xfrm>
            <a:off x="2009774" y="342900"/>
            <a:ext cx="587376" cy="2095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700" b="1">
                <a:latin typeface="Calibri" panose="020F0502020204030204" pitchFamily="34" charset="0"/>
                <a:cs typeface="Calibri" panose="020F0502020204030204" pitchFamily="34" charset="0"/>
              </a:rPr>
              <a:t>IDS</a:t>
            </a:r>
            <a:r>
              <a:rPr lang="pt-BR" sz="700" b="1" baseline="0">
                <a:latin typeface="Calibri" panose="020F0502020204030204" pitchFamily="34" charset="0"/>
                <a:cs typeface="Calibri" panose="020F0502020204030204" pitchFamily="34" charset="0"/>
              </a:rPr>
              <a:t> e ODS</a:t>
            </a:r>
            <a:endParaRPr lang="pt-BR" sz="700" b="1"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</xdr:grpSp>
    <xdr:clientData/>
  </xdr:twoCellAnchor>
  <xdr:twoCellAnchor>
    <xdr:from>
      <xdr:col>5</xdr:col>
      <xdr:colOff>138567</xdr:colOff>
      <xdr:row>0</xdr:row>
      <xdr:rowOff>0</xdr:rowOff>
    </xdr:from>
    <xdr:to>
      <xdr:col>6</xdr:col>
      <xdr:colOff>154542</xdr:colOff>
      <xdr:row>1</xdr:row>
      <xdr:rowOff>0</xdr:rowOff>
    </xdr:to>
    <xdr:grpSp>
      <xdr:nvGrpSpPr>
        <xdr:cNvPr id="10" name="Agrupar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B01ECB2-94F7-4BB5-BA51-F246B120C4AD}"/>
            </a:ext>
          </a:extLst>
        </xdr:cNvPr>
        <xdr:cNvGrpSpPr/>
      </xdr:nvGrpSpPr>
      <xdr:grpSpPr>
        <a:xfrm>
          <a:off x="3560511" y="0"/>
          <a:ext cx="700364" cy="571500"/>
          <a:chOff x="3551239" y="0"/>
          <a:chExt cx="703135" cy="571500"/>
        </a:xfrm>
        <a:solidFill>
          <a:srgbClr val="FFCC29"/>
        </a:solidFill>
      </xdr:grpSpPr>
      <xdr:grpSp>
        <xdr:nvGrpSpPr>
          <xdr:cNvPr id="11" name="Agrupar 10">
            <a:extLst>
              <a:ext uri="{FF2B5EF4-FFF2-40B4-BE49-F238E27FC236}">
                <a16:creationId xmlns:a16="http://schemas.microsoft.com/office/drawing/2014/main" id="{E536D677-580A-4BB3-8BCF-F86400918325}"/>
              </a:ext>
            </a:extLst>
          </xdr:cNvPr>
          <xdr:cNvGrpSpPr/>
        </xdr:nvGrpSpPr>
        <xdr:grpSpPr>
          <a:xfrm>
            <a:off x="3551239" y="0"/>
            <a:ext cx="703135" cy="571500"/>
            <a:chOff x="2015062" y="0"/>
            <a:chExt cx="615017" cy="581025"/>
          </a:xfrm>
          <a:grpFill/>
        </xdr:grpSpPr>
        <xdr:sp macro="" textlink="">
          <xdr:nvSpPr>
            <xdr:cNvPr id="13" name="Retângulo 12">
              <a:extLst>
                <a:ext uri="{FF2B5EF4-FFF2-40B4-BE49-F238E27FC236}">
                  <a16:creationId xmlns:a16="http://schemas.microsoft.com/office/drawing/2014/main" id="{4FC0BE4F-C38F-418E-87C0-A967B94B0C9D}"/>
                </a:ext>
              </a:extLst>
            </xdr:cNvPr>
            <xdr:cNvSpPr/>
          </xdr:nvSpPr>
          <xdr:spPr>
            <a:xfrm>
              <a:off x="2015062" y="0"/>
              <a:ext cx="615017" cy="581025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7FE1F597-8B39-4736-BC30-23ACE61B63A5}"/>
                </a:ext>
              </a:extLst>
            </xdr:cNvPr>
            <xdr:cNvSpPr txBox="1"/>
          </xdr:nvSpPr>
          <xdr:spPr>
            <a:xfrm>
              <a:off x="2024779" y="387351"/>
              <a:ext cx="599855" cy="145255"/>
            </a:xfrm>
            <a:prstGeom prst="rect">
              <a:avLst/>
            </a:prstGeom>
            <a:grpFill/>
            <a:ln w="9525" cmpd="sng">
              <a:noFill/>
            </a:ln>
            <a:effectLst>
              <a:softEdge rad="12700"/>
            </a:effec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600" b="1">
                  <a:latin typeface="Calibri" panose="020F0502020204030204" pitchFamily="34" charset="0"/>
                  <a:cs typeface="Calibri" panose="020F0502020204030204" pitchFamily="34" charset="0"/>
                </a:rPr>
                <a:t>COMPARATIVO</a:t>
              </a:r>
              <a:endParaRPr lang="pt-BR" sz="700" b="1">
                <a:latin typeface="Calibri" panose="020F0502020204030204" pitchFamily="34" charset="0"/>
                <a:cs typeface="Calibri" panose="020F0502020204030204" pitchFamily="34" charset="0"/>
              </a:endParaRPr>
            </a:p>
          </xdr:txBody>
        </xdr:sp>
      </xdr:grpSp>
      <xdr:pic>
        <xdr:nvPicPr>
          <xdr:cNvPr id="12" name="Imagem 11">
            <a:extLst>
              <a:ext uri="{FF2B5EF4-FFF2-40B4-BE49-F238E27FC236}">
                <a16:creationId xmlns:a16="http://schemas.microsoft.com/office/drawing/2014/main" id="{69922D04-F5B6-4B40-B8DE-9F7EEC28E9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52850" y="47625"/>
            <a:ext cx="314325" cy="314325"/>
          </a:xfrm>
          <a:prstGeom prst="rect">
            <a:avLst/>
          </a:prstGeom>
          <a:grpFill/>
        </xdr:spPr>
      </xdr:pic>
    </xdr:grpSp>
    <xdr:clientData/>
  </xdr:twoCellAnchor>
  <xdr:twoCellAnchor>
    <xdr:from>
      <xdr:col>4</xdr:col>
      <xdr:colOff>70085</xdr:colOff>
      <xdr:row>0</xdr:row>
      <xdr:rowOff>0</xdr:rowOff>
    </xdr:from>
    <xdr:to>
      <xdr:col>5</xdr:col>
      <xdr:colOff>98879</xdr:colOff>
      <xdr:row>1</xdr:row>
      <xdr:rowOff>0</xdr:rowOff>
    </xdr:to>
    <xdr:grpSp>
      <xdr:nvGrpSpPr>
        <xdr:cNvPr id="15" name="Agrupar 1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0A2AC9D-9932-455E-9E22-77B3C23357E8}"/>
            </a:ext>
          </a:extLst>
        </xdr:cNvPr>
        <xdr:cNvGrpSpPr/>
      </xdr:nvGrpSpPr>
      <xdr:grpSpPr>
        <a:xfrm>
          <a:off x="2807641" y="0"/>
          <a:ext cx="713182" cy="571500"/>
          <a:chOff x="2808296" y="0"/>
          <a:chExt cx="703255" cy="571500"/>
        </a:xfrm>
        <a:solidFill>
          <a:srgbClr val="FFCC29"/>
        </a:solidFill>
      </xdr:grpSpPr>
      <xdr:grpSp>
        <xdr:nvGrpSpPr>
          <xdr:cNvPr id="16" name="Agrupar 15">
            <a:extLst>
              <a:ext uri="{FF2B5EF4-FFF2-40B4-BE49-F238E27FC236}">
                <a16:creationId xmlns:a16="http://schemas.microsoft.com/office/drawing/2014/main" id="{DA4C0195-E56C-42A6-891E-6B0CDD6E7A69}"/>
              </a:ext>
            </a:extLst>
          </xdr:cNvPr>
          <xdr:cNvGrpSpPr/>
        </xdr:nvGrpSpPr>
        <xdr:grpSpPr>
          <a:xfrm>
            <a:off x="2808296" y="0"/>
            <a:ext cx="703255" cy="571500"/>
            <a:chOff x="2015062" y="0"/>
            <a:chExt cx="615017" cy="581025"/>
          </a:xfrm>
          <a:grpFill/>
        </xdr:grpSpPr>
        <xdr:sp macro="" textlink="">
          <xdr:nvSpPr>
            <xdr:cNvPr id="18" name="Retângulo 17">
              <a:extLst>
                <a:ext uri="{FF2B5EF4-FFF2-40B4-BE49-F238E27FC236}">
                  <a16:creationId xmlns:a16="http://schemas.microsoft.com/office/drawing/2014/main" id="{F7F39B9F-71B3-40AD-969D-2AEF68C76AA6}"/>
                </a:ext>
              </a:extLst>
            </xdr:cNvPr>
            <xdr:cNvSpPr/>
          </xdr:nvSpPr>
          <xdr:spPr>
            <a:xfrm>
              <a:off x="2015062" y="0"/>
              <a:ext cx="615017" cy="581025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DC6875FD-5242-4FAF-8B79-599C5928FF3A}"/>
                </a:ext>
              </a:extLst>
            </xdr:cNvPr>
            <xdr:cNvSpPr txBox="1"/>
          </xdr:nvSpPr>
          <xdr:spPr>
            <a:xfrm>
              <a:off x="2021497" y="363951"/>
              <a:ext cx="587376" cy="209550"/>
            </a:xfrm>
            <a:prstGeom prst="rect">
              <a:avLst/>
            </a:prstGeom>
            <a:grpFill/>
            <a:ln w="9525" cmpd="sng">
              <a:noFill/>
            </a:ln>
            <a:effectLst>
              <a:softEdge rad="12700"/>
            </a:effec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600" b="1">
                  <a:latin typeface="Calibri" panose="020F0502020204030204" pitchFamily="34" charset="0"/>
                  <a:cs typeface="Calibri" panose="020F0502020204030204" pitchFamily="34" charset="0"/>
                </a:rPr>
                <a:t>DASHBOARD</a:t>
              </a:r>
              <a:endParaRPr lang="pt-BR" sz="700" b="1">
                <a:latin typeface="Calibri" panose="020F0502020204030204" pitchFamily="34" charset="0"/>
                <a:cs typeface="Calibri" panose="020F0502020204030204" pitchFamily="34" charset="0"/>
              </a:endParaRPr>
            </a:p>
          </xdr:txBody>
        </xdr:sp>
      </xdr:grpSp>
      <xdr:pic>
        <xdr:nvPicPr>
          <xdr:cNvPr id="17" name="Imagem 16">
            <a:extLst>
              <a:ext uri="{FF2B5EF4-FFF2-40B4-BE49-F238E27FC236}">
                <a16:creationId xmlns:a16="http://schemas.microsoft.com/office/drawing/2014/main" id="{20DD22FF-2587-43B7-93FD-14DBE31CFAE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sharpenSoften amount="-100000"/>
                    </a14:imgEffect>
                    <a14:imgEffect>
                      <a14:brightnessContrast bright="-100000" contrast="12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88450" y="54750"/>
            <a:ext cx="360000" cy="360000"/>
          </a:xfrm>
          <a:prstGeom prst="rect">
            <a:avLst/>
          </a:prstGeom>
          <a:grpFill/>
        </xdr:spPr>
      </xdr:pic>
    </xdr:grp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501650</xdr:colOff>
      <xdr:row>0</xdr:row>
      <xdr:rowOff>570533</xdr:rowOff>
    </xdr:to>
    <xdr:grpSp>
      <xdr:nvGrpSpPr>
        <xdr:cNvPr id="20" name="Agrupar 1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CA7343D-5166-4BE7-999D-EB175BF1141B}"/>
            </a:ext>
          </a:extLst>
        </xdr:cNvPr>
        <xdr:cNvGrpSpPr/>
      </xdr:nvGrpSpPr>
      <xdr:grpSpPr>
        <a:xfrm>
          <a:off x="5475111" y="0"/>
          <a:ext cx="1186039" cy="570533"/>
          <a:chOff x="5569357" y="6421"/>
          <a:chExt cx="1200150" cy="576943"/>
        </a:xfrm>
        <a:gradFill>
          <a:gsLst>
            <a:gs pos="0">
              <a:srgbClr val="FFCC29"/>
            </a:gs>
            <a:gs pos="74000">
              <a:schemeClr val="bg1"/>
            </a:gs>
            <a:gs pos="39000">
              <a:srgbClr val="FFCC29"/>
            </a:gs>
            <a:gs pos="21000">
              <a:srgbClr val="FFCC29"/>
            </a:gs>
          </a:gsLst>
          <a:lin ang="5400000" scaled="1"/>
        </a:gradFill>
      </xdr:grpSpPr>
      <xdr:sp macro="" textlink="">
        <xdr:nvSpPr>
          <xdr:cNvPr id="21" name="Retângulo 20">
            <a:extLst>
              <a:ext uri="{FF2B5EF4-FFF2-40B4-BE49-F238E27FC236}">
                <a16:creationId xmlns:a16="http://schemas.microsoft.com/office/drawing/2014/main" id="{30ADF543-D8ED-4EBA-9571-D48734EEF5F3}"/>
              </a:ext>
            </a:extLst>
          </xdr:cNvPr>
          <xdr:cNvSpPr/>
        </xdr:nvSpPr>
        <xdr:spPr>
          <a:xfrm>
            <a:off x="5569357" y="6421"/>
            <a:ext cx="1200150" cy="571500"/>
          </a:xfrm>
          <a:prstGeom prst="rect">
            <a:avLst/>
          </a:prstGeom>
          <a:grp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2" name="CaixaDeTexto 21">
            <a:extLst>
              <a:ext uri="{FF2B5EF4-FFF2-40B4-BE49-F238E27FC236}">
                <a16:creationId xmlns:a16="http://schemas.microsoft.com/office/drawing/2014/main" id="{70CB049B-41DC-42B7-9CBE-DF66805987B7}"/>
              </a:ext>
            </a:extLst>
          </xdr:cNvPr>
          <xdr:cNvSpPr txBox="1"/>
        </xdr:nvSpPr>
        <xdr:spPr>
          <a:xfrm>
            <a:off x="5819654" y="391702"/>
            <a:ext cx="731643" cy="191662"/>
          </a:xfrm>
          <a:prstGeom prst="rect">
            <a:avLst/>
          </a:prstGeom>
          <a:noFill/>
          <a:ln w="3175" cmpd="sng">
            <a:noFill/>
          </a:ln>
          <a:effectLst>
            <a:softEdge rad="12700"/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Calibri" panose="020F0502020204030204" pitchFamily="34" charset="0"/>
                <a:cs typeface="Calibri" panose="020F0502020204030204" pitchFamily="34" charset="0"/>
              </a:rPr>
              <a:t>EIXOS</a:t>
            </a:r>
            <a:r>
              <a:rPr lang="pt-BR" sz="800" b="1" baseline="0">
                <a:latin typeface="Calibri" panose="020F0502020204030204" pitchFamily="34" charset="0"/>
                <a:cs typeface="Calibri" panose="020F0502020204030204" pitchFamily="34" charset="0"/>
              </a:rPr>
              <a:t> WELL</a:t>
            </a:r>
            <a:endParaRPr lang="pt-BR" sz="800" b="1"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  <xdr:pic>
        <xdr:nvPicPr>
          <xdr:cNvPr id="23" name="Imagem 22">
            <a:extLst>
              <a:ext uri="{FF2B5EF4-FFF2-40B4-BE49-F238E27FC236}">
                <a16:creationId xmlns:a16="http://schemas.microsoft.com/office/drawing/2014/main" id="{1C240EFC-AF12-487F-83AC-32BB398132E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01700" y="69453"/>
            <a:ext cx="316719" cy="316719"/>
          </a:xfrm>
          <a:prstGeom prst="rect">
            <a:avLst/>
          </a:prstGeom>
          <a:grpFill/>
          <a:ln w="3175">
            <a:noFill/>
          </a:ln>
        </xdr:spPr>
      </xdr:pic>
    </xdr:grpSp>
    <xdr:clientData/>
  </xdr:twoCellAnchor>
  <xdr:oneCellAnchor>
    <xdr:from>
      <xdr:col>1</xdr:col>
      <xdr:colOff>673100</xdr:colOff>
      <xdr:row>4</xdr:row>
      <xdr:rowOff>120650</xdr:rowOff>
    </xdr:from>
    <xdr:ext cx="184731" cy="264560"/>
    <xdr:sp macro="" textlink="">
      <xdr:nvSpPr>
        <xdr:cNvPr id="24" name="CaixaDeTexto 23">
          <a:extLst>
            <a:ext uri="{FF2B5EF4-FFF2-40B4-BE49-F238E27FC236}">
              <a16:creationId xmlns:a16="http://schemas.microsoft.com/office/drawing/2014/main" id="{46AAFC9C-9318-4E78-BBC9-79594D384EAA}"/>
            </a:ext>
          </a:extLst>
        </xdr:cNvPr>
        <xdr:cNvSpPr txBox="1"/>
      </xdr:nvSpPr>
      <xdr:spPr>
        <a:xfrm>
          <a:off x="1358900" y="134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0</xdr:col>
      <xdr:colOff>63501</xdr:colOff>
      <xdr:row>0</xdr:row>
      <xdr:rowOff>561975</xdr:rowOff>
    </xdr:from>
    <xdr:to>
      <xdr:col>1</xdr:col>
      <xdr:colOff>85725</xdr:colOff>
      <xdr:row>1</xdr:row>
      <xdr:rowOff>276225</xdr:rowOff>
    </xdr:to>
    <xdr:grpSp>
      <xdr:nvGrpSpPr>
        <xdr:cNvPr id="25" name="Agrupar 2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373383D-2A15-4E25-B504-800AB96341B6}"/>
            </a:ext>
          </a:extLst>
        </xdr:cNvPr>
        <xdr:cNvGrpSpPr/>
      </xdr:nvGrpSpPr>
      <xdr:grpSpPr>
        <a:xfrm>
          <a:off x="63501" y="561975"/>
          <a:ext cx="706613" cy="285750"/>
          <a:chOff x="63501" y="561975"/>
          <a:chExt cx="708024" cy="285750"/>
        </a:xfrm>
      </xdr:grpSpPr>
      <xdr:pic>
        <xdr:nvPicPr>
          <xdr:cNvPr id="26" name="Imagem 25">
            <a:extLst>
              <a:ext uri="{FF2B5EF4-FFF2-40B4-BE49-F238E27FC236}">
                <a16:creationId xmlns:a16="http://schemas.microsoft.com/office/drawing/2014/main" id="{B3674CEA-09C4-4651-87B9-B38E87667A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501" y="589777"/>
            <a:ext cx="247649" cy="247812"/>
          </a:xfrm>
          <a:prstGeom prst="rect">
            <a:avLst/>
          </a:prstGeom>
        </xdr:spPr>
      </xdr:pic>
      <xdr:sp macro="" textlink="">
        <xdr:nvSpPr>
          <xdr:cNvPr id="27" name="CaixaDeTexto 26">
            <a:extLst>
              <a:ext uri="{FF2B5EF4-FFF2-40B4-BE49-F238E27FC236}">
                <a16:creationId xmlns:a16="http://schemas.microsoft.com/office/drawing/2014/main" id="{6BB68EE9-69EE-49F6-84F0-E3CB56A1869A}"/>
              </a:ext>
            </a:extLst>
          </xdr:cNvPr>
          <xdr:cNvSpPr txBox="1"/>
        </xdr:nvSpPr>
        <xdr:spPr>
          <a:xfrm>
            <a:off x="196850" y="561975"/>
            <a:ext cx="57467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500">
                <a:latin typeface="Arial Black" panose="020B0A04020102020204" pitchFamily="34" charset="0"/>
              </a:rPr>
              <a:t>VOLTAR</a:t>
            </a:r>
            <a:r>
              <a:rPr lang="pt-BR" sz="500" baseline="0">
                <a:latin typeface="Arial Black" panose="020B0A04020102020204" pitchFamily="34" charset="0"/>
              </a:rPr>
              <a:t> EIXOS</a:t>
            </a:r>
            <a:endParaRPr lang="pt-BR" sz="500">
              <a:latin typeface="Arial Black" panose="020B0A04020102020204" pitchFamily="34" charset="0"/>
            </a:endParaRPr>
          </a:p>
        </xdr:txBody>
      </xdr:sp>
    </xdr:grpSp>
    <xdr:clientData/>
  </xdr:twoCellAnchor>
  <xdr:twoCellAnchor>
    <xdr:from>
      <xdr:col>3</xdr:col>
      <xdr:colOff>323850</xdr:colOff>
      <xdr:row>2</xdr:row>
      <xdr:rowOff>152400</xdr:rowOff>
    </xdr:from>
    <xdr:to>
      <xdr:col>15</xdr:col>
      <xdr:colOff>533400</xdr:colOff>
      <xdr:row>8</xdr:row>
      <xdr:rowOff>0</xdr:rowOff>
    </xdr:to>
    <xdr:sp macro="" textlink="'Dados Tabela Din'!B204">
      <xdr:nvSpPr>
        <xdr:cNvPr id="28" name="Retângulo: Cantos Arredondados 27">
          <a:extLst>
            <a:ext uri="{FF2B5EF4-FFF2-40B4-BE49-F238E27FC236}">
              <a16:creationId xmlns:a16="http://schemas.microsoft.com/office/drawing/2014/main" id="{3349F917-8E60-4FC4-95A4-D984BF13A722}"/>
            </a:ext>
          </a:extLst>
        </xdr:cNvPr>
        <xdr:cNvSpPr/>
      </xdr:nvSpPr>
      <xdr:spPr>
        <a:xfrm>
          <a:off x="2381250" y="1022350"/>
          <a:ext cx="8439150" cy="914400"/>
        </a:xfrm>
        <a:prstGeom prst="round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2997A878-3109-41F0-B556-B539DE8400CF}" type="TxLink">
            <a:rPr lang="en-US" sz="2800" b="1" i="0" u="none" strike="noStrike">
              <a:solidFill>
                <a:srgbClr val="000000"/>
              </a:solidFill>
              <a:latin typeface="Aptos Narrow"/>
            </a:rPr>
            <a:pPr algn="ctr"/>
            <a:t>Educação e Capacitação Profissional</a:t>
          </a:fld>
          <a:endParaRPr lang="pt-BR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95250</xdr:colOff>
      <xdr:row>15</xdr:row>
      <xdr:rowOff>8466</xdr:rowOff>
    </xdr:from>
    <xdr:to>
      <xdr:col>4</xdr:col>
      <xdr:colOff>606777</xdr:colOff>
      <xdr:row>20</xdr:row>
      <xdr:rowOff>169334</xdr:rowOff>
    </xdr:to>
    <xdr:sp macro="" textlink="'Dados Tabela Din'!C204">
      <xdr:nvSpPr>
        <xdr:cNvPr id="29" name="Retângulo: Cantos Arredondados 28">
          <a:extLst>
            <a:ext uri="{FF2B5EF4-FFF2-40B4-BE49-F238E27FC236}">
              <a16:creationId xmlns:a16="http://schemas.microsoft.com/office/drawing/2014/main" id="{2351BF1C-FE8E-4AE9-9D81-B876C9286EDE}"/>
            </a:ext>
          </a:extLst>
        </xdr:cNvPr>
        <xdr:cNvSpPr/>
      </xdr:nvSpPr>
      <xdr:spPr>
        <a:xfrm>
          <a:off x="1464028" y="3169355"/>
          <a:ext cx="1880305" cy="1042812"/>
        </a:xfrm>
        <a:prstGeom prst="roundRect">
          <a:avLst/>
        </a:prstGeom>
        <a:solidFill>
          <a:schemeClr val="bg1"/>
        </a:solidFill>
        <a:effectLst>
          <a:glow rad="63500">
            <a:schemeClr val="accent1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6408585A-E68C-482D-A990-ED24818A0118}" type="TxLink"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pPr algn="ctr"/>
            <a:t>Formação de mão de obra qualificada, redução da evasão escolar, estímulo à inovação e fomento à cidadania ativa.</a:t>
          </a:fld>
          <a:endParaRPr lang="pt-BR" sz="1100" b="1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5</xdr:col>
      <xdr:colOff>301625</xdr:colOff>
      <xdr:row>17</xdr:row>
      <xdr:rowOff>139700</xdr:rowOff>
    </xdr:from>
    <xdr:to>
      <xdr:col>5</xdr:col>
      <xdr:colOff>619125</xdr:colOff>
      <xdr:row>18</xdr:row>
      <xdr:rowOff>158750</xdr:rowOff>
    </xdr:to>
    <xdr:sp macro="" textlink="">
      <xdr:nvSpPr>
        <xdr:cNvPr id="30" name="Seta: para a Direita 29">
          <a:extLst>
            <a:ext uri="{FF2B5EF4-FFF2-40B4-BE49-F238E27FC236}">
              <a16:creationId xmlns:a16="http://schemas.microsoft.com/office/drawing/2014/main" id="{1B3A84B4-4B3C-4B61-B3A8-EF82FC1C2F28}"/>
            </a:ext>
          </a:extLst>
        </xdr:cNvPr>
        <xdr:cNvSpPr/>
      </xdr:nvSpPr>
      <xdr:spPr>
        <a:xfrm>
          <a:off x="3730625" y="3676650"/>
          <a:ext cx="317500" cy="19685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304799</xdr:colOff>
      <xdr:row>15</xdr:row>
      <xdr:rowOff>104774</xdr:rowOff>
    </xdr:from>
    <xdr:to>
      <xdr:col>11</xdr:col>
      <xdr:colOff>276224</xdr:colOff>
      <xdr:row>20</xdr:row>
      <xdr:rowOff>149225</xdr:rowOff>
    </xdr:to>
    <xdr:sp macro="" textlink="'Dados Tabela Din'!H202">
      <xdr:nvSpPr>
        <xdr:cNvPr id="31" name="Retângulo: Cantos Arredondados 30">
          <a:extLst>
            <a:ext uri="{FF2B5EF4-FFF2-40B4-BE49-F238E27FC236}">
              <a16:creationId xmlns:a16="http://schemas.microsoft.com/office/drawing/2014/main" id="{0C61294F-597F-4BC3-B95D-A4F2ECDE40CA}"/>
            </a:ext>
          </a:extLst>
        </xdr:cNvPr>
        <xdr:cNvSpPr/>
      </xdr:nvSpPr>
      <xdr:spPr>
        <a:xfrm>
          <a:off x="4419599" y="3286124"/>
          <a:ext cx="3400425" cy="933451"/>
        </a:xfrm>
        <a:prstGeom prst="roundRect">
          <a:avLst/>
        </a:prstGeom>
        <a:solidFill>
          <a:schemeClr val="bg1"/>
        </a:solidFill>
        <a:effectLst>
          <a:glow rad="63500">
            <a:schemeClr val="accent1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96C71B49-1FF6-4C29-B6B6-B7C748145345}" type="TxLink"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pPr algn="ctr"/>
            <a:t>Um município só pode se desenvolver se sua base econômica for forte e inclusiva, gerando riqueza, autonomia para os cidadãos e recursos para investir em outras áreas.</a:t>
          </a:fld>
          <a:endParaRPr lang="pt-BR" sz="1100" b="1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18</xdr:col>
      <xdr:colOff>0</xdr:colOff>
      <xdr:row>7</xdr:row>
      <xdr:rowOff>28575</xdr:rowOff>
    </xdr:from>
    <xdr:to>
      <xdr:col>18</xdr:col>
      <xdr:colOff>0</xdr:colOff>
      <xdr:row>11</xdr:row>
      <xdr:rowOff>40079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0ECBC2A3-7934-4453-A27E-26C9E93F7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17500" y="1787525"/>
          <a:ext cx="0" cy="722704"/>
        </a:xfrm>
        <a:prstGeom prst="rect">
          <a:avLst/>
        </a:prstGeom>
      </xdr:spPr>
    </xdr:pic>
    <xdr:clientData/>
  </xdr:twoCellAnchor>
  <xdr:twoCellAnchor>
    <xdr:from>
      <xdr:col>12</xdr:col>
      <xdr:colOff>15875</xdr:colOff>
      <xdr:row>17</xdr:row>
      <xdr:rowOff>142875</xdr:rowOff>
    </xdr:from>
    <xdr:to>
      <xdr:col>12</xdr:col>
      <xdr:colOff>330200</xdr:colOff>
      <xdr:row>18</xdr:row>
      <xdr:rowOff>161925</xdr:rowOff>
    </xdr:to>
    <xdr:sp macro="" textlink="">
      <xdr:nvSpPr>
        <xdr:cNvPr id="35" name="Seta: para a Direita 34">
          <a:extLst>
            <a:ext uri="{FF2B5EF4-FFF2-40B4-BE49-F238E27FC236}">
              <a16:creationId xmlns:a16="http://schemas.microsoft.com/office/drawing/2014/main" id="{E73A7A33-67D7-4BA5-A8CF-1C2F538A52C6}"/>
            </a:ext>
          </a:extLst>
        </xdr:cNvPr>
        <xdr:cNvSpPr/>
      </xdr:nvSpPr>
      <xdr:spPr>
        <a:xfrm>
          <a:off x="8245475" y="3679825"/>
          <a:ext cx="314325" cy="19685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38099</xdr:colOff>
      <xdr:row>14</xdr:row>
      <xdr:rowOff>152398</xdr:rowOff>
    </xdr:from>
    <xdr:to>
      <xdr:col>15</xdr:col>
      <xdr:colOff>654050</xdr:colOff>
      <xdr:row>21</xdr:row>
      <xdr:rowOff>133349</xdr:rowOff>
    </xdr:to>
    <xdr:sp macro="" textlink="">
      <xdr:nvSpPr>
        <xdr:cNvPr id="36" name="Retângulo: Cantos Arredondados 35">
          <a:extLst>
            <a:ext uri="{FF2B5EF4-FFF2-40B4-BE49-F238E27FC236}">
              <a16:creationId xmlns:a16="http://schemas.microsoft.com/office/drawing/2014/main" id="{05156803-A1B7-4108-87F7-770E9C688D31}"/>
            </a:ext>
          </a:extLst>
        </xdr:cNvPr>
        <xdr:cNvSpPr/>
      </xdr:nvSpPr>
      <xdr:spPr>
        <a:xfrm>
          <a:off x="8953499" y="3155948"/>
          <a:ext cx="1987551" cy="1225551"/>
        </a:xfrm>
        <a:prstGeom prst="roundRect">
          <a:avLst/>
        </a:prstGeom>
        <a:solidFill>
          <a:srgbClr val="FFCC29"/>
        </a:solidFill>
        <a:effectLst>
          <a:glow rad="63500">
            <a:schemeClr val="accent1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 u="none" strike="noStrike" baseline="0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Ações estratégicas através do MÉTODO WELL, com base nos dados do Município para trazer soluções específicas.</a:t>
          </a:r>
        </a:p>
      </xdr:txBody>
    </xdr:sp>
    <xdr:clientData/>
  </xdr:twoCellAnchor>
  <xdr:twoCellAnchor>
    <xdr:from>
      <xdr:col>6</xdr:col>
      <xdr:colOff>215900</xdr:colOff>
      <xdr:row>28</xdr:row>
      <xdr:rowOff>88899</xdr:rowOff>
    </xdr:from>
    <xdr:to>
      <xdr:col>11</xdr:col>
      <xdr:colOff>82550</xdr:colOff>
      <xdr:row>33</xdr:row>
      <xdr:rowOff>133350</xdr:rowOff>
    </xdr:to>
    <xdr:sp macro="" textlink="'Dados Tabela Din'!J204">
      <xdr:nvSpPr>
        <xdr:cNvPr id="37" name="Retângulo: Cantos Arredondados 36">
          <a:extLst>
            <a:ext uri="{FF2B5EF4-FFF2-40B4-BE49-F238E27FC236}">
              <a16:creationId xmlns:a16="http://schemas.microsoft.com/office/drawing/2014/main" id="{101E0A12-91DE-44D3-A801-58FDD2ADF0F1}"/>
            </a:ext>
          </a:extLst>
        </xdr:cNvPr>
        <xdr:cNvSpPr/>
      </xdr:nvSpPr>
      <xdr:spPr>
        <a:xfrm>
          <a:off x="4330700" y="5581649"/>
          <a:ext cx="3295650" cy="933451"/>
        </a:xfrm>
        <a:prstGeom prst="roundRect">
          <a:avLst/>
        </a:prstGeom>
        <a:solidFill>
          <a:schemeClr val="bg1"/>
        </a:solidFill>
        <a:effectLst>
          <a:glow rad="63500">
            <a:schemeClr val="accent1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E415DF47-968F-4AF1-A218-80712481538A}" type="TxLink"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pPr algn="ctr"/>
            <a:t>Financiamento para renovar e ampliar Frota escolar.</a:t>
          </a:fld>
          <a:endParaRPr lang="en-US" sz="11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12</xdr:col>
      <xdr:colOff>471830</xdr:colOff>
      <xdr:row>26</xdr:row>
      <xdr:rowOff>12205</xdr:rowOff>
    </xdr:from>
    <xdr:to>
      <xdr:col>14</xdr:col>
      <xdr:colOff>72230</xdr:colOff>
      <xdr:row>27</xdr:row>
      <xdr:rowOff>50742</xdr:rowOff>
    </xdr:to>
    <xdr:sp macro="" textlink="">
      <xdr:nvSpPr>
        <xdr:cNvPr id="38" name="Seta: para a Direita 37">
          <a:extLst>
            <a:ext uri="{FF2B5EF4-FFF2-40B4-BE49-F238E27FC236}">
              <a16:creationId xmlns:a16="http://schemas.microsoft.com/office/drawing/2014/main" id="{D53F3311-3BD2-4425-8496-EC66A6FEA49F}"/>
            </a:ext>
          </a:extLst>
        </xdr:cNvPr>
        <xdr:cNvSpPr/>
      </xdr:nvSpPr>
      <xdr:spPr>
        <a:xfrm rot="8741477">
          <a:off x="8701430" y="5149355"/>
          <a:ext cx="972000" cy="216337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372959</xdr:colOff>
      <xdr:row>24</xdr:row>
      <xdr:rowOff>89218</xdr:rowOff>
    </xdr:from>
    <xdr:to>
      <xdr:col>4</xdr:col>
      <xdr:colOff>589296</xdr:colOff>
      <xdr:row>29</xdr:row>
      <xdr:rowOff>172218</xdr:rowOff>
    </xdr:to>
    <xdr:sp macro="" textlink="">
      <xdr:nvSpPr>
        <xdr:cNvPr id="39" name="Seta: para a Direita 38">
          <a:extLst>
            <a:ext uri="{FF2B5EF4-FFF2-40B4-BE49-F238E27FC236}">
              <a16:creationId xmlns:a16="http://schemas.microsoft.com/office/drawing/2014/main" id="{01F57067-1F7D-4ED1-8A74-520271078FD1}"/>
            </a:ext>
          </a:extLst>
        </xdr:cNvPr>
        <xdr:cNvSpPr/>
      </xdr:nvSpPr>
      <xdr:spPr>
        <a:xfrm rot="13690160">
          <a:off x="2738328" y="5248599"/>
          <a:ext cx="972000" cy="216337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479778</xdr:colOff>
      <xdr:row>6</xdr:row>
      <xdr:rowOff>101990</xdr:rowOff>
    </xdr:from>
    <xdr:to>
      <xdr:col>1</xdr:col>
      <xdr:colOff>656843</xdr:colOff>
      <xdr:row>10</xdr:row>
      <xdr:rowOff>147799</xdr:rowOff>
    </xdr:to>
    <xdr:pic>
      <xdr:nvPicPr>
        <xdr:cNvPr id="40" name="ods.4">
          <a:extLst>
            <a:ext uri="{FF2B5EF4-FFF2-40B4-BE49-F238E27FC236}">
              <a16:creationId xmlns:a16="http://schemas.microsoft.com/office/drawing/2014/main" id="{A7C35A64-4D26-4547-9173-5D1C6CC54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778" y="1675379"/>
          <a:ext cx="861454" cy="751364"/>
        </a:xfrm>
        <a:prstGeom prst="rect">
          <a:avLst/>
        </a:prstGeom>
      </xdr:spPr>
    </xdr:pic>
    <xdr:clientData/>
  </xdr:twoCellAnchor>
  <xdr:twoCellAnchor>
    <xdr:from>
      <xdr:col>2</xdr:col>
      <xdr:colOff>153000</xdr:colOff>
      <xdr:row>6</xdr:row>
      <xdr:rowOff>105833</xdr:rowOff>
    </xdr:from>
    <xdr:to>
      <xdr:col>3</xdr:col>
      <xdr:colOff>323762</xdr:colOff>
      <xdr:row>10</xdr:row>
      <xdr:rowOff>154926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10B657BE-3F6D-4D12-B39A-88598140F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1778" y="1679222"/>
          <a:ext cx="855151" cy="75464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485775</xdr:colOff>
      <xdr:row>0</xdr:row>
      <xdr:rowOff>565150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8C38BE-4449-40DE-87B7-AADCD0B90E69}"/>
            </a:ext>
          </a:extLst>
        </xdr:cNvPr>
        <xdr:cNvGrpSpPr/>
      </xdr:nvGrpSpPr>
      <xdr:grpSpPr>
        <a:xfrm>
          <a:off x="0" y="0"/>
          <a:ext cx="1854553" cy="565150"/>
          <a:chOff x="3552825" y="2171700"/>
          <a:chExt cx="1895475" cy="561975"/>
        </a:xfrm>
      </xdr:grpSpPr>
      <xdr:sp macro="" textlink="">
        <xdr:nvSpPr>
          <xdr:cNvPr id="3" name="Retângulo 2">
            <a:extLst>
              <a:ext uri="{FF2B5EF4-FFF2-40B4-BE49-F238E27FC236}">
                <a16:creationId xmlns:a16="http://schemas.microsoft.com/office/drawing/2014/main" id="{726A2005-8E69-4AA9-96BD-7C80F4E494BD}"/>
              </a:ext>
            </a:extLst>
          </xdr:cNvPr>
          <xdr:cNvSpPr/>
        </xdr:nvSpPr>
        <xdr:spPr>
          <a:xfrm>
            <a:off x="3552825" y="2171700"/>
            <a:ext cx="1895475" cy="561975"/>
          </a:xfrm>
          <a:prstGeom prst="rect">
            <a:avLst/>
          </a:prstGeom>
          <a:gradFill>
            <a:gsLst>
              <a:gs pos="0">
                <a:schemeClr val="bg1"/>
              </a:gs>
              <a:gs pos="89000">
                <a:srgbClr val="FFCC29">
                  <a:alpha val="50000"/>
                </a:srgbClr>
              </a:gs>
              <a:gs pos="100000">
                <a:srgbClr val="FFCC29">
                  <a:alpha val="50000"/>
                </a:srgbClr>
              </a:gs>
            </a:gsLst>
            <a:lin ang="27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130376B6-A4A6-4CE1-9AEF-76584445EEC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-1261" t="29165" r="1261" b="28126"/>
          <a:stretch/>
        </xdr:blipFill>
        <xdr:spPr>
          <a:xfrm>
            <a:off x="3686175" y="2187575"/>
            <a:ext cx="1492250" cy="527050"/>
          </a:xfrm>
          <a:prstGeom prst="rect">
            <a:avLst/>
          </a:prstGeom>
        </xdr:spPr>
      </xdr:pic>
    </xdr:grpSp>
    <xdr:clientData/>
  </xdr:twoCellAnchor>
  <xdr:twoCellAnchor editAs="oneCell">
    <xdr:from>
      <xdr:col>13</xdr:col>
      <xdr:colOff>257176</xdr:colOff>
      <xdr:row>0</xdr:row>
      <xdr:rowOff>0</xdr:rowOff>
    </xdr:from>
    <xdr:to>
      <xdr:col>17</xdr:col>
      <xdr:colOff>342739</xdr:colOff>
      <xdr:row>1</xdr:row>
      <xdr:rowOff>63501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4FE20A35-B529-4DF7-BACF-B494A6C993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08" t="30769" r="-2208" b="27473"/>
        <a:stretch/>
      </xdr:blipFill>
      <xdr:spPr>
        <a:xfrm>
          <a:off x="9172576" y="0"/>
          <a:ext cx="3501863" cy="63500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0</xdr:row>
      <xdr:rowOff>454</xdr:rowOff>
    </xdr:from>
    <xdr:to>
      <xdr:col>4</xdr:col>
      <xdr:colOff>30389</xdr:colOff>
      <xdr:row>0</xdr:row>
      <xdr:rowOff>568779</xdr:rowOff>
    </xdr:to>
    <xdr:grpSp>
      <xdr:nvGrpSpPr>
        <xdr:cNvPr id="6" name="Agrupar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AF41D-6707-4F21-BECA-AD8ED0098545}"/>
            </a:ext>
          </a:extLst>
        </xdr:cNvPr>
        <xdr:cNvGrpSpPr/>
      </xdr:nvGrpSpPr>
      <xdr:grpSpPr>
        <a:xfrm>
          <a:off x="2053167" y="454"/>
          <a:ext cx="714778" cy="568325"/>
          <a:chOff x="1990594" y="-9022"/>
          <a:chExt cx="615017" cy="581025"/>
        </a:xfrm>
        <a:solidFill>
          <a:srgbClr val="FFCC29"/>
        </a:solidFill>
      </xdr:grpSpPr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C5423B03-BFA7-4BE7-B18A-D33366C7594B}"/>
              </a:ext>
            </a:extLst>
          </xdr:cNvPr>
          <xdr:cNvSpPr/>
        </xdr:nvSpPr>
        <xdr:spPr>
          <a:xfrm>
            <a:off x="1990594" y="-9022"/>
            <a:ext cx="615017" cy="5810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8" name="Imagem 7">
            <a:extLst>
              <a:ext uri="{FF2B5EF4-FFF2-40B4-BE49-F238E27FC236}">
                <a16:creationId xmlns:a16="http://schemas.microsoft.com/office/drawing/2014/main" id="{08FF3638-6847-48C2-844B-A9F9E663377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BEBA8EAE-BF5A-486C-A8C5-ECC9F3942E4B}">
                <a14:imgProps xmlns:a14="http://schemas.microsoft.com/office/drawing/2010/main">
                  <a14:imgLayer r:embed="rId5">
                    <a14:imgEffect>
                      <a14:backgroundRemoval t="10000" b="90000" l="10000" r="90000">
                        <a14:foregroundMark x1="52252" y1="78333" x2="52252" y2="78333"/>
                        <a14:foregroundMark x1="62162" y1="68889" x2="62162" y2="68889"/>
                        <a14:foregroundMark x1="65165" y1="57222" x2="65165" y2="57222"/>
                        <a14:foregroundMark x1="65165" y1="40556" x2="65165" y2="40556"/>
                        <a14:foregroundMark x1="62763" y1="27222" x2="62763" y2="27222"/>
                        <a14:foregroundMark x1="46847" y1="22222" x2="46847" y2="22222"/>
                        <a14:foregroundMark x1="40841" y1="26667" x2="40841" y2="26667"/>
                        <a14:foregroundMark x1="47147" y1="76111" x2="47147" y2="76111"/>
                        <a14:foregroundMark x1="46847" y1="73889" x2="45646" y2="7277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l="28569" t="6871" r="29129" b="14812"/>
          <a:stretch/>
        </xdr:blipFill>
        <xdr:spPr>
          <a:xfrm>
            <a:off x="2168525" y="66674"/>
            <a:ext cx="281358" cy="276223"/>
          </a:xfrm>
          <a:prstGeom prst="rect">
            <a:avLst/>
          </a:prstGeom>
          <a:grpFill/>
        </xdr:spPr>
      </xdr:pic>
      <xdr:sp macro="" textlink="">
        <xdr:nvSpPr>
          <xdr:cNvPr id="9" name="CaixaDeTexto 8">
            <a:extLst>
              <a:ext uri="{FF2B5EF4-FFF2-40B4-BE49-F238E27FC236}">
                <a16:creationId xmlns:a16="http://schemas.microsoft.com/office/drawing/2014/main" id="{58022942-5D0F-4936-9F76-FE569FA2143F}"/>
              </a:ext>
            </a:extLst>
          </xdr:cNvPr>
          <xdr:cNvSpPr txBox="1"/>
        </xdr:nvSpPr>
        <xdr:spPr>
          <a:xfrm>
            <a:off x="2009774" y="342900"/>
            <a:ext cx="587376" cy="2095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700" b="1">
                <a:latin typeface="Calibri" panose="020F0502020204030204" pitchFamily="34" charset="0"/>
                <a:cs typeface="Calibri" panose="020F0502020204030204" pitchFamily="34" charset="0"/>
              </a:rPr>
              <a:t>IDS</a:t>
            </a:r>
            <a:r>
              <a:rPr lang="pt-BR" sz="700" b="1" baseline="0">
                <a:latin typeface="Calibri" panose="020F0502020204030204" pitchFamily="34" charset="0"/>
                <a:cs typeface="Calibri" panose="020F0502020204030204" pitchFamily="34" charset="0"/>
              </a:rPr>
              <a:t> e ODS</a:t>
            </a:r>
            <a:endParaRPr lang="pt-BR" sz="700" b="1"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</xdr:grpSp>
    <xdr:clientData/>
  </xdr:twoCellAnchor>
  <xdr:twoCellAnchor>
    <xdr:from>
      <xdr:col>5</xdr:col>
      <xdr:colOff>138567</xdr:colOff>
      <xdr:row>0</xdr:row>
      <xdr:rowOff>0</xdr:rowOff>
    </xdr:from>
    <xdr:to>
      <xdr:col>6</xdr:col>
      <xdr:colOff>154542</xdr:colOff>
      <xdr:row>1</xdr:row>
      <xdr:rowOff>0</xdr:rowOff>
    </xdr:to>
    <xdr:grpSp>
      <xdr:nvGrpSpPr>
        <xdr:cNvPr id="10" name="Agrupar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A62019C-2E53-455D-8142-880BA050439B}"/>
            </a:ext>
          </a:extLst>
        </xdr:cNvPr>
        <xdr:cNvGrpSpPr/>
      </xdr:nvGrpSpPr>
      <xdr:grpSpPr>
        <a:xfrm>
          <a:off x="3560511" y="0"/>
          <a:ext cx="700364" cy="571500"/>
          <a:chOff x="3551239" y="0"/>
          <a:chExt cx="703135" cy="571500"/>
        </a:xfrm>
        <a:solidFill>
          <a:srgbClr val="FFCC29"/>
        </a:solidFill>
      </xdr:grpSpPr>
      <xdr:grpSp>
        <xdr:nvGrpSpPr>
          <xdr:cNvPr id="11" name="Agrupar 10">
            <a:extLst>
              <a:ext uri="{FF2B5EF4-FFF2-40B4-BE49-F238E27FC236}">
                <a16:creationId xmlns:a16="http://schemas.microsoft.com/office/drawing/2014/main" id="{CF2B17C0-F5FE-4FC0-AB64-3EE7863BAE66}"/>
              </a:ext>
            </a:extLst>
          </xdr:cNvPr>
          <xdr:cNvGrpSpPr/>
        </xdr:nvGrpSpPr>
        <xdr:grpSpPr>
          <a:xfrm>
            <a:off x="3551239" y="0"/>
            <a:ext cx="703135" cy="571500"/>
            <a:chOff x="2015062" y="0"/>
            <a:chExt cx="615017" cy="581025"/>
          </a:xfrm>
          <a:grpFill/>
        </xdr:grpSpPr>
        <xdr:sp macro="" textlink="">
          <xdr:nvSpPr>
            <xdr:cNvPr id="13" name="Retângulo 12">
              <a:extLst>
                <a:ext uri="{FF2B5EF4-FFF2-40B4-BE49-F238E27FC236}">
                  <a16:creationId xmlns:a16="http://schemas.microsoft.com/office/drawing/2014/main" id="{904CF52F-56CD-4DA5-BB7B-16217C6C6EE7}"/>
                </a:ext>
              </a:extLst>
            </xdr:cNvPr>
            <xdr:cNvSpPr/>
          </xdr:nvSpPr>
          <xdr:spPr>
            <a:xfrm>
              <a:off x="2015062" y="0"/>
              <a:ext cx="615017" cy="581025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3F6D8FD7-BFB7-439A-B9A5-E3F186948C41}"/>
                </a:ext>
              </a:extLst>
            </xdr:cNvPr>
            <xdr:cNvSpPr txBox="1"/>
          </xdr:nvSpPr>
          <xdr:spPr>
            <a:xfrm>
              <a:off x="2024779" y="387351"/>
              <a:ext cx="599855" cy="145255"/>
            </a:xfrm>
            <a:prstGeom prst="rect">
              <a:avLst/>
            </a:prstGeom>
            <a:grpFill/>
            <a:ln w="9525" cmpd="sng">
              <a:noFill/>
            </a:ln>
            <a:effectLst>
              <a:softEdge rad="12700"/>
            </a:effec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600" b="1">
                  <a:latin typeface="Calibri" panose="020F0502020204030204" pitchFamily="34" charset="0"/>
                  <a:cs typeface="Calibri" panose="020F0502020204030204" pitchFamily="34" charset="0"/>
                </a:rPr>
                <a:t>COMPARATIVO</a:t>
              </a:r>
              <a:endParaRPr lang="pt-BR" sz="700" b="1">
                <a:latin typeface="Calibri" panose="020F0502020204030204" pitchFamily="34" charset="0"/>
                <a:cs typeface="Calibri" panose="020F0502020204030204" pitchFamily="34" charset="0"/>
              </a:endParaRPr>
            </a:p>
          </xdr:txBody>
        </xdr:sp>
      </xdr:grpSp>
      <xdr:pic>
        <xdr:nvPicPr>
          <xdr:cNvPr id="12" name="Imagem 11">
            <a:extLst>
              <a:ext uri="{FF2B5EF4-FFF2-40B4-BE49-F238E27FC236}">
                <a16:creationId xmlns:a16="http://schemas.microsoft.com/office/drawing/2014/main" id="{559F7BC6-24A5-4DC5-BEB8-245D3DCC4DC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52850" y="47625"/>
            <a:ext cx="314325" cy="314325"/>
          </a:xfrm>
          <a:prstGeom prst="rect">
            <a:avLst/>
          </a:prstGeom>
          <a:grpFill/>
        </xdr:spPr>
      </xdr:pic>
    </xdr:grpSp>
    <xdr:clientData/>
  </xdr:twoCellAnchor>
  <xdr:twoCellAnchor>
    <xdr:from>
      <xdr:col>4</xdr:col>
      <xdr:colOff>70085</xdr:colOff>
      <xdr:row>0</xdr:row>
      <xdr:rowOff>0</xdr:rowOff>
    </xdr:from>
    <xdr:to>
      <xdr:col>5</xdr:col>
      <xdr:colOff>98879</xdr:colOff>
      <xdr:row>1</xdr:row>
      <xdr:rowOff>0</xdr:rowOff>
    </xdr:to>
    <xdr:grpSp>
      <xdr:nvGrpSpPr>
        <xdr:cNvPr id="15" name="Agrupar 1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DB426DA-4DF5-4E4C-8022-96F99CDCC239}"/>
            </a:ext>
          </a:extLst>
        </xdr:cNvPr>
        <xdr:cNvGrpSpPr/>
      </xdr:nvGrpSpPr>
      <xdr:grpSpPr>
        <a:xfrm>
          <a:off x="2807641" y="0"/>
          <a:ext cx="713182" cy="571500"/>
          <a:chOff x="2808296" y="0"/>
          <a:chExt cx="703255" cy="571500"/>
        </a:xfrm>
        <a:solidFill>
          <a:srgbClr val="FFCC29"/>
        </a:solidFill>
      </xdr:grpSpPr>
      <xdr:grpSp>
        <xdr:nvGrpSpPr>
          <xdr:cNvPr id="16" name="Agrupar 15">
            <a:extLst>
              <a:ext uri="{FF2B5EF4-FFF2-40B4-BE49-F238E27FC236}">
                <a16:creationId xmlns:a16="http://schemas.microsoft.com/office/drawing/2014/main" id="{3EB1B3F2-A3CE-4081-A0D0-C503707365BA}"/>
              </a:ext>
            </a:extLst>
          </xdr:cNvPr>
          <xdr:cNvGrpSpPr/>
        </xdr:nvGrpSpPr>
        <xdr:grpSpPr>
          <a:xfrm>
            <a:off x="2808296" y="0"/>
            <a:ext cx="703255" cy="571500"/>
            <a:chOff x="2015062" y="0"/>
            <a:chExt cx="615017" cy="581025"/>
          </a:xfrm>
          <a:grpFill/>
        </xdr:grpSpPr>
        <xdr:sp macro="" textlink="">
          <xdr:nvSpPr>
            <xdr:cNvPr id="18" name="Retângulo 17">
              <a:extLst>
                <a:ext uri="{FF2B5EF4-FFF2-40B4-BE49-F238E27FC236}">
                  <a16:creationId xmlns:a16="http://schemas.microsoft.com/office/drawing/2014/main" id="{7D30AF4F-BA13-4828-A41E-11D5832BD216}"/>
                </a:ext>
              </a:extLst>
            </xdr:cNvPr>
            <xdr:cNvSpPr/>
          </xdr:nvSpPr>
          <xdr:spPr>
            <a:xfrm>
              <a:off x="2015062" y="0"/>
              <a:ext cx="615017" cy="581025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CDB85841-F36E-4077-B253-0B173BEE2CE3}"/>
                </a:ext>
              </a:extLst>
            </xdr:cNvPr>
            <xdr:cNvSpPr txBox="1"/>
          </xdr:nvSpPr>
          <xdr:spPr>
            <a:xfrm>
              <a:off x="2021497" y="363951"/>
              <a:ext cx="587376" cy="209550"/>
            </a:xfrm>
            <a:prstGeom prst="rect">
              <a:avLst/>
            </a:prstGeom>
            <a:grpFill/>
            <a:ln w="9525" cmpd="sng">
              <a:noFill/>
            </a:ln>
            <a:effectLst>
              <a:softEdge rad="12700"/>
            </a:effec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600" b="1">
                  <a:latin typeface="Calibri" panose="020F0502020204030204" pitchFamily="34" charset="0"/>
                  <a:cs typeface="Calibri" panose="020F0502020204030204" pitchFamily="34" charset="0"/>
                </a:rPr>
                <a:t>DASHBOARD</a:t>
              </a:r>
              <a:endParaRPr lang="pt-BR" sz="700" b="1">
                <a:latin typeface="Calibri" panose="020F0502020204030204" pitchFamily="34" charset="0"/>
                <a:cs typeface="Calibri" panose="020F0502020204030204" pitchFamily="34" charset="0"/>
              </a:endParaRPr>
            </a:p>
          </xdr:txBody>
        </xdr:sp>
      </xdr:grpSp>
      <xdr:pic>
        <xdr:nvPicPr>
          <xdr:cNvPr id="17" name="Imagem 16">
            <a:extLst>
              <a:ext uri="{FF2B5EF4-FFF2-40B4-BE49-F238E27FC236}">
                <a16:creationId xmlns:a16="http://schemas.microsoft.com/office/drawing/2014/main" id="{CFD7419F-69DE-4D14-A589-A8A4015CEF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sharpenSoften amount="-100000"/>
                    </a14:imgEffect>
                    <a14:imgEffect>
                      <a14:brightnessContrast bright="-100000" contrast="12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88450" y="54750"/>
            <a:ext cx="360000" cy="360000"/>
          </a:xfrm>
          <a:prstGeom prst="rect">
            <a:avLst/>
          </a:prstGeom>
          <a:grpFill/>
        </xdr:spPr>
      </xdr:pic>
    </xdr:grp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501650</xdr:colOff>
      <xdr:row>0</xdr:row>
      <xdr:rowOff>570533</xdr:rowOff>
    </xdr:to>
    <xdr:grpSp>
      <xdr:nvGrpSpPr>
        <xdr:cNvPr id="20" name="Agrupar 1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16555C4-4036-4802-8F0B-11F882A749DE}"/>
            </a:ext>
          </a:extLst>
        </xdr:cNvPr>
        <xdr:cNvGrpSpPr/>
      </xdr:nvGrpSpPr>
      <xdr:grpSpPr>
        <a:xfrm>
          <a:off x="5475111" y="0"/>
          <a:ext cx="1186039" cy="570533"/>
          <a:chOff x="5569357" y="6421"/>
          <a:chExt cx="1200150" cy="576943"/>
        </a:xfrm>
        <a:gradFill>
          <a:gsLst>
            <a:gs pos="0">
              <a:srgbClr val="FFCC29"/>
            </a:gs>
            <a:gs pos="74000">
              <a:schemeClr val="bg1"/>
            </a:gs>
            <a:gs pos="39000">
              <a:srgbClr val="FFCC29"/>
            </a:gs>
            <a:gs pos="21000">
              <a:srgbClr val="FFCC29"/>
            </a:gs>
          </a:gsLst>
          <a:lin ang="5400000" scaled="1"/>
        </a:gradFill>
      </xdr:grpSpPr>
      <xdr:sp macro="" textlink="">
        <xdr:nvSpPr>
          <xdr:cNvPr id="21" name="Retângulo 20">
            <a:extLst>
              <a:ext uri="{FF2B5EF4-FFF2-40B4-BE49-F238E27FC236}">
                <a16:creationId xmlns:a16="http://schemas.microsoft.com/office/drawing/2014/main" id="{A970C7B1-1958-4297-A402-C86AE7E38589}"/>
              </a:ext>
            </a:extLst>
          </xdr:cNvPr>
          <xdr:cNvSpPr/>
        </xdr:nvSpPr>
        <xdr:spPr>
          <a:xfrm>
            <a:off x="5569357" y="6421"/>
            <a:ext cx="1200150" cy="571500"/>
          </a:xfrm>
          <a:prstGeom prst="rect">
            <a:avLst/>
          </a:prstGeom>
          <a:grp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2" name="CaixaDeTexto 21">
            <a:extLst>
              <a:ext uri="{FF2B5EF4-FFF2-40B4-BE49-F238E27FC236}">
                <a16:creationId xmlns:a16="http://schemas.microsoft.com/office/drawing/2014/main" id="{7C4053AE-5FA8-4E7B-8071-D0B57216E416}"/>
              </a:ext>
            </a:extLst>
          </xdr:cNvPr>
          <xdr:cNvSpPr txBox="1"/>
        </xdr:nvSpPr>
        <xdr:spPr>
          <a:xfrm>
            <a:off x="5819654" y="391702"/>
            <a:ext cx="731643" cy="191662"/>
          </a:xfrm>
          <a:prstGeom prst="rect">
            <a:avLst/>
          </a:prstGeom>
          <a:noFill/>
          <a:ln w="3175" cmpd="sng">
            <a:noFill/>
          </a:ln>
          <a:effectLst>
            <a:softEdge rad="12700"/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Calibri" panose="020F0502020204030204" pitchFamily="34" charset="0"/>
                <a:cs typeface="Calibri" panose="020F0502020204030204" pitchFamily="34" charset="0"/>
              </a:rPr>
              <a:t>EIXOS</a:t>
            </a:r>
            <a:r>
              <a:rPr lang="pt-BR" sz="800" b="1" baseline="0">
                <a:latin typeface="Calibri" panose="020F0502020204030204" pitchFamily="34" charset="0"/>
                <a:cs typeface="Calibri" panose="020F0502020204030204" pitchFamily="34" charset="0"/>
              </a:rPr>
              <a:t> WELL</a:t>
            </a:r>
            <a:endParaRPr lang="pt-BR" sz="800" b="1"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  <xdr:pic>
        <xdr:nvPicPr>
          <xdr:cNvPr id="23" name="Imagem 22">
            <a:extLst>
              <a:ext uri="{FF2B5EF4-FFF2-40B4-BE49-F238E27FC236}">
                <a16:creationId xmlns:a16="http://schemas.microsoft.com/office/drawing/2014/main" id="{DB3E2498-9AB3-46F2-8D0D-9F922276B9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01700" y="69453"/>
            <a:ext cx="316719" cy="316719"/>
          </a:xfrm>
          <a:prstGeom prst="rect">
            <a:avLst/>
          </a:prstGeom>
          <a:grpFill/>
          <a:ln w="3175">
            <a:noFill/>
          </a:ln>
        </xdr:spPr>
      </xdr:pic>
    </xdr:grpSp>
    <xdr:clientData/>
  </xdr:twoCellAnchor>
  <xdr:oneCellAnchor>
    <xdr:from>
      <xdr:col>1</xdr:col>
      <xdr:colOff>673100</xdr:colOff>
      <xdr:row>4</xdr:row>
      <xdr:rowOff>120650</xdr:rowOff>
    </xdr:from>
    <xdr:ext cx="184731" cy="264560"/>
    <xdr:sp macro="" textlink="">
      <xdr:nvSpPr>
        <xdr:cNvPr id="24" name="CaixaDeTexto 23">
          <a:extLst>
            <a:ext uri="{FF2B5EF4-FFF2-40B4-BE49-F238E27FC236}">
              <a16:creationId xmlns:a16="http://schemas.microsoft.com/office/drawing/2014/main" id="{CCF9AE34-C5D8-4D75-84CA-5270AAE76D70}"/>
            </a:ext>
          </a:extLst>
        </xdr:cNvPr>
        <xdr:cNvSpPr txBox="1"/>
      </xdr:nvSpPr>
      <xdr:spPr>
        <a:xfrm>
          <a:off x="1358900" y="134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0</xdr:col>
      <xdr:colOff>63501</xdr:colOff>
      <xdr:row>0</xdr:row>
      <xdr:rowOff>561975</xdr:rowOff>
    </xdr:from>
    <xdr:to>
      <xdr:col>1</xdr:col>
      <xdr:colOff>85725</xdr:colOff>
      <xdr:row>1</xdr:row>
      <xdr:rowOff>276225</xdr:rowOff>
    </xdr:to>
    <xdr:grpSp>
      <xdr:nvGrpSpPr>
        <xdr:cNvPr id="25" name="Agrupar 2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23D3821-6A28-4EE0-BD30-651CF748ED0D}"/>
            </a:ext>
          </a:extLst>
        </xdr:cNvPr>
        <xdr:cNvGrpSpPr/>
      </xdr:nvGrpSpPr>
      <xdr:grpSpPr>
        <a:xfrm>
          <a:off x="63501" y="561975"/>
          <a:ext cx="706613" cy="285750"/>
          <a:chOff x="63501" y="561975"/>
          <a:chExt cx="708024" cy="285750"/>
        </a:xfrm>
      </xdr:grpSpPr>
      <xdr:pic>
        <xdr:nvPicPr>
          <xdr:cNvPr id="26" name="Imagem 25">
            <a:extLst>
              <a:ext uri="{FF2B5EF4-FFF2-40B4-BE49-F238E27FC236}">
                <a16:creationId xmlns:a16="http://schemas.microsoft.com/office/drawing/2014/main" id="{79A42E5D-5D45-4ADC-A211-FD481C00556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501" y="589777"/>
            <a:ext cx="247649" cy="247812"/>
          </a:xfrm>
          <a:prstGeom prst="rect">
            <a:avLst/>
          </a:prstGeom>
        </xdr:spPr>
      </xdr:pic>
      <xdr:sp macro="" textlink="">
        <xdr:nvSpPr>
          <xdr:cNvPr id="27" name="CaixaDeTexto 26">
            <a:extLst>
              <a:ext uri="{FF2B5EF4-FFF2-40B4-BE49-F238E27FC236}">
                <a16:creationId xmlns:a16="http://schemas.microsoft.com/office/drawing/2014/main" id="{33BE8C44-59FC-4DDB-A603-AC2FFE5E4231}"/>
              </a:ext>
            </a:extLst>
          </xdr:cNvPr>
          <xdr:cNvSpPr txBox="1"/>
        </xdr:nvSpPr>
        <xdr:spPr>
          <a:xfrm>
            <a:off x="196850" y="561975"/>
            <a:ext cx="57467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500">
                <a:latin typeface="Arial Black" panose="020B0A04020102020204" pitchFamily="34" charset="0"/>
              </a:rPr>
              <a:t>VOLTAR</a:t>
            </a:r>
            <a:r>
              <a:rPr lang="pt-BR" sz="500" baseline="0">
                <a:latin typeface="Arial Black" panose="020B0A04020102020204" pitchFamily="34" charset="0"/>
              </a:rPr>
              <a:t> EIXOS</a:t>
            </a:r>
            <a:endParaRPr lang="pt-BR" sz="500">
              <a:latin typeface="Arial Black" panose="020B0A04020102020204" pitchFamily="34" charset="0"/>
            </a:endParaRPr>
          </a:p>
        </xdr:txBody>
      </xdr:sp>
    </xdr:grpSp>
    <xdr:clientData/>
  </xdr:twoCellAnchor>
  <xdr:twoCellAnchor>
    <xdr:from>
      <xdr:col>3</xdr:col>
      <xdr:colOff>323850</xdr:colOff>
      <xdr:row>2</xdr:row>
      <xdr:rowOff>152400</xdr:rowOff>
    </xdr:from>
    <xdr:to>
      <xdr:col>15</xdr:col>
      <xdr:colOff>533400</xdr:colOff>
      <xdr:row>8</xdr:row>
      <xdr:rowOff>0</xdr:rowOff>
    </xdr:to>
    <xdr:sp macro="" textlink="'Dados Tabela Din'!B205">
      <xdr:nvSpPr>
        <xdr:cNvPr id="28" name="Retângulo: Cantos Arredondados 27">
          <a:extLst>
            <a:ext uri="{FF2B5EF4-FFF2-40B4-BE49-F238E27FC236}">
              <a16:creationId xmlns:a16="http://schemas.microsoft.com/office/drawing/2014/main" id="{438773B7-21CB-4272-AA8A-906A67726AA4}"/>
            </a:ext>
          </a:extLst>
        </xdr:cNvPr>
        <xdr:cNvSpPr/>
      </xdr:nvSpPr>
      <xdr:spPr>
        <a:xfrm>
          <a:off x="2381250" y="1022350"/>
          <a:ext cx="8439150" cy="914400"/>
        </a:xfrm>
        <a:prstGeom prst="round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E9434C3-63DF-45F3-A4B0-FBF428426F08}" type="TxLink">
            <a:rPr lang="en-US" sz="2800" b="1" i="0" u="none" strike="noStrike">
              <a:solidFill>
                <a:srgbClr val="000000"/>
              </a:solidFill>
              <a:latin typeface="Aptos Narrow"/>
            </a:rPr>
            <a:pPr algn="ctr"/>
            <a:t>Saúde e Bem-Estar Social</a:t>
          </a:fld>
          <a:endParaRPr lang="pt-BR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95250</xdr:colOff>
      <xdr:row>15</xdr:row>
      <xdr:rowOff>114299</xdr:rowOff>
    </xdr:from>
    <xdr:to>
      <xdr:col>4</xdr:col>
      <xdr:colOff>561975</xdr:colOff>
      <xdr:row>20</xdr:row>
      <xdr:rowOff>158750</xdr:rowOff>
    </xdr:to>
    <xdr:sp macro="" textlink="'Dados Tabela Din'!C202">
      <xdr:nvSpPr>
        <xdr:cNvPr id="29" name="Retângulo: Cantos Arredondados 28">
          <a:extLst>
            <a:ext uri="{FF2B5EF4-FFF2-40B4-BE49-F238E27FC236}">
              <a16:creationId xmlns:a16="http://schemas.microsoft.com/office/drawing/2014/main" id="{594CEA68-F8A8-4AF2-9C5A-F71FF19396CE}"/>
            </a:ext>
          </a:extLst>
        </xdr:cNvPr>
        <xdr:cNvSpPr/>
      </xdr:nvSpPr>
      <xdr:spPr>
        <a:xfrm>
          <a:off x="1466850" y="3295649"/>
          <a:ext cx="1838325" cy="933451"/>
        </a:xfrm>
        <a:prstGeom prst="roundRect">
          <a:avLst/>
        </a:prstGeom>
        <a:solidFill>
          <a:schemeClr val="bg1"/>
        </a:solidFill>
        <a:effectLst>
          <a:glow rad="63500">
            <a:schemeClr val="accent1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EADFC572-E199-40F2-92B1-11C3E78FDDDA}" type="TxLink">
            <a:rPr lang="en-US" sz="1100" b="1" i="0" u="none" strike="noStrike">
              <a:solidFill>
                <a:srgbClr val="000000"/>
              </a:solidFill>
              <a:latin typeface="Aptos Narrow"/>
            </a:rPr>
            <a:pPr algn="ctr"/>
            <a:t>Aumento da arrecadação, dinamismo econômico, redução da desigualdade e fixação de talentos locais.</a:t>
          </a:fld>
          <a:endParaRPr lang="pt-BR" sz="1100" b="1"/>
        </a:p>
      </xdr:txBody>
    </xdr:sp>
    <xdr:clientData/>
  </xdr:twoCellAnchor>
  <xdr:twoCellAnchor>
    <xdr:from>
      <xdr:col>5</xdr:col>
      <xdr:colOff>301625</xdr:colOff>
      <xdr:row>17</xdr:row>
      <xdr:rowOff>139700</xdr:rowOff>
    </xdr:from>
    <xdr:to>
      <xdr:col>5</xdr:col>
      <xdr:colOff>619125</xdr:colOff>
      <xdr:row>18</xdr:row>
      <xdr:rowOff>158750</xdr:rowOff>
    </xdr:to>
    <xdr:sp macro="" textlink="">
      <xdr:nvSpPr>
        <xdr:cNvPr id="30" name="Seta: para a Direita 29">
          <a:extLst>
            <a:ext uri="{FF2B5EF4-FFF2-40B4-BE49-F238E27FC236}">
              <a16:creationId xmlns:a16="http://schemas.microsoft.com/office/drawing/2014/main" id="{0B607DBF-1632-4C05-A60F-18AD60CF4C5C}"/>
            </a:ext>
          </a:extLst>
        </xdr:cNvPr>
        <xdr:cNvSpPr/>
      </xdr:nvSpPr>
      <xdr:spPr>
        <a:xfrm>
          <a:off x="3730625" y="3676650"/>
          <a:ext cx="317500" cy="19685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304799</xdr:colOff>
      <xdr:row>15</xdr:row>
      <xdr:rowOff>104774</xdr:rowOff>
    </xdr:from>
    <xdr:to>
      <xdr:col>11</xdr:col>
      <xdr:colOff>276224</xdr:colOff>
      <xdr:row>20</xdr:row>
      <xdr:rowOff>149225</xdr:rowOff>
    </xdr:to>
    <xdr:sp macro="" textlink="'Dados Tabela Din'!H202">
      <xdr:nvSpPr>
        <xdr:cNvPr id="31" name="Retângulo: Cantos Arredondados 30">
          <a:extLst>
            <a:ext uri="{FF2B5EF4-FFF2-40B4-BE49-F238E27FC236}">
              <a16:creationId xmlns:a16="http://schemas.microsoft.com/office/drawing/2014/main" id="{3E60BBB5-6E67-477C-9625-07E0AFCC17F1}"/>
            </a:ext>
          </a:extLst>
        </xdr:cNvPr>
        <xdr:cNvSpPr/>
      </xdr:nvSpPr>
      <xdr:spPr>
        <a:xfrm>
          <a:off x="4419599" y="3286124"/>
          <a:ext cx="3400425" cy="933451"/>
        </a:xfrm>
        <a:prstGeom prst="roundRect">
          <a:avLst/>
        </a:prstGeom>
        <a:solidFill>
          <a:schemeClr val="bg1"/>
        </a:solidFill>
        <a:effectLst>
          <a:glow rad="63500">
            <a:schemeClr val="accent1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96C71B49-1FF6-4C29-B6B6-B7C748145345}" type="TxLink"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pPr algn="ctr"/>
            <a:t>Um município só pode se desenvolver se sua base econômica for forte e inclusiva, gerando riqueza, autonomia para os cidadãos e recursos para investir em outras áreas.</a:t>
          </a:fld>
          <a:endParaRPr lang="pt-BR" sz="1100" b="1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18</xdr:col>
      <xdr:colOff>0</xdr:colOff>
      <xdr:row>7</xdr:row>
      <xdr:rowOff>28575</xdr:rowOff>
    </xdr:from>
    <xdr:to>
      <xdr:col>18</xdr:col>
      <xdr:colOff>0</xdr:colOff>
      <xdr:row>11</xdr:row>
      <xdr:rowOff>40079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003FD98C-4220-43B6-9593-8BCED22E5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17500" y="1787525"/>
          <a:ext cx="0" cy="722704"/>
        </a:xfrm>
        <a:prstGeom prst="rect">
          <a:avLst/>
        </a:prstGeom>
      </xdr:spPr>
    </xdr:pic>
    <xdr:clientData/>
  </xdr:twoCellAnchor>
  <xdr:twoCellAnchor>
    <xdr:from>
      <xdr:col>12</xdr:col>
      <xdr:colOff>15875</xdr:colOff>
      <xdr:row>17</xdr:row>
      <xdr:rowOff>142875</xdr:rowOff>
    </xdr:from>
    <xdr:to>
      <xdr:col>12</xdr:col>
      <xdr:colOff>330200</xdr:colOff>
      <xdr:row>18</xdr:row>
      <xdr:rowOff>161925</xdr:rowOff>
    </xdr:to>
    <xdr:sp macro="" textlink="">
      <xdr:nvSpPr>
        <xdr:cNvPr id="35" name="Seta: para a Direita 34">
          <a:extLst>
            <a:ext uri="{FF2B5EF4-FFF2-40B4-BE49-F238E27FC236}">
              <a16:creationId xmlns:a16="http://schemas.microsoft.com/office/drawing/2014/main" id="{A3097579-1C4B-486E-A9F9-F5DE8CFED48D}"/>
            </a:ext>
          </a:extLst>
        </xdr:cNvPr>
        <xdr:cNvSpPr/>
      </xdr:nvSpPr>
      <xdr:spPr>
        <a:xfrm>
          <a:off x="8245475" y="3679825"/>
          <a:ext cx="314325" cy="19685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38099</xdr:colOff>
      <xdr:row>14</xdr:row>
      <xdr:rowOff>152398</xdr:rowOff>
    </xdr:from>
    <xdr:to>
      <xdr:col>15</xdr:col>
      <xdr:colOff>654050</xdr:colOff>
      <xdr:row>21</xdr:row>
      <xdr:rowOff>133349</xdr:rowOff>
    </xdr:to>
    <xdr:sp macro="" textlink="">
      <xdr:nvSpPr>
        <xdr:cNvPr id="36" name="Retângulo: Cantos Arredondados 35">
          <a:extLst>
            <a:ext uri="{FF2B5EF4-FFF2-40B4-BE49-F238E27FC236}">
              <a16:creationId xmlns:a16="http://schemas.microsoft.com/office/drawing/2014/main" id="{012697CD-4271-4E07-9A99-B1AFDBEF3D77}"/>
            </a:ext>
          </a:extLst>
        </xdr:cNvPr>
        <xdr:cNvSpPr/>
      </xdr:nvSpPr>
      <xdr:spPr>
        <a:xfrm>
          <a:off x="8953499" y="3155948"/>
          <a:ext cx="1987551" cy="1225551"/>
        </a:xfrm>
        <a:prstGeom prst="roundRect">
          <a:avLst/>
        </a:prstGeom>
        <a:solidFill>
          <a:srgbClr val="FFCC29"/>
        </a:solidFill>
        <a:effectLst>
          <a:glow rad="63500">
            <a:schemeClr val="accent1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 u="none" strike="noStrike" baseline="0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Ações estratégicas através do MÉTODO WELL, com base nos dados do Município para trazer soluções específicas.</a:t>
          </a:r>
        </a:p>
      </xdr:txBody>
    </xdr:sp>
    <xdr:clientData/>
  </xdr:twoCellAnchor>
  <xdr:twoCellAnchor>
    <xdr:from>
      <xdr:col>6</xdr:col>
      <xdr:colOff>215900</xdr:colOff>
      <xdr:row>28</xdr:row>
      <xdr:rowOff>88899</xdr:rowOff>
    </xdr:from>
    <xdr:to>
      <xdr:col>11</xdr:col>
      <xdr:colOff>82550</xdr:colOff>
      <xdr:row>33</xdr:row>
      <xdr:rowOff>133350</xdr:rowOff>
    </xdr:to>
    <xdr:sp macro="" textlink="'Dados Tabela Din'!J205">
      <xdr:nvSpPr>
        <xdr:cNvPr id="37" name="Retângulo: Cantos Arredondados 36">
          <a:extLst>
            <a:ext uri="{FF2B5EF4-FFF2-40B4-BE49-F238E27FC236}">
              <a16:creationId xmlns:a16="http://schemas.microsoft.com/office/drawing/2014/main" id="{03E41555-47E7-4C51-934A-CF6470BD088D}"/>
            </a:ext>
          </a:extLst>
        </xdr:cNvPr>
        <xdr:cNvSpPr/>
      </xdr:nvSpPr>
      <xdr:spPr>
        <a:xfrm>
          <a:off x="4330700" y="5581649"/>
          <a:ext cx="3295650" cy="933451"/>
        </a:xfrm>
        <a:prstGeom prst="roundRect">
          <a:avLst/>
        </a:prstGeom>
        <a:solidFill>
          <a:schemeClr val="bg1"/>
        </a:solidFill>
        <a:effectLst>
          <a:glow rad="63500">
            <a:schemeClr val="accent1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1C696A4A-DE7B-40F9-B827-DD288F9120EF}" type="TxLink"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pPr algn="ctr"/>
            <a:t>Facilidade para receber recursos do Ministério da Saúde para construção e reforma de postos de saúde, hospitais e para a implementação de programas de saúde preventiva.</a:t>
          </a:fld>
          <a:endParaRPr lang="en-US" sz="11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12</xdr:col>
      <xdr:colOff>471830</xdr:colOff>
      <xdr:row>26</xdr:row>
      <xdr:rowOff>12205</xdr:rowOff>
    </xdr:from>
    <xdr:to>
      <xdr:col>14</xdr:col>
      <xdr:colOff>72230</xdr:colOff>
      <xdr:row>27</xdr:row>
      <xdr:rowOff>50742</xdr:rowOff>
    </xdr:to>
    <xdr:sp macro="" textlink="">
      <xdr:nvSpPr>
        <xdr:cNvPr id="38" name="Seta: para a Direita 37">
          <a:extLst>
            <a:ext uri="{FF2B5EF4-FFF2-40B4-BE49-F238E27FC236}">
              <a16:creationId xmlns:a16="http://schemas.microsoft.com/office/drawing/2014/main" id="{2D473C93-6A42-40F4-8A58-FF7296E3381F}"/>
            </a:ext>
          </a:extLst>
        </xdr:cNvPr>
        <xdr:cNvSpPr/>
      </xdr:nvSpPr>
      <xdr:spPr>
        <a:xfrm rot="8741477">
          <a:off x="8701430" y="5149355"/>
          <a:ext cx="972000" cy="216337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372959</xdr:colOff>
      <xdr:row>24</xdr:row>
      <xdr:rowOff>89218</xdr:rowOff>
    </xdr:from>
    <xdr:to>
      <xdr:col>4</xdr:col>
      <xdr:colOff>589296</xdr:colOff>
      <xdr:row>29</xdr:row>
      <xdr:rowOff>172218</xdr:rowOff>
    </xdr:to>
    <xdr:sp macro="" textlink="">
      <xdr:nvSpPr>
        <xdr:cNvPr id="39" name="Seta: para a Direita 38">
          <a:extLst>
            <a:ext uri="{FF2B5EF4-FFF2-40B4-BE49-F238E27FC236}">
              <a16:creationId xmlns:a16="http://schemas.microsoft.com/office/drawing/2014/main" id="{40FA12F5-9ADA-45A1-BEC5-A287C9131AA1}"/>
            </a:ext>
          </a:extLst>
        </xdr:cNvPr>
        <xdr:cNvSpPr/>
      </xdr:nvSpPr>
      <xdr:spPr>
        <a:xfrm rot="13690160">
          <a:off x="2738328" y="5248599"/>
          <a:ext cx="972000" cy="216337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500945</xdr:colOff>
      <xdr:row>6</xdr:row>
      <xdr:rowOff>112332</xdr:rowOff>
    </xdr:from>
    <xdr:to>
      <xdr:col>1</xdr:col>
      <xdr:colOff>650421</xdr:colOff>
      <xdr:row>10</xdr:row>
      <xdr:rowOff>158141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1C4FE576-066B-4773-B8AD-259CDE617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945" y="1685721"/>
          <a:ext cx="833865" cy="751364"/>
        </a:xfrm>
        <a:prstGeom prst="rect">
          <a:avLst/>
        </a:prstGeom>
      </xdr:spPr>
    </xdr:pic>
    <xdr:clientData/>
  </xdr:twoCellAnchor>
  <xdr:twoCellAnchor>
    <xdr:from>
      <xdr:col>2</xdr:col>
      <xdr:colOff>129430</xdr:colOff>
      <xdr:row>6</xdr:row>
      <xdr:rowOff>127006</xdr:rowOff>
    </xdr:from>
    <xdr:to>
      <xdr:col>3</xdr:col>
      <xdr:colOff>374255</xdr:colOff>
      <xdr:row>10</xdr:row>
      <xdr:rowOff>172815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FB43A4CC-21AF-4E6C-8AA6-DBE1A78ED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8208" y="1700395"/>
          <a:ext cx="929214" cy="7513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485775</xdr:colOff>
      <xdr:row>0</xdr:row>
      <xdr:rowOff>565150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11698-624C-4A51-BA50-E83ED5ABC06C}"/>
            </a:ext>
          </a:extLst>
        </xdr:cNvPr>
        <xdr:cNvGrpSpPr/>
      </xdr:nvGrpSpPr>
      <xdr:grpSpPr>
        <a:xfrm>
          <a:off x="0" y="0"/>
          <a:ext cx="1854553" cy="565150"/>
          <a:chOff x="3552825" y="2171700"/>
          <a:chExt cx="1895475" cy="561975"/>
        </a:xfrm>
      </xdr:grpSpPr>
      <xdr:sp macro="" textlink="">
        <xdr:nvSpPr>
          <xdr:cNvPr id="3" name="Retângulo 2">
            <a:extLst>
              <a:ext uri="{FF2B5EF4-FFF2-40B4-BE49-F238E27FC236}">
                <a16:creationId xmlns:a16="http://schemas.microsoft.com/office/drawing/2014/main" id="{C90A202D-4109-45BC-B78D-0512B5AF3B3B}"/>
              </a:ext>
            </a:extLst>
          </xdr:cNvPr>
          <xdr:cNvSpPr/>
        </xdr:nvSpPr>
        <xdr:spPr>
          <a:xfrm>
            <a:off x="3552825" y="2171700"/>
            <a:ext cx="1895475" cy="561975"/>
          </a:xfrm>
          <a:prstGeom prst="rect">
            <a:avLst/>
          </a:prstGeom>
          <a:gradFill>
            <a:gsLst>
              <a:gs pos="0">
                <a:schemeClr val="bg1"/>
              </a:gs>
              <a:gs pos="89000">
                <a:srgbClr val="FFCC29">
                  <a:alpha val="50000"/>
                </a:srgbClr>
              </a:gs>
              <a:gs pos="100000">
                <a:srgbClr val="FFCC29">
                  <a:alpha val="50000"/>
                </a:srgbClr>
              </a:gs>
            </a:gsLst>
            <a:lin ang="27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0AE7DE9E-A378-4041-9604-FF491FBFE55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-1261" t="29165" r="1261" b="28126"/>
          <a:stretch/>
        </xdr:blipFill>
        <xdr:spPr>
          <a:xfrm>
            <a:off x="3686175" y="2187575"/>
            <a:ext cx="1492250" cy="527050"/>
          </a:xfrm>
          <a:prstGeom prst="rect">
            <a:avLst/>
          </a:prstGeom>
        </xdr:spPr>
      </xdr:pic>
    </xdr:grpSp>
    <xdr:clientData/>
  </xdr:twoCellAnchor>
  <xdr:twoCellAnchor editAs="oneCell">
    <xdr:from>
      <xdr:col>13</xdr:col>
      <xdr:colOff>257176</xdr:colOff>
      <xdr:row>0</xdr:row>
      <xdr:rowOff>0</xdr:rowOff>
    </xdr:from>
    <xdr:to>
      <xdr:col>17</xdr:col>
      <xdr:colOff>342739</xdr:colOff>
      <xdr:row>1</xdr:row>
      <xdr:rowOff>63501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CDCE3E9-F261-43DA-8928-67F99E9452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08" t="30769" r="-2208" b="27473"/>
        <a:stretch/>
      </xdr:blipFill>
      <xdr:spPr>
        <a:xfrm>
          <a:off x="9172576" y="0"/>
          <a:ext cx="3501863" cy="63500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0</xdr:row>
      <xdr:rowOff>454</xdr:rowOff>
    </xdr:from>
    <xdr:to>
      <xdr:col>4</xdr:col>
      <xdr:colOff>30389</xdr:colOff>
      <xdr:row>0</xdr:row>
      <xdr:rowOff>568779</xdr:rowOff>
    </xdr:to>
    <xdr:grpSp>
      <xdr:nvGrpSpPr>
        <xdr:cNvPr id="6" name="Agrupar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CFFE86-E377-4188-9694-FAAA0063D6C0}"/>
            </a:ext>
          </a:extLst>
        </xdr:cNvPr>
        <xdr:cNvGrpSpPr/>
      </xdr:nvGrpSpPr>
      <xdr:grpSpPr>
        <a:xfrm>
          <a:off x="2053167" y="454"/>
          <a:ext cx="714778" cy="568325"/>
          <a:chOff x="1990594" y="-9022"/>
          <a:chExt cx="615017" cy="581025"/>
        </a:xfrm>
        <a:solidFill>
          <a:srgbClr val="FFCC29"/>
        </a:solidFill>
      </xdr:grpSpPr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326E3B91-F8CD-42AF-834B-33B0733934B6}"/>
              </a:ext>
            </a:extLst>
          </xdr:cNvPr>
          <xdr:cNvSpPr/>
        </xdr:nvSpPr>
        <xdr:spPr>
          <a:xfrm>
            <a:off x="1990594" y="-9022"/>
            <a:ext cx="615017" cy="5810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8" name="Imagem 7">
            <a:extLst>
              <a:ext uri="{FF2B5EF4-FFF2-40B4-BE49-F238E27FC236}">
                <a16:creationId xmlns:a16="http://schemas.microsoft.com/office/drawing/2014/main" id="{7C359B9C-C7C8-43DF-8DAA-ECBA9967969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BEBA8EAE-BF5A-486C-A8C5-ECC9F3942E4B}">
                <a14:imgProps xmlns:a14="http://schemas.microsoft.com/office/drawing/2010/main">
                  <a14:imgLayer r:embed="rId5">
                    <a14:imgEffect>
                      <a14:backgroundRemoval t="10000" b="90000" l="10000" r="90000">
                        <a14:foregroundMark x1="52252" y1="78333" x2="52252" y2="78333"/>
                        <a14:foregroundMark x1="62162" y1="68889" x2="62162" y2="68889"/>
                        <a14:foregroundMark x1="65165" y1="57222" x2="65165" y2="57222"/>
                        <a14:foregroundMark x1="65165" y1="40556" x2="65165" y2="40556"/>
                        <a14:foregroundMark x1="62763" y1="27222" x2="62763" y2="27222"/>
                        <a14:foregroundMark x1="46847" y1="22222" x2="46847" y2="22222"/>
                        <a14:foregroundMark x1="40841" y1="26667" x2="40841" y2="26667"/>
                        <a14:foregroundMark x1="47147" y1="76111" x2="47147" y2="76111"/>
                        <a14:foregroundMark x1="46847" y1="73889" x2="45646" y2="7277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l="28569" t="6871" r="29129" b="14812"/>
          <a:stretch/>
        </xdr:blipFill>
        <xdr:spPr>
          <a:xfrm>
            <a:off x="2168525" y="66674"/>
            <a:ext cx="281358" cy="276223"/>
          </a:xfrm>
          <a:prstGeom prst="rect">
            <a:avLst/>
          </a:prstGeom>
          <a:grpFill/>
        </xdr:spPr>
      </xdr:pic>
      <xdr:sp macro="" textlink="">
        <xdr:nvSpPr>
          <xdr:cNvPr id="9" name="CaixaDeTexto 8">
            <a:extLst>
              <a:ext uri="{FF2B5EF4-FFF2-40B4-BE49-F238E27FC236}">
                <a16:creationId xmlns:a16="http://schemas.microsoft.com/office/drawing/2014/main" id="{CA8D165C-0BC4-4548-8DB2-E60C5FFE7DFD}"/>
              </a:ext>
            </a:extLst>
          </xdr:cNvPr>
          <xdr:cNvSpPr txBox="1"/>
        </xdr:nvSpPr>
        <xdr:spPr>
          <a:xfrm>
            <a:off x="2009774" y="342900"/>
            <a:ext cx="587376" cy="2095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700" b="1">
                <a:latin typeface="Calibri" panose="020F0502020204030204" pitchFamily="34" charset="0"/>
                <a:cs typeface="Calibri" panose="020F0502020204030204" pitchFamily="34" charset="0"/>
              </a:rPr>
              <a:t>IDS</a:t>
            </a:r>
            <a:r>
              <a:rPr lang="pt-BR" sz="700" b="1" baseline="0">
                <a:latin typeface="Calibri" panose="020F0502020204030204" pitchFamily="34" charset="0"/>
                <a:cs typeface="Calibri" panose="020F0502020204030204" pitchFamily="34" charset="0"/>
              </a:rPr>
              <a:t> e ODS</a:t>
            </a:r>
            <a:endParaRPr lang="pt-BR" sz="700" b="1"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</xdr:grpSp>
    <xdr:clientData/>
  </xdr:twoCellAnchor>
  <xdr:twoCellAnchor>
    <xdr:from>
      <xdr:col>5</xdr:col>
      <xdr:colOff>138567</xdr:colOff>
      <xdr:row>0</xdr:row>
      <xdr:rowOff>0</xdr:rowOff>
    </xdr:from>
    <xdr:to>
      <xdr:col>6</xdr:col>
      <xdr:colOff>154542</xdr:colOff>
      <xdr:row>1</xdr:row>
      <xdr:rowOff>0</xdr:rowOff>
    </xdr:to>
    <xdr:grpSp>
      <xdr:nvGrpSpPr>
        <xdr:cNvPr id="10" name="Agrupar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73C8235-DDF1-4E01-BAD7-6B2BFE6B4B35}"/>
            </a:ext>
          </a:extLst>
        </xdr:cNvPr>
        <xdr:cNvGrpSpPr/>
      </xdr:nvGrpSpPr>
      <xdr:grpSpPr>
        <a:xfrm>
          <a:off x="3560511" y="0"/>
          <a:ext cx="700364" cy="571500"/>
          <a:chOff x="3551239" y="0"/>
          <a:chExt cx="703135" cy="571500"/>
        </a:xfrm>
        <a:solidFill>
          <a:srgbClr val="FFCC29"/>
        </a:solidFill>
      </xdr:grpSpPr>
      <xdr:grpSp>
        <xdr:nvGrpSpPr>
          <xdr:cNvPr id="11" name="Agrupar 10">
            <a:extLst>
              <a:ext uri="{FF2B5EF4-FFF2-40B4-BE49-F238E27FC236}">
                <a16:creationId xmlns:a16="http://schemas.microsoft.com/office/drawing/2014/main" id="{D760070E-2A15-4D91-B836-A46B6DAB9988}"/>
              </a:ext>
            </a:extLst>
          </xdr:cNvPr>
          <xdr:cNvGrpSpPr/>
        </xdr:nvGrpSpPr>
        <xdr:grpSpPr>
          <a:xfrm>
            <a:off x="3551239" y="0"/>
            <a:ext cx="703135" cy="571500"/>
            <a:chOff x="2015062" y="0"/>
            <a:chExt cx="615017" cy="581025"/>
          </a:xfrm>
          <a:grpFill/>
        </xdr:grpSpPr>
        <xdr:sp macro="" textlink="">
          <xdr:nvSpPr>
            <xdr:cNvPr id="13" name="Retângulo 12">
              <a:extLst>
                <a:ext uri="{FF2B5EF4-FFF2-40B4-BE49-F238E27FC236}">
                  <a16:creationId xmlns:a16="http://schemas.microsoft.com/office/drawing/2014/main" id="{F41745FC-064A-420A-9E24-A19219E4A1CF}"/>
                </a:ext>
              </a:extLst>
            </xdr:cNvPr>
            <xdr:cNvSpPr/>
          </xdr:nvSpPr>
          <xdr:spPr>
            <a:xfrm>
              <a:off x="2015062" y="0"/>
              <a:ext cx="615017" cy="581025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E957F4C9-D1E4-4E09-AE60-C3F699E45137}"/>
                </a:ext>
              </a:extLst>
            </xdr:cNvPr>
            <xdr:cNvSpPr txBox="1"/>
          </xdr:nvSpPr>
          <xdr:spPr>
            <a:xfrm>
              <a:off x="2024779" y="387351"/>
              <a:ext cx="599855" cy="145255"/>
            </a:xfrm>
            <a:prstGeom prst="rect">
              <a:avLst/>
            </a:prstGeom>
            <a:grpFill/>
            <a:ln w="9525" cmpd="sng">
              <a:noFill/>
            </a:ln>
            <a:effectLst>
              <a:softEdge rad="12700"/>
            </a:effec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600" b="1">
                  <a:latin typeface="Calibri" panose="020F0502020204030204" pitchFamily="34" charset="0"/>
                  <a:cs typeface="Calibri" panose="020F0502020204030204" pitchFamily="34" charset="0"/>
                </a:rPr>
                <a:t>COMPARATIVO</a:t>
              </a:r>
              <a:endParaRPr lang="pt-BR" sz="700" b="1">
                <a:latin typeface="Calibri" panose="020F0502020204030204" pitchFamily="34" charset="0"/>
                <a:cs typeface="Calibri" panose="020F0502020204030204" pitchFamily="34" charset="0"/>
              </a:endParaRPr>
            </a:p>
          </xdr:txBody>
        </xdr:sp>
      </xdr:grpSp>
      <xdr:pic>
        <xdr:nvPicPr>
          <xdr:cNvPr id="12" name="Imagem 11">
            <a:extLst>
              <a:ext uri="{FF2B5EF4-FFF2-40B4-BE49-F238E27FC236}">
                <a16:creationId xmlns:a16="http://schemas.microsoft.com/office/drawing/2014/main" id="{014D7B3C-599B-4F02-BC40-664AE3EFB5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52850" y="47625"/>
            <a:ext cx="314325" cy="314325"/>
          </a:xfrm>
          <a:prstGeom prst="rect">
            <a:avLst/>
          </a:prstGeom>
          <a:grpFill/>
        </xdr:spPr>
      </xdr:pic>
    </xdr:grpSp>
    <xdr:clientData/>
  </xdr:twoCellAnchor>
  <xdr:twoCellAnchor>
    <xdr:from>
      <xdr:col>4</xdr:col>
      <xdr:colOff>70085</xdr:colOff>
      <xdr:row>0</xdr:row>
      <xdr:rowOff>0</xdr:rowOff>
    </xdr:from>
    <xdr:to>
      <xdr:col>5</xdr:col>
      <xdr:colOff>98879</xdr:colOff>
      <xdr:row>1</xdr:row>
      <xdr:rowOff>0</xdr:rowOff>
    </xdr:to>
    <xdr:grpSp>
      <xdr:nvGrpSpPr>
        <xdr:cNvPr id="15" name="Agrupar 1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17D82BF-B3A7-45BF-89A2-981E1BC266EB}"/>
            </a:ext>
          </a:extLst>
        </xdr:cNvPr>
        <xdr:cNvGrpSpPr/>
      </xdr:nvGrpSpPr>
      <xdr:grpSpPr>
        <a:xfrm>
          <a:off x="2807641" y="0"/>
          <a:ext cx="713182" cy="571500"/>
          <a:chOff x="2808296" y="0"/>
          <a:chExt cx="703255" cy="571500"/>
        </a:xfrm>
        <a:solidFill>
          <a:srgbClr val="FFCC29"/>
        </a:solidFill>
      </xdr:grpSpPr>
      <xdr:grpSp>
        <xdr:nvGrpSpPr>
          <xdr:cNvPr id="16" name="Agrupar 15">
            <a:extLst>
              <a:ext uri="{FF2B5EF4-FFF2-40B4-BE49-F238E27FC236}">
                <a16:creationId xmlns:a16="http://schemas.microsoft.com/office/drawing/2014/main" id="{3061F4E3-FCEE-44E3-B6FD-49E22FB128D1}"/>
              </a:ext>
            </a:extLst>
          </xdr:cNvPr>
          <xdr:cNvGrpSpPr/>
        </xdr:nvGrpSpPr>
        <xdr:grpSpPr>
          <a:xfrm>
            <a:off x="2808296" y="0"/>
            <a:ext cx="703255" cy="571500"/>
            <a:chOff x="2015062" y="0"/>
            <a:chExt cx="615017" cy="581025"/>
          </a:xfrm>
          <a:grpFill/>
        </xdr:grpSpPr>
        <xdr:sp macro="" textlink="">
          <xdr:nvSpPr>
            <xdr:cNvPr id="18" name="Retângulo 17">
              <a:extLst>
                <a:ext uri="{FF2B5EF4-FFF2-40B4-BE49-F238E27FC236}">
                  <a16:creationId xmlns:a16="http://schemas.microsoft.com/office/drawing/2014/main" id="{2D9A4258-E7F5-4DE0-8700-8BD13AFD74C9}"/>
                </a:ext>
              </a:extLst>
            </xdr:cNvPr>
            <xdr:cNvSpPr/>
          </xdr:nvSpPr>
          <xdr:spPr>
            <a:xfrm>
              <a:off x="2015062" y="0"/>
              <a:ext cx="615017" cy="581025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6135355A-8545-49D6-8E0B-4FB2D2B25229}"/>
                </a:ext>
              </a:extLst>
            </xdr:cNvPr>
            <xdr:cNvSpPr txBox="1"/>
          </xdr:nvSpPr>
          <xdr:spPr>
            <a:xfrm>
              <a:off x="2021497" y="363951"/>
              <a:ext cx="587376" cy="209550"/>
            </a:xfrm>
            <a:prstGeom prst="rect">
              <a:avLst/>
            </a:prstGeom>
            <a:grpFill/>
            <a:ln w="9525" cmpd="sng">
              <a:noFill/>
            </a:ln>
            <a:effectLst>
              <a:softEdge rad="12700"/>
            </a:effec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600" b="1">
                  <a:latin typeface="Calibri" panose="020F0502020204030204" pitchFamily="34" charset="0"/>
                  <a:cs typeface="Calibri" panose="020F0502020204030204" pitchFamily="34" charset="0"/>
                </a:rPr>
                <a:t>DASHBOARD</a:t>
              </a:r>
              <a:endParaRPr lang="pt-BR" sz="700" b="1">
                <a:latin typeface="Calibri" panose="020F0502020204030204" pitchFamily="34" charset="0"/>
                <a:cs typeface="Calibri" panose="020F0502020204030204" pitchFamily="34" charset="0"/>
              </a:endParaRPr>
            </a:p>
          </xdr:txBody>
        </xdr:sp>
      </xdr:grpSp>
      <xdr:pic>
        <xdr:nvPicPr>
          <xdr:cNvPr id="17" name="Imagem 16">
            <a:extLst>
              <a:ext uri="{FF2B5EF4-FFF2-40B4-BE49-F238E27FC236}">
                <a16:creationId xmlns:a16="http://schemas.microsoft.com/office/drawing/2014/main" id="{CC1A5AEC-2651-4686-B2F4-EDA44336421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sharpenSoften amount="-100000"/>
                    </a14:imgEffect>
                    <a14:imgEffect>
                      <a14:brightnessContrast bright="-100000" contrast="12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88450" y="54750"/>
            <a:ext cx="360000" cy="360000"/>
          </a:xfrm>
          <a:prstGeom prst="rect">
            <a:avLst/>
          </a:prstGeom>
          <a:grpFill/>
        </xdr:spPr>
      </xdr:pic>
    </xdr:grp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501650</xdr:colOff>
      <xdr:row>0</xdr:row>
      <xdr:rowOff>570533</xdr:rowOff>
    </xdr:to>
    <xdr:grpSp>
      <xdr:nvGrpSpPr>
        <xdr:cNvPr id="20" name="Agrupar 1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79A64F0-896D-4264-A35A-B214C555DE99}"/>
            </a:ext>
          </a:extLst>
        </xdr:cNvPr>
        <xdr:cNvGrpSpPr/>
      </xdr:nvGrpSpPr>
      <xdr:grpSpPr>
        <a:xfrm>
          <a:off x="5475111" y="0"/>
          <a:ext cx="1186039" cy="570533"/>
          <a:chOff x="5569357" y="6421"/>
          <a:chExt cx="1200150" cy="576943"/>
        </a:xfrm>
        <a:gradFill>
          <a:gsLst>
            <a:gs pos="0">
              <a:srgbClr val="FFCC29"/>
            </a:gs>
            <a:gs pos="74000">
              <a:schemeClr val="bg1"/>
            </a:gs>
            <a:gs pos="39000">
              <a:srgbClr val="FFCC29"/>
            </a:gs>
            <a:gs pos="21000">
              <a:srgbClr val="FFCC29"/>
            </a:gs>
          </a:gsLst>
          <a:lin ang="5400000" scaled="1"/>
        </a:gradFill>
      </xdr:grpSpPr>
      <xdr:sp macro="" textlink="">
        <xdr:nvSpPr>
          <xdr:cNvPr id="21" name="Retângulo 20">
            <a:extLst>
              <a:ext uri="{FF2B5EF4-FFF2-40B4-BE49-F238E27FC236}">
                <a16:creationId xmlns:a16="http://schemas.microsoft.com/office/drawing/2014/main" id="{0572B42C-BD01-42CA-AAC7-085C04D83271}"/>
              </a:ext>
            </a:extLst>
          </xdr:cNvPr>
          <xdr:cNvSpPr/>
        </xdr:nvSpPr>
        <xdr:spPr>
          <a:xfrm>
            <a:off x="5569357" y="6421"/>
            <a:ext cx="1200150" cy="571500"/>
          </a:xfrm>
          <a:prstGeom prst="rect">
            <a:avLst/>
          </a:prstGeom>
          <a:grp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2" name="CaixaDeTexto 21">
            <a:extLst>
              <a:ext uri="{FF2B5EF4-FFF2-40B4-BE49-F238E27FC236}">
                <a16:creationId xmlns:a16="http://schemas.microsoft.com/office/drawing/2014/main" id="{9070BE94-A42A-444C-9932-3BF5D43BA0F6}"/>
              </a:ext>
            </a:extLst>
          </xdr:cNvPr>
          <xdr:cNvSpPr txBox="1"/>
        </xdr:nvSpPr>
        <xdr:spPr>
          <a:xfrm>
            <a:off x="5819654" y="391702"/>
            <a:ext cx="731643" cy="191662"/>
          </a:xfrm>
          <a:prstGeom prst="rect">
            <a:avLst/>
          </a:prstGeom>
          <a:noFill/>
          <a:ln w="3175" cmpd="sng">
            <a:noFill/>
          </a:ln>
          <a:effectLst>
            <a:softEdge rad="12700"/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Calibri" panose="020F0502020204030204" pitchFamily="34" charset="0"/>
                <a:cs typeface="Calibri" panose="020F0502020204030204" pitchFamily="34" charset="0"/>
              </a:rPr>
              <a:t>EIXOS</a:t>
            </a:r>
            <a:r>
              <a:rPr lang="pt-BR" sz="800" b="1" baseline="0">
                <a:latin typeface="Calibri" panose="020F0502020204030204" pitchFamily="34" charset="0"/>
                <a:cs typeface="Calibri" panose="020F0502020204030204" pitchFamily="34" charset="0"/>
              </a:rPr>
              <a:t> WELL</a:t>
            </a:r>
            <a:endParaRPr lang="pt-BR" sz="800" b="1"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  <xdr:pic>
        <xdr:nvPicPr>
          <xdr:cNvPr id="23" name="Imagem 22">
            <a:extLst>
              <a:ext uri="{FF2B5EF4-FFF2-40B4-BE49-F238E27FC236}">
                <a16:creationId xmlns:a16="http://schemas.microsoft.com/office/drawing/2014/main" id="{0392FDA7-ADDD-41D8-A888-6122C3253F2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01700" y="69453"/>
            <a:ext cx="316719" cy="316719"/>
          </a:xfrm>
          <a:prstGeom prst="rect">
            <a:avLst/>
          </a:prstGeom>
          <a:grpFill/>
          <a:ln w="3175">
            <a:noFill/>
          </a:ln>
        </xdr:spPr>
      </xdr:pic>
    </xdr:grpSp>
    <xdr:clientData/>
  </xdr:twoCellAnchor>
  <xdr:oneCellAnchor>
    <xdr:from>
      <xdr:col>1</xdr:col>
      <xdr:colOff>673100</xdr:colOff>
      <xdr:row>4</xdr:row>
      <xdr:rowOff>120650</xdr:rowOff>
    </xdr:from>
    <xdr:ext cx="184731" cy="264560"/>
    <xdr:sp macro="" textlink="">
      <xdr:nvSpPr>
        <xdr:cNvPr id="24" name="CaixaDeTexto 23">
          <a:extLst>
            <a:ext uri="{FF2B5EF4-FFF2-40B4-BE49-F238E27FC236}">
              <a16:creationId xmlns:a16="http://schemas.microsoft.com/office/drawing/2014/main" id="{E5525B1A-9CC7-4AFD-A422-FBC94D85E18E}"/>
            </a:ext>
          </a:extLst>
        </xdr:cNvPr>
        <xdr:cNvSpPr txBox="1"/>
      </xdr:nvSpPr>
      <xdr:spPr>
        <a:xfrm>
          <a:off x="1358900" y="134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0</xdr:col>
      <xdr:colOff>63501</xdr:colOff>
      <xdr:row>0</xdr:row>
      <xdr:rowOff>561975</xdr:rowOff>
    </xdr:from>
    <xdr:to>
      <xdr:col>1</xdr:col>
      <xdr:colOff>85725</xdr:colOff>
      <xdr:row>1</xdr:row>
      <xdr:rowOff>276225</xdr:rowOff>
    </xdr:to>
    <xdr:grpSp>
      <xdr:nvGrpSpPr>
        <xdr:cNvPr id="25" name="Agrupar 2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98CA6E8-C4FA-4BFC-83D2-ABFA1C21DAF4}"/>
            </a:ext>
          </a:extLst>
        </xdr:cNvPr>
        <xdr:cNvGrpSpPr/>
      </xdr:nvGrpSpPr>
      <xdr:grpSpPr>
        <a:xfrm>
          <a:off x="63501" y="561975"/>
          <a:ext cx="706613" cy="285750"/>
          <a:chOff x="63501" y="561975"/>
          <a:chExt cx="708024" cy="285750"/>
        </a:xfrm>
      </xdr:grpSpPr>
      <xdr:pic>
        <xdr:nvPicPr>
          <xdr:cNvPr id="26" name="Imagem 25">
            <a:extLst>
              <a:ext uri="{FF2B5EF4-FFF2-40B4-BE49-F238E27FC236}">
                <a16:creationId xmlns:a16="http://schemas.microsoft.com/office/drawing/2014/main" id="{115890AE-0D99-4926-9FE9-FF081A04142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501" y="589777"/>
            <a:ext cx="247649" cy="247812"/>
          </a:xfrm>
          <a:prstGeom prst="rect">
            <a:avLst/>
          </a:prstGeom>
        </xdr:spPr>
      </xdr:pic>
      <xdr:sp macro="" textlink="">
        <xdr:nvSpPr>
          <xdr:cNvPr id="27" name="CaixaDeTexto 26">
            <a:extLst>
              <a:ext uri="{FF2B5EF4-FFF2-40B4-BE49-F238E27FC236}">
                <a16:creationId xmlns:a16="http://schemas.microsoft.com/office/drawing/2014/main" id="{50AB1B33-4847-437C-86F2-E0D59006B749}"/>
              </a:ext>
            </a:extLst>
          </xdr:cNvPr>
          <xdr:cNvSpPr txBox="1"/>
        </xdr:nvSpPr>
        <xdr:spPr>
          <a:xfrm>
            <a:off x="196850" y="561975"/>
            <a:ext cx="57467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500">
                <a:latin typeface="Arial Black" panose="020B0A04020102020204" pitchFamily="34" charset="0"/>
              </a:rPr>
              <a:t>VOLTAR</a:t>
            </a:r>
            <a:r>
              <a:rPr lang="pt-BR" sz="500" baseline="0">
                <a:latin typeface="Arial Black" panose="020B0A04020102020204" pitchFamily="34" charset="0"/>
              </a:rPr>
              <a:t> EIXOS</a:t>
            </a:r>
            <a:endParaRPr lang="pt-BR" sz="500">
              <a:latin typeface="Arial Black" panose="020B0A04020102020204" pitchFamily="34" charset="0"/>
            </a:endParaRPr>
          </a:p>
        </xdr:txBody>
      </xdr:sp>
    </xdr:grpSp>
    <xdr:clientData/>
  </xdr:twoCellAnchor>
  <xdr:twoCellAnchor>
    <xdr:from>
      <xdr:col>3</xdr:col>
      <xdr:colOff>323850</xdr:colOff>
      <xdr:row>2</xdr:row>
      <xdr:rowOff>152400</xdr:rowOff>
    </xdr:from>
    <xdr:to>
      <xdr:col>15</xdr:col>
      <xdr:colOff>533400</xdr:colOff>
      <xdr:row>8</xdr:row>
      <xdr:rowOff>0</xdr:rowOff>
    </xdr:to>
    <xdr:sp macro="" textlink="'Dados Tabela Din'!B206">
      <xdr:nvSpPr>
        <xdr:cNvPr id="28" name="Retângulo: Cantos Arredondados 27">
          <a:extLst>
            <a:ext uri="{FF2B5EF4-FFF2-40B4-BE49-F238E27FC236}">
              <a16:creationId xmlns:a16="http://schemas.microsoft.com/office/drawing/2014/main" id="{F210F522-EAC5-418C-B4A4-F1162723EFF3}"/>
            </a:ext>
          </a:extLst>
        </xdr:cNvPr>
        <xdr:cNvSpPr/>
      </xdr:nvSpPr>
      <xdr:spPr>
        <a:xfrm>
          <a:off x="2381250" y="1022350"/>
          <a:ext cx="8439150" cy="914400"/>
        </a:xfrm>
        <a:prstGeom prst="round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57C4BAC4-088F-4058-B103-2C0357B07834}" type="TxLink">
            <a:rPr lang="en-US" sz="2800" b="1" i="0" u="none" strike="noStrike">
              <a:solidFill>
                <a:srgbClr val="000000"/>
              </a:solidFill>
              <a:latin typeface="Aptos Narrow"/>
            </a:rPr>
            <a:pPr algn="ctr"/>
            <a:t>Meio Ambiente e Sustentabilidade</a:t>
          </a:fld>
          <a:endParaRPr lang="pt-BR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95250</xdr:colOff>
      <xdr:row>15</xdr:row>
      <xdr:rowOff>114299</xdr:rowOff>
    </xdr:from>
    <xdr:to>
      <xdr:col>4</xdr:col>
      <xdr:colOff>561975</xdr:colOff>
      <xdr:row>20</xdr:row>
      <xdr:rowOff>158750</xdr:rowOff>
    </xdr:to>
    <xdr:sp macro="" textlink="'Dados Tabela Din'!C202">
      <xdr:nvSpPr>
        <xdr:cNvPr id="29" name="Retângulo: Cantos Arredondados 28">
          <a:extLst>
            <a:ext uri="{FF2B5EF4-FFF2-40B4-BE49-F238E27FC236}">
              <a16:creationId xmlns:a16="http://schemas.microsoft.com/office/drawing/2014/main" id="{07F983F5-1B50-4D0D-AFF0-1CA69BD83DAA}"/>
            </a:ext>
          </a:extLst>
        </xdr:cNvPr>
        <xdr:cNvSpPr/>
      </xdr:nvSpPr>
      <xdr:spPr>
        <a:xfrm>
          <a:off x="1466850" y="3295649"/>
          <a:ext cx="1838325" cy="933451"/>
        </a:xfrm>
        <a:prstGeom prst="roundRect">
          <a:avLst/>
        </a:prstGeom>
        <a:solidFill>
          <a:schemeClr val="bg1"/>
        </a:solidFill>
        <a:effectLst>
          <a:glow rad="63500">
            <a:schemeClr val="accent1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EADFC572-E199-40F2-92B1-11C3E78FDDDA}" type="TxLink">
            <a:rPr lang="en-US" sz="1100" b="1" i="0" u="none" strike="noStrike">
              <a:solidFill>
                <a:srgbClr val="000000"/>
              </a:solidFill>
              <a:latin typeface="Aptos Narrow"/>
            </a:rPr>
            <a:pPr algn="ctr"/>
            <a:t>Aumento da arrecadação, dinamismo econômico, redução da desigualdade e fixação de talentos locais.</a:t>
          </a:fld>
          <a:endParaRPr lang="pt-BR" sz="1100" b="1"/>
        </a:p>
      </xdr:txBody>
    </xdr:sp>
    <xdr:clientData/>
  </xdr:twoCellAnchor>
  <xdr:twoCellAnchor>
    <xdr:from>
      <xdr:col>5</xdr:col>
      <xdr:colOff>301625</xdr:colOff>
      <xdr:row>17</xdr:row>
      <xdr:rowOff>139700</xdr:rowOff>
    </xdr:from>
    <xdr:to>
      <xdr:col>5</xdr:col>
      <xdr:colOff>619125</xdr:colOff>
      <xdr:row>18</xdr:row>
      <xdr:rowOff>158750</xdr:rowOff>
    </xdr:to>
    <xdr:sp macro="" textlink="">
      <xdr:nvSpPr>
        <xdr:cNvPr id="30" name="Seta: para a Direita 29">
          <a:extLst>
            <a:ext uri="{FF2B5EF4-FFF2-40B4-BE49-F238E27FC236}">
              <a16:creationId xmlns:a16="http://schemas.microsoft.com/office/drawing/2014/main" id="{343DDC16-F90B-48E2-AEF0-AF0E3190FB89}"/>
            </a:ext>
          </a:extLst>
        </xdr:cNvPr>
        <xdr:cNvSpPr/>
      </xdr:nvSpPr>
      <xdr:spPr>
        <a:xfrm>
          <a:off x="3730625" y="3676650"/>
          <a:ext cx="317500" cy="19685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304799</xdr:colOff>
      <xdr:row>15</xdr:row>
      <xdr:rowOff>104774</xdr:rowOff>
    </xdr:from>
    <xdr:to>
      <xdr:col>11</xdr:col>
      <xdr:colOff>276224</xdr:colOff>
      <xdr:row>20</xdr:row>
      <xdr:rowOff>149225</xdr:rowOff>
    </xdr:to>
    <xdr:sp macro="" textlink="'Dados Tabela Din'!H202">
      <xdr:nvSpPr>
        <xdr:cNvPr id="31" name="Retângulo: Cantos Arredondados 30">
          <a:extLst>
            <a:ext uri="{FF2B5EF4-FFF2-40B4-BE49-F238E27FC236}">
              <a16:creationId xmlns:a16="http://schemas.microsoft.com/office/drawing/2014/main" id="{EDAC6648-97A0-4DC0-9FC3-5C8EEA53E42E}"/>
            </a:ext>
          </a:extLst>
        </xdr:cNvPr>
        <xdr:cNvSpPr/>
      </xdr:nvSpPr>
      <xdr:spPr>
        <a:xfrm>
          <a:off x="4419599" y="3286124"/>
          <a:ext cx="3400425" cy="933451"/>
        </a:xfrm>
        <a:prstGeom prst="roundRect">
          <a:avLst/>
        </a:prstGeom>
        <a:solidFill>
          <a:schemeClr val="bg1"/>
        </a:solidFill>
        <a:effectLst>
          <a:glow rad="63500">
            <a:schemeClr val="accent1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96C71B49-1FF6-4C29-B6B6-B7C748145345}" type="TxLink"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pPr algn="ctr"/>
            <a:t>Um município só pode se desenvolver se sua base econômica for forte e inclusiva, gerando riqueza, autonomia para os cidadãos e recursos para investir em outras áreas.</a:t>
          </a:fld>
          <a:endParaRPr lang="pt-BR" sz="1100" b="1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18</xdr:col>
      <xdr:colOff>0</xdr:colOff>
      <xdr:row>7</xdr:row>
      <xdr:rowOff>28575</xdr:rowOff>
    </xdr:from>
    <xdr:to>
      <xdr:col>18</xdr:col>
      <xdr:colOff>0</xdr:colOff>
      <xdr:row>11</xdr:row>
      <xdr:rowOff>40079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A5AFC216-AE92-4525-BED4-E8BE62B3A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17500" y="1787525"/>
          <a:ext cx="0" cy="722704"/>
        </a:xfrm>
        <a:prstGeom prst="rect">
          <a:avLst/>
        </a:prstGeom>
      </xdr:spPr>
    </xdr:pic>
    <xdr:clientData/>
  </xdr:twoCellAnchor>
  <xdr:twoCellAnchor>
    <xdr:from>
      <xdr:col>12</xdr:col>
      <xdr:colOff>15875</xdr:colOff>
      <xdr:row>17</xdr:row>
      <xdr:rowOff>142875</xdr:rowOff>
    </xdr:from>
    <xdr:to>
      <xdr:col>12</xdr:col>
      <xdr:colOff>330200</xdr:colOff>
      <xdr:row>18</xdr:row>
      <xdr:rowOff>161925</xdr:rowOff>
    </xdr:to>
    <xdr:sp macro="" textlink="">
      <xdr:nvSpPr>
        <xdr:cNvPr id="35" name="Seta: para a Direita 34">
          <a:extLst>
            <a:ext uri="{FF2B5EF4-FFF2-40B4-BE49-F238E27FC236}">
              <a16:creationId xmlns:a16="http://schemas.microsoft.com/office/drawing/2014/main" id="{05F457EC-FBB8-4541-92DC-68252E14144B}"/>
            </a:ext>
          </a:extLst>
        </xdr:cNvPr>
        <xdr:cNvSpPr/>
      </xdr:nvSpPr>
      <xdr:spPr>
        <a:xfrm>
          <a:off x="8245475" y="3679825"/>
          <a:ext cx="314325" cy="19685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38099</xdr:colOff>
      <xdr:row>14</xdr:row>
      <xdr:rowOff>152398</xdr:rowOff>
    </xdr:from>
    <xdr:to>
      <xdr:col>15</xdr:col>
      <xdr:colOff>654050</xdr:colOff>
      <xdr:row>21</xdr:row>
      <xdr:rowOff>133349</xdr:rowOff>
    </xdr:to>
    <xdr:sp macro="" textlink="">
      <xdr:nvSpPr>
        <xdr:cNvPr id="36" name="Retângulo: Cantos Arredondados 35">
          <a:extLst>
            <a:ext uri="{FF2B5EF4-FFF2-40B4-BE49-F238E27FC236}">
              <a16:creationId xmlns:a16="http://schemas.microsoft.com/office/drawing/2014/main" id="{0FF2621A-A971-4DD2-A9FB-E0BF1F61A122}"/>
            </a:ext>
          </a:extLst>
        </xdr:cNvPr>
        <xdr:cNvSpPr/>
      </xdr:nvSpPr>
      <xdr:spPr>
        <a:xfrm>
          <a:off x="8953499" y="3155948"/>
          <a:ext cx="1987551" cy="1225551"/>
        </a:xfrm>
        <a:prstGeom prst="roundRect">
          <a:avLst/>
        </a:prstGeom>
        <a:solidFill>
          <a:srgbClr val="FFCC29"/>
        </a:solidFill>
        <a:effectLst>
          <a:glow rad="63500">
            <a:schemeClr val="accent1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 u="none" strike="noStrike" baseline="0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Ações estratégicas através do MÉTODO WELL, com base nos dados do Município para trazer soluções específicas.</a:t>
          </a:r>
        </a:p>
      </xdr:txBody>
    </xdr:sp>
    <xdr:clientData/>
  </xdr:twoCellAnchor>
  <xdr:twoCellAnchor>
    <xdr:from>
      <xdr:col>6</xdr:col>
      <xdr:colOff>215900</xdr:colOff>
      <xdr:row>28</xdr:row>
      <xdr:rowOff>88899</xdr:rowOff>
    </xdr:from>
    <xdr:to>
      <xdr:col>11</xdr:col>
      <xdr:colOff>82550</xdr:colOff>
      <xdr:row>33</xdr:row>
      <xdr:rowOff>133350</xdr:rowOff>
    </xdr:to>
    <xdr:sp macro="" textlink="'Dados Tabela Din'!J206">
      <xdr:nvSpPr>
        <xdr:cNvPr id="37" name="Retângulo: Cantos Arredondados 36">
          <a:extLst>
            <a:ext uri="{FF2B5EF4-FFF2-40B4-BE49-F238E27FC236}">
              <a16:creationId xmlns:a16="http://schemas.microsoft.com/office/drawing/2014/main" id="{BD127D05-85F8-427A-8819-5C2FE79E6212}"/>
            </a:ext>
          </a:extLst>
        </xdr:cNvPr>
        <xdr:cNvSpPr/>
      </xdr:nvSpPr>
      <xdr:spPr>
        <a:xfrm>
          <a:off x="4330700" y="5581649"/>
          <a:ext cx="3295650" cy="933451"/>
        </a:xfrm>
        <a:prstGeom prst="roundRect">
          <a:avLst/>
        </a:prstGeom>
        <a:solidFill>
          <a:schemeClr val="bg1"/>
        </a:solidFill>
        <a:effectLst>
          <a:glow rad="63500">
            <a:schemeClr val="accent1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A5B53285-1217-48E8-BC9E-A31AF76844EF}" type="TxLink"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pPr algn="ctr"/>
            <a:t>Acesso a fundos de desenvolvimento urbano para financiar a criação de um "Plano Diretor Cicloviário", com apoio técnico de ONGs especializadas em mobilidade ativa.</a:t>
          </a:fld>
          <a:endParaRPr lang="en-US" sz="11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12</xdr:col>
      <xdr:colOff>471830</xdr:colOff>
      <xdr:row>26</xdr:row>
      <xdr:rowOff>12205</xdr:rowOff>
    </xdr:from>
    <xdr:to>
      <xdr:col>14</xdr:col>
      <xdr:colOff>72230</xdr:colOff>
      <xdr:row>27</xdr:row>
      <xdr:rowOff>50742</xdr:rowOff>
    </xdr:to>
    <xdr:sp macro="" textlink="">
      <xdr:nvSpPr>
        <xdr:cNvPr id="38" name="Seta: para a Direita 37">
          <a:extLst>
            <a:ext uri="{FF2B5EF4-FFF2-40B4-BE49-F238E27FC236}">
              <a16:creationId xmlns:a16="http://schemas.microsoft.com/office/drawing/2014/main" id="{67FCD4E6-AAE7-4AE9-A9B3-F8AA2FA1ED8C}"/>
            </a:ext>
          </a:extLst>
        </xdr:cNvPr>
        <xdr:cNvSpPr/>
      </xdr:nvSpPr>
      <xdr:spPr>
        <a:xfrm rot="8741477">
          <a:off x="8701430" y="5149355"/>
          <a:ext cx="972000" cy="216337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372959</xdr:colOff>
      <xdr:row>24</xdr:row>
      <xdr:rowOff>89218</xdr:rowOff>
    </xdr:from>
    <xdr:to>
      <xdr:col>4</xdr:col>
      <xdr:colOff>589296</xdr:colOff>
      <xdr:row>29</xdr:row>
      <xdr:rowOff>172218</xdr:rowOff>
    </xdr:to>
    <xdr:sp macro="" textlink="">
      <xdr:nvSpPr>
        <xdr:cNvPr id="39" name="Seta: para a Direita 38">
          <a:extLst>
            <a:ext uri="{FF2B5EF4-FFF2-40B4-BE49-F238E27FC236}">
              <a16:creationId xmlns:a16="http://schemas.microsoft.com/office/drawing/2014/main" id="{C34EF278-BF9D-4041-B20A-085D9608EF69}"/>
            </a:ext>
          </a:extLst>
        </xdr:cNvPr>
        <xdr:cNvSpPr/>
      </xdr:nvSpPr>
      <xdr:spPr>
        <a:xfrm rot="13690160">
          <a:off x="2738328" y="5248599"/>
          <a:ext cx="972000" cy="216337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493889</xdr:colOff>
      <xdr:row>6</xdr:row>
      <xdr:rowOff>91722</xdr:rowOff>
    </xdr:from>
    <xdr:to>
      <xdr:col>2</xdr:col>
      <xdr:colOff>55102</xdr:colOff>
      <xdr:row>10</xdr:row>
      <xdr:rowOff>130962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6374E723-32E3-4B5F-9772-0AADCA54C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889" y="1665111"/>
          <a:ext cx="929991" cy="744795"/>
        </a:xfrm>
        <a:prstGeom prst="rect">
          <a:avLst/>
        </a:prstGeom>
      </xdr:spPr>
    </xdr:pic>
    <xdr:clientData/>
  </xdr:twoCellAnchor>
  <xdr:twoCellAnchor>
    <xdr:from>
      <xdr:col>2</xdr:col>
      <xdr:colOff>194367</xdr:colOff>
      <xdr:row>6</xdr:row>
      <xdr:rowOff>94751</xdr:rowOff>
    </xdr:from>
    <xdr:to>
      <xdr:col>3</xdr:col>
      <xdr:colOff>437136</xdr:colOff>
      <xdr:row>10</xdr:row>
      <xdr:rowOff>133991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A9BD424D-8FD7-43AC-B9FB-6F8A2B436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3145" y="1668140"/>
          <a:ext cx="927158" cy="74479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485775</xdr:colOff>
      <xdr:row>0</xdr:row>
      <xdr:rowOff>565150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DBE303-D13D-4C52-8458-BCD5C8811196}"/>
            </a:ext>
          </a:extLst>
        </xdr:cNvPr>
        <xdr:cNvGrpSpPr/>
      </xdr:nvGrpSpPr>
      <xdr:grpSpPr>
        <a:xfrm>
          <a:off x="0" y="0"/>
          <a:ext cx="1854553" cy="565150"/>
          <a:chOff x="3552825" y="2171700"/>
          <a:chExt cx="1895475" cy="561975"/>
        </a:xfrm>
      </xdr:grpSpPr>
      <xdr:sp macro="" textlink="">
        <xdr:nvSpPr>
          <xdr:cNvPr id="3" name="Retângulo 2">
            <a:extLst>
              <a:ext uri="{FF2B5EF4-FFF2-40B4-BE49-F238E27FC236}">
                <a16:creationId xmlns:a16="http://schemas.microsoft.com/office/drawing/2014/main" id="{C2B9FA02-8DD2-4A43-93A8-262A5A23318C}"/>
              </a:ext>
            </a:extLst>
          </xdr:cNvPr>
          <xdr:cNvSpPr/>
        </xdr:nvSpPr>
        <xdr:spPr>
          <a:xfrm>
            <a:off x="3552825" y="2171700"/>
            <a:ext cx="1895475" cy="561975"/>
          </a:xfrm>
          <a:prstGeom prst="rect">
            <a:avLst/>
          </a:prstGeom>
          <a:gradFill>
            <a:gsLst>
              <a:gs pos="0">
                <a:schemeClr val="bg1"/>
              </a:gs>
              <a:gs pos="89000">
                <a:srgbClr val="FFCC29">
                  <a:alpha val="50000"/>
                </a:srgbClr>
              </a:gs>
              <a:gs pos="100000">
                <a:srgbClr val="FFCC29">
                  <a:alpha val="50000"/>
                </a:srgbClr>
              </a:gs>
            </a:gsLst>
            <a:lin ang="27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DFD55F4E-A082-4970-917A-5FB525254C1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-1261" t="29165" r="1261" b="28126"/>
          <a:stretch/>
        </xdr:blipFill>
        <xdr:spPr>
          <a:xfrm>
            <a:off x="3686175" y="2187575"/>
            <a:ext cx="1492250" cy="527050"/>
          </a:xfrm>
          <a:prstGeom prst="rect">
            <a:avLst/>
          </a:prstGeom>
        </xdr:spPr>
      </xdr:pic>
    </xdr:grpSp>
    <xdr:clientData/>
  </xdr:twoCellAnchor>
  <xdr:twoCellAnchor editAs="oneCell">
    <xdr:from>
      <xdr:col>13</xdr:col>
      <xdr:colOff>257176</xdr:colOff>
      <xdr:row>0</xdr:row>
      <xdr:rowOff>0</xdr:rowOff>
    </xdr:from>
    <xdr:to>
      <xdr:col>17</xdr:col>
      <xdr:colOff>342739</xdr:colOff>
      <xdr:row>1</xdr:row>
      <xdr:rowOff>63501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3A99725-73AC-4A19-B390-FBFA2DC9D5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08" t="30769" r="-2208" b="27473"/>
        <a:stretch/>
      </xdr:blipFill>
      <xdr:spPr>
        <a:xfrm>
          <a:off x="9172576" y="0"/>
          <a:ext cx="3501863" cy="63500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0</xdr:row>
      <xdr:rowOff>454</xdr:rowOff>
    </xdr:from>
    <xdr:to>
      <xdr:col>4</xdr:col>
      <xdr:colOff>30389</xdr:colOff>
      <xdr:row>0</xdr:row>
      <xdr:rowOff>568779</xdr:rowOff>
    </xdr:to>
    <xdr:grpSp>
      <xdr:nvGrpSpPr>
        <xdr:cNvPr id="6" name="Agrupar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A49BD6-83EE-474A-8A50-F05943474BAC}"/>
            </a:ext>
          </a:extLst>
        </xdr:cNvPr>
        <xdr:cNvGrpSpPr/>
      </xdr:nvGrpSpPr>
      <xdr:grpSpPr>
        <a:xfrm>
          <a:off x="2053167" y="454"/>
          <a:ext cx="714778" cy="568325"/>
          <a:chOff x="1990594" y="-9022"/>
          <a:chExt cx="615017" cy="581025"/>
        </a:xfrm>
        <a:solidFill>
          <a:srgbClr val="FFCC29"/>
        </a:solidFill>
      </xdr:grpSpPr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2C21847E-05FA-480A-AD85-3C7BBE05D00B}"/>
              </a:ext>
            </a:extLst>
          </xdr:cNvPr>
          <xdr:cNvSpPr/>
        </xdr:nvSpPr>
        <xdr:spPr>
          <a:xfrm>
            <a:off x="1990594" y="-9022"/>
            <a:ext cx="615017" cy="5810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8" name="Imagem 7">
            <a:extLst>
              <a:ext uri="{FF2B5EF4-FFF2-40B4-BE49-F238E27FC236}">
                <a16:creationId xmlns:a16="http://schemas.microsoft.com/office/drawing/2014/main" id="{EF648AA4-F8A0-4F9A-BC95-3ABFC1D5058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BEBA8EAE-BF5A-486C-A8C5-ECC9F3942E4B}">
                <a14:imgProps xmlns:a14="http://schemas.microsoft.com/office/drawing/2010/main">
                  <a14:imgLayer r:embed="rId5">
                    <a14:imgEffect>
                      <a14:backgroundRemoval t="10000" b="90000" l="10000" r="90000">
                        <a14:foregroundMark x1="52252" y1="78333" x2="52252" y2="78333"/>
                        <a14:foregroundMark x1="62162" y1="68889" x2="62162" y2="68889"/>
                        <a14:foregroundMark x1="65165" y1="57222" x2="65165" y2="57222"/>
                        <a14:foregroundMark x1="65165" y1="40556" x2="65165" y2="40556"/>
                        <a14:foregroundMark x1="62763" y1="27222" x2="62763" y2="27222"/>
                        <a14:foregroundMark x1="46847" y1="22222" x2="46847" y2="22222"/>
                        <a14:foregroundMark x1="40841" y1="26667" x2="40841" y2="26667"/>
                        <a14:foregroundMark x1="47147" y1="76111" x2="47147" y2="76111"/>
                        <a14:foregroundMark x1="46847" y1="73889" x2="45646" y2="7277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l="28569" t="6871" r="29129" b="14812"/>
          <a:stretch/>
        </xdr:blipFill>
        <xdr:spPr>
          <a:xfrm>
            <a:off x="2168525" y="66674"/>
            <a:ext cx="281358" cy="276223"/>
          </a:xfrm>
          <a:prstGeom prst="rect">
            <a:avLst/>
          </a:prstGeom>
          <a:grpFill/>
        </xdr:spPr>
      </xdr:pic>
      <xdr:sp macro="" textlink="">
        <xdr:nvSpPr>
          <xdr:cNvPr id="9" name="CaixaDeTexto 8">
            <a:extLst>
              <a:ext uri="{FF2B5EF4-FFF2-40B4-BE49-F238E27FC236}">
                <a16:creationId xmlns:a16="http://schemas.microsoft.com/office/drawing/2014/main" id="{756421EB-CF6E-4BC8-B6C5-24885AF30EF3}"/>
              </a:ext>
            </a:extLst>
          </xdr:cNvPr>
          <xdr:cNvSpPr txBox="1"/>
        </xdr:nvSpPr>
        <xdr:spPr>
          <a:xfrm>
            <a:off x="2009774" y="342900"/>
            <a:ext cx="587376" cy="2095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700" b="1">
                <a:latin typeface="Calibri" panose="020F0502020204030204" pitchFamily="34" charset="0"/>
                <a:cs typeface="Calibri" panose="020F0502020204030204" pitchFamily="34" charset="0"/>
              </a:rPr>
              <a:t>IDS</a:t>
            </a:r>
            <a:r>
              <a:rPr lang="pt-BR" sz="700" b="1" baseline="0">
                <a:latin typeface="Calibri" panose="020F0502020204030204" pitchFamily="34" charset="0"/>
                <a:cs typeface="Calibri" panose="020F0502020204030204" pitchFamily="34" charset="0"/>
              </a:rPr>
              <a:t> e ODS</a:t>
            </a:r>
            <a:endParaRPr lang="pt-BR" sz="700" b="1"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</xdr:grpSp>
    <xdr:clientData/>
  </xdr:twoCellAnchor>
  <xdr:twoCellAnchor>
    <xdr:from>
      <xdr:col>5</xdr:col>
      <xdr:colOff>138567</xdr:colOff>
      <xdr:row>0</xdr:row>
      <xdr:rowOff>0</xdr:rowOff>
    </xdr:from>
    <xdr:to>
      <xdr:col>6</xdr:col>
      <xdr:colOff>154542</xdr:colOff>
      <xdr:row>1</xdr:row>
      <xdr:rowOff>0</xdr:rowOff>
    </xdr:to>
    <xdr:grpSp>
      <xdr:nvGrpSpPr>
        <xdr:cNvPr id="10" name="Agrupar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A4A8EF9-F9F6-4CA5-9B89-4DCC53E0609B}"/>
            </a:ext>
          </a:extLst>
        </xdr:cNvPr>
        <xdr:cNvGrpSpPr/>
      </xdr:nvGrpSpPr>
      <xdr:grpSpPr>
        <a:xfrm>
          <a:off x="3560511" y="0"/>
          <a:ext cx="700364" cy="571500"/>
          <a:chOff x="3551239" y="0"/>
          <a:chExt cx="703135" cy="571500"/>
        </a:xfrm>
        <a:solidFill>
          <a:srgbClr val="FFCC29"/>
        </a:solidFill>
      </xdr:grpSpPr>
      <xdr:grpSp>
        <xdr:nvGrpSpPr>
          <xdr:cNvPr id="11" name="Agrupar 10">
            <a:extLst>
              <a:ext uri="{FF2B5EF4-FFF2-40B4-BE49-F238E27FC236}">
                <a16:creationId xmlns:a16="http://schemas.microsoft.com/office/drawing/2014/main" id="{288467F5-436E-4339-A547-3287E671EBA1}"/>
              </a:ext>
            </a:extLst>
          </xdr:cNvPr>
          <xdr:cNvGrpSpPr/>
        </xdr:nvGrpSpPr>
        <xdr:grpSpPr>
          <a:xfrm>
            <a:off x="3551239" y="0"/>
            <a:ext cx="703135" cy="571500"/>
            <a:chOff x="2015062" y="0"/>
            <a:chExt cx="615017" cy="581025"/>
          </a:xfrm>
          <a:grpFill/>
        </xdr:grpSpPr>
        <xdr:sp macro="" textlink="">
          <xdr:nvSpPr>
            <xdr:cNvPr id="13" name="Retângulo 12">
              <a:extLst>
                <a:ext uri="{FF2B5EF4-FFF2-40B4-BE49-F238E27FC236}">
                  <a16:creationId xmlns:a16="http://schemas.microsoft.com/office/drawing/2014/main" id="{EB808AD3-1D3E-4A16-9356-B05F8C643F50}"/>
                </a:ext>
              </a:extLst>
            </xdr:cNvPr>
            <xdr:cNvSpPr/>
          </xdr:nvSpPr>
          <xdr:spPr>
            <a:xfrm>
              <a:off x="2015062" y="0"/>
              <a:ext cx="615017" cy="581025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AE9E0501-2161-46E5-BEC3-7126DEB49950}"/>
                </a:ext>
              </a:extLst>
            </xdr:cNvPr>
            <xdr:cNvSpPr txBox="1"/>
          </xdr:nvSpPr>
          <xdr:spPr>
            <a:xfrm>
              <a:off x="2024779" y="387351"/>
              <a:ext cx="599855" cy="145255"/>
            </a:xfrm>
            <a:prstGeom prst="rect">
              <a:avLst/>
            </a:prstGeom>
            <a:grpFill/>
            <a:ln w="9525" cmpd="sng">
              <a:noFill/>
            </a:ln>
            <a:effectLst>
              <a:softEdge rad="12700"/>
            </a:effec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600" b="1">
                  <a:latin typeface="Calibri" panose="020F0502020204030204" pitchFamily="34" charset="0"/>
                  <a:cs typeface="Calibri" panose="020F0502020204030204" pitchFamily="34" charset="0"/>
                </a:rPr>
                <a:t>COMPARATIVO</a:t>
              </a:r>
              <a:endParaRPr lang="pt-BR" sz="700" b="1">
                <a:latin typeface="Calibri" panose="020F0502020204030204" pitchFamily="34" charset="0"/>
                <a:cs typeface="Calibri" panose="020F0502020204030204" pitchFamily="34" charset="0"/>
              </a:endParaRPr>
            </a:p>
          </xdr:txBody>
        </xdr:sp>
      </xdr:grpSp>
      <xdr:pic>
        <xdr:nvPicPr>
          <xdr:cNvPr id="12" name="Imagem 11">
            <a:extLst>
              <a:ext uri="{FF2B5EF4-FFF2-40B4-BE49-F238E27FC236}">
                <a16:creationId xmlns:a16="http://schemas.microsoft.com/office/drawing/2014/main" id="{8125810D-836C-413E-BAC7-F25DEF7C10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52850" y="47625"/>
            <a:ext cx="314325" cy="314325"/>
          </a:xfrm>
          <a:prstGeom prst="rect">
            <a:avLst/>
          </a:prstGeom>
          <a:grpFill/>
        </xdr:spPr>
      </xdr:pic>
    </xdr:grpSp>
    <xdr:clientData/>
  </xdr:twoCellAnchor>
  <xdr:twoCellAnchor>
    <xdr:from>
      <xdr:col>4</xdr:col>
      <xdr:colOff>70085</xdr:colOff>
      <xdr:row>0</xdr:row>
      <xdr:rowOff>0</xdr:rowOff>
    </xdr:from>
    <xdr:to>
      <xdr:col>5</xdr:col>
      <xdr:colOff>98879</xdr:colOff>
      <xdr:row>1</xdr:row>
      <xdr:rowOff>0</xdr:rowOff>
    </xdr:to>
    <xdr:grpSp>
      <xdr:nvGrpSpPr>
        <xdr:cNvPr id="15" name="Agrupar 1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C827E72-D878-462D-8D46-AB492584D996}"/>
            </a:ext>
          </a:extLst>
        </xdr:cNvPr>
        <xdr:cNvGrpSpPr/>
      </xdr:nvGrpSpPr>
      <xdr:grpSpPr>
        <a:xfrm>
          <a:off x="2807641" y="0"/>
          <a:ext cx="713182" cy="571500"/>
          <a:chOff x="2808296" y="0"/>
          <a:chExt cx="703255" cy="571500"/>
        </a:xfrm>
        <a:solidFill>
          <a:srgbClr val="FFCC29"/>
        </a:solidFill>
      </xdr:grpSpPr>
      <xdr:grpSp>
        <xdr:nvGrpSpPr>
          <xdr:cNvPr id="16" name="Agrupar 15">
            <a:extLst>
              <a:ext uri="{FF2B5EF4-FFF2-40B4-BE49-F238E27FC236}">
                <a16:creationId xmlns:a16="http://schemas.microsoft.com/office/drawing/2014/main" id="{180CB315-B465-4C2B-9E05-0460CA16A148}"/>
              </a:ext>
            </a:extLst>
          </xdr:cNvPr>
          <xdr:cNvGrpSpPr/>
        </xdr:nvGrpSpPr>
        <xdr:grpSpPr>
          <a:xfrm>
            <a:off x="2808296" y="0"/>
            <a:ext cx="703255" cy="571500"/>
            <a:chOff x="2015062" y="0"/>
            <a:chExt cx="615017" cy="581025"/>
          </a:xfrm>
          <a:grpFill/>
        </xdr:grpSpPr>
        <xdr:sp macro="" textlink="">
          <xdr:nvSpPr>
            <xdr:cNvPr id="18" name="Retângulo 17">
              <a:extLst>
                <a:ext uri="{FF2B5EF4-FFF2-40B4-BE49-F238E27FC236}">
                  <a16:creationId xmlns:a16="http://schemas.microsoft.com/office/drawing/2014/main" id="{5CB9B177-B359-446B-8DF9-4B5D1C9D292A}"/>
                </a:ext>
              </a:extLst>
            </xdr:cNvPr>
            <xdr:cNvSpPr/>
          </xdr:nvSpPr>
          <xdr:spPr>
            <a:xfrm>
              <a:off x="2015062" y="0"/>
              <a:ext cx="615017" cy="581025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AE8B8A5B-4DA6-4797-96BA-61CF47CB35AF}"/>
                </a:ext>
              </a:extLst>
            </xdr:cNvPr>
            <xdr:cNvSpPr txBox="1"/>
          </xdr:nvSpPr>
          <xdr:spPr>
            <a:xfrm>
              <a:off x="2021497" y="363951"/>
              <a:ext cx="587376" cy="209550"/>
            </a:xfrm>
            <a:prstGeom prst="rect">
              <a:avLst/>
            </a:prstGeom>
            <a:grpFill/>
            <a:ln w="9525" cmpd="sng">
              <a:noFill/>
            </a:ln>
            <a:effectLst>
              <a:softEdge rad="12700"/>
            </a:effec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600" b="1">
                  <a:latin typeface="Calibri" panose="020F0502020204030204" pitchFamily="34" charset="0"/>
                  <a:cs typeface="Calibri" panose="020F0502020204030204" pitchFamily="34" charset="0"/>
                </a:rPr>
                <a:t>DASHBOARD</a:t>
              </a:r>
              <a:endParaRPr lang="pt-BR" sz="700" b="1">
                <a:latin typeface="Calibri" panose="020F0502020204030204" pitchFamily="34" charset="0"/>
                <a:cs typeface="Calibri" panose="020F0502020204030204" pitchFamily="34" charset="0"/>
              </a:endParaRPr>
            </a:p>
          </xdr:txBody>
        </xdr:sp>
      </xdr:grpSp>
      <xdr:pic>
        <xdr:nvPicPr>
          <xdr:cNvPr id="17" name="Imagem 16">
            <a:extLst>
              <a:ext uri="{FF2B5EF4-FFF2-40B4-BE49-F238E27FC236}">
                <a16:creationId xmlns:a16="http://schemas.microsoft.com/office/drawing/2014/main" id="{C09C8829-65FA-45F2-98EB-AFA0677740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sharpenSoften amount="-100000"/>
                    </a14:imgEffect>
                    <a14:imgEffect>
                      <a14:brightnessContrast bright="-100000" contrast="12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88450" y="54750"/>
            <a:ext cx="360000" cy="360000"/>
          </a:xfrm>
          <a:prstGeom prst="rect">
            <a:avLst/>
          </a:prstGeom>
          <a:grpFill/>
        </xdr:spPr>
      </xdr:pic>
    </xdr:grp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501650</xdr:colOff>
      <xdr:row>0</xdr:row>
      <xdr:rowOff>570533</xdr:rowOff>
    </xdr:to>
    <xdr:grpSp>
      <xdr:nvGrpSpPr>
        <xdr:cNvPr id="20" name="Agrupar 1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AEFED01-5442-4724-90DC-47B92B58D312}"/>
            </a:ext>
          </a:extLst>
        </xdr:cNvPr>
        <xdr:cNvGrpSpPr/>
      </xdr:nvGrpSpPr>
      <xdr:grpSpPr>
        <a:xfrm>
          <a:off x="5475111" y="0"/>
          <a:ext cx="1186039" cy="570533"/>
          <a:chOff x="5569357" y="6421"/>
          <a:chExt cx="1200150" cy="576943"/>
        </a:xfrm>
        <a:gradFill>
          <a:gsLst>
            <a:gs pos="0">
              <a:srgbClr val="FFCC29"/>
            </a:gs>
            <a:gs pos="74000">
              <a:schemeClr val="bg1"/>
            </a:gs>
            <a:gs pos="39000">
              <a:srgbClr val="FFCC29"/>
            </a:gs>
            <a:gs pos="21000">
              <a:srgbClr val="FFCC29"/>
            </a:gs>
          </a:gsLst>
          <a:lin ang="5400000" scaled="1"/>
        </a:gradFill>
      </xdr:grpSpPr>
      <xdr:sp macro="" textlink="">
        <xdr:nvSpPr>
          <xdr:cNvPr id="21" name="Retângulo 20">
            <a:extLst>
              <a:ext uri="{FF2B5EF4-FFF2-40B4-BE49-F238E27FC236}">
                <a16:creationId xmlns:a16="http://schemas.microsoft.com/office/drawing/2014/main" id="{35DC32F2-E3CD-43C3-9437-EEBA8F4521FF}"/>
              </a:ext>
            </a:extLst>
          </xdr:cNvPr>
          <xdr:cNvSpPr/>
        </xdr:nvSpPr>
        <xdr:spPr>
          <a:xfrm>
            <a:off x="5569357" y="6421"/>
            <a:ext cx="1200150" cy="571500"/>
          </a:xfrm>
          <a:prstGeom prst="rect">
            <a:avLst/>
          </a:prstGeom>
          <a:grp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2" name="CaixaDeTexto 21">
            <a:extLst>
              <a:ext uri="{FF2B5EF4-FFF2-40B4-BE49-F238E27FC236}">
                <a16:creationId xmlns:a16="http://schemas.microsoft.com/office/drawing/2014/main" id="{F42F290C-A78B-409F-A057-EEC4E88DD3FC}"/>
              </a:ext>
            </a:extLst>
          </xdr:cNvPr>
          <xdr:cNvSpPr txBox="1"/>
        </xdr:nvSpPr>
        <xdr:spPr>
          <a:xfrm>
            <a:off x="5819654" y="391702"/>
            <a:ext cx="731643" cy="191662"/>
          </a:xfrm>
          <a:prstGeom prst="rect">
            <a:avLst/>
          </a:prstGeom>
          <a:noFill/>
          <a:ln w="3175" cmpd="sng">
            <a:noFill/>
          </a:ln>
          <a:effectLst>
            <a:softEdge rad="12700"/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Calibri" panose="020F0502020204030204" pitchFamily="34" charset="0"/>
                <a:cs typeface="Calibri" panose="020F0502020204030204" pitchFamily="34" charset="0"/>
              </a:rPr>
              <a:t>EIXOS</a:t>
            </a:r>
            <a:r>
              <a:rPr lang="pt-BR" sz="800" b="1" baseline="0">
                <a:latin typeface="Calibri" panose="020F0502020204030204" pitchFamily="34" charset="0"/>
                <a:cs typeface="Calibri" panose="020F0502020204030204" pitchFamily="34" charset="0"/>
              </a:rPr>
              <a:t> WELL</a:t>
            </a:r>
            <a:endParaRPr lang="pt-BR" sz="800" b="1">
              <a:latin typeface="Calibri" panose="020F0502020204030204" pitchFamily="34" charset="0"/>
              <a:cs typeface="Calibri" panose="020F0502020204030204" pitchFamily="34" charset="0"/>
            </a:endParaRPr>
          </a:p>
        </xdr:txBody>
      </xdr:sp>
      <xdr:pic>
        <xdr:nvPicPr>
          <xdr:cNvPr id="23" name="Imagem 22">
            <a:extLst>
              <a:ext uri="{FF2B5EF4-FFF2-40B4-BE49-F238E27FC236}">
                <a16:creationId xmlns:a16="http://schemas.microsoft.com/office/drawing/2014/main" id="{B2490146-7C1F-4BBB-B97E-9B20373E86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01700" y="69453"/>
            <a:ext cx="316719" cy="316719"/>
          </a:xfrm>
          <a:prstGeom prst="rect">
            <a:avLst/>
          </a:prstGeom>
          <a:grpFill/>
          <a:ln w="3175">
            <a:noFill/>
          </a:ln>
        </xdr:spPr>
      </xdr:pic>
    </xdr:grpSp>
    <xdr:clientData/>
  </xdr:twoCellAnchor>
  <xdr:oneCellAnchor>
    <xdr:from>
      <xdr:col>1</xdr:col>
      <xdr:colOff>673100</xdr:colOff>
      <xdr:row>4</xdr:row>
      <xdr:rowOff>120650</xdr:rowOff>
    </xdr:from>
    <xdr:ext cx="184731" cy="264560"/>
    <xdr:sp macro="" textlink="">
      <xdr:nvSpPr>
        <xdr:cNvPr id="24" name="CaixaDeTexto 23">
          <a:extLst>
            <a:ext uri="{FF2B5EF4-FFF2-40B4-BE49-F238E27FC236}">
              <a16:creationId xmlns:a16="http://schemas.microsoft.com/office/drawing/2014/main" id="{2A05C9A3-1233-4A3F-A7A2-8A2E3B8F13CC}"/>
            </a:ext>
          </a:extLst>
        </xdr:cNvPr>
        <xdr:cNvSpPr txBox="1"/>
      </xdr:nvSpPr>
      <xdr:spPr>
        <a:xfrm>
          <a:off x="1358900" y="134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0</xdr:col>
      <xdr:colOff>63501</xdr:colOff>
      <xdr:row>0</xdr:row>
      <xdr:rowOff>561975</xdr:rowOff>
    </xdr:from>
    <xdr:to>
      <xdr:col>1</xdr:col>
      <xdr:colOff>85725</xdr:colOff>
      <xdr:row>1</xdr:row>
      <xdr:rowOff>276225</xdr:rowOff>
    </xdr:to>
    <xdr:grpSp>
      <xdr:nvGrpSpPr>
        <xdr:cNvPr id="25" name="Agrupar 2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866BA04-7CD3-4797-A5EF-96A8A5DE0857}"/>
            </a:ext>
          </a:extLst>
        </xdr:cNvPr>
        <xdr:cNvGrpSpPr/>
      </xdr:nvGrpSpPr>
      <xdr:grpSpPr>
        <a:xfrm>
          <a:off x="63501" y="561975"/>
          <a:ext cx="706613" cy="285750"/>
          <a:chOff x="63501" y="561975"/>
          <a:chExt cx="708024" cy="285750"/>
        </a:xfrm>
      </xdr:grpSpPr>
      <xdr:pic>
        <xdr:nvPicPr>
          <xdr:cNvPr id="26" name="Imagem 25">
            <a:extLst>
              <a:ext uri="{FF2B5EF4-FFF2-40B4-BE49-F238E27FC236}">
                <a16:creationId xmlns:a16="http://schemas.microsoft.com/office/drawing/2014/main" id="{8AE2B523-485B-44DD-B98F-30DE3B6A631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501" y="589777"/>
            <a:ext cx="247649" cy="247812"/>
          </a:xfrm>
          <a:prstGeom prst="rect">
            <a:avLst/>
          </a:prstGeom>
        </xdr:spPr>
      </xdr:pic>
      <xdr:sp macro="" textlink="">
        <xdr:nvSpPr>
          <xdr:cNvPr id="27" name="CaixaDeTexto 26">
            <a:extLst>
              <a:ext uri="{FF2B5EF4-FFF2-40B4-BE49-F238E27FC236}">
                <a16:creationId xmlns:a16="http://schemas.microsoft.com/office/drawing/2014/main" id="{79AA8682-FB33-41D7-9FE7-DC5F34D03581}"/>
              </a:ext>
            </a:extLst>
          </xdr:cNvPr>
          <xdr:cNvSpPr txBox="1"/>
        </xdr:nvSpPr>
        <xdr:spPr>
          <a:xfrm>
            <a:off x="196850" y="561975"/>
            <a:ext cx="57467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500">
                <a:latin typeface="Arial Black" panose="020B0A04020102020204" pitchFamily="34" charset="0"/>
              </a:rPr>
              <a:t>VOLTAR</a:t>
            </a:r>
            <a:r>
              <a:rPr lang="pt-BR" sz="500" baseline="0">
                <a:latin typeface="Arial Black" panose="020B0A04020102020204" pitchFamily="34" charset="0"/>
              </a:rPr>
              <a:t> EIXOS</a:t>
            </a:r>
            <a:endParaRPr lang="pt-BR" sz="500">
              <a:latin typeface="Arial Black" panose="020B0A04020102020204" pitchFamily="34" charset="0"/>
            </a:endParaRPr>
          </a:p>
        </xdr:txBody>
      </xdr:sp>
    </xdr:grpSp>
    <xdr:clientData/>
  </xdr:twoCellAnchor>
  <xdr:twoCellAnchor>
    <xdr:from>
      <xdr:col>3</xdr:col>
      <xdr:colOff>323850</xdr:colOff>
      <xdr:row>2</xdr:row>
      <xdr:rowOff>152400</xdr:rowOff>
    </xdr:from>
    <xdr:to>
      <xdr:col>15</xdr:col>
      <xdr:colOff>533400</xdr:colOff>
      <xdr:row>8</xdr:row>
      <xdr:rowOff>0</xdr:rowOff>
    </xdr:to>
    <xdr:sp macro="" textlink="'Dados Tabela Din'!B207">
      <xdr:nvSpPr>
        <xdr:cNvPr id="28" name="Retângulo: Cantos Arredondados 27">
          <a:extLst>
            <a:ext uri="{FF2B5EF4-FFF2-40B4-BE49-F238E27FC236}">
              <a16:creationId xmlns:a16="http://schemas.microsoft.com/office/drawing/2014/main" id="{F2A18DB1-684A-4BA0-85CD-52A7265B94F4}"/>
            </a:ext>
          </a:extLst>
        </xdr:cNvPr>
        <xdr:cNvSpPr/>
      </xdr:nvSpPr>
      <xdr:spPr>
        <a:xfrm>
          <a:off x="2381250" y="1022350"/>
          <a:ext cx="8439150" cy="914400"/>
        </a:xfrm>
        <a:prstGeom prst="round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034F785E-28EC-4C57-AC56-F7B29A657D1B}" type="TxLink">
            <a:rPr lang="en-US" sz="2800" b="1" i="0" u="none" strike="noStrike">
              <a:solidFill>
                <a:srgbClr val="000000"/>
              </a:solidFill>
              <a:latin typeface="Aptos Narrow"/>
            </a:rPr>
            <a:pPr algn="ctr"/>
            <a:t>Governança e Transparência</a:t>
          </a:fld>
          <a:endParaRPr lang="pt-BR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95250</xdr:colOff>
      <xdr:row>15</xdr:row>
      <xdr:rowOff>114299</xdr:rowOff>
    </xdr:from>
    <xdr:to>
      <xdr:col>4</xdr:col>
      <xdr:colOff>561975</xdr:colOff>
      <xdr:row>20</xdr:row>
      <xdr:rowOff>158750</xdr:rowOff>
    </xdr:to>
    <xdr:sp macro="" textlink="'Dados Tabela Din'!C202">
      <xdr:nvSpPr>
        <xdr:cNvPr id="29" name="Retângulo: Cantos Arredondados 28">
          <a:extLst>
            <a:ext uri="{FF2B5EF4-FFF2-40B4-BE49-F238E27FC236}">
              <a16:creationId xmlns:a16="http://schemas.microsoft.com/office/drawing/2014/main" id="{9316A5DE-CAF5-47AF-B11D-150C8AD5528E}"/>
            </a:ext>
          </a:extLst>
        </xdr:cNvPr>
        <xdr:cNvSpPr/>
      </xdr:nvSpPr>
      <xdr:spPr>
        <a:xfrm>
          <a:off x="1466850" y="3295649"/>
          <a:ext cx="1838325" cy="933451"/>
        </a:xfrm>
        <a:prstGeom prst="roundRect">
          <a:avLst/>
        </a:prstGeom>
        <a:solidFill>
          <a:schemeClr val="bg1"/>
        </a:solidFill>
        <a:effectLst>
          <a:glow rad="63500">
            <a:schemeClr val="accent1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EADFC572-E199-40F2-92B1-11C3E78FDDDA}" type="TxLink">
            <a:rPr lang="en-US" sz="1100" b="1" i="0" u="none" strike="noStrike">
              <a:solidFill>
                <a:srgbClr val="000000"/>
              </a:solidFill>
              <a:latin typeface="Aptos Narrow"/>
            </a:rPr>
            <a:pPr algn="ctr"/>
            <a:t>Aumento da arrecadação, dinamismo econômico, redução da desigualdade e fixação de talentos locais.</a:t>
          </a:fld>
          <a:endParaRPr lang="pt-BR" sz="1100" b="1"/>
        </a:p>
      </xdr:txBody>
    </xdr:sp>
    <xdr:clientData/>
  </xdr:twoCellAnchor>
  <xdr:twoCellAnchor>
    <xdr:from>
      <xdr:col>5</xdr:col>
      <xdr:colOff>301625</xdr:colOff>
      <xdr:row>17</xdr:row>
      <xdr:rowOff>139700</xdr:rowOff>
    </xdr:from>
    <xdr:to>
      <xdr:col>5</xdr:col>
      <xdr:colOff>619125</xdr:colOff>
      <xdr:row>18</xdr:row>
      <xdr:rowOff>158750</xdr:rowOff>
    </xdr:to>
    <xdr:sp macro="" textlink="">
      <xdr:nvSpPr>
        <xdr:cNvPr id="30" name="Seta: para a Direita 29">
          <a:extLst>
            <a:ext uri="{FF2B5EF4-FFF2-40B4-BE49-F238E27FC236}">
              <a16:creationId xmlns:a16="http://schemas.microsoft.com/office/drawing/2014/main" id="{A86C90E0-9381-4717-B0B4-B243DD6C4809}"/>
            </a:ext>
          </a:extLst>
        </xdr:cNvPr>
        <xdr:cNvSpPr/>
      </xdr:nvSpPr>
      <xdr:spPr>
        <a:xfrm>
          <a:off x="3730625" y="3676650"/>
          <a:ext cx="317500" cy="19685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304799</xdr:colOff>
      <xdr:row>15</xdr:row>
      <xdr:rowOff>104774</xdr:rowOff>
    </xdr:from>
    <xdr:to>
      <xdr:col>11</xdr:col>
      <xdr:colOff>276224</xdr:colOff>
      <xdr:row>20</xdr:row>
      <xdr:rowOff>149225</xdr:rowOff>
    </xdr:to>
    <xdr:sp macro="" textlink="'Dados Tabela Din'!H202">
      <xdr:nvSpPr>
        <xdr:cNvPr id="31" name="Retângulo: Cantos Arredondados 30">
          <a:extLst>
            <a:ext uri="{FF2B5EF4-FFF2-40B4-BE49-F238E27FC236}">
              <a16:creationId xmlns:a16="http://schemas.microsoft.com/office/drawing/2014/main" id="{23E4D531-EA10-4EDD-8E75-D596351F3248}"/>
            </a:ext>
          </a:extLst>
        </xdr:cNvPr>
        <xdr:cNvSpPr/>
      </xdr:nvSpPr>
      <xdr:spPr>
        <a:xfrm>
          <a:off x="4419599" y="3286124"/>
          <a:ext cx="3400425" cy="933451"/>
        </a:xfrm>
        <a:prstGeom prst="roundRect">
          <a:avLst/>
        </a:prstGeom>
        <a:solidFill>
          <a:schemeClr val="bg1"/>
        </a:solidFill>
        <a:effectLst>
          <a:glow rad="63500">
            <a:schemeClr val="accent1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96C71B49-1FF6-4C29-B6B6-B7C748145345}" type="TxLink"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pPr algn="ctr"/>
            <a:t>Um município só pode se desenvolver se sua base econômica for forte e inclusiva, gerando riqueza, autonomia para os cidadãos e recursos para investir em outras áreas.</a:t>
          </a:fld>
          <a:endParaRPr lang="pt-BR" sz="1100" b="1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18</xdr:col>
      <xdr:colOff>0</xdr:colOff>
      <xdr:row>7</xdr:row>
      <xdr:rowOff>28575</xdr:rowOff>
    </xdr:from>
    <xdr:to>
      <xdr:col>18</xdr:col>
      <xdr:colOff>0</xdr:colOff>
      <xdr:row>11</xdr:row>
      <xdr:rowOff>40079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32DA2DEC-1856-406C-98EA-A741D4614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17500" y="1787525"/>
          <a:ext cx="0" cy="722704"/>
        </a:xfrm>
        <a:prstGeom prst="rect">
          <a:avLst/>
        </a:prstGeom>
      </xdr:spPr>
    </xdr:pic>
    <xdr:clientData/>
  </xdr:twoCellAnchor>
  <xdr:twoCellAnchor>
    <xdr:from>
      <xdr:col>12</xdr:col>
      <xdr:colOff>15875</xdr:colOff>
      <xdr:row>17</xdr:row>
      <xdr:rowOff>142875</xdr:rowOff>
    </xdr:from>
    <xdr:to>
      <xdr:col>12</xdr:col>
      <xdr:colOff>330200</xdr:colOff>
      <xdr:row>18</xdr:row>
      <xdr:rowOff>161925</xdr:rowOff>
    </xdr:to>
    <xdr:sp macro="" textlink="">
      <xdr:nvSpPr>
        <xdr:cNvPr id="35" name="Seta: para a Direita 34">
          <a:extLst>
            <a:ext uri="{FF2B5EF4-FFF2-40B4-BE49-F238E27FC236}">
              <a16:creationId xmlns:a16="http://schemas.microsoft.com/office/drawing/2014/main" id="{4E4B61FF-8CC9-4AEB-A3E6-09BBC52D6F04}"/>
            </a:ext>
          </a:extLst>
        </xdr:cNvPr>
        <xdr:cNvSpPr/>
      </xdr:nvSpPr>
      <xdr:spPr>
        <a:xfrm>
          <a:off x="8245475" y="3679825"/>
          <a:ext cx="314325" cy="19685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38099</xdr:colOff>
      <xdr:row>14</xdr:row>
      <xdr:rowOff>152398</xdr:rowOff>
    </xdr:from>
    <xdr:to>
      <xdr:col>15</xdr:col>
      <xdr:colOff>654050</xdr:colOff>
      <xdr:row>21</xdr:row>
      <xdr:rowOff>133349</xdr:rowOff>
    </xdr:to>
    <xdr:sp macro="" textlink="">
      <xdr:nvSpPr>
        <xdr:cNvPr id="36" name="Retângulo: Cantos Arredondados 35">
          <a:extLst>
            <a:ext uri="{FF2B5EF4-FFF2-40B4-BE49-F238E27FC236}">
              <a16:creationId xmlns:a16="http://schemas.microsoft.com/office/drawing/2014/main" id="{053F9695-A4B8-43B4-BB68-F4338D36EBE8}"/>
            </a:ext>
          </a:extLst>
        </xdr:cNvPr>
        <xdr:cNvSpPr/>
      </xdr:nvSpPr>
      <xdr:spPr>
        <a:xfrm>
          <a:off x="8953499" y="3155948"/>
          <a:ext cx="1987551" cy="1225551"/>
        </a:xfrm>
        <a:prstGeom prst="roundRect">
          <a:avLst/>
        </a:prstGeom>
        <a:solidFill>
          <a:srgbClr val="FFCC29"/>
        </a:solidFill>
        <a:effectLst>
          <a:glow rad="63500">
            <a:schemeClr val="accent1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 u="none" strike="noStrike" baseline="0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Ações estratégicas através do MÉTODO WELL, com base nos dados do Município para trazer soluções específicas.</a:t>
          </a:r>
        </a:p>
      </xdr:txBody>
    </xdr:sp>
    <xdr:clientData/>
  </xdr:twoCellAnchor>
  <xdr:twoCellAnchor>
    <xdr:from>
      <xdr:col>6</xdr:col>
      <xdr:colOff>215900</xdr:colOff>
      <xdr:row>28</xdr:row>
      <xdr:rowOff>88899</xdr:rowOff>
    </xdr:from>
    <xdr:to>
      <xdr:col>11</xdr:col>
      <xdr:colOff>289278</xdr:colOff>
      <xdr:row>33</xdr:row>
      <xdr:rowOff>133350</xdr:rowOff>
    </xdr:to>
    <xdr:sp macro="" textlink="'Dados Tabela Din'!J207">
      <xdr:nvSpPr>
        <xdr:cNvPr id="37" name="Retângulo: Cantos Arredondados 36">
          <a:extLst>
            <a:ext uri="{FF2B5EF4-FFF2-40B4-BE49-F238E27FC236}">
              <a16:creationId xmlns:a16="http://schemas.microsoft.com/office/drawing/2014/main" id="{3C26A619-E59B-4B35-856C-AF03A3D20D13}"/>
            </a:ext>
          </a:extLst>
        </xdr:cNvPr>
        <xdr:cNvSpPr/>
      </xdr:nvSpPr>
      <xdr:spPr>
        <a:xfrm>
          <a:off x="4322233" y="5542843"/>
          <a:ext cx="3495323" cy="926396"/>
        </a:xfrm>
        <a:prstGeom prst="roundRect">
          <a:avLst/>
        </a:prstGeom>
        <a:solidFill>
          <a:schemeClr val="bg1"/>
        </a:solidFill>
        <a:effectLst>
          <a:glow rad="63500">
            <a:schemeClr val="accent1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4BC6D29E-251E-41E6-BC10-6B5D378B0B63}" type="TxLink"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pPr algn="ctr"/>
            <a:t>Fortalecimento da imagem institucional do município, o que aumenta a confiança de investidores e agências de fomento. Acesso a programas de modernização da gestão pública e de transparência.</a:t>
          </a:fld>
          <a:endParaRPr lang="en-US" sz="11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12</xdr:col>
      <xdr:colOff>471830</xdr:colOff>
      <xdr:row>26</xdr:row>
      <xdr:rowOff>12205</xdr:rowOff>
    </xdr:from>
    <xdr:to>
      <xdr:col>14</xdr:col>
      <xdr:colOff>72230</xdr:colOff>
      <xdr:row>27</xdr:row>
      <xdr:rowOff>50742</xdr:rowOff>
    </xdr:to>
    <xdr:sp macro="" textlink="">
      <xdr:nvSpPr>
        <xdr:cNvPr id="38" name="Seta: para a Direita 37">
          <a:extLst>
            <a:ext uri="{FF2B5EF4-FFF2-40B4-BE49-F238E27FC236}">
              <a16:creationId xmlns:a16="http://schemas.microsoft.com/office/drawing/2014/main" id="{BF358797-78FE-4D8A-8D42-55D34F227A44}"/>
            </a:ext>
          </a:extLst>
        </xdr:cNvPr>
        <xdr:cNvSpPr/>
      </xdr:nvSpPr>
      <xdr:spPr>
        <a:xfrm rot="8741477">
          <a:off x="8701430" y="5149355"/>
          <a:ext cx="972000" cy="216337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372959</xdr:colOff>
      <xdr:row>24</xdr:row>
      <xdr:rowOff>89218</xdr:rowOff>
    </xdr:from>
    <xdr:to>
      <xdr:col>4</xdr:col>
      <xdr:colOff>589296</xdr:colOff>
      <xdr:row>29</xdr:row>
      <xdr:rowOff>172218</xdr:rowOff>
    </xdr:to>
    <xdr:sp macro="" textlink="">
      <xdr:nvSpPr>
        <xdr:cNvPr id="39" name="Seta: para a Direita 38">
          <a:extLst>
            <a:ext uri="{FF2B5EF4-FFF2-40B4-BE49-F238E27FC236}">
              <a16:creationId xmlns:a16="http://schemas.microsoft.com/office/drawing/2014/main" id="{99A7DEE1-505A-49E5-90BD-9EA28289464C}"/>
            </a:ext>
          </a:extLst>
        </xdr:cNvPr>
        <xdr:cNvSpPr/>
      </xdr:nvSpPr>
      <xdr:spPr>
        <a:xfrm rot="13690160">
          <a:off x="2738328" y="5248599"/>
          <a:ext cx="972000" cy="216337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102838</xdr:colOff>
      <xdr:row>6</xdr:row>
      <xdr:rowOff>77612</xdr:rowOff>
    </xdr:from>
    <xdr:to>
      <xdr:col>3</xdr:col>
      <xdr:colOff>316120</xdr:colOff>
      <xdr:row>10</xdr:row>
      <xdr:rowOff>120673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5066C303-EDDA-4334-9175-E054AC89C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616" y="1651001"/>
          <a:ext cx="897671" cy="748616"/>
        </a:xfrm>
        <a:prstGeom prst="rect">
          <a:avLst/>
        </a:prstGeom>
      </xdr:spPr>
    </xdr:pic>
    <xdr:clientData/>
  </xdr:twoCellAnchor>
  <xdr:twoCellAnchor>
    <xdr:from>
      <xdr:col>0</xdr:col>
      <xdr:colOff>444500</xdr:colOff>
      <xdr:row>6</xdr:row>
      <xdr:rowOff>80538</xdr:rowOff>
    </xdr:from>
    <xdr:to>
      <xdr:col>1</xdr:col>
      <xdr:colOff>641271</xdr:colOff>
      <xdr:row>10</xdr:row>
      <xdr:rowOff>116494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E5C33FF9-18A0-43C5-A66F-FA6413DFF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0" y="1653927"/>
          <a:ext cx="881160" cy="741511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3886200</xdr:colOff>
      <xdr:row>159</xdr:row>
      <xdr:rowOff>66675</xdr:rowOff>
    </xdr:from>
    <xdr:to>
      <xdr:col>3</xdr:col>
      <xdr:colOff>1519465</xdr:colOff>
      <xdr:row>167</xdr:row>
      <xdr:rowOff>38098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3D6DA86-84DD-4945-9450-18C6F5517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2850" y="57073800"/>
          <a:ext cx="2238375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9525</xdr:colOff>
      <xdr:row>3</xdr:row>
      <xdr:rowOff>19050</xdr:rowOff>
    </xdr:from>
    <xdr:to>
      <xdr:col>2</xdr:col>
      <xdr:colOff>9525</xdr:colOff>
      <xdr:row>3</xdr:row>
      <xdr:rowOff>552450</xdr:rowOff>
    </xdr:to>
    <xdr:pic>
      <xdr:nvPicPr>
        <xdr:cNvPr id="3" name="ods.2">
          <a:extLst>
            <a:ext uri="{FF2B5EF4-FFF2-40B4-BE49-F238E27FC236}">
              <a16:creationId xmlns:a16="http://schemas.microsoft.com/office/drawing/2014/main" id="{FA6E7772-61F4-47B4-9D47-6D8FE7EA8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962025"/>
          <a:ext cx="657225" cy="5334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4</xdr:row>
      <xdr:rowOff>6349</xdr:rowOff>
    </xdr:from>
    <xdr:to>
      <xdr:col>2</xdr:col>
      <xdr:colOff>6350</xdr:colOff>
      <xdr:row>4</xdr:row>
      <xdr:rowOff>561974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DB0E901-5113-4A3D-A485-4D637DA54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275" y="1511299"/>
          <a:ext cx="657225" cy="5556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5</xdr:row>
      <xdr:rowOff>9526</xdr:rowOff>
    </xdr:from>
    <xdr:to>
      <xdr:col>2</xdr:col>
      <xdr:colOff>9525</xdr:colOff>
      <xdr:row>6</xdr:row>
      <xdr:rowOff>1</xdr:rowOff>
    </xdr:to>
    <xdr:pic>
      <xdr:nvPicPr>
        <xdr:cNvPr id="7" name="ods.4">
          <a:extLst>
            <a:ext uri="{FF2B5EF4-FFF2-40B4-BE49-F238E27FC236}">
              <a16:creationId xmlns:a16="http://schemas.microsoft.com/office/drawing/2014/main" id="{C6FEBD99-38E9-4DF8-AD0D-BB4BB2951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275" y="2076451"/>
          <a:ext cx="660400" cy="5524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8674</xdr:rowOff>
    </xdr:from>
    <xdr:to>
      <xdr:col>2</xdr:col>
      <xdr:colOff>0</xdr:colOff>
      <xdr:row>7</xdr:row>
      <xdr:rowOff>11202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F7AE654A-C460-400B-BC4E-63809F65A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" y="2637574"/>
          <a:ext cx="657225" cy="564503"/>
        </a:xfrm>
        <a:prstGeom prst="rect">
          <a:avLst/>
        </a:prstGeom>
      </xdr:spPr>
    </xdr:pic>
    <xdr:clientData/>
  </xdr:twoCellAnchor>
  <xdr:twoCellAnchor editAs="absolute">
    <xdr:from>
      <xdr:col>1</xdr:col>
      <xdr:colOff>9450</xdr:colOff>
      <xdr:row>2</xdr:row>
      <xdr:rowOff>19050</xdr:rowOff>
    </xdr:from>
    <xdr:to>
      <xdr:col>2</xdr:col>
      <xdr:colOff>9525</xdr:colOff>
      <xdr:row>3</xdr:row>
      <xdr:rowOff>8043</xdr:rowOff>
    </xdr:to>
    <xdr:pic>
      <xdr:nvPicPr>
        <xdr:cNvPr id="11" name="ods.1">
          <a:extLst>
            <a:ext uri="{FF2B5EF4-FFF2-40B4-BE49-F238E27FC236}">
              <a16:creationId xmlns:a16="http://schemas.microsoft.com/office/drawing/2014/main" id="{E4D91C86-114E-4850-9077-76D70D939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375" y="400050"/>
          <a:ext cx="657300" cy="550968"/>
        </a:xfrm>
        <a:prstGeom prst="rect">
          <a:avLst/>
        </a:prstGeom>
      </xdr:spPr>
    </xdr:pic>
    <xdr:clientData/>
  </xdr:twoCellAnchor>
  <xdr:twoCellAnchor editAs="oneCell">
    <xdr:from>
      <xdr:col>1</xdr:col>
      <xdr:colOff>3174</xdr:colOff>
      <xdr:row>7</xdr:row>
      <xdr:rowOff>0</xdr:rowOff>
    </xdr:from>
    <xdr:to>
      <xdr:col>2</xdr:col>
      <xdr:colOff>9525</xdr:colOff>
      <xdr:row>8</xdr:row>
      <xdr:rowOff>9525</xdr:rowOff>
    </xdr:to>
    <xdr:pic>
      <xdr:nvPicPr>
        <xdr:cNvPr id="39" name="Imagem 38">
          <a:extLst>
            <a:ext uri="{FF2B5EF4-FFF2-40B4-BE49-F238E27FC236}">
              <a16:creationId xmlns:a16="http://schemas.microsoft.com/office/drawing/2014/main" id="{6855DB4A-238C-4DFC-A84E-28B23784F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099" y="3190875"/>
          <a:ext cx="663576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7124</xdr:colOff>
      <xdr:row>8</xdr:row>
      <xdr:rowOff>7126</xdr:rowOff>
    </xdr:from>
    <xdr:to>
      <xdr:col>2</xdr:col>
      <xdr:colOff>3174</xdr:colOff>
      <xdr:row>9</xdr:row>
      <xdr:rowOff>0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FFDE7244-0BF8-4474-8FB1-A4253481F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049" y="3759976"/>
          <a:ext cx="653275" cy="554849"/>
        </a:xfrm>
        <a:prstGeom prst="rect">
          <a:avLst/>
        </a:prstGeom>
      </xdr:spPr>
    </xdr:pic>
    <xdr:clientData/>
  </xdr:twoCellAnchor>
  <xdr:twoCellAnchor editAs="oneCell">
    <xdr:from>
      <xdr:col>1</xdr:col>
      <xdr:colOff>11073</xdr:colOff>
      <xdr:row>9</xdr:row>
      <xdr:rowOff>11077</xdr:rowOff>
    </xdr:from>
    <xdr:to>
      <xdr:col>2</xdr:col>
      <xdr:colOff>0</xdr:colOff>
      <xdr:row>9</xdr:row>
      <xdr:rowOff>552451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05C3BCFF-8825-4FB0-9257-F3D6AC374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998" y="4325902"/>
          <a:ext cx="646152" cy="541374"/>
        </a:xfrm>
        <a:prstGeom prst="rect">
          <a:avLst/>
        </a:prstGeom>
      </xdr:spPr>
    </xdr:pic>
    <xdr:clientData/>
  </xdr:twoCellAnchor>
  <xdr:twoCellAnchor editAs="oneCell">
    <xdr:from>
      <xdr:col>1</xdr:col>
      <xdr:colOff>11851</xdr:colOff>
      <xdr:row>10</xdr:row>
      <xdr:rowOff>6350</xdr:rowOff>
    </xdr:from>
    <xdr:to>
      <xdr:col>2</xdr:col>
      <xdr:colOff>9525</xdr:colOff>
      <xdr:row>11</xdr:row>
      <xdr:rowOff>8886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810794A9-DDBF-401B-8215-CEFC3DA2E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776" y="4883150"/>
          <a:ext cx="654899" cy="488311"/>
        </a:xfrm>
        <a:prstGeom prst="rect">
          <a:avLst/>
        </a:prstGeom>
      </xdr:spPr>
    </xdr:pic>
    <xdr:clientData/>
  </xdr:twoCellAnchor>
  <xdr:twoCellAnchor editAs="oneCell">
    <xdr:from>
      <xdr:col>1</xdr:col>
      <xdr:colOff>12623</xdr:colOff>
      <xdr:row>11</xdr:row>
      <xdr:rowOff>22149</xdr:rowOff>
    </xdr:from>
    <xdr:to>
      <xdr:col>2</xdr:col>
      <xdr:colOff>19049</xdr:colOff>
      <xdr:row>12</xdr:row>
      <xdr:rowOff>0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4A78339B-648F-4C4A-AD6D-F1647A681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548" y="5384724"/>
          <a:ext cx="663651" cy="51125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12</xdr:row>
      <xdr:rowOff>9526</xdr:rowOff>
    </xdr:from>
    <xdr:to>
      <xdr:col>2</xdr:col>
      <xdr:colOff>19050</xdr:colOff>
      <xdr:row>13</xdr:row>
      <xdr:rowOff>1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648846F7-F64A-4F18-81AE-0B1F70914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5905501"/>
          <a:ext cx="666750" cy="514350"/>
        </a:xfrm>
        <a:prstGeom prst="rect">
          <a:avLst/>
        </a:prstGeom>
      </xdr:spPr>
    </xdr:pic>
    <xdr:clientData/>
  </xdr:twoCellAnchor>
  <xdr:twoCellAnchor editAs="oneCell">
    <xdr:from>
      <xdr:col>1</xdr:col>
      <xdr:colOff>1475</xdr:colOff>
      <xdr:row>13</xdr:row>
      <xdr:rowOff>9525</xdr:rowOff>
    </xdr:from>
    <xdr:to>
      <xdr:col>2</xdr:col>
      <xdr:colOff>28575</xdr:colOff>
      <xdr:row>14</xdr:row>
      <xdr:rowOff>3057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8FA0E158-68DD-45BF-B691-54AF82C5E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400" y="6429375"/>
          <a:ext cx="684325" cy="536457"/>
        </a:xfrm>
        <a:prstGeom prst="rect">
          <a:avLst/>
        </a:prstGeom>
      </xdr:spPr>
    </xdr:pic>
    <xdr:clientData/>
  </xdr:twoCellAnchor>
  <xdr:twoCellAnchor editAs="oneCell">
    <xdr:from>
      <xdr:col>1</xdr:col>
      <xdr:colOff>2250</xdr:colOff>
      <xdr:row>14</xdr:row>
      <xdr:rowOff>8600</xdr:rowOff>
    </xdr:from>
    <xdr:to>
      <xdr:col>2</xdr:col>
      <xdr:colOff>28575</xdr:colOff>
      <xdr:row>15</xdr:row>
      <xdr:rowOff>3557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821C11CC-90CA-4FAE-AA2E-054BD095A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175" y="6971375"/>
          <a:ext cx="683550" cy="556932"/>
        </a:xfrm>
        <a:prstGeom prst="rect">
          <a:avLst/>
        </a:prstGeom>
      </xdr:spPr>
    </xdr:pic>
    <xdr:clientData/>
  </xdr:twoCellAnchor>
  <xdr:twoCellAnchor editAs="oneCell">
    <xdr:from>
      <xdr:col>1</xdr:col>
      <xdr:colOff>12550</xdr:colOff>
      <xdr:row>15</xdr:row>
      <xdr:rowOff>18901</xdr:rowOff>
    </xdr:from>
    <xdr:to>
      <xdr:col>2</xdr:col>
      <xdr:colOff>0</xdr:colOff>
      <xdr:row>15</xdr:row>
      <xdr:rowOff>495300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CD644055-85BF-4D10-A2D0-798E19624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75" y="7543651"/>
          <a:ext cx="644675" cy="476399"/>
        </a:xfrm>
        <a:prstGeom prst="rect">
          <a:avLst/>
        </a:prstGeom>
      </xdr:spPr>
    </xdr:pic>
    <xdr:clientData/>
  </xdr:twoCellAnchor>
  <xdr:twoCellAnchor>
    <xdr:from>
      <xdr:col>1</xdr:col>
      <xdr:colOff>10149</xdr:colOff>
      <xdr:row>16</xdr:row>
      <xdr:rowOff>10151</xdr:rowOff>
    </xdr:from>
    <xdr:to>
      <xdr:col>1</xdr:col>
      <xdr:colOff>657224</xdr:colOff>
      <xdr:row>17</xdr:row>
      <xdr:rowOff>9525</xdr:rowOff>
    </xdr:to>
    <xdr:pic>
      <xdr:nvPicPr>
        <xdr:cNvPr id="57" name="Imagem 56">
          <a:extLst>
            <a:ext uri="{FF2B5EF4-FFF2-40B4-BE49-F238E27FC236}">
              <a16:creationId xmlns:a16="http://schemas.microsoft.com/office/drawing/2014/main" id="{C1FD6EB7-6463-4DB4-9402-D3E76D204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074" y="8039726"/>
          <a:ext cx="647075" cy="542299"/>
        </a:xfrm>
        <a:prstGeom prst="rect">
          <a:avLst/>
        </a:prstGeom>
      </xdr:spPr>
    </xdr:pic>
    <xdr:clientData/>
  </xdr:twoCellAnchor>
  <xdr:twoCellAnchor>
    <xdr:from>
      <xdr:col>1</xdr:col>
      <xdr:colOff>7750</xdr:colOff>
      <xdr:row>17</xdr:row>
      <xdr:rowOff>20449</xdr:rowOff>
    </xdr:from>
    <xdr:to>
      <xdr:col>2</xdr:col>
      <xdr:colOff>9524</xdr:colOff>
      <xdr:row>17</xdr:row>
      <xdr:rowOff>555828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29BFD80C-79DF-4D3E-AF09-AE20DE021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675" y="8592949"/>
          <a:ext cx="658999" cy="535379"/>
        </a:xfrm>
        <a:prstGeom prst="rect">
          <a:avLst/>
        </a:prstGeom>
      </xdr:spPr>
    </xdr:pic>
    <xdr:clientData/>
  </xdr:twoCellAnchor>
  <xdr:twoCellAnchor>
    <xdr:from>
      <xdr:col>1</xdr:col>
      <xdr:colOff>11700</xdr:colOff>
      <xdr:row>18</xdr:row>
      <xdr:rowOff>18051</xdr:rowOff>
    </xdr:from>
    <xdr:to>
      <xdr:col>2</xdr:col>
      <xdr:colOff>9525</xdr:colOff>
      <xdr:row>18</xdr:row>
      <xdr:rowOff>532636</xdr:rowOff>
    </xdr:to>
    <xdr:pic>
      <xdr:nvPicPr>
        <xdr:cNvPr id="61" name="Imagem 60">
          <a:extLst>
            <a:ext uri="{FF2B5EF4-FFF2-40B4-BE49-F238E27FC236}">
              <a16:creationId xmlns:a16="http://schemas.microsoft.com/office/drawing/2014/main" id="{8DC51CE2-867D-490B-BCB6-E648F87DA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625" y="9152526"/>
          <a:ext cx="655050" cy="514585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861.66112986111" createdVersion="6" refreshedVersion="6" minRefreshableVersion="3" recordCount="17" xr:uid="{F8DC6442-9A36-4D48-A8A2-C6831F3709A3}">
  <cacheSource type="worksheet">
    <worksheetSource name="TabelaGeral"/>
  </cacheSource>
  <cacheFields count="9">
    <cacheField name="Nº ODS" numFmtId="0">
      <sharedItems containsSemiMixedTypes="0" containsString="0" containsNumber="1" containsInteger="1" minValue="1" maxValue="17" count="1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</sharedItems>
    </cacheField>
    <cacheField name="ODS" numFmtId="0">
      <sharedItems count="17">
        <s v="Erradicação da Pobreza"/>
        <s v="Fome Zero e Agricultura Sustentável"/>
        <s v="Saúde e Bem-Estar"/>
        <s v="Educação de Qualidade"/>
        <s v="Igualdade de Gênero"/>
        <s v="Água Limpa e Saneamento"/>
        <s v="Energia Limpa e Acessível"/>
        <s v="Trabalho Decente e Crescimento Econômico"/>
        <s v="Indústria, Inovação e Infraestrutura"/>
        <s v="Redução das Desigualdades"/>
        <s v="Cidades e Comunidades Sustentáveis"/>
        <s v="Consumo e Produção Responsáveis"/>
        <s v="Ação Contra a Mudança Global do Clima"/>
        <s v="Vida na Água"/>
        <s v="Vida Terrestre"/>
        <s v="Paz, Justiça e Instituições Eficazes"/>
        <s v="Parcerias e Meios de Implementação"/>
      </sharedItems>
    </cacheField>
    <cacheField name="Objetivo" numFmtId="0">
      <sharedItems count="17">
        <s v="Erradicar a pobreza extrema."/>
        <s v="Reduzir a fome e promover a agricultura sustentável."/>
        <s v="Garantir saúde de qualidade e bem-estar para todos."/>
        <s v="Garantir o acesso universal à educação e melhorar a qualidade."/>
        <s v="Eliminar desigualdade de gênero."/>
        <s v="Garantir acesso a água potável e saneamento básico."/>
        <s v="Garantir acesso universal à energia sustentável."/>
        <s v="Promover o crescimento econômico e trabalho decente."/>
        <s v="Promover inovação e infraestrutura."/>
        <s v="Reduzir desigualdades de renda e acesso a serviços."/>
        <s v="Tornar as cidades e comunidades inclusivas e sustentáveis."/>
        <s v="Promover práticas de consumo e produção responsáveis."/>
        <s v="Combater a mudança climática e seus impactos."/>
        <s v="Proteger os oceanos e mares e promover o uso sustentável dos recursos marinhos."/>
        <s v="Proteger os ecossistemas terrestres e biodiversidade."/>
        <s v="Promover sociedades pacíficas, justas e inclusivas."/>
        <s v="Fortalecer parcerias globais e recursos para implementação dos ODS."/>
      </sharedItems>
    </cacheField>
    <cacheField name="Valor Ideal de IDS (%)" numFmtId="0">
      <sharedItems count="8">
        <s v="95% a 100%"/>
        <s v="90% a 100%"/>
        <s v="80% a 90%"/>
        <s v="85% a 100%"/>
        <s v="85% a 95%"/>
        <s v="75% a 85%"/>
        <s v="70% a 85%"/>
        <s v="70% a 80%"/>
      </sharedItems>
    </cacheField>
    <cacheField name="Para chegar IDS Ideal" numFmtId="0">
      <sharedItems count="17">
        <s v="Menos de 3% de pobreza extrema, com 100% da população acessando serviços essenciais."/>
        <s v="Menos de 5% da população em situação de fome e 70% de agricultura sustentável."/>
        <s v="Mortalidade infantil abaixo de 10/1.000 nascidos vivos e acesso a saúde para 100% da população."/>
        <s v="100% de matrícula escolar para crianças em idade escolar e taxa de alfabetização acima de 95% na população adulta."/>
        <s v="Taxa de representação feminina na política local de 30% e políticas de igualdade salarial entre homens e mulheres."/>
        <s v="100% da população com acesso a água potável e acesso ao esgoto tratado para 80% da população."/>
        <s v="100% da população com acesso a energia elétrica e pelo menos 30% da demanda local de energia vinda de fontes renováveis."/>
        <s v="Taxa de emprego formal de 80% e redução da taxa de desemprego para menos de 5%."/>
        <s v="10% do orçamento municipal destinado à infraestrutura e 70% da população com acesso à internet de qualidade."/>
        <s v="Índice de Gini abaixo de 0,40 e 100% da população com acesso a serviços básicos."/>
        <s v="100% da população com transporte público acessível e 80% da cidade com áreas verdes e espaços de lazer."/>
        <s v="Reduzir os resíduos sólidos em 50% até 2030 e aumentar a taxa de reciclagem para 30% dos resíduos gerados."/>
        <s v="Redução de emissões de CO2 por habitante em 20% até 2030 e promoção de energias renováveis."/>
        <s v="Proteger 20% das áreas costeiras e marinhas e reduzir a poluição nos corpos d'água."/>
        <s v="Proteger 15% das áreas de biodiversidade e promover a recuperação de áreas degradadas."/>
        <s v="Acesso à justiça para 90% da população e fortalecimento das instituições públicas transparentes."/>
        <s v="Aumento das parcerias com entidades públicas, privadas e sociais e mobilização de recursos financeiros para ODS."/>
      </sharedItems>
    </cacheField>
    <cacheField name="IDS Goiana - PE" numFmtId="10">
      <sharedItems containsSemiMixedTypes="0" containsString="0" containsNumber="1" minValue="1.6899999999999998E-2" maxValue="0.91449999999999998" count="17">
        <n v="0.52410000000000001"/>
        <n v="0.52769999999999995"/>
        <n v="0.69489999999999996"/>
        <n v="0.39169999999999999"/>
        <n v="0.2843"/>
        <n v="0.71970000000000001"/>
        <n v="0.91449999999999998"/>
        <n v="0.37140000000000001"/>
        <n v="0.50290000000000001"/>
        <n v="0.47960000000000003"/>
        <n v="0.64759999999999995"/>
        <n v="0.28639999999999999"/>
        <n v="0.73860000000000003"/>
        <n v="1.6899999999999998E-2"/>
        <n v="0.17510000000000001"/>
        <n v="0.27379999999999999"/>
        <n v="0.1275"/>
      </sharedItems>
    </cacheField>
    <cacheField name="Média Região" numFmtId="10">
      <sharedItems containsSemiMixedTypes="0" containsString="0" containsNumber="1" minValue="5.1749999999999997E-2" maxValue="0.82872499999999993" count="17">
        <n v="0.46065"/>
        <n v="0.50295000000000001"/>
        <n v="0.640625"/>
        <n v="0.32032500000000003"/>
        <n v="0.31832500000000002"/>
        <n v="0.43720000000000003"/>
        <n v="0.82872499999999993"/>
        <n v="0.24655000000000002"/>
        <n v="0.53127500000000005"/>
        <n v="0.5413"/>
        <n v="0.65297499999999997"/>
        <n v="0.33102499999999996"/>
        <n v="0.79215000000000013"/>
        <n v="5.1749999999999997E-2"/>
        <n v="0.31912499999999999"/>
        <n v="0.33415"/>
        <n v="0.41562500000000002"/>
      </sharedItems>
    </cacheField>
    <cacheField name="Média 5 Maiores PIB - PE" numFmtId="10">
      <sharedItems containsSemiMixedTypes="0" containsString="0" containsNumber="1" minValue="0.11998" maxValue="0.89742"/>
    </cacheField>
    <cacheField name="Média 3 Cidades - Mesma faixa Populacional (80 Mil - 100 Mil) - Araripina/ St Cruz Capibaripe/ Serra Talhada" numFmtId="10">
      <sharedItems containsSemiMixedTypes="0" containsString="0" containsNumber="1" minValue="3.093333333333333E-2" maxValue="0.70926666666666671"/>
    </cacheField>
  </cacheFields>
  <extLst>
    <ext xmlns:x14="http://schemas.microsoft.com/office/spreadsheetml/2009/9/main" uri="{725AE2AE-9491-48be-B2B4-4EB974FC3084}">
      <x14:pivotCacheDefinition pivotCacheId="48888226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x v="0"/>
    <x v="0"/>
    <x v="0"/>
    <x v="0"/>
    <x v="0"/>
    <x v="0"/>
    <x v="0"/>
    <n v="0.63483999999999996"/>
    <n v="0.5387333333333334"/>
  </r>
  <r>
    <x v="1"/>
    <x v="1"/>
    <x v="1"/>
    <x v="1"/>
    <x v="1"/>
    <x v="1"/>
    <x v="1"/>
    <n v="0.42038000000000003"/>
    <n v="0.47266666666666673"/>
  </r>
  <r>
    <x v="2"/>
    <x v="2"/>
    <x v="2"/>
    <x v="0"/>
    <x v="2"/>
    <x v="2"/>
    <x v="2"/>
    <n v="0.62195999999999996"/>
    <n v="0.70926666666666671"/>
  </r>
  <r>
    <x v="3"/>
    <x v="3"/>
    <x v="3"/>
    <x v="0"/>
    <x v="3"/>
    <x v="3"/>
    <x v="3"/>
    <n v="0.44875999999999994"/>
    <n v="0.39716666666666667"/>
  </r>
  <r>
    <x v="4"/>
    <x v="4"/>
    <x v="4"/>
    <x v="2"/>
    <x v="4"/>
    <x v="4"/>
    <x v="4"/>
    <n v="0.30375999999999997"/>
    <n v="0.47350000000000003"/>
  </r>
  <r>
    <x v="5"/>
    <x v="5"/>
    <x v="5"/>
    <x v="0"/>
    <x v="5"/>
    <x v="5"/>
    <x v="5"/>
    <n v="0.69467999999999996"/>
    <n v="0.65746666666666664"/>
  </r>
  <r>
    <x v="6"/>
    <x v="6"/>
    <x v="6"/>
    <x v="3"/>
    <x v="6"/>
    <x v="6"/>
    <x v="6"/>
    <n v="0.89742"/>
    <n v="0.6502"/>
  </r>
  <r>
    <x v="7"/>
    <x v="7"/>
    <x v="7"/>
    <x v="4"/>
    <x v="7"/>
    <x v="7"/>
    <x v="7"/>
    <n v="0.37622000000000005"/>
    <n v="0.32806666666666667"/>
  </r>
  <r>
    <x v="8"/>
    <x v="8"/>
    <x v="8"/>
    <x v="5"/>
    <x v="8"/>
    <x v="8"/>
    <x v="8"/>
    <n v="0.11998"/>
    <n v="0.4456"/>
  </r>
  <r>
    <x v="9"/>
    <x v="9"/>
    <x v="9"/>
    <x v="2"/>
    <x v="9"/>
    <x v="9"/>
    <x v="9"/>
    <n v="0.46084000000000003"/>
    <n v="0.44343333333333335"/>
  </r>
  <r>
    <x v="10"/>
    <x v="10"/>
    <x v="10"/>
    <x v="4"/>
    <x v="10"/>
    <x v="10"/>
    <x v="10"/>
    <n v="0.34945999999999999"/>
    <n v="0.55903333333333327"/>
  </r>
  <r>
    <x v="11"/>
    <x v="11"/>
    <x v="11"/>
    <x v="5"/>
    <x v="11"/>
    <x v="11"/>
    <x v="11"/>
    <n v="0.37362000000000001"/>
    <n v="0.47849999999999998"/>
  </r>
  <r>
    <x v="12"/>
    <x v="12"/>
    <x v="12"/>
    <x v="5"/>
    <x v="12"/>
    <x v="12"/>
    <x v="12"/>
    <n v="0.67754000000000003"/>
    <n v="0.57783333333333331"/>
  </r>
  <r>
    <x v="13"/>
    <x v="13"/>
    <x v="13"/>
    <x v="6"/>
    <x v="13"/>
    <x v="13"/>
    <x v="13"/>
    <n v="0.24620000000000003"/>
    <n v="3.093333333333333E-2"/>
  </r>
  <r>
    <x v="14"/>
    <x v="14"/>
    <x v="14"/>
    <x v="7"/>
    <x v="14"/>
    <x v="14"/>
    <x v="14"/>
    <n v="0.32052000000000003"/>
    <n v="0.39179999999999998"/>
  </r>
  <r>
    <x v="15"/>
    <x v="15"/>
    <x v="15"/>
    <x v="4"/>
    <x v="15"/>
    <x v="15"/>
    <x v="15"/>
    <n v="0.36213999999999996"/>
    <n v="0.38529999999999998"/>
  </r>
  <r>
    <x v="16"/>
    <x v="16"/>
    <x v="16"/>
    <x v="2"/>
    <x v="16"/>
    <x v="16"/>
    <x v="16"/>
    <n v="0.28860000000000002"/>
    <n v="0.137399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0C3D4-E80D-4C87-BD08-6C45D9713A10}" name="Tabela dinâmica4" cacheId="0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outline="1" outlineData="1" multipleFieldFilters="0">
  <location ref="G3:H4" firstHeaderRow="1" firstDataRow="1" firstDataCol="1"/>
  <pivotFields count="9">
    <pivotField multipleItemSelectionAllowed="1" showAll="0">
      <items count="18"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t="default"/>
      </items>
    </pivotField>
    <pivotField subtotalTop="0" showAll="0">
      <items count="18">
        <item x="12"/>
        <item x="5"/>
        <item x="10"/>
        <item x="11"/>
        <item x="3"/>
        <item x="6"/>
        <item x="0"/>
        <item x="1"/>
        <item x="4"/>
        <item x="8"/>
        <item x="16"/>
        <item x="15"/>
        <item x="9"/>
        <item x="2"/>
        <item x="7"/>
        <item x="13"/>
        <item x="14"/>
        <item t="default"/>
      </items>
    </pivotField>
    <pivotField axis="axisRow" showAll="0">
      <items count="18">
        <item x="12"/>
        <item x="4"/>
        <item x="0"/>
        <item x="16"/>
        <item x="5"/>
        <item x="6"/>
        <item x="3"/>
        <item x="2"/>
        <item x="8"/>
        <item x="7"/>
        <item x="11"/>
        <item x="15"/>
        <item x="14"/>
        <item x="13"/>
        <item x="1"/>
        <item x="9"/>
        <item x="10"/>
        <item t="default"/>
      </items>
    </pivotField>
    <pivotField showAll="0">
      <items count="9">
        <item x="7"/>
        <item x="6"/>
        <item x="5"/>
        <item x="2"/>
        <item x="3"/>
        <item x="4"/>
        <item x="1"/>
        <item x="0"/>
        <item t="default"/>
      </items>
    </pivotField>
    <pivotField showAll="0"/>
    <pivotField numFmtId="10" showAll="0" defaultSubtotal="0">
      <items count="17">
        <item x="13"/>
        <item x="16"/>
        <item x="14"/>
        <item x="15"/>
        <item x="4"/>
        <item x="11"/>
        <item x="7"/>
        <item x="3"/>
        <item x="9"/>
        <item x="8"/>
        <item x="0"/>
        <item x="1"/>
        <item x="10"/>
        <item x="2"/>
        <item x="5"/>
        <item x="12"/>
        <item x="6"/>
      </items>
    </pivotField>
    <pivotField dataField="1" numFmtId="10" showAll="0">
      <items count="18">
        <item x="13"/>
        <item x="7"/>
        <item x="4"/>
        <item x="14"/>
        <item x="3"/>
        <item x="11"/>
        <item x="15"/>
        <item x="16"/>
        <item x="5"/>
        <item x="0"/>
        <item x="1"/>
        <item x="8"/>
        <item x="9"/>
        <item x="2"/>
        <item x="10"/>
        <item x="12"/>
        <item x="6"/>
        <item t="default"/>
      </items>
    </pivotField>
    <pivotField numFmtId="10" showAll="0"/>
    <pivotField numFmtId="10" showAll="0"/>
  </pivotFields>
  <rowFields count="1">
    <field x="2"/>
  </rowFields>
  <rowItems count="1">
    <i>
      <x v="9"/>
    </i>
  </rowItems>
  <colItems count="1">
    <i/>
  </colItems>
  <dataFields count="1">
    <dataField name="Soma de Média Região" fld="6" baseField="0" baseItem="0"/>
  </dataFields>
  <formats count="1">
    <format dxfId="37">
      <pivotArea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9A295D-9381-47B0-BEFE-7C662F87E4D8}" name="Tabela dinâmica3" cacheId="0" dataPosition="0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outline="1" outlineData="1" multipleFieldFilters="0" chartFormat="7">
  <location ref="A3:E4" firstHeaderRow="0" firstDataRow="1" firstDataCol="1"/>
  <pivotFields count="9">
    <pivotField multipleItemSelectionAllowed="1" showAll="0">
      <items count="18"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t="default"/>
      </items>
    </pivotField>
    <pivotField subtotalTop="0" showAll="0">
      <items count="18">
        <item h="1" x="12"/>
        <item h="1" x="5"/>
        <item h="1" x="10"/>
        <item h="1" x="11"/>
        <item h="1" x="3"/>
        <item h="1" x="6"/>
        <item h="1" x="0"/>
        <item x="1"/>
        <item h="1" x="4"/>
        <item h="1" x="8"/>
        <item h="1" x="16"/>
        <item h="1" x="15"/>
        <item h="1" x="9"/>
        <item h="1" x="2"/>
        <item h="1" x="7"/>
        <item h="1" x="13"/>
        <item h="1" x="14"/>
        <item t="default"/>
      </items>
    </pivotField>
    <pivotField axis="axisRow" showAll="0">
      <items count="18">
        <item x="12"/>
        <item x="4"/>
        <item x="0"/>
        <item x="16"/>
        <item x="5"/>
        <item x="6"/>
        <item x="3"/>
        <item x="2"/>
        <item x="8"/>
        <item x="7"/>
        <item x="11"/>
        <item x="15"/>
        <item x="14"/>
        <item x="13"/>
        <item x="1"/>
        <item x="9"/>
        <item x="10"/>
        <item t="default"/>
      </items>
    </pivotField>
    <pivotField showAll="0">
      <items count="9">
        <item x="7"/>
        <item x="6"/>
        <item x="5"/>
        <item x="2"/>
        <item x="3"/>
        <item x="4"/>
        <item x="1"/>
        <item x="0"/>
        <item t="default"/>
      </items>
    </pivotField>
    <pivotField showAll="0"/>
    <pivotField dataField="1" numFmtId="10" showAll="0" defaultSubtotal="0">
      <items count="17">
        <item x="13"/>
        <item x="16"/>
        <item x="14"/>
        <item x="15"/>
        <item x="4"/>
        <item x="11"/>
        <item x="7"/>
        <item x="3"/>
        <item x="9"/>
        <item x="8"/>
        <item x="0"/>
        <item x="1"/>
        <item x="10"/>
        <item x="2"/>
        <item x="5"/>
        <item x="12"/>
        <item x="6"/>
      </items>
    </pivotField>
    <pivotField dataField="1" numFmtId="10" showAll="0">
      <items count="18">
        <item x="13"/>
        <item x="7"/>
        <item x="4"/>
        <item x="14"/>
        <item x="3"/>
        <item x="11"/>
        <item x="15"/>
        <item x="16"/>
        <item x="5"/>
        <item x="0"/>
        <item x="1"/>
        <item x="8"/>
        <item x="9"/>
        <item x="2"/>
        <item x="10"/>
        <item x="12"/>
        <item x="6"/>
        <item t="default"/>
      </items>
    </pivotField>
    <pivotField dataField="1" numFmtId="10" showAll="0"/>
    <pivotField dataField="1" numFmtId="10" showAll="0"/>
  </pivotFields>
  <rowFields count="1">
    <field x="2"/>
  </rowFields>
  <rowItems count="1">
    <i>
      <x v="9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oma de IDS Goiana - PE" fld="5" baseField="0" baseItem="0"/>
    <dataField name="Soma de Média 3 Cidades - Mesma faixa Populacional (80 Mil - 100 Mil) - Araripina/ St Cruz Capibaripe/ Serra Talhada" fld="8" baseField="0" baseItem="0"/>
    <dataField name="Soma de Média Região" fld="6" baseField="0" baseItem="0"/>
    <dataField name="Soma de Média 5 Maiores PIB - PE" fld="7" baseField="0" baseItem="0"/>
  </dataFields>
  <formats count="2">
    <format dxfId="39">
      <pivotArea outline="0" collapsedLevelsAreSubtotals="1" fieldPosition="0"/>
    </format>
    <format dxfId="38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6"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1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3"/>
          </reference>
          <reference field="2" count="1" selected="0">
            <x v="0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3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25029B-A9F4-440B-99B9-61C50CFAA2DF}" name="Tabela dinâmica8" cacheId="0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outline="1" outlineData="1" multipleFieldFilters="0" chartFormat="2">
  <location ref="A54:A55" firstHeaderRow="1" firstDataRow="1" firstDataCol="1"/>
  <pivotFields count="9">
    <pivotField axis="axisRow" multipleItemSelectionAllowed="1" showAll="0">
      <items count="18"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t="default"/>
      </items>
    </pivotField>
    <pivotField subtotalTop="0" showAll="0">
      <items count="18">
        <item h="1" x="12"/>
        <item h="1" x="5"/>
        <item h="1" x="10"/>
        <item h="1" x="11"/>
        <item h="1" x="3"/>
        <item h="1" x="6"/>
        <item h="1" x="0"/>
        <item x="1"/>
        <item h="1" x="4"/>
        <item h="1" x="8"/>
        <item h="1" x="16"/>
        <item h="1" x="15"/>
        <item h="1" x="9"/>
        <item h="1" x="2"/>
        <item h="1" x="7"/>
        <item h="1" x="13"/>
        <item h="1" x="14"/>
        <item t="default"/>
      </items>
    </pivotField>
    <pivotField showAll="0">
      <items count="18">
        <item x="12"/>
        <item x="4"/>
        <item x="0"/>
        <item x="16"/>
        <item x="5"/>
        <item x="6"/>
        <item x="3"/>
        <item x="2"/>
        <item x="8"/>
        <item x="7"/>
        <item x="11"/>
        <item x="15"/>
        <item x="14"/>
        <item x="13"/>
        <item x="1"/>
        <item x="9"/>
        <item x="10"/>
        <item t="default"/>
      </items>
    </pivotField>
    <pivotField showAll="0">
      <items count="9">
        <item x="7"/>
        <item x="6"/>
        <item x="5"/>
        <item x="2"/>
        <item x="3"/>
        <item x="4"/>
        <item x="1"/>
        <item x="0"/>
        <item t="default"/>
      </items>
    </pivotField>
    <pivotField showAll="0"/>
    <pivotField numFmtId="10" showAll="0" defaultSubtotal="0">
      <items count="17">
        <item x="13"/>
        <item x="16"/>
        <item x="14"/>
        <item x="15"/>
        <item x="4"/>
        <item x="11"/>
        <item x="7"/>
        <item x="3"/>
        <item x="9"/>
        <item x="8"/>
        <item x="0"/>
        <item x="1"/>
        <item x="10"/>
        <item x="2"/>
        <item x="5"/>
        <item x="12"/>
        <item x="6"/>
      </items>
    </pivotField>
    <pivotField numFmtId="10" showAll="0">
      <items count="18">
        <item x="13"/>
        <item x="7"/>
        <item x="4"/>
        <item x="14"/>
        <item x="3"/>
        <item x="11"/>
        <item x="15"/>
        <item x="16"/>
        <item x="5"/>
        <item x="0"/>
        <item x="1"/>
        <item x="8"/>
        <item x="9"/>
        <item x="2"/>
        <item x="10"/>
        <item x="12"/>
        <item x="6"/>
        <item t="default"/>
      </items>
    </pivotField>
    <pivotField numFmtId="10" showAll="0"/>
    <pivotField numFmtId="10" showAll="0"/>
  </pivotFields>
  <rowFields count="1">
    <field x="0"/>
  </rowFields>
  <rowItems count="1">
    <i>
      <x v="7"/>
    </i>
  </rowItems>
  <colItems count="1">
    <i/>
  </colItems>
  <formats count="1">
    <format dxfId="40">
      <pivotArea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2D8D93-8C01-44A8-9B5B-C28255851841}" name="Tabela dinâmica6" cacheId="0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outline="1" outlineData="1" multipleFieldFilters="0">
  <location ref="Q3:R4" firstHeaderRow="1" firstDataRow="1" firstDataCol="1"/>
  <pivotFields count="9">
    <pivotField multipleItemSelectionAllowed="1" showAll="0">
      <items count="18"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t="default"/>
      </items>
    </pivotField>
    <pivotField subtotalTop="0" showAll="0">
      <items count="18">
        <item x="12"/>
        <item x="5"/>
        <item x="10"/>
        <item x="11"/>
        <item x="3"/>
        <item x="6"/>
        <item x="0"/>
        <item x="1"/>
        <item x="4"/>
        <item x="8"/>
        <item x="16"/>
        <item x="15"/>
        <item x="9"/>
        <item x="2"/>
        <item x="7"/>
        <item x="13"/>
        <item x="14"/>
        <item t="default"/>
      </items>
    </pivotField>
    <pivotField axis="axisRow" showAll="0">
      <items count="18">
        <item x="12"/>
        <item x="4"/>
        <item x="0"/>
        <item x="16"/>
        <item x="5"/>
        <item x="6"/>
        <item x="3"/>
        <item x="2"/>
        <item x="8"/>
        <item x="7"/>
        <item x="11"/>
        <item x="15"/>
        <item x="14"/>
        <item x="13"/>
        <item x="1"/>
        <item x="9"/>
        <item x="10"/>
        <item t="default"/>
      </items>
    </pivotField>
    <pivotField showAll="0">
      <items count="9">
        <item x="7"/>
        <item x="6"/>
        <item x="5"/>
        <item x="2"/>
        <item x="3"/>
        <item x="4"/>
        <item x="1"/>
        <item x="0"/>
        <item t="default"/>
      </items>
    </pivotField>
    <pivotField showAll="0"/>
    <pivotField numFmtId="10" showAll="0" defaultSubtotal="0">
      <items count="17">
        <item x="13"/>
        <item x="16"/>
        <item x="14"/>
        <item x="15"/>
        <item x="4"/>
        <item x="11"/>
        <item x="7"/>
        <item x="3"/>
        <item x="9"/>
        <item x="8"/>
        <item x="0"/>
        <item x="1"/>
        <item x="10"/>
        <item x="2"/>
        <item x="5"/>
        <item x="12"/>
        <item x="6"/>
      </items>
    </pivotField>
    <pivotField numFmtId="10" showAll="0">
      <items count="18">
        <item x="13"/>
        <item x="7"/>
        <item x="4"/>
        <item x="14"/>
        <item x="3"/>
        <item x="11"/>
        <item x="15"/>
        <item x="16"/>
        <item x="5"/>
        <item x="0"/>
        <item x="1"/>
        <item x="8"/>
        <item x="9"/>
        <item x="2"/>
        <item x="10"/>
        <item x="12"/>
        <item x="6"/>
        <item t="default"/>
      </items>
    </pivotField>
    <pivotField numFmtId="10" showAll="0"/>
    <pivotField dataField="1" numFmtId="10" showAll="0"/>
  </pivotFields>
  <rowFields count="1">
    <field x="2"/>
  </rowFields>
  <rowItems count="1">
    <i>
      <x v="9"/>
    </i>
  </rowItems>
  <colItems count="1">
    <i/>
  </colItems>
  <dataFields count="1">
    <dataField name="Soma de Média 3 Cidades - Mesma faixa Populacional (80 Mil - 100 Mil) - Araripina/ St Cruz Capibaripe/ Serra Talhada" fld="8" baseField="0" baseItem="0"/>
  </dataFields>
  <formats count="1">
    <format dxfId="41">
      <pivotArea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95C752-E421-4DEE-BF66-52440DFB56A6}" name="Tabela dinâmica5" cacheId="0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outline="1" outlineData="1" multipleFieldFilters="0">
  <location ref="L3:M4" firstHeaderRow="1" firstDataRow="1" firstDataCol="1"/>
  <pivotFields count="9">
    <pivotField multipleItemSelectionAllowed="1" showAll="0">
      <items count="18"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t="default"/>
      </items>
    </pivotField>
    <pivotField subtotalTop="0" showAll="0">
      <items count="18">
        <item x="12"/>
        <item x="5"/>
        <item x="10"/>
        <item x="11"/>
        <item x="3"/>
        <item x="6"/>
        <item x="0"/>
        <item x="1"/>
        <item x="4"/>
        <item x="8"/>
        <item x="16"/>
        <item x="15"/>
        <item x="9"/>
        <item x="2"/>
        <item x="7"/>
        <item x="13"/>
        <item x="14"/>
        <item t="default"/>
      </items>
    </pivotField>
    <pivotField axis="axisRow" showAll="0">
      <items count="18">
        <item x="12"/>
        <item x="4"/>
        <item x="0"/>
        <item x="16"/>
        <item x="5"/>
        <item x="6"/>
        <item x="3"/>
        <item x="2"/>
        <item x="8"/>
        <item x="7"/>
        <item x="11"/>
        <item x="15"/>
        <item x="14"/>
        <item x="13"/>
        <item x="1"/>
        <item x="9"/>
        <item x="10"/>
        <item t="default"/>
      </items>
    </pivotField>
    <pivotField showAll="0">
      <items count="9">
        <item x="7"/>
        <item x="6"/>
        <item x="5"/>
        <item x="2"/>
        <item x="3"/>
        <item x="4"/>
        <item x="1"/>
        <item x="0"/>
        <item t="default"/>
      </items>
    </pivotField>
    <pivotField showAll="0"/>
    <pivotField numFmtId="10" showAll="0" defaultSubtotal="0">
      <items count="17">
        <item x="13"/>
        <item x="16"/>
        <item x="14"/>
        <item x="15"/>
        <item x="4"/>
        <item x="11"/>
        <item x="7"/>
        <item x="3"/>
        <item x="9"/>
        <item x="8"/>
        <item x="0"/>
        <item x="1"/>
        <item x="10"/>
        <item x="2"/>
        <item x="5"/>
        <item x="12"/>
        <item x="6"/>
      </items>
    </pivotField>
    <pivotField numFmtId="10" showAll="0">
      <items count="18">
        <item x="13"/>
        <item x="7"/>
        <item x="4"/>
        <item x="14"/>
        <item x="3"/>
        <item x="11"/>
        <item x="15"/>
        <item x="16"/>
        <item x="5"/>
        <item x="0"/>
        <item x="1"/>
        <item x="8"/>
        <item x="9"/>
        <item x="2"/>
        <item x="10"/>
        <item x="12"/>
        <item x="6"/>
        <item t="default"/>
      </items>
    </pivotField>
    <pivotField dataField="1" numFmtId="10" showAll="0"/>
    <pivotField numFmtId="10" showAll="0"/>
  </pivotFields>
  <rowFields count="1">
    <field x="2"/>
  </rowFields>
  <rowItems count="1">
    <i>
      <x v="9"/>
    </i>
  </rowItems>
  <colItems count="1">
    <i/>
  </colItems>
  <dataFields count="1">
    <dataField name="Soma de Média 5 Maiores PIB - PE" fld="7" baseField="0" baseItem="0"/>
  </dataFields>
  <formats count="1">
    <format dxfId="42">
      <pivotArea outline="0" collapsedLevelsAreSubtotals="1" fieldPosition="0"/>
    </format>
  </formats>
  <pivotTableStyleInfo name="PivotStyleMedium7" showRowHeaders="0" showColHeaders="0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Nº_ODS" xr10:uid="{F35994F5-9487-49AB-B721-2D03D09F10F3}" sourceName="Nº ODS">
  <pivotTables>
    <pivotTable tabId="11" name="Tabela dinâmica3"/>
    <pivotTable tabId="11" name="Tabela dinâmica4"/>
    <pivotTable tabId="11" name="Tabela dinâmica5"/>
    <pivotTable tabId="11" name="Tabela dinâmica6"/>
    <pivotTable tabId="11" name="Tabela dinâmica8"/>
  </pivotTables>
  <data>
    <tabular pivotCacheId="488882262">
      <items count="17">
        <i x="0"/>
        <i x="1"/>
        <i x="2"/>
        <i x="3"/>
        <i x="4"/>
        <i x="5"/>
        <i x="6"/>
        <i x="7" s="1"/>
        <i x="8"/>
        <i x="9"/>
        <i x="10"/>
        <i x="11"/>
        <i x="12"/>
        <i x="13"/>
        <i x="14"/>
        <i x="15"/>
        <i x="16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º ODS" xr10:uid="{2E60D345-99F2-44CA-B270-E91EB47A115C}" cache="SegmentaçãodeDados_Nº_ODS" columnCount="3" showCaption="0" style="SlicerStyleLight3" rowHeight="4320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22C0C2-44F4-4EF0-8B15-E6792107DF78}" name="TabelaOds" displayName="TabelaOds" ref="Z5:Z11" totalsRowShown="0">
  <autoFilter ref="Z5:Z11" xr:uid="{9915F2F2-30B8-4F25-BF78-46645552A559}"/>
  <tableColumns count="1">
    <tableColumn id="1" xr3:uid="{194E9B0F-E18F-4DCB-A5C0-89A7F30F492E}" name="Od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7955C1-F2E0-459B-B551-EC05C9BA5752}" name="TabelaGeral" displayName="TabelaGeral" ref="A3:R20" totalsRowShown="0" headerRowDxfId="36" dataDxfId="35">
  <autoFilter ref="A3:R20" xr:uid="{CCD24651-1B1E-4D0D-87C3-E4E56BD37526}"/>
  <tableColumns count="18">
    <tableColumn id="1" xr3:uid="{46EA11DD-30AB-469C-A77B-3FA45B29CF10}" name="Nº ODS" dataDxfId="34"/>
    <tableColumn id="2" xr3:uid="{68849B6E-2944-4D9E-972C-B124C94CB5EE}" name="ODS" dataDxfId="33"/>
    <tableColumn id="3" xr3:uid="{040064F4-FA4A-462A-ABDD-76020B1A44B5}" name="Objetivo" dataDxfId="32"/>
    <tableColumn id="4" xr3:uid="{72447C28-3859-4E00-99F8-C5D67A159FA7}" name="Valor Ideal de IDS (%)" dataDxfId="31"/>
    <tableColumn id="5" xr3:uid="{32F3CC5D-37F4-4D7C-B4AD-9842593C4F14}" name="Para chegar IDS Ideal" dataDxfId="30"/>
    <tableColumn id="6" xr3:uid="{BF303952-E74E-4E15-93D0-714F34EFC670}" name="IDS Goiana - PE" dataDxfId="29"/>
    <tableColumn id="7" xr3:uid="{7EAB58C0-E6CC-4D43-B8FD-9DE9BFA47C30}" name="Média Região" dataDxfId="28">
      <calculatedColumnFormula>AX4</calculatedColumnFormula>
    </tableColumn>
    <tableColumn id="8" xr3:uid="{DB8E30F7-4162-4271-A7A1-4FFDF80C7253}" name="Média 5 Maiores PIB - PE" dataDxfId="27">
      <calculatedColumnFormula>BI4</calculatedColumnFormula>
    </tableColumn>
    <tableColumn id="9" xr3:uid="{792A651B-2F44-4530-B582-F66A16C0CEEB}" name="Média 3 Cidades - Mesma faixa Populacional (80 Mil - 100 Mil) - Araripina/ St Cruz Capibaripe/ Serra Talhada" dataDxfId="26"/>
    <tableColumn id="10" xr3:uid="{489AFC9F-5A5D-425B-A4E0-2B8808BCC180}" name="Justificativa" dataDxfId="25"/>
    <tableColumn id="11" xr3:uid="{BD011B39-EFB7-41CD-934E-79E3D803840A}" name="Eixo WELL" dataDxfId="24"/>
    <tableColumn id="12" xr3:uid="{5D38A2C5-4CA2-4118-A3F3-CB9778720DDF}" name="Vantagem 1" dataDxfId="23"/>
    <tableColumn id="13" xr3:uid="{72E41661-781F-4B50-B4D8-3B02AE016B8E}" name="Vantagem 2 " dataDxfId="22"/>
    <tableColumn id="14" xr3:uid="{CAE7893D-519C-49AD-A758-B5E79204D3B0}" name="Vantagem 3" dataDxfId="21"/>
    <tableColumn id="15" xr3:uid="{2FBBA440-9B68-430D-8A8C-C0FD487524D3}" name="Solução 1" dataDxfId="20"/>
    <tableColumn id="16" xr3:uid="{131DF269-3BE7-4548-A899-FAFD7658F890}" name="Solução 2" dataDxfId="19"/>
    <tableColumn id="17" xr3:uid="{667947B9-D228-4C1F-B1FB-9009B413C885}" name="Solução 3" dataDxfId="18"/>
    <tableColumn id="18" xr3:uid="{C8B84889-1F5C-404F-8CB2-C55EDB491D2C}" name="Solução 4" dataDxfId="1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microsoft.com/office/2007/relationships/slicer" Target="../slicers/slicer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6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odspb.secties.pb.gov.br/objetivos?name=todos-os-objetivos&amp;region=serra-branca-pb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clp.org.br/atualizar-o-cadastro-no-sus-permite-maior-repasses-municipais/" TargetMode="External"/><Relationship Id="rId13" Type="http://schemas.openxmlformats.org/officeDocument/2006/relationships/hyperlink" Target="https://visaoalagoas2030.al.gov.br/" TargetMode="External"/><Relationship Id="rId3" Type="http://schemas.openxmlformats.org/officeDocument/2006/relationships/hyperlink" Target="https://tce.pb.gov.br/institucional/planejamento-estrategico/" TargetMode="External"/><Relationship Id="rId7" Type="http://schemas.openxmlformats.org/officeDocument/2006/relationships/hyperlink" Target="https://prezi.com/p/edit/j0iy2phno57v/" TargetMode="External"/><Relationship Id="rId12" Type="http://schemas.openxmlformats.org/officeDocument/2006/relationships/hyperlink" Target="https://al.movimentoods.org.br/governanca/" TargetMode="External"/><Relationship Id="rId2" Type="http://schemas.openxmlformats.org/officeDocument/2006/relationships/hyperlink" Target="https://serrabranca.pb.gov.br/" TargetMode="External"/><Relationship Id="rId1" Type="http://schemas.openxmlformats.org/officeDocument/2006/relationships/hyperlink" Target="https://odspb.secties.pb.gov.br/objetivos?name=erradicacao-da-pobreza&amp;region=serra-branca-pb" TargetMode="External"/><Relationship Id="rId6" Type="http://schemas.openxmlformats.org/officeDocument/2006/relationships/hyperlink" Target="https://leismunicipais.com.br/plano-de-zoneamento-uso-e-ocupacao-do-solo-ponta-grossa-pr" TargetMode="External"/><Relationship Id="rId11" Type="http://schemas.openxmlformats.org/officeDocument/2006/relationships/hyperlink" Target="https://dados.al.gov.br/catalogo/dataset/c288554f-3b9c-4be7-b0b6-59fc2fee34fd/resource/57a36e8b-1cbe-4a04-9e04-66aa46fa2f9f/download/notametodologicaaplicada_cpi-maceio.pdf" TargetMode="External"/><Relationship Id="rId5" Type="http://schemas.openxmlformats.org/officeDocument/2006/relationships/hyperlink" Target="https://idsc.cidadessustentaveis.org.br/profiles/2515500/" TargetMode="External"/><Relationship Id="rId10" Type="http://schemas.openxmlformats.org/officeDocument/2006/relationships/hyperlink" Target="https://www.tesourotransparente.gov.br/temas/estados-e-municipios/transferencias-a-estados-e-municipios" TargetMode="External"/><Relationship Id="rId4" Type="http://schemas.openxmlformats.org/officeDocument/2006/relationships/hyperlink" Target="https://www.ibge.gov.br/cidades-e-estados/pb/serra-branca.html" TargetMode="External"/><Relationship Id="rId9" Type="http://schemas.openxmlformats.org/officeDocument/2006/relationships/hyperlink" Target="https://www2.senado.leg.br/bdsf/bitstream/handle/id/385453/Manual%20de%20Obten%C3%A7%C3%A3o%20de%20Recursos%20Federai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9A6D-173C-4D6F-BCD8-CBEBAA07BADB}">
  <dimension ref="A1:R30"/>
  <sheetViews>
    <sheetView showGridLines="0" zoomScale="70" zoomScaleNormal="70" workbookViewId="0">
      <selection activeCell="D16" sqref="D16"/>
    </sheetView>
  </sheetViews>
  <sheetFormatPr defaultRowHeight="14" zeroHeight="1"/>
  <cols>
    <col min="17" max="18" width="48.08203125" customWidth="1"/>
  </cols>
  <sheetData>
    <row r="1" spans="1:18" ht="45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8"/>
    </row>
    <row r="2" spans="1:18" ht="23.5" customHeight="1" thickBot="1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9"/>
    </row>
    <row r="3" spans="1:18">
      <c r="A3" s="136"/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</row>
    <row r="4" spans="1:18">
      <c r="A4" s="136"/>
      <c r="B4" s="136"/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</row>
    <row r="5" spans="1:18">
      <c r="A5" s="136"/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</row>
    <row r="6" spans="1:18">
      <c r="A6" s="136"/>
      <c r="B6" s="136"/>
      <c r="C6" s="136"/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36"/>
    </row>
    <row r="7" spans="1:18">
      <c r="A7" s="136"/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</row>
    <row r="8" spans="1:18">
      <c r="A8" s="136"/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</row>
    <row r="9" spans="1:18">
      <c r="A9" s="136"/>
      <c r="B9" s="136"/>
      <c r="C9" s="136"/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</row>
    <row r="10" spans="1:18">
      <c r="A10" s="136"/>
      <c r="B10" s="136"/>
      <c r="C10" s="136"/>
      <c r="D10" s="136"/>
      <c r="E10" s="136"/>
      <c r="F10" s="136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</row>
    <row r="11" spans="1:18">
      <c r="A11" s="136"/>
      <c r="B11" s="136"/>
      <c r="C11" s="136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6"/>
    </row>
    <row r="12" spans="1:18">
      <c r="A12" s="136"/>
      <c r="B12" s="136"/>
      <c r="C12" s="136"/>
      <c r="D12" s="136"/>
      <c r="E12" s="136"/>
      <c r="F12" s="136"/>
      <c r="G12" s="136"/>
      <c r="H12" s="137"/>
      <c r="I12" s="136"/>
      <c r="J12" s="136"/>
      <c r="K12" s="136"/>
      <c r="L12" s="136"/>
      <c r="M12" s="136"/>
      <c r="N12" s="136"/>
      <c r="O12" s="136"/>
      <c r="P12" s="136"/>
      <c r="Q12" s="136"/>
      <c r="R12" s="136"/>
    </row>
    <row r="13" spans="1:18">
      <c r="A13" s="136"/>
      <c r="B13" s="136"/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</row>
    <row r="14" spans="1:18">
      <c r="A14" s="136"/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6"/>
      <c r="M14" s="136"/>
      <c r="N14" s="136"/>
      <c r="O14" s="136"/>
      <c r="P14" s="136"/>
      <c r="Q14" s="136"/>
      <c r="R14" s="136"/>
    </row>
    <row r="15" spans="1:18">
      <c r="A15" s="136"/>
      <c r="B15" s="136"/>
      <c r="C15" s="136"/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</row>
    <row r="16" spans="1:18">
      <c r="A16" s="136"/>
      <c r="B16" s="136"/>
      <c r="C16" s="136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</row>
    <row r="17" spans="1:18">
      <c r="A17" s="136"/>
      <c r="B17" s="136"/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</row>
    <row r="18" spans="1:18">
      <c r="A18" s="136"/>
      <c r="B18" s="136"/>
      <c r="C18" s="136"/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</row>
    <row r="19" spans="1:18">
      <c r="A19" s="136"/>
      <c r="B19" s="136"/>
      <c r="C19" s="136"/>
      <c r="D19" s="136"/>
      <c r="E19" s="136"/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36"/>
      <c r="R19" s="136"/>
    </row>
    <row r="20" spans="1:18">
      <c r="A20" s="136"/>
      <c r="B20" s="136"/>
      <c r="C20" s="136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36"/>
      <c r="P20" s="136"/>
      <c r="Q20" s="136"/>
      <c r="R20" s="136"/>
    </row>
    <row r="21" spans="1:18">
      <c r="A21" s="136"/>
      <c r="B21" s="136"/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</row>
    <row r="22" spans="1:18">
      <c r="A22" s="136"/>
      <c r="B22" s="136"/>
      <c r="C22" s="136"/>
      <c r="D22" s="136"/>
      <c r="E22" s="136"/>
      <c r="F22" s="136"/>
      <c r="G22" s="136"/>
      <c r="H22" s="136"/>
      <c r="I22" s="136"/>
      <c r="J22" s="136"/>
      <c r="K22" s="136"/>
      <c r="L22" s="136"/>
      <c r="M22" s="136"/>
      <c r="N22" s="136"/>
      <c r="O22" s="136"/>
      <c r="P22" s="136"/>
      <c r="Q22" s="136"/>
      <c r="R22" s="136"/>
    </row>
    <row r="23" spans="1:18">
      <c r="A23" s="136"/>
      <c r="B23" s="136"/>
      <c r="C23" s="136"/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136"/>
      <c r="R23" s="136"/>
    </row>
    <row r="24" spans="1:18">
      <c r="A24" s="136"/>
      <c r="B24" s="136"/>
      <c r="C24" s="136"/>
      <c r="D24" s="136"/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36"/>
      <c r="R24" s="136"/>
    </row>
    <row r="25" spans="1:18">
      <c r="A25" s="136"/>
      <c r="B25" s="136"/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</row>
    <row r="26" spans="1:18">
      <c r="A26" s="136"/>
      <c r="B26" s="136"/>
      <c r="C26" s="136"/>
      <c r="D26" s="136"/>
      <c r="E26" s="136"/>
      <c r="F26" s="136"/>
      <c r="G26" s="136"/>
      <c r="H26" s="136"/>
      <c r="I26" s="136"/>
      <c r="J26" s="136"/>
      <c r="K26" s="136"/>
      <c r="L26" s="136"/>
      <c r="M26" s="136"/>
      <c r="N26" s="136"/>
      <c r="O26" s="136"/>
      <c r="P26" s="136"/>
      <c r="Q26" s="136"/>
      <c r="R26" s="136"/>
    </row>
    <row r="27" spans="1:18">
      <c r="A27" s="136"/>
      <c r="B27" s="136"/>
      <c r="C27" s="136"/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</row>
    <row r="28" spans="1:18">
      <c r="A28" s="136"/>
      <c r="B28" s="136"/>
      <c r="C28" s="136"/>
      <c r="D28" s="136"/>
      <c r="E28" s="136"/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136"/>
      <c r="R28" s="136"/>
    </row>
    <row r="29" spans="1:18">
      <c r="A29" s="136"/>
      <c r="B29" s="136"/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</row>
    <row r="30" spans="1:18">
      <c r="A30" s="136"/>
      <c r="B30" s="136"/>
      <c r="C30" s="136"/>
      <c r="D30" s="136"/>
      <c r="E30" s="136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6"/>
      <c r="Q30" s="136"/>
      <c r="R30" s="136"/>
    </row>
  </sheetData>
  <sheetProtection sheet="1" objects="1" scenarios="1" selectLockedCells="1" pivotTables="0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9931-81B1-4787-90BE-4E3BD4E3BC6E}">
  <dimension ref="A1:R60"/>
  <sheetViews>
    <sheetView showGridLines="0" zoomScale="65" zoomScaleNormal="65" workbookViewId="0">
      <selection activeCell="B17" sqref="B17"/>
    </sheetView>
  </sheetViews>
  <sheetFormatPr defaultColWidth="0" defaultRowHeight="14" zeroHeight="1"/>
  <cols>
    <col min="1" max="16" width="8.6640625" customWidth="1"/>
    <col min="17" max="18" width="48.08203125" customWidth="1"/>
    <col min="19" max="16384" width="8.6640625" hidden="1"/>
  </cols>
  <sheetData>
    <row r="1" spans="1:18" ht="45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8"/>
    </row>
    <row r="2" spans="1:18" ht="23.5" customHeight="1" thickBot="1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9"/>
    </row>
    <row r="3" spans="1:18">
      <c r="A3" s="136"/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</row>
    <row r="4" spans="1:18">
      <c r="A4" s="136"/>
      <c r="B4" s="136"/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</row>
    <row r="5" spans="1:18">
      <c r="A5" s="136"/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</row>
    <row r="6" spans="1:18">
      <c r="A6" s="136"/>
      <c r="B6" s="136"/>
      <c r="C6" s="136"/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36"/>
    </row>
    <row r="7" spans="1:18">
      <c r="A7" s="136"/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</row>
    <row r="8" spans="1:18">
      <c r="A8" s="136"/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</row>
    <row r="9" spans="1:18">
      <c r="A9" s="136"/>
      <c r="B9" s="136"/>
      <c r="C9" s="136"/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</row>
    <row r="10" spans="1:18">
      <c r="A10" s="136"/>
      <c r="B10" s="136"/>
      <c r="C10" s="136"/>
      <c r="D10" s="136"/>
      <c r="E10" s="136"/>
      <c r="F10" s="136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</row>
    <row r="11" spans="1:18">
      <c r="A11" s="136"/>
      <c r="B11" s="136"/>
      <c r="C11" s="136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6"/>
    </row>
    <row r="12" spans="1:18">
      <c r="A12" s="136"/>
      <c r="B12" s="136"/>
      <c r="C12" s="136"/>
      <c r="D12" s="136"/>
      <c r="E12" s="136"/>
      <c r="F12" s="136"/>
      <c r="G12" s="136"/>
      <c r="H12" s="137"/>
      <c r="I12" s="136"/>
      <c r="J12" s="136"/>
      <c r="K12" s="136"/>
      <c r="L12" s="136"/>
      <c r="M12" s="136"/>
      <c r="N12" s="136"/>
      <c r="O12" s="136"/>
      <c r="P12" s="136"/>
      <c r="Q12" s="136"/>
      <c r="R12" s="136"/>
    </row>
    <row r="13" spans="1:18">
      <c r="A13" s="136"/>
      <c r="B13" s="136"/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</row>
    <row r="14" spans="1:18">
      <c r="A14" s="136"/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6"/>
      <c r="M14" s="136"/>
      <c r="N14" s="136"/>
      <c r="O14" s="136"/>
      <c r="P14" s="136"/>
      <c r="Q14" s="136"/>
      <c r="R14" s="136"/>
    </row>
    <row r="15" spans="1:18">
      <c r="A15" s="136"/>
      <c r="B15" s="136"/>
      <c r="C15" s="136"/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</row>
    <row r="16" spans="1:18">
      <c r="A16" s="136"/>
      <c r="B16" s="136"/>
      <c r="C16" s="136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</row>
    <row r="17" spans="1:18">
      <c r="A17" s="136"/>
      <c r="B17" s="136"/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</row>
    <row r="18" spans="1:18">
      <c r="A18" s="136"/>
      <c r="B18" s="136"/>
      <c r="C18" s="136"/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</row>
    <row r="19" spans="1:18">
      <c r="A19" s="136"/>
      <c r="B19" s="136"/>
      <c r="C19" s="136"/>
      <c r="D19" s="136"/>
      <c r="E19" s="136"/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36"/>
      <c r="R19" s="136"/>
    </row>
    <row r="20" spans="1:18">
      <c r="A20" s="136"/>
      <c r="B20" s="136"/>
      <c r="C20" s="136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36"/>
      <c r="P20" s="136"/>
      <c r="Q20" s="136"/>
      <c r="R20" s="136"/>
    </row>
    <row r="21" spans="1:18">
      <c r="A21" s="136"/>
      <c r="B21" s="136"/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</row>
    <row r="22" spans="1:18">
      <c r="A22" s="136"/>
      <c r="B22" s="136"/>
      <c r="C22" s="136"/>
      <c r="D22" s="136"/>
      <c r="E22" s="136"/>
      <c r="F22" s="136"/>
      <c r="G22" s="136"/>
      <c r="H22" s="136"/>
      <c r="I22" s="136"/>
      <c r="J22" s="136"/>
      <c r="K22" s="136"/>
      <c r="L22" s="136"/>
      <c r="M22" s="136"/>
      <c r="N22" s="136"/>
      <c r="O22" s="136"/>
      <c r="P22" s="136"/>
      <c r="Q22" s="136"/>
      <c r="R22" s="136"/>
    </row>
    <row r="23" spans="1:18">
      <c r="A23" s="136"/>
      <c r="B23" s="136"/>
      <c r="C23" s="136"/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136"/>
      <c r="R23" s="136"/>
    </row>
    <row r="24" spans="1:18">
      <c r="A24" s="136"/>
      <c r="B24" s="136"/>
      <c r="C24" s="136"/>
      <c r="D24" s="136"/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36"/>
      <c r="R24" s="136"/>
    </row>
    <row r="25" spans="1:18">
      <c r="A25" s="136"/>
      <c r="B25" s="136"/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</row>
    <row r="26" spans="1:18">
      <c r="A26" s="136"/>
      <c r="B26" s="136"/>
      <c r="C26" s="136"/>
      <c r="D26" s="136"/>
      <c r="E26" s="136"/>
      <c r="F26" s="136"/>
      <c r="G26" s="136"/>
      <c r="H26" s="136"/>
      <c r="I26" s="136"/>
      <c r="J26" s="136"/>
      <c r="K26" s="136"/>
      <c r="L26" s="136"/>
      <c r="M26" s="136"/>
      <c r="N26" s="136"/>
      <c r="O26" s="136"/>
      <c r="P26" s="136"/>
      <c r="Q26" s="136"/>
      <c r="R26" s="136"/>
    </row>
    <row r="27" spans="1:18">
      <c r="A27" s="136"/>
      <c r="B27" s="136"/>
      <c r="C27" s="136"/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</row>
    <row r="28" spans="1:18">
      <c r="A28" s="136"/>
      <c r="B28" s="136"/>
      <c r="C28" s="136"/>
      <c r="D28" s="136"/>
      <c r="E28" s="136"/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136"/>
      <c r="R28" s="136"/>
    </row>
    <row r="29" spans="1:18">
      <c r="A29" s="136"/>
      <c r="B29" s="136"/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</row>
    <row r="30" spans="1:18">
      <c r="A30" s="136"/>
      <c r="B30" s="136"/>
      <c r="C30" s="136"/>
      <c r="D30" s="136"/>
      <c r="E30" s="136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6"/>
      <c r="Q30" s="136"/>
      <c r="R30" s="136"/>
    </row>
    <row r="31" spans="1:18">
      <c r="A31" s="138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</row>
    <row r="32" spans="1:18">
      <c r="A32" s="138"/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</row>
    <row r="33" spans="1:18">
      <c r="A33" s="138"/>
      <c r="B33" s="138"/>
      <c r="C33" s="138"/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</row>
    <row r="34" spans="1:18">
      <c r="A34" s="138"/>
      <c r="B34" s="138"/>
      <c r="C34" s="138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</row>
    <row r="35" spans="1:18">
      <c r="A35" s="138"/>
      <c r="B35" s="138"/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</row>
    <row r="36" spans="1:18">
      <c r="A36" s="138"/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</row>
    <row r="37" spans="1:18">
      <c r="A37" s="138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</row>
    <row r="38" spans="1:18">
      <c r="A38" s="138"/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</row>
    <row r="39" spans="1:18">
      <c r="A39" s="138"/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</row>
    <row r="40" spans="1:18">
      <c r="A40" s="138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</row>
    <row r="41" spans="1:18">
      <c r="A41" s="138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</row>
    <row r="42" spans="1:18">
      <c r="A42" s="138"/>
      <c r="B42" s="138"/>
      <c r="C42" s="138"/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</row>
    <row r="43" spans="1:18">
      <c r="A43" s="138"/>
      <c r="B43" s="138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</row>
    <row r="44" spans="1:18">
      <c r="A44" s="138"/>
      <c r="B44" s="138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</row>
    <row r="45" spans="1:18">
      <c r="A45" s="138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</row>
    <row r="46" spans="1:18">
      <c r="A46" s="138"/>
      <c r="B46" s="138"/>
      <c r="C46" s="138"/>
      <c r="D46" s="138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</row>
    <row r="47" spans="1:18">
      <c r="A47" s="138"/>
      <c r="B47" s="138"/>
      <c r="C47" s="138"/>
      <c r="D47" s="138"/>
      <c r="E47" s="138"/>
      <c r="F47" s="138"/>
      <c r="G47" s="138"/>
      <c r="H47" s="138"/>
      <c r="I47" s="138"/>
      <c r="J47" s="138"/>
      <c r="K47" s="138"/>
      <c r="L47" s="138"/>
      <c r="M47" s="138"/>
      <c r="N47" s="138"/>
      <c r="O47" s="138"/>
      <c r="P47" s="138"/>
      <c r="Q47" s="138"/>
      <c r="R47" s="138"/>
    </row>
    <row r="48" spans="1:18">
      <c r="A48" s="138"/>
      <c r="B48" s="138"/>
      <c r="C48" s="138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</row>
    <row r="49" spans="1:18">
      <c r="A49" s="138"/>
      <c r="B49" s="138"/>
      <c r="C49" s="138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</row>
    <row r="50" spans="1:18">
      <c r="A50" s="138"/>
      <c r="B50" s="138"/>
      <c r="C50" s="138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</row>
    <row r="51" spans="1:18">
      <c r="A51" s="138"/>
      <c r="B51" s="13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</row>
    <row r="52" spans="1:18">
      <c r="A52" s="138"/>
      <c r="B52" s="138"/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</row>
    <row r="53" spans="1:18">
      <c r="A53" s="138"/>
      <c r="B53" s="138"/>
      <c r="C53" s="138"/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38"/>
      <c r="Q53" s="138"/>
      <c r="R53" s="138"/>
    </row>
    <row r="54" spans="1:18">
      <c r="A54" s="138"/>
      <c r="B54" s="138"/>
      <c r="C54" s="138"/>
      <c r="D54" s="138"/>
      <c r="E54" s="138"/>
      <c r="F54" s="138"/>
      <c r="G54" s="138"/>
      <c r="H54" s="138"/>
      <c r="I54" s="138"/>
      <c r="J54" s="138"/>
      <c r="K54" s="138"/>
      <c r="L54" s="138"/>
      <c r="M54" s="138"/>
      <c r="N54" s="138"/>
      <c r="O54" s="138"/>
      <c r="P54" s="138"/>
      <c r="Q54" s="138"/>
      <c r="R54" s="138"/>
    </row>
    <row r="55" spans="1:18">
      <c r="A55" s="138"/>
      <c r="B55" s="138"/>
      <c r="C55" s="138"/>
      <c r="D55" s="138"/>
      <c r="E55" s="138"/>
      <c r="F55" s="138"/>
      <c r="G55" s="138"/>
      <c r="H55" s="138"/>
      <c r="I55" s="138"/>
      <c r="J55" s="138"/>
      <c r="K55" s="138"/>
      <c r="L55" s="138"/>
      <c r="M55" s="138"/>
      <c r="N55" s="138"/>
      <c r="O55" s="138"/>
      <c r="P55" s="138"/>
      <c r="Q55" s="138"/>
      <c r="R55" s="138"/>
    </row>
    <row r="56" spans="1:18">
      <c r="A56" s="138"/>
      <c r="B56" s="138"/>
      <c r="C56" s="138"/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</row>
    <row r="57" spans="1:18">
      <c r="A57" s="138"/>
      <c r="B57" s="138"/>
      <c r="C57" s="138"/>
      <c r="D57" s="138"/>
      <c r="E57" s="138"/>
      <c r="F57" s="138"/>
      <c r="G57" s="138"/>
      <c r="H57" s="138"/>
      <c r="I57" s="138"/>
      <c r="J57" s="138"/>
      <c r="K57" s="138"/>
      <c r="L57" s="138"/>
      <c r="M57" s="138"/>
      <c r="N57" s="138"/>
      <c r="O57" s="138"/>
      <c r="P57" s="138"/>
      <c r="Q57" s="138"/>
      <c r="R57" s="138"/>
    </row>
    <row r="58" spans="1:18">
      <c r="A58" s="138"/>
      <c r="B58" s="138"/>
      <c r="C58" s="138"/>
      <c r="D58" s="138"/>
      <c r="E58" s="138"/>
      <c r="F58" s="138"/>
      <c r="G58" s="138"/>
      <c r="H58" s="138"/>
      <c r="I58" s="138"/>
      <c r="J58" s="138"/>
      <c r="K58" s="138"/>
      <c r="L58" s="138"/>
      <c r="M58" s="138"/>
      <c r="N58" s="138"/>
      <c r="O58" s="138"/>
      <c r="P58" s="138"/>
      <c r="Q58" s="138"/>
      <c r="R58" s="138"/>
    </row>
    <row r="59" spans="1:18">
      <c r="A59" s="138"/>
      <c r="B59" s="138"/>
      <c r="C59" s="138"/>
      <c r="D59" s="138"/>
      <c r="E59" s="138"/>
      <c r="F59" s="138"/>
      <c r="G59" s="138"/>
      <c r="H59" s="138"/>
      <c r="I59" s="138"/>
      <c r="J59" s="138"/>
      <c r="K59" s="138"/>
      <c r="L59" s="138"/>
      <c r="M59" s="138"/>
      <c r="N59" s="138"/>
      <c r="O59" s="138"/>
      <c r="P59" s="138"/>
      <c r="Q59" s="138"/>
      <c r="R59" s="138"/>
    </row>
    <row r="60" spans="1:18">
      <c r="A60" s="138"/>
      <c r="B60" s="138"/>
      <c r="C60" s="138"/>
      <c r="D60" s="138"/>
      <c r="E60" s="138"/>
      <c r="F60" s="138"/>
      <c r="G60" s="138"/>
      <c r="H60" s="138"/>
      <c r="I60" s="138"/>
      <c r="J60" s="138"/>
      <c r="K60" s="138"/>
      <c r="L60" s="138"/>
      <c r="M60" s="138"/>
      <c r="N60" s="138"/>
      <c r="O60" s="138"/>
      <c r="P60" s="138"/>
      <c r="Q60" s="138"/>
      <c r="R60" s="138"/>
    </row>
  </sheetData>
  <sheetProtection sheet="1" selectLockedCells="1" pivotTables="0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0A19D-5CCE-4515-A594-85055BFCEECC}">
  <dimension ref="A1:S60"/>
  <sheetViews>
    <sheetView showGridLines="0" zoomScale="65" zoomScaleNormal="65" workbookViewId="0">
      <selection activeCell="N3" sqref="N3"/>
    </sheetView>
  </sheetViews>
  <sheetFormatPr defaultColWidth="0" defaultRowHeight="14" zeroHeight="1"/>
  <cols>
    <col min="1" max="16" width="8.6640625" customWidth="1"/>
    <col min="17" max="18" width="48.08203125" customWidth="1"/>
    <col min="19" max="19" width="8.1640625" hidden="1" customWidth="1"/>
    <col min="20" max="16384" width="8.6640625" hidden="1"/>
  </cols>
  <sheetData>
    <row r="1" spans="1:18" ht="45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8"/>
    </row>
    <row r="2" spans="1:18" ht="23.5" customHeight="1" thickBot="1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9"/>
    </row>
    <row r="3" spans="1:18">
      <c r="A3" s="136"/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</row>
    <row r="4" spans="1:18">
      <c r="A4" s="136"/>
      <c r="B4" s="136"/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</row>
    <row r="5" spans="1:18">
      <c r="A5" s="136"/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</row>
    <row r="6" spans="1:18">
      <c r="A6" s="136"/>
      <c r="B6" s="136"/>
      <c r="C6" s="136"/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36"/>
    </row>
    <row r="7" spans="1:18">
      <c r="A7" s="136"/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</row>
    <row r="8" spans="1:18">
      <c r="A8" s="136"/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</row>
    <row r="9" spans="1:18">
      <c r="A9" s="136"/>
      <c r="B9" s="136"/>
      <c r="C9" s="136"/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</row>
    <row r="10" spans="1:18">
      <c r="A10" s="136"/>
      <c r="B10" s="136"/>
      <c r="C10" s="136"/>
      <c r="D10" s="136"/>
      <c r="E10" s="136"/>
      <c r="F10" s="136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</row>
    <row r="11" spans="1:18">
      <c r="A11" s="136"/>
      <c r="B11" s="136"/>
      <c r="C11" s="136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6"/>
    </row>
    <row r="12" spans="1:18">
      <c r="A12" s="136"/>
      <c r="B12" s="136"/>
      <c r="C12" s="136"/>
      <c r="D12" s="136"/>
      <c r="E12" s="136"/>
      <c r="F12" s="136"/>
      <c r="G12" s="136"/>
      <c r="H12" s="137"/>
      <c r="I12" s="136"/>
      <c r="J12" s="136"/>
      <c r="K12" s="136"/>
      <c r="L12" s="136"/>
      <c r="M12" s="136"/>
      <c r="N12" s="136"/>
      <c r="O12" s="136"/>
      <c r="P12" s="136"/>
      <c r="Q12" s="136"/>
      <c r="R12" s="136"/>
    </row>
    <row r="13" spans="1:18">
      <c r="A13" s="136"/>
      <c r="B13" s="136"/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</row>
    <row r="14" spans="1:18">
      <c r="A14" s="136"/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6"/>
      <c r="M14" s="136"/>
      <c r="N14" s="136"/>
      <c r="O14" s="136"/>
      <c r="P14" s="136"/>
      <c r="Q14" s="136"/>
      <c r="R14" s="136"/>
    </row>
    <row r="15" spans="1:18">
      <c r="A15" s="136"/>
      <c r="B15" s="136"/>
      <c r="C15" s="136"/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</row>
    <row r="16" spans="1:18">
      <c r="A16" s="136"/>
      <c r="B16" s="136"/>
      <c r="C16" s="136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</row>
    <row r="17" spans="1:18">
      <c r="A17" s="136"/>
      <c r="B17" s="136"/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</row>
    <row r="18" spans="1:18">
      <c r="A18" s="136"/>
      <c r="B18" s="136"/>
      <c r="C18" s="136"/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</row>
    <row r="19" spans="1:18">
      <c r="A19" s="136"/>
      <c r="B19" s="136"/>
      <c r="C19" s="136"/>
      <c r="D19" s="136"/>
      <c r="E19" s="136"/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36"/>
      <c r="R19" s="136"/>
    </row>
    <row r="20" spans="1:18">
      <c r="A20" s="136"/>
      <c r="B20" s="136"/>
      <c r="C20" s="136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36"/>
      <c r="P20" s="136"/>
      <c r="Q20" s="136"/>
      <c r="R20" s="136"/>
    </row>
    <row r="21" spans="1:18">
      <c r="A21" s="136"/>
      <c r="B21" s="136"/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</row>
    <row r="22" spans="1:18">
      <c r="A22" s="136"/>
      <c r="B22" s="136"/>
      <c r="C22" s="136"/>
      <c r="D22" s="136"/>
      <c r="E22" s="136"/>
      <c r="F22" s="136"/>
      <c r="G22" s="136"/>
      <c r="H22" s="136"/>
      <c r="I22" s="136"/>
      <c r="J22" s="136"/>
      <c r="K22" s="136"/>
      <c r="L22" s="136"/>
      <c r="M22" s="136"/>
      <c r="N22" s="136"/>
      <c r="O22" s="136"/>
      <c r="P22" s="136"/>
      <c r="Q22" s="136"/>
      <c r="R22" s="136"/>
    </row>
    <row r="23" spans="1:18">
      <c r="A23" s="136"/>
      <c r="B23" s="136"/>
      <c r="C23" s="136"/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136"/>
      <c r="R23" s="136"/>
    </row>
    <row r="24" spans="1:18">
      <c r="A24" s="136"/>
      <c r="B24" s="136"/>
      <c r="C24" s="136"/>
      <c r="D24" s="136"/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36"/>
      <c r="R24" s="136"/>
    </row>
    <row r="25" spans="1:18">
      <c r="A25" s="136"/>
      <c r="B25" s="136"/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</row>
    <row r="26" spans="1:18">
      <c r="A26" s="136"/>
      <c r="B26" s="136"/>
      <c r="C26" s="136"/>
      <c r="D26" s="136"/>
      <c r="E26" s="136"/>
      <c r="F26" s="136"/>
      <c r="G26" s="136"/>
      <c r="H26" s="136"/>
      <c r="I26" s="136"/>
      <c r="J26" s="136"/>
      <c r="K26" s="136"/>
      <c r="L26" s="136"/>
      <c r="M26" s="136"/>
      <c r="N26" s="136"/>
      <c r="O26" s="136"/>
      <c r="P26" s="136"/>
      <c r="Q26" s="136"/>
      <c r="R26" s="136"/>
    </row>
    <row r="27" spans="1:18">
      <c r="A27" s="136"/>
      <c r="B27" s="136"/>
      <c r="C27" s="136"/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</row>
    <row r="28" spans="1:18">
      <c r="A28" s="136"/>
      <c r="B28" s="136"/>
      <c r="C28" s="136"/>
      <c r="D28" s="136"/>
      <c r="E28" s="136"/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136"/>
      <c r="R28" s="136"/>
    </row>
    <row r="29" spans="1:18">
      <c r="A29" s="136"/>
      <c r="B29" s="136"/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</row>
    <row r="30" spans="1:18">
      <c r="A30" s="136"/>
      <c r="B30" s="136"/>
      <c r="C30" s="136"/>
      <c r="D30" s="136"/>
      <c r="E30" s="136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6"/>
      <c r="Q30" s="136"/>
      <c r="R30" s="136"/>
    </row>
    <row r="31" spans="1:18">
      <c r="A31" s="138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</row>
    <row r="32" spans="1:18">
      <c r="A32" s="138"/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</row>
    <row r="33" spans="1:18">
      <c r="A33" s="138"/>
      <c r="B33" s="138"/>
      <c r="C33" s="138"/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</row>
    <row r="34" spans="1:18">
      <c r="A34" s="138"/>
      <c r="B34" s="138"/>
      <c r="C34" s="138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</row>
    <row r="35" spans="1:18">
      <c r="A35" s="138"/>
      <c r="B35" s="138"/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</row>
    <row r="36" spans="1:18">
      <c r="A36" s="138"/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</row>
    <row r="37" spans="1:18">
      <c r="A37" s="138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</row>
    <row r="38" spans="1:18">
      <c r="A38" s="138"/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</row>
    <row r="39" spans="1:18">
      <c r="A39" s="138"/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</row>
    <row r="40" spans="1:18">
      <c r="A40" s="138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</row>
    <row r="41" spans="1:18">
      <c r="A41" s="138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</row>
    <row r="42" spans="1:18">
      <c r="A42" s="138"/>
      <c r="B42" s="138"/>
      <c r="C42" s="138"/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</row>
    <row r="43" spans="1:18">
      <c r="A43" s="138"/>
      <c r="B43" s="138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</row>
    <row r="44" spans="1:18">
      <c r="A44" s="138"/>
      <c r="B44" s="138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</row>
    <row r="45" spans="1:18">
      <c r="A45" s="138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</row>
    <row r="46" spans="1:18">
      <c r="A46" s="138"/>
      <c r="B46" s="138"/>
      <c r="C46" s="138"/>
      <c r="D46" s="138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</row>
    <row r="47" spans="1:18">
      <c r="A47" s="138"/>
      <c r="B47" s="138"/>
      <c r="C47" s="138"/>
      <c r="D47" s="138"/>
      <c r="E47" s="138"/>
      <c r="F47" s="138"/>
      <c r="G47" s="138"/>
      <c r="H47" s="138"/>
      <c r="I47" s="138"/>
      <c r="J47" s="138"/>
      <c r="K47" s="138"/>
      <c r="L47" s="138"/>
      <c r="M47" s="138"/>
      <c r="N47" s="138"/>
      <c r="O47" s="138"/>
      <c r="P47" s="138"/>
      <c r="Q47" s="138"/>
      <c r="R47" s="138"/>
    </row>
    <row r="48" spans="1:18">
      <c r="A48" s="138"/>
      <c r="B48" s="138"/>
      <c r="C48" s="138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</row>
    <row r="49" spans="1:18">
      <c r="A49" s="138"/>
      <c r="B49" s="138"/>
      <c r="C49" s="138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</row>
    <row r="50" spans="1:18">
      <c r="A50" s="138"/>
      <c r="B50" s="138"/>
      <c r="C50" s="138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</row>
    <row r="51" spans="1:18">
      <c r="A51" s="138"/>
      <c r="B51" s="13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</row>
    <row r="52" spans="1:18">
      <c r="A52" s="138"/>
      <c r="B52" s="138"/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</row>
    <row r="53" spans="1:18">
      <c r="A53" s="138"/>
      <c r="B53" s="138"/>
      <c r="C53" s="138"/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38"/>
      <c r="Q53" s="138"/>
      <c r="R53" s="138"/>
    </row>
    <row r="54" spans="1:18">
      <c r="A54" s="138"/>
      <c r="B54" s="138"/>
      <c r="C54" s="138"/>
      <c r="D54" s="138"/>
      <c r="E54" s="138"/>
      <c r="F54" s="138"/>
      <c r="G54" s="138"/>
      <c r="H54" s="138"/>
      <c r="I54" s="138"/>
      <c r="J54" s="138"/>
      <c r="K54" s="138"/>
      <c r="L54" s="138"/>
      <c r="M54" s="138"/>
      <c r="N54" s="138"/>
      <c r="O54" s="138"/>
      <c r="P54" s="138"/>
      <c r="Q54" s="138"/>
      <c r="R54" s="138"/>
    </row>
    <row r="55" spans="1:18">
      <c r="A55" s="138"/>
      <c r="B55" s="138"/>
      <c r="C55" s="138"/>
      <c r="D55" s="138"/>
      <c r="E55" s="138"/>
      <c r="F55" s="138"/>
      <c r="G55" s="138"/>
      <c r="H55" s="138"/>
      <c r="I55" s="138"/>
      <c r="J55" s="138"/>
      <c r="K55" s="138"/>
      <c r="L55" s="138"/>
      <c r="M55" s="138"/>
      <c r="N55" s="138"/>
      <c r="O55" s="138"/>
      <c r="P55" s="138"/>
      <c r="Q55" s="138"/>
      <c r="R55" s="138"/>
    </row>
    <row r="56" spans="1:18">
      <c r="A56" s="138"/>
      <c r="B56" s="138"/>
      <c r="C56" s="138"/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</row>
    <row r="57" spans="1:18">
      <c r="A57" s="138"/>
      <c r="B57" s="138"/>
      <c r="C57" s="138"/>
      <c r="D57" s="138"/>
      <c r="E57" s="138"/>
      <c r="F57" s="138"/>
      <c r="G57" s="138"/>
      <c r="H57" s="138"/>
      <c r="I57" s="138"/>
      <c r="J57" s="138"/>
      <c r="K57" s="138"/>
      <c r="L57" s="138"/>
      <c r="M57" s="138"/>
      <c r="N57" s="138"/>
      <c r="O57" s="138"/>
      <c r="P57" s="138"/>
      <c r="Q57" s="138"/>
      <c r="R57" s="138"/>
    </row>
    <row r="58" spans="1:18">
      <c r="A58" s="138"/>
      <c r="B58" s="138"/>
      <c r="C58" s="138"/>
      <c r="D58" s="138"/>
      <c r="E58" s="138"/>
      <c r="F58" s="138"/>
      <c r="G58" s="138"/>
      <c r="H58" s="138"/>
      <c r="I58" s="138"/>
      <c r="J58" s="138"/>
      <c r="K58" s="138"/>
      <c r="L58" s="138"/>
      <c r="M58" s="138"/>
      <c r="N58" s="138"/>
      <c r="O58" s="138"/>
      <c r="P58" s="138"/>
      <c r="Q58" s="138"/>
      <c r="R58" s="138"/>
    </row>
    <row r="59" spans="1:18">
      <c r="A59" s="138"/>
      <c r="B59" s="138"/>
      <c r="C59" s="138"/>
      <c r="D59" s="138"/>
      <c r="E59" s="138"/>
      <c r="F59" s="138"/>
      <c r="G59" s="138"/>
      <c r="H59" s="138"/>
      <c r="I59" s="138"/>
      <c r="J59" s="138"/>
      <c r="K59" s="138"/>
      <c r="L59" s="138"/>
      <c r="M59" s="138"/>
      <c r="N59" s="138"/>
      <c r="O59" s="138"/>
      <c r="P59" s="138"/>
      <c r="Q59" s="138"/>
      <c r="R59" s="138"/>
    </row>
    <row r="60" spans="1:18">
      <c r="A60" s="138"/>
      <c r="B60" s="138"/>
      <c r="C60" s="138"/>
      <c r="D60" s="138"/>
      <c r="E60" s="138"/>
      <c r="F60" s="138"/>
      <c r="G60" s="138"/>
      <c r="H60" s="138"/>
      <c r="I60" s="138"/>
      <c r="J60" s="138"/>
      <c r="K60" s="138"/>
      <c r="L60" s="138"/>
      <c r="M60" s="138"/>
      <c r="N60" s="138"/>
      <c r="O60" s="138"/>
      <c r="P60" s="138"/>
      <c r="Q60" s="138"/>
      <c r="R60" s="138"/>
    </row>
  </sheetData>
  <sheetProtection sheet="1" objects="1" scenarios="1"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C1F9-172D-4BFA-85B3-EDA3F8858178}">
  <dimension ref="A1:XFC50"/>
  <sheetViews>
    <sheetView showGridLines="0" zoomScale="65" zoomScaleNormal="65" workbookViewId="0">
      <selection activeCell="A4" sqref="A4"/>
    </sheetView>
  </sheetViews>
  <sheetFormatPr defaultColWidth="0" defaultRowHeight="14" zeroHeight="1"/>
  <cols>
    <col min="1" max="15" width="8.58203125" customWidth="1"/>
    <col min="16" max="16" width="9.83203125" customWidth="1"/>
    <col min="17" max="18" width="48.08203125" customWidth="1"/>
    <col min="19" max="16383" width="8.58203125" hidden="1"/>
  </cols>
  <sheetData>
    <row r="1" spans="1:18" ht="45" customHeight="1">
      <c r="A1" s="177"/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9"/>
    </row>
    <row r="2" spans="1:18" ht="23.5" customHeight="1" thickBot="1">
      <c r="A2" s="180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181"/>
    </row>
    <row r="3" spans="1:18">
      <c r="A3" s="212"/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4"/>
    </row>
    <row r="4" spans="1:18">
      <c r="A4" s="212"/>
      <c r="B4" s="213"/>
      <c r="C4" s="213"/>
      <c r="D4" s="213"/>
      <c r="E4" s="213"/>
      <c r="F4" s="213"/>
      <c r="G4" s="213"/>
      <c r="H4" s="213"/>
      <c r="I4" s="213"/>
      <c r="J4" s="213"/>
      <c r="K4" s="213"/>
      <c r="L4" s="213"/>
      <c r="M4" s="213"/>
      <c r="N4" s="213"/>
      <c r="O4" s="213"/>
      <c r="P4" s="213"/>
      <c r="Q4" s="213"/>
      <c r="R4" s="214"/>
    </row>
    <row r="5" spans="1:18">
      <c r="A5" s="212"/>
      <c r="B5" s="213"/>
      <c r="C5" s="213"/>
      <c r="D5" s="213"/>
      <c r="E5" s="213"/>
      <c r="F5" s="213"/>
      <c r="G5" s="213"/>
      <c r="H5" s="213"/>
      <c r="I5" s="213"/>
      <c r="J5" s="213"/>
      <c r="K5" s="213"/>
      <c r="L5" s="213"/>
      <c r="M5" s="213"/>
      <c r="N5" s="213"/>
      <c r="O5" s="213"/>
      <c r="P5" s="213"/>
      <c r="Q5" s="213"/>
      <c r="R5" s="214"/>
    </row>
    <row r="6" spans="1:18">
      <c r="A6" s="212"/>
      <c r="B6" s="213"/>
      <c r="C6" s="213"/>
      <c r="D6" s="213"/>
      <c r="E6" s="213"/>
      <c r="F6" s="213"/>
      <c r="G6" s="213"/>
      <c r="H6" s="213"/>
      <c r="I6" s="213"/>
      <c r="J6" s="213"/>
      <c r="K6" s="213"/>
      <c r="L6" s="213"/>
      <c r="M6" s="213"/>
      <c r="N6" s="213"/>
      <c r="O6" s="213"/>
      <c r="P6" s="213"/>
      <c r="Q6" s="213"/>
      <c r="R6" s="214"/>
    </row>
    <row r="7" spans="1:18">
      <c r="A7" s="212"/>
      <c r="B7" s="213"/>
      <c r="C7" s="213"/>
      <c r="D7" s="213"/>
      <c r="E7" s="213"/>
      <c r="F7" s="213"/>
      <c r="G7" s="213"/>
      <c r="H7" s="213"/>
      <c r="I7" s="213"/>
      <c r="J7" s="213"/>
      <c r="K7" s="213"/>
      <c r="L7" s="213"/>
      <c r="M7" s="213"/>
      <c r="N7" s="213"/>
      <c r="O7" s="213"/>
      <c r="P7" s="213"/>
      <c r="Q7" s="213"/>
      <c r="R7" s="214"/>
    </row>
    <row r="8" spans="1:18">
      <c r="A8" s="212"/>
      <c r="B8" s="213"/>
      <c r="C8" s="213"/>
      <c r="D8" s="213"/>
      <c r="E8" s="213"/>
      <c r="F8" s="213"/>
      <c r="G8" s="213"/>
      <c r="H8" s="213"/>
      <c r="I8" s="213"/>
      <c r="J8" s="213"/>
      <c r="K8" s="213"/>
      <c r="L8" s="213"/>
      <c r="M8" s="213"/>
      <c r="N8" s="213"/>
      <c r="O8" s="213"/>
      <c r="P8" s="213"/>
      <c r="Q8" s="213"/>
      <c r="R8" s="214"/>
    </row>
    <row r="9" spans="1:18">
      <c r="A9" s="212"/>
      <c r="B9" s="213"/>
      <c r="C9" s="213"/>
      <c r="D9" s="213"/>
      <c r="E9" s="213"/>
      <c r="F9" s="213"/>
      <c r="G9" s="213"/>
      <c r="H9" s="213"/>
      <c r="I9" s="213"/>
      <c r="J9" s="213"/>
      <c r="K9" s="213"/>
      <c r="L9" s="213"/>
      <c r="M9" s="213"/>
      <c r="N9" s="213"/>
      <c r="O9" s="213"/>
      <c r="P9" s="213"/>
      <c r="Q9" s="213"/>
      <c r="R9" s="214"/>
    </row>
    <row r="10" spans="1:18">
      <c r="A10" s="212"/>
      <c r="B10" s="213"/>
      <c r="C10" s="213"/>
      <c r="D10" s="213"/>
      <c r="E10" s="213"/>
      <c r="F10" s="213"/>
      <c r="G10" s="213"/>
      <c r="H10" s="213"/>
      <c r="I10" s="213"/>
      <c r="J10" s="213"/>
      <c r="K10" s="213"/>
      <c r="L10" s="213"/>
      <c r="M10" s="213"/>
      <c r="N10" s="213"/>
      <c r="O10" s="213"/>
      <c r="P10" s="213"/>
      <c r="Q10" s="213"/>
      <c r="R10" s="214"/>
    </row>
    <row r="11" spans="1:18">
      <c r="A11" s="212"/>
      <c r="B11" s="213"/>
      <c r="C11" s="213"/>
      <c r="D11" s="213"/>
      <c r="E11" s="213"/>
      <c r="F11" s="213"/>
      <c r="G11" s="213"/>
      <c r="H11" s="213"/>
      <c r="I11" s="213"/>
      <c r="J11" s="213"/>
      <c r="K11" s="213"/>
      <c r="L11" s="213"/>
      <c r="M11" s="213"/>
      <c r="N11" s="213"/>
      <c r="O11" s="213"/>
      <c r="P11" s="213"/>
      <c r="Q11" s="213"/>
      <c r="R11" s="214"/>
    </row>
    <row r="12" spans="1:18">
      <c r="A12" s="212"/>
      <c r="B12" s="213"/>
      <c r="C12" s="213"/>
      <c r="D12" s="213"/>
      <c r="E12" s="213"/>
      <c r="F12" s="213"/>
      <c r="G12" s="213"/>
      <c r="H12" s="213"/>
      <c r="I12" s="213"/>
      <c r="J12" s="213"/>
      <c r="K12" s="213"/>
      <c r="L12" s="213"/>
      <c r="M12" s="213"/>
      <c r="N12" s="213"/>
      <c r="O12" s="213"/>
      <c r="P12" s="213"/>
      <c r="Q12" s="213"/>
      <c r="R12" s="214"/>
    </row>
    <row r="13" spans="1:18">
      <c r="A13" s="212"/>
      <c r="B13" s="213"/>
      <c r="C13" s="213"/>
      <c r="D13" s="213"/>
      <c r="E13" s="213"/>
      <c r="F13" s="213"/>
      <c r="G13" s="213"/>
      <c r="H13" s="213"/>
      <c r="I13" s="213"/>
      <c r="J13" s="213"/>
      <c r="K13" s="213"/>
      <c r="L13" s="213"/>
      <c r="M13" s="213"/>
      <c r="N13" s="213"/>
      <c r="O13" s="213"/>
      <c r="P13" s="213"/>
      <c r="Q13" s="213"/>
      <c r="R13" s="214"/>
    </row>
    <row r="14" spans="1:18">
      <c r="A14" s="212"/>
      <c r="B14" s="213"/>
      <c r="C14" s="213"/>
      <c r="D14" s="213"/>
      <c r="E14" s="213"/>
      <c r="F14" s="213"/>
      <c r="G14" s="213"/>
      <c r="H14" s="213"/>
      <c r="I14" s="213"/>
      <c r="J14" s="213"/>
      <c r="K14" s="213"/>
      <c r="L14" s="213"/>
      <c r="M14" s="213"/>
      <c r="N14" s="213"/>
      <c r="O14" s="213"/>
      <c r="P14" s="213"/>
      <c r="Q14" s="213"/>
      <c r="R14" s="214"/>
    </row>
    <row r="15" spans="1:18">
      <c r="A15" s="212"/>
      <c r="B15" s="213"/>
      <c r="C15" s="213"/>
      <c r="D15" s="213"/>
      <c r="E15" s="213"/>
      <c r="F15" s="213"/>
      <c r="G15" s="213"/>
      <c r="H15" s="213"/>
      <c r="I15" s="213"/>
      <c r="J15" s="213"/>
      <c r="K15" s="213"/>
      <c r="L15" s="213"/>
      <c r="M15" s="213"/>
      <c r="N15" s="213"/>
      <c r="O15" s="213"/>
      <c r="P15" s="213"/>
      <c r="Q15" s="213"/>
      <c r="R15" s="214"/>
    </row>
    <row r="16" spans="1:18">
      <c r="A16" s="212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3"/>
      <c r="P16" s="213"/>
      <c r="Q16" s="213"/>
      <c r="R16" s="214"/>
    </row>
    <row r="17" spans="1:18">
      <c r="A17" s="212"/>
      <c r="B17" s="213"/>
      <c r="C17" s="213"/>
      <c r="D17" s="213"/>
      <c r="E17" s="213"/>
      <c r="F17" s="213"/>
      <c r="G17" s="213"/>
      <c r="H17" s="213"/>
      <c r="I17" s="213"/>
      <c r="J17" s="213"/>
      <c r="K17" s="213"/>
      <c r="L17" s="213"/>
      <c r="M17" s="213"/>
      <c r="N17" s="213"/>
      <c r="O17" s="213"/>
      <c r="P17" s="213"/>
      <c r="Q17" s="213"/>
      <c r="R17" s="214"/>
    </row>
    <row r="18" spans="1:18">
      <c r="A18" s="212"/>
      <c r="B18" s="213"/>
      <c r="C18" s="213"/>
      <c r="D18" s="213"/>
      <c r="E18" s="213"/>
      <c r="F18" s="213"/>
      <c r="G18" s="213"/>
      <c r="H18" s="213"/>
      <c r="I18" s="213"/>
      <c r="J18" s="213"/>
      <c r="K18" s="213"/>
      <c r="L18" s="213"/>
      <c r="M18" s="213"/>
      <c r="N18" s="213"/>
      <c r="O18" s="213"/>
      <c r="P18" s="213"/>
      <c r="Q18" s="213"/>
      <c r="R18" s="214"/>
    </row>
    <row r="19" spans="1:18">
      <c r="A19" s="212"/>
      <c r="B19" s="213"/>
      <c r="C19" s="213"/>
      <c r="D19" s="213"/>
      <c r="E19" s="213"/>
      <c r="F19" s="213"/>
      <c r="G19" s="213"/>
      <c r="H19" s="213"/>
      <c r="I19" s="213"/>
      <c r="J19" s="213"/>
      <c r="K19" s="213"/>
      <c r="L19" s="213"/>
      <c r="M19" s="213"/>
      <c r="N19" s="213"/>
      <c r="O19" s="213"/>
      <c r="P19" s="213"/>
      <c r="Q19" s="213"/>
      <c r="R19" s="214"/>
    </row>
    <row r="20" spans="1:18">
      <c r="A20" s="212"/>
      <c r="B20" s="213"/>
      <c r="C20" s="213"/>
      <c r="D20" s="213"/>
      <c r="E20" s="213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4"/>
    </row>
    <row r="21" spans="1:18">
      <c r="A21" s="212"/>
      <c r="B21" s="213"/>
      <c r="C21" s="213"/>
      <c r="D21" s="213"/>
      <c r="E21" s="213"/>
      <c r="F21" s="213"/>
      <c r="G21" s="213"/>
      <c r="H21" s="213"/>
      <c r="I21" s="213"/>
      <c r="J21" s="213"/>
      <c r="K21" s="213"/>
      <c r="L21" s="213"/>
      <c r="M21" s="213"/>
      <c r="N21" s="213"/>
      <c r="O21" s="213"/>
      <c r="P21" s="213"/>
      <c r="Q21" s="213"/>
      <c r="R21" s="214"/>
    </row>
    <row r="22" spans="1:18">
      <c r="A22" s="212"/>
      <c r="B22" s="213"/>
      <c r="C22" s="213"/>
      <c r="D22" s="213"/>
      <c r="E22" s="213"/>
      <c r="F22" s="213"/>
      <c r="G22" s="213"/>
      <c r="H22" s="213"/>
      <c r="I22" s="213"/>
      <c r="J22" s="213"/>
      <c r="K22" s="213"/>
      <c r="L22" s="213"/>
      <c r="M22" s="213"/>
      <c r="N22" s="213"/>
      <c r="O22" s="213"/>
      <c r="P22" s="213"/>
      <c r="Q22" s="213"/>
      <c r="R22" s="214"/>
    </row>
    <row r="23" spans="1:18">
      <c r="A23" s="212"/>
      <c r="B23" s="213"/>
      <c r="C23" s="213"/>
      <c r="D23" s="213"/>
      <c r="E23" s="213"/>
      <c r="F23" s="213"/>
      <c r="G23" s="213"/>
      <c r="H23" s="213"/>
      <c r="I23" s="213"/>
      <c r="J23" s="213"/>
      <c r="K23" s="213"/>
      <c r="L23" s="213"/>
      <c r="M23" s="213"/>
      <c r="N23" s="213"/>
      <c r="O23" s="213"/>
      <c r="P23" s="213"/>
      <c r="Q23" s="213"/>
      <c r="R23" s="214"/>
    </row>
    <row r="24" spans="1:18">
      <c r="A24" s="212"/>
      <c r="B24" s="213"/>
      <c r="C24" s="213"/>
      <c r="D24" s="213"/>
      <c r="E24" s="213"/>
      <c r="F24" s="213"/>
      <c r="G24" s="213"/>
      <c r="H24" s="213"/>
      <c r="I24" s="213"/>
      <c r="J24" s="213"/>
      <c r="K24" s="213"/>
      <c r="L24" s="213"/>
      <c r="M24" s="213"/>
      <c r="N24" s="213"/>
      <c r="O24" s="213"/>
      <c r="P24" s="213"/>
      <c r="Q24" s="213"/>
      <c r="R24" s="214"/>
    </row>
    <row r="25" spans="1:18">
      <c r="A25" s="212"/>
      <c r="B25" s="213"/>
      <c r="C25" s="213"/>
      <c r="D25" s="213"/>
      <c r="E25" s="213"/>
      <c r="F25" s="213"/>
      <c r="G25" s="213"/>
      <c r="H25" s="213"/>
      <c r="I25" s="213"/>
      <c r="J25" s="213"/>
      <c r="K25" s="213"/>
      <c r="L25" s="213"/>
      <c r="M25" s="213"/>
      <c r="N25" s="213"/>
      <c r="O25" s="213"/>
      <c r="P25" s="213"/>
      <c r="Q25" s="213"/>
      <c r="R25" s="214"/>
    </row>
    <row r="26" spans="1:18">
      <c r="A26" s="212"/>
      <c r="B26" s="213"/>
      <c r="C26" s="213"/>
      <c r="D26" s="213"/>
      <c r="E26" s="213"/>
      <c r="F26" s="213"/>
      <c r="G26" s="213"/>
      <c r="H26" s="213"/>
      <c r="I26" s="213"/>
      <c r="J26" s="213"/>
      <c r="K26" s="213"/>
      <c r="L26" s="213"/>
      <c r="M26" s="213"/>
      <c r="N26" s="213"/>
      <c r="O26" s="213"/>
      <c r="P26" s="213"/>
      <c r="Q26" s="213"/>
      <c r="R26" s="214"/>
    </row>
    <row r="27" spans="1:18">
      <c r="A27" s="212"/>
      <c r="B27" s="213"/>
      <c r="C27" s="213"/>
      <c r="D27" s="213"/>
      <c r="E27" s="213"/>
      <c r="F27" s="213"/>
      <c r="G27" s="213"/>
      <c r="H27" s="213"/>
      <c r="I27" s="213"/>
      <c r="J27" s="213"/>
      <c r="K27" s="213"/>
      <c r="L27" s="213"/>
      <c r="M27" s="213"/>
      <c r="N27" s="213"/>
      <c r="O27" s="213"/>
      <c r="P27" s="213"/>
      <c r="Q27" s="213"/>
      <c r="R27" s="214"/>
    </row>
    <row r="28" spans="1:18">
      <c r="A28" s="212"/>
      <c r="B28" s="213"/>
      <c r="C28" s="213"/>
      <c r="D28" s="213"/>
      <c r="E28" s="213"/>
      <c r="F28" s="213"/>
      <c r="G28" s="213"/>
      <c r="H28" s="213"/>
      <c r="I28" s="213"/>
      <c r="J28" s="213"/>
      <c r="K28" s="213"/>
      <c r="L28" s="213"/>
      <c r="M28" s="213"/>
      <c r="N28" s="213"/>
      <c r="O28" s="213"/>
      <c r="P28" s="213"/>
      <c r="Q28" s="213"/>
      <c r="R28" s="214"/>
    </row>
    <row r="29" spans="1:18">
      <c r="A29" s="212"/>
      <c r="B29" s="213"/>
      <c r="C29" s="213"/>
      <c r="D29" s="213"/>
      <c r="E29" s="213"/>
      <c r="F29" s="213"/>
      <c r="G29" s="213"/>
      <c r="H29" s="213"/>
      <c r="I29" s="213"/>
      <c r="J29" s="213"/>
      <c r="K29" s="213"/>
      <c r="L29" s="213"/>
      <c r="M29" s="213"/>
      <c r="N29" s="213"/>
      <c r="O29" s="213"/>
      <c r="P29" s="213"/>
      <c r="Q29" s="213"/>
      <c r="R29" s="214"/>
    </row>
    <row r="30" spans="1:18">
      <c r="A30" s="212"/>
      <c r="B30" s="213"/>
      <c r="C30" s="213"/>
      <c r="D30" s="213"/>
      <c r="E30" s="213"/>
      <c r="F30" s="213"/>
      <c r="G30" s="213"/>
      <c r="H30" s="213"/>
      <c r="I30" s="213"/>
      <c r="J30" s="213"/>
      <c r="K30" s="213"/>
      <c r="L30" s="213"/>
      <c r="M30" s="213"/>
      <c r="N30" s="213"/>
      <c r="O30" s="213"/>
      <c r="P30" s="213"/>
      <c r="Q30" s="213"/>
      <c r="R30" s="214"/>
    </row>
    <row r="31" spans="1:18">
      <c r="A31" s="212"/>
      <c r="B31" s="213"/>
      <c r="C31" s="213"/>
      <c r="D31" s="213"/>
      <c r="E31" s="213"/>
      <c r="F31" s="213"/>
      <c r="G31" s="213"/>
      <c r="H31" s="213"/>
      <c r="I31" s="213"/>
      <c r="J31" s="213"/>
      <c r="K31" s="213"/>
      <c r="L31" s="213"/>
      <c r="M31" s="213"/>
      <c r="N31" s="213"/>
      <c r="O31" s="213"/>
      <c r="P31" s="213"/>
      <c r="Q31" s="213"/>
      <c r="R31" s="214"/>
    </row>
    <row r="32" spans="1:18">
      <c r="A32" s="212"/>
      <c r="B32" s="213"/>
      <c r="C32" s="213"/>
      <c r="D32" s="213"/>
      <c r="E32" s="213"/>
      <c r="F32" s="213"/>
      <c r="G32" s="213"/>
      <c r="H32" s="213"/>
      <c r="I32" s="213"/>
      <c r="J32" s="213"/>
      <c r="K32" s="213"/>
      <c r="L32" s="213"/>
      <c r="M32" s="213"/>
      <c r="N32" s="213"/>
      <c r="O32" s="213"/>
      <c r="P32" s="213"/>
      <c r="Q32" s="213"/>
      <c r="R32" s="214"/>
    </row>
    <row r="33" spans="1:18">
      <c r="A33" s="212"/>
      <c r="B33" s="213"/>
      <c r="C33" s="213"/>
      <c r="D33" s="213"/>
      <c r="E33" s="213"/>
      <c r="F33" s="213"/>
      <c r="G33" s="213"/>
      <c r="H33" s="213"/>
      <c r="I33" s="213"/>
      <c r="J33" s="213"/>
      <c r="K33" s="213"/>
      <c r="L33" s="213"/>
      <c r="M33" s="213"/>
      <c r="N33" s="213"/>
      <c r="O33" s="213"/>
      <c r="P33" s="213"/>
      <c r="Q33" s="213"/>
      <c r="R33" s="214"/>
    </row>
    <row r="34" spans="1:18">
      <c r="A34" s="212"/>
      <c r="B34" s="213"/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4"/>
    </row>
    <row r="35" spans="1:18">
      <c r="A35" s="212"/>
      <c r="B35" s="213"/>
      <c r="C35" s="213"/>
      <c r="D35" s="213"/>
      <c r="E35" s="213"/>
      <c r="F35" s="213"/>
      <c r="G35" s="213"/>
      <c r="H35" s="213"/>
      <c r="I35" s="213"/>
      <c r="J35" s="213"/>
      <c r="K35" s="213"/>
      <c r="L35" s="213"/>
      <c r="M35" s="213"/>
      <c r="N35" s="213"/>
      <c r="O35" s="213"/>
      <c r="P35" s="213"/>
      <c r="Q35" s="213"/>
      <c r="R35" s="214"/>
    </row>
    <row r="36" spans="1:18">
      <c r="A36" s="212"/>
      <c r="B36" s="213"/>
      <c r="C36" s="213"/>
      <c r="D36" s="213"/>
      <c r="E36" s="213"/>
      <c r="F36" s="213"/>
      <c r="G36" s="213"/>
      <c r="H36" s="213"/>
      <c r="I36" s="213"/>
      <c r="J36" s="213"/>
      <c r="K36" s="213"/>
      <c r="L36" s="213"/>
      <c r="M36" s="213"/>
      <c r="N36" s="213"/>
      <c r="O36" s="213"/>
      <c r="P36" s="213"/>
      <c r="Q36" s="213"/>
      <c r="R36" s="214"/>
    </row>
    <row r="37" spans="1:18">
      <c r="A37" s="212"/>
      <c r="B37" s="213"/>
      <c r="C37" s="213"/>
      <c r="D37" s="213"/>
      <c r="E37" s="213"/>
      <c r="F37" s="213"/>
      <c r="G37" s="213"/>
      <c r="H37" s="213"/>
      <c r="I37" s="213"/>
      <c r="J37" s="213"/>
      <c r="K37" s="213"/>
      <c r="L37" s="213"/>
      <c r="M37" s="213"/>
      <c r="N37" s="213"/>
      <c r="O37" s="213"/>
      <c r="P37" s="213"/>
      <c r="Q37" s="213"/>
      <c r="R37" s="214"/>
    </row>
    <row r="38" spans="1:18">
      <c r="A38" s="212"/>
      <c r="B38" s="213"/>
      <c r="C38" s="213"/>
      <c r="D38" s="213"/>
      <c r="E38" s="213"/>
      <c r="F38" s="213"/>
      <c r="G38" s="213"/>
      <c r="H38" s="213"/>
      <c r="I38" s="213"/>
      <c r="J38" s="213"/>
      <c r="K38" s="213"/>
      <c r="L38" s="213"/>
      <c r="M38" s="213"/>
      <c r="N38" s="213"/>
      <c r="O38" s="213"/>
      <c r="P38" s="213"/>
      <c r="Q38" s="213"/>
      <c r="R38" s="214"/>
    </row>
    <row r="39" spans="1:18">
      <c r="A39" s="212"/>
      <c r="B39" s="213"/>
      <c r="C39" s="213"/>
      <c r="D39" s="213"/>
      <c r="E39" s="213"/>
      <c r="F39" s="213"/>
      <c r="G39" s="213"/>
      <c r="H39" s="213"/>
      <c r="I39" s="213"/>
      <c r="J39" s="213"/>
      <c r="K39" s="213"/>
      <c r="L39" s="213"/>
      <c r="M39" s="213"/>
      <c r="N39" s="213"/>
      <c r="O39" s="213"/>
      <c r="P39" s="213"/>
      <c r="Q39" s="213"/>
      <c r="R39" s="214"/>
    </row>
    <row r="40" spans="1:18">
      <c r="A40" s="212"/>
      <c r="B40" s="213"/>
      <c r="C40" s="213"/>
      <c r="D40" s="213"/>
      <c r="E40" s="213"/>
      <c r="F40" s="213"/>
      <c r="G40" s="213"/>
      <c r="H40" s="213"/>
      <c r="I40" s="213"/>
      <c r="J40" s="213"/>
      <c r="K40" s="213"/>
      <c r="L40" s="213"/>
      <c r="M40" s="213"/>
      <c r="N40" s="213"/>
      <c r="O40" s="213"/>
      <c r="P40" s="213"/>
      <c r="Q40" s="213"/>
      <c r="R40" s="214"/>
    </row>
    <row r="41" spans="1:18">
      <c r="A41" s="212"/>
      <c r="B41" s="213"/>
      <c r="C41" s="213"/>
      <c r="D41" s="213"/>
      <c r="E41" s="213"/>
      <c r="F41" s="213"/>
      <c r="G41" s="213"/>
      <c r="H41" s="213"/>
      <c r="I41" s="213"/>
      <c r="J41" s="213"/>
      <c r="K41" s="213"/>
      <c r="L41" s="213"/>
      <c r="M41" s="213"/>
      <c r="N41" s="213"/>
      <c r="O41" s="213"/>
      <c r="P41" s="213"/>
      <c r="Q41" s="213"/>
      <c r="R41" s="214"/>
    </row>
    <row r="42" spans="1:18">
      <c r="A42" s="212"/>
      <c r="B42" s="213"/>
      <c r="C42" s="213"/>
      <c r="D42" s="213"/>
      <c r="E42" s="213"/>
      <c r="F42" s="213"/>
      <c r="G42" s="213"/>
      <c r="H42" s="213"/>
      <c r="I42" s="213"/>
      <c r="J42" s="213"/>
      <c r="K42" s="213"/>
      <c r="L42" s="213"/>
      <c r="M42" s="213"/>
      <c r="N42" s="213"/>
      <c r="O42" s="213"/>
      <c r="P42" s="213"/>
      <c r="Q42" s="213"/>
      <c r="R42" s="214"/>
    </row>
    <row r="43" spans="1:18">
      <c r="A43" s="212"/>
      <c r="B43" s="213"/>
      <c r="C43" s="213"/>
      <c r="D43" s="213"/>
      <c r="E43" s="213"/>
      <c r="F43" s="213"/>
      <c r="G43" s="213"/>
      <c r="H43" s="213"/>
      <c r="I43" s="213"/>
      <c r="J43" s="213"/>
      <c r="K43" s="213"/>
      <c r="L43" s="213"/>
      <c r="M43" s="213"/>
      <c r="N43" s="213"/>
      <c r="O43" s="213"/>
      <c r="P43" s="213"/>
      <c r="Q43" s="213"/>
      <c r="R43" s="214"/>
    </row>
    <row r="44" spans="1:18">
      <c r="A44" s="212"/>
      <c r="B44" s="213"/>
      <c r="C44" s="213"/>
      <c r="D44" s="213"/>
      <c r="E44" s="213"/>
      <c r="F44" s="213"/>
      <c r="G44" s="213"/>
      <c r="H44" s="213"/>
      <c r="I44" s="213"/>
      <c r="J44" s="213"/>
      <c r="K44" s="213"/>
      <c r="L44" s="213"/>
      <c r="M44" s="213"/>
      <c r="N44" s="213"/>
      <c r="O44" s="213"/>
      <c r="P44" s="213"/>
      <c r="Q44" s="213"/>
      <c r="R44" s="214"/>
    </row>
    <row r="45" spans="1:18">
      <c r="A45" s="212"/>
      <c r="B45" s="213"/>
      <c r="C45" s="213"/>
      <c r="D45" s="213"/>
      <c r="E45" s="213"/>
      <c r="F45" s="213"/>
      <c r="G45" s="213"/>
      <c r="H45" s="213"/>
      <c r="I45" s="213"/>
      <c r="J45" s="213"/>
      <c r="K45" s="213"/>
      <c r="L45" s="213"/>
      <c r="M45" s="213"/>
      <c r="N45" s="213"/>
      <c r="O45" s="213"/>
      <c r="P45" s="213"/>
      <c r="Q45" s="213"/>
      <c r="R45" s="214"/>
    </row>
    <row r="46" spans="1:18">
      <c r="A46" s="212"/>
      <c r="B46" s="213"/>
      <c r="C46" s="213"/>
      <c r="D46" s="213"/>
      <c r="E46" s="213"/>
      <c r="F46" s="213"/>
      <c r="G46" s="213"/>
      <c r="H46" s="213"/>
      <c r="I46" s="213"/>
      <c r="J46" s="213"/>
      <c r="K46" s="213"/>
      <c r="L46" s="213"/>
      <c r="M46" s="213"/>
      <c r="N46" s="213"/>
      <c r="O46" s="213"/>
      <c r="P46" s="213"/>
      <c r="Q46" s="213"/>
      <c r="R46" s="214"/>
    </row>
    <row r="47" spans="1:18">
      <c r="A47" s="212"/>
      <c r="B47" s="213"/>
      <c r="C47" s="213"/>
      <c r="D47" s="213"/>
      <c r="E47" s="213"/>
      <c r="F47" s="213"/>
      <c r="G47" s="213"/>
      <c r="H47" s="213"/>
      <c r="I47" s="213"/>
      <c r="J47" s="213"/>
      <c r="K47" s="213"/>
      <c r="L47" s="213"/>
      <c r="M47" s="213"/>
      <c r="N47" s="213"/>
      <c r="O47" s="213"/>
      <c r="P47" s="213"/>
      <c r="Q47" s="213"/>
      <c r="R47" s="214"/>
    </row>
    <row r="48" spans="1:18">
      <c r="A48" s="212"/>
      <c r="B48" s="213"/>
      <c r="C48" s="213"/>
      <c r="D48" s="213"/>
      <c r="E48" s="213"/>
      <c r="F48" s="213"/>
      <c r="G48" s="213"/>
      <c r="H48" s="213"/>
      <c r="I48" s="213"/>
      <c r="J48" s="213"/>
      <c r="K48" s="213"/>
      <c r="L48" s="213"/>
      <c r="M48" s="213"/>
      <c r="N48" s="213"/>
      <c r="O48" s="213"/>
      <c r="P48" s="213"/>
      <c r="Q48" s="213"/>
      <c r="R48" s="214"/>
    </row>
    <row r="49" spans="1:18">
      <c r="A49" s="212"/>
      <c r="B49" s="213"/>
      <c r="C49" s="213"/>
      <c r="D49" s="213"/>
      <c r="E49" s="213"/>
      <c r="F49" s="213"/>
      <c r="G49" s="213"/>
      <c r="H49" s="213"/>
      <c r="I49" s="213"/>
      <c r="J49" s="213"/>
      <c r="K49" s="213"/>
      <c r="L49" s="213"/>
      <c r="M49" s="213"/>
      <c r="N49" s="213"/>
      <c r="O49" s="213"/>
      <c r="P49" s="213"/>
      <c r="Q49" s="213"/>
      <c r="R49" s="214"/>
    </row>
    <row r="50" spans="1:18" ht="14.5" thickBot="1">
      <c r="A50" s="215"/>
      <c r="B50" s="216"/>
      <c r="C50" s="216"/>
      <c r="D50" s="216"/>
      <c r="E50" s="216"/>
      <c r="F50" s="216"/>
      <c r="G50" s="216"/>
      <c r="H50" s="216"/>
      <c r="I50" s="216"/>
      <c r="J50" s="216"/>
      <c r="K50" s="216"/>
      <c r="L50" s="216"/>
      <c r="M50" s="216"/>
      <c r="N50" s="216"/>
      <c r="O50" s="216"/>
      <c r="P50" s="216"/>
      <c r="Q50" s="216"/>
      <c r="R50" s="217"/>
    </row>
  </sheetData>
  <sheetProtection sheet="1" objects="1" scenarios="1" selectLockedCells="1" pivotTables="0"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817B-AE2A-4300-91DB-59EDF2277FB6}">
  <dimension ref="A1:R60"/>
  <sheetViews>
    <sheetView showGridLines="0" tabSelected="1" topLeftCell="A31" zoomScale="85" zoomScaleNormal="85" workbookViewId="0">
      <selection activeCell="P51" sqref="L51:P51"/>
    </sheetView>
  </sheetViews>
  <sheetFormatPr defaultColWidth="0" defaultRowHeight="14"/>
  <cols>
    <col min="1" max="15" width="9" customWidth="1"/>
    <col min="16" max="16" width="18" customWidth="1"/>
    <col min="17" max="17" width="17.83203125" customWidth="1"/>
    <col min="18" max="18" width="9" customWidth="1"/>
    <col min="19" max="16384" width="9" hidden="1"/>
  </cols>
  <sheetData>
    <row r="1" spans="1:18" ht="45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8"/>
    </row>
    <row r="2" spans="1:18" ht="23.5" customHeight="1" thickBot="1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9"/>
    </row>
    <row r="3" spans="1:18">
      <c r="A3" s="138"/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</row>
    <row r="4" spans="1:18">
      <c r="A4" s="138"/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</row>
    <row r="5" spans="1:18">
      <c r="A5" s="138"/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</row>
    <row r="6" spans="1:18">
      <c r="A6" s="138"/>
      <c r="B6" s="138"/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</row>
    <row r="7" spans="1:18">
      <c r="A7" s="138"/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</row>
    <row r="8" spans="1:18">
      <c r="A8" s="138"/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</row>
    <row r="9" spans="1:18">
      <c r="A9" s="138"/>
      <c r="B9" s="138"/>
      <c r="C9" s="138"/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8"/>
    </row>
    <row r="10" spans="1:18">
      <c r="A10" s="138"/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  <c r="R10" s="138"/>
    </row>
    <row r="11" spans="1:18">
      <c r="A11" s="138"/>
      <c r="B11" s="138"/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138"/>
      <c r="R11" s="138"/>
    </row>
    <row r="12" spans="1:18" ht="14.5" thickBot="1">
      <c r="A12" s="138"/>
      <c r="B12" s="138"/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</row>
    <row r="13" spans="1:18" ht="21.5">
      <c r="A13" s="138"/>
      <c r="B13" s="138"/>
      <c r="C13" s="145" t="str">
        <f>'Tabela Dinamica'!D57</f>
        <v>ODS</v>
      </c>
      <c r="D13" s="146" t="str">
        <f>'Tabela Dinamica'!E57</f>
        <v>IDS</v>
      </c>
      <c r="E13" s="146"/>
      <c r="F13" s="146"/>
      <c r="G13" s="146"/>
      <c r="H13" s="146"/>
      <c r="I13" s="146"/>
      <c r="J13" s="146" t="s">
        <v>894</v>
      </c>
      <c r="K13" s="146"/>
      <c r="L13" s="147" t="s">
        <v>893</v>
      </c>
      <c r="M13" s="146" t="s">
        <v>895</v>
      </c>
      <c r="N13" s="159"/>
      <c r="O13" s="138"/>
      <c r="P13" s="168" t="s">
        <v>896</v>
      </c>
      <c r="Q13" s="138"/>
      <c r="R13" s="138"/>
    </row>
    <row r="14" spans="1:18" ht="21">
      <c r="A14" s="138"/>
      <c r="B14" s="138"/>
      <c r="C14" s="148"/>
      <c r="D14" s="149"/>
      <c r="E14" s="150"/>
      <c r="F14" s="150"/>
      <c r="G14" s="150"/>
      <c r="H14" s="150"/>
      <c r="I14" s="150"/>
      <c r="J14" s="219" t="s">
        <v>978</v>
      </c>
      <c r="K14" s="219"/>
      <c r="L14" s="150"/>
      <c r="M14" s="220" t="s">
        <v>979</v>
      </c>
      <c r="N14" s="221"/>
      <c r="O14" s="138"/>
      <c r="P14" s="165"/>
      <c r="Q14" s="138"/>
      <c r="R14" s="138"/>
    </row>
    <row r="15" spans="1:18" ht="19.5">
      <c r="A15" s="138"/>
      <c r="B15" s="138"/>
      <c r="C15" s="151">
        <f>'Tabela Dinamica'!D58</f>
        <v>1</v>
      </c>
      <c r="D15" s="152" t="str">
        <f>'Tabela Dinamica'!E58</f>
        <v>Erradicação da Pobreza</v>
      </c>
      <c r="E15" s="153"/>
      <c r="F15" s="153"/>
      <c r="G15" s="153"/>
      <c r="H15" s="153"/>
      <c r="I15" s="153"/>
      <c r="J15" s="160">
        <f>'Tabela Dinamica'!F58</f>
        <v>0.52410000000000001</v>
      </c>
      <c r="K15" s="153"/>
      <c r="L15" s="150"/>
      <c r="M15" s="160">
        <f>'Tabela Dinamica'!G58</f>
        <v>0.52290000000000003</v>
      </c>
      <c r="N15" s="158"/>
      <c r="O15" s="138"/>
      <c r="P15" s="166" t="str">
        <f>'Tabela Dinamica'!H58</f>
        <v>Goiana está melhor</v>
      </c>
      <c r="Q15" s="164"/>
      <c r="R15" s="138"/>
    </row>
    <row r="16" spans="1:18" ht="19.5">
      <c r="A16" s="138"/>
      <c r="B16" s="138"/>
      <c r="C16" s="151">
        <f>'Tabela Dinamica'!D59</f>
        <v>2</v>
      </c>
      <c r="D16" s="152" t="str">
        <f>'Tabela Dinamica'!E59</f>
        <v>Fome Zero e Agricultura Sustentável</v>
      </c>
      <c r="E16" s="153"/>
      <c r="F16" s="153"/>
      <c r="G16" s="153"/>
      <c r="H16" s="153"/>
      <c r="I16" s="153"/>
      <c r="J16" s="160">
        <f>'Tabela Dinamica'!F59</f>
        <v>0.52769999999999995</v>
      </c>
      <c r="K16" s="153"/>
      <c r="L16" s="150"/>
      <c r="M16" s="160">
        <f>'Tabela Dinamica'!G59</f>
        <v>0.55559999999999998</v>
      </c>
      <c r="N16" s="158"/>
      <c r="O16" s="138"/>
      <c r="P16" s="166" t="str">
        <f>'Tabela Dinamica'!H59</f>
        <v>Precisa Melhorar</v>
      </c>
      <c r="Q16" s="164"/>
      <c r="R16" s="138"/>
    </row>
    <row r="17" spans="1:18" ht="19.5">
      <c r="A17" s="138"/>
      <c r="B17" s="138"/>
      <c r="C17" s="151">
        <f>'Tabela Dinamica'!D60</f>
        <v>3</v>
      </c>
      <c r="D17" s="152" t="str">
        <f>'Tabela Dinamica'!E60</f>
        <v>Saúde e Bem-Estar</v>
      </c>
      <c r="E17" s="153"/>
      <c r="F17" s="153"/>
      <c r="G17" s="153"/>
      <c r="H17" s="153"/>
      <c r="I17" s="153"/>
      <c r="J17" s="160">
        <f>'Tabela Dinamica'!F60</f>
        <v>0.69489999999999996</v>
      </c>
      <c r="K17" s="153"/>
      <c r="L17" s="150"/>
      <c r="M17" s="160">
        <f>'Tabela Dinamica'!G60</f>
        <v>0.67610000000000003</v>
      </c>
      <c r="N17" s="158"/>
      <c r="O17" s="138"/>
      <c r="P17" s="166" t="str">
        <f>'Tabela Dinamica'!H60</f>
        <v>Goiana está melhor</v>
      </c>
      <c r="Q17" s="164"/>
      <c r="R17" s="138"/>
    </row>
    <row r="18" spans="1:18" ht="19.5">
      <c r="A18" s="138"/>
      <c r="B18" s="138"/>
      <c r="C18" s="151">
        <f>'Tabela Dinamica'!D61</f>
        <v>4</v>
      </c>
      <c r="D18" s="152" t="str">
        <f>'Tabela Dinamica'!E61</f>
        <v>Educação de Qualidade</v>
      </c>
      <c r="E18" s="153"/>
      <c r="F18" s="153"/>
      <c r="G18" s="153"/>
      <c r="H18" s="153"/>
      <c r="I18" s="153"/>
      <c r="J18" s="160">
        <f>'Tabela Dinamica'!F61</f>
        <v>0.39169999999999999</v>
      </c>
      <c r="K18" s="153"/>
      <c r="L18" s="150"/>
      <c r="M18" s="160">
        <f>'Tabela Dinamica'!G61</f>
        <v>0.44519999999999998</v>
      </c>
      <c r="N18" s="158"/>
      <c r="O18" s="138"/>
      <c r="P18" s="166" t="str">
        <f>'Tabela Dinamica'!H61</f>
        <v>Precisa Melhorar</v>
      </c>
      <c r="Q18" s="163"/>
      <c r="R18" s="138"/>
    </row>
    <row r="19" spans="1:18" ht="19.5">
      <c r="A19" s="138"/>
      <c r="B19" s="138"/>
      <c r="C19" s="151">
        <f>'Tabela Dinamica'!D62</f>
        <v>5</v>
      </c>
      <c r="D19" s="152" t="str">
        <f>'Tabela Dinamica'!E62</f>
        <v>Igualdade de Gênero</v>
      </c>
      <c r="E19" s="153"/>
      <c r="F19" s="153"/>
      <c r="G19" s="153"/>
      <c r="H19" s="153"/>
      <c r="I19" s="153"/>
      <c r="J19" s="160">
        <f>'Tabela Dinamica'!F62</f>
        <v>0.2843</v>
      </c>
      <c r="K19" s="153"/>
      <c r="L19" s="150"/>
      <c r="M19" s="160">
        <f>'Tabela Dinamica'!G62</f>
        <v>0.2671</v>
      </c>
      <c r="N19" s="158"/>
      <c r="O19" s="138"/>
      <c r="P19" s="166" t="str">
        <f>'Tabela Dinamica'!H62</f>
        <v>Goiana está melhor</v>
      </c>
      <c r="Q19" s="163"/>
      <c r="R19" s="138"/>
    </row>
    <row r="20" spans="1:18" ht="19.5">
      <c r="A20" s="138"/>
      <c r="B20" s="138"/>
      <c r="C20" s="151">
        <f>'Tabela Dinamica'!D63</f>
        <v>6</v>
      </c>
      <c r="D20" s="152" t="str">
        <f>'Tabela Dinamica'!E63</f>
        <v>Água Limpa e Saneamento</v>
      </c>
      <c r="E20" s="153"/>
      <c r="F20" s="153"/>
      <c r="G20" s="153"/>
      <c r="H20" s="153"/>
      <c r="I20" s="153"/>
      <c r="J20" s="160">
        <f>'Tabela Dinamica'!F63</f>
        <v>0.71970000000000001</v>
      </c>
      <c r="K20" s="153"/>
      <c r="L20" s="150"/>
      <c r="M20" s="160">
        <f>'Tabela Dinamica'!G63</f>
        <v>0.65629999999999999</v>
      </c>
      <c r="N20" s="158"/>
      <c r="O20" s="138"/>
      <c r="P20" s="166" t="str">
        <f>'Tabela Dinamica'!H63</f>
        <v>Goiana está melhor</v>
      </c>
      <c r="Q20" s="163"/>
      <c r="R20" s="138"/>
    </row>
    <row r="21" spans="1:18" ht="19.5">
      <c r="A21" s="138"/>
      <c r="B21" s="138"/>
      <c r="C21" s="151">
        <f>'Tabela Dinamica'!D64</f>
        <v>7</v>
      </c>
      <c r="D21" s="152" t="str">
        <f>'Tabela Dinamica'!E64</f>
        <v>Energia Limpa e Acessível</v>
      </c>
      <c r="E21" s="153"/>
      <c r="F21" s="153"/>
      <c r="G21" s="153"/>
      <c r="H21" s="153"/>
      <c r="I21" s="153"/>
      <c r="J21" s="160">
        <f>'Tabela Dinamica'!F64</f>
        <v>0.91449999999999998</v>
      </c>
      <c r="K21" s="153"/>
      <c r="L21" s="150"/>
      <c r="M21" s="160">
        <f>'Tabela Dinamica'!G64</f>
        <v>0.91449999999999998</v>
      </c>
      <c r="N21" s="158"/>
      <c r="O21" s="138"/>
      <c r="P21" s="166" t="str">
        <f>'Tabela Dinamica'!H64</f>
        <v>Precisa Melhorar</v>
      </c>
      <c r="Q21" s="163"/>
      <c r="R21" s="138"/>
    </row>
    <row r="22" spans="1:18" ht="19.5">
      <c r="A22" s="138"/>
      <c r="B22" s="138"/>
      <c r="C22" s="151">
        <f>'Tabela Dinamica'!D65</f>
        <v>8</v>
      </c>
      <c r="D22" s="152" t="str">
        <f>'Tabela Dinamica'!E65</f>
        <v>Trabalho Decente e Crescimento Econômico</v>
      </c>
      <c r="E22" s="153"/>
      <c r="F22" s="153"/>
      <c r="G22" s="153"/>
      <c r="H22" s="153"/>
      <c r="I22" s="153"/>
      <c r="J22" s="160">
        <f>'Tabela Dinamica'!F65</f>
        <v>0.37140000000000001</v>
      </c>
      <c r="K22" s="153"/>
      <c r="L22" s="150"/>
      <c r="M22" s="160">
        <f>'Tabela Dinamica'!G65</f>
        <v>0.35439999999999999</v>
      </c>
      <c r="N22" s="158"/>
      <c r="O22" s="138"/>
      <c r="P22" s="166" t="str">
        <f>'Tabela Dinamica'!H65</f>
        <v>Goiana está melhor</v>
      </c>
      <c r="Q22" s="163"/>
      <c r="R22" s="138"/>
    </row>
    <row r="23" spans="1:18" ht="19.5">
      <c r="A23" s="138"/>
      <c r="B23" s="138"/>
      <c r="C23" s="151">
        <f>'Tabela Dinamica'!D66</f>
        <v>9</v>
      </c>
      <c r="D23" s="152" t="str">
        <f>'Tabela Dinamica'!E66</f>
        <v>Indústria, Inovação e Infraestrutura</v>
      </c>
      <c r="E23" s="153"/>
      <c r="F23" s="153"/>
      <c r="G23" s="153"/>
      <c r="H23" s="153"/>
      <c r="I23" s="153"/>
      <c r="J23" s="160">
        <f>'Tabela Dinamica'!F66</f>
        <v>0.50290000000000001</v>
      </c>
      <c r="K23" s="153"/>
      <c r="L23" s="150"/>
      <c r="M23" s="160">
        <f>'Tabela Dinamica'!G66</f>
        <v>0.52790000000000004</v>
      </c>
      <c r="N23" s="158"/>
      <c r="O23" s="138"/>
      <c r="P23" s="166" t="str">
        <f>'Tabela Dinamica'!H66</f>
        <v>Precisa Melhorar</v>
      </c>
      <c r="Q23" s="163"/>
      <c r="R23" s="138"/>
    </row>
    <row r="24" spans="1:18" ht="19.5">
      <c r="A24" s="138"/>
      <c r="B24" s="138"/>
      <c r="C24" s="151">
        <f>'Tabela Dinamica'!D67</f>
        <v>10</v>
      </c>
      <c r="D24" s="152" t="str">
        <f>'Tabela Dinamica'!E67</f>
        <v>Redução das Desigualdades</v>
      </c>
      <c r="E24" s="153"/>
      <c r="F24" s="153"/>
      <c r="G24" s="153"/>
      <c r="H24" s="153"/>
      <c r="I24" s="153"/>
      <c r="J24" s="160">
        <f>'Tabela Dinamica'!F67</f>
        <v>0.47960000000000003</v>
      </c>
      <c r="K24" s="153"/>
      <c r="L24" s="150"/>
      <c r="M24" s="160">
        <f>'Tabela Dinamica'!G67</f>
        <v>0.54169999999999996</v>
      </c>
      <c r="N24" s="158"/>
      <c r="O24" s="138"/>
      <c r="P24" s="166" t="str">
        <f>'Tabela Dinamica'!H67</f>
        <v>Precisa Melhorar</v>
      </c>
      <c r="Q24" s="163"/>
      <c r="R24" s="138"/>
    </row>
    <row r="25" spans="1:18" ht="19.5">
      <c r="A25" s="138"/>
      <c r="B25" s="138"/>
      <c r="C25" s="151">
        <f>'Tabela Dinamica'!D68</f>
        <v>11</v>
      </c>
      <c r="D25" s="152" t="str">
        <f>'Tabela Dinamica'!E68</f>
        <v>Cidades e Comunidades Sustentáveis</v>
      </c>
      <c r="E25" s="153"/>
      <c r="F25" s="153"/>
      <c r="G25" s="153"/>
      <c r="H25" s="153"/>
      <c r="I25" s="153"/>
      <c r="J25" s="160">
        <f>'Tabela Dinamica'!F68</f>
        <v>0.64759999999999995</v>
      </c>
      <c r="K25" s="153"/>
      <c r="L25" s="150"/>
      <c r="M25" s="160">
        <f>'Tabela Dinamica'!G68</f>
        <v>0.49059999999999998</v>
      </c>
      <c r="N25" s="158"/>
      <c r="O25" s="138"/>
      <c r="P25" s="166" t="str">
        <f>'Tabela Dinamica'!H68</f>
        <v>Goiana está melhor</v>
      </c>
      <c r="Q25" s="163"/>
      <c r="R25" s="138"/>
    </row>
    <row r="26" spans="1:18" ht="19.5">
      <c r="A26" s="138"/>
      <c r="B26" s="138"/>
      <c r="C26" s="151">
        <f>'Tabela Dinamica'!D69</f>
        <v>12</v>
      </c>
      <c r="D26" s="152" t="str">
        <f>'Tabela Dinamica'!E69</f>
        <v>Consumo e Produção Responsáveis</v>
      </c>
      <c r="E26" s="153"/>
      <c r="F26" s="153"/>
      <c r="G26" s="153"/>
      <c r="H26" s="153"/>
      <c r="I26" s="153"/>
      <c r="J26" s="160">
        <f>'Tabela Dinamica'!F69</f>
        <v>0.28639999999999999</v>
      </c>
      <c r="K26" s="153"/>
      <c r="L26" s="150"/>
      <c r="M26" s="160">
        <f>'Tabela Dinamica'!G69</f>
        <v>0.41959999999999997</v>
      </c>
      <c r="N26" s="158"/>
      <c r="O26" s="138"/>
      <c r="P26" s="166" t="str">
        <f>'Tabela Dinamica'!H69</f>
        <v>Precisa Melhorar</v>
      </c>
      <c r="Q26" s="163"/>
      <c r="R26" s="138"/>
    </row>
    <row r="27" spans="1:18" ht="19.5">
      <c r="A27" s="138"/>
      <c r="B27" s="138"/>
      <c r="C27" s="151">
        <f>'Tabela Dinamica'!D70</f>
        <v>13</v>
      </c>
      <c r="D27" s="152" t="str">
        <f>'Tabela Dinamica'!E70</f>
        <v>Ação Contra a Mudança Global do Clima</v>
      </c>
      <c r="E27" s="153"/>
      <c r="F27" s="153"/>
      <c r="G27" s="153"/>
      <c r="H27" s="153"/>
      <c r="I27" s="153"/>
      <c r="J27" s="160">
        <f>'Tabela Dinamica'!F70</f>
        <v>0.73860000000000003</v>
      </c>
      <c r="K27" s="153"/>
      <c r="L27" s="150"/>
      <c r="M27" s="160">
        <f>'Tabela Dinamica'!G70</f>
        <v>0.76100000000000001</v>
      </c>
      <c r="N27" s="158"/>
      <c r="O27" s="138"/>
      <c r="P27" s="166" t="str">
        <f>'Tabela Dinamica'!H70</f>
        <v>Precisa Melhorar</v>
      </c>
      <c r="Q27" s="163"/>
      <c r="R27" s="138"/>
    </row>
    <row r="28" spans="1:18" ht="19.5">
      <c r="A28" s="138"/>
      <c r="B28" s="138"/>
      <c r="C28" s="151">
        <f>'Tabela Dinamica'!D71</f>
        <v>14</v>
      </c>
      <c r="D28" s="152" t="str">
        <f>'Tabela Dinamica'!E71</f>
        <v>Vida na Água</v>
      </c>
      <c r="E28" s="153"/>
      <c r="F28" s="153"/>
      <c r="G28" s="153"/>
      <c r="H28" s="153"/>
      <c r="I28" s="153"/>
      <c r="J28" s="160">
        <f>'Tabela Dinamica'!F71</f>
        <v>1.6899999999999998E-2</v>
      </c>
      <c r="K28" s="153"/>
      <c r="L28" s="150"/>
      <c r="M28" s="160">
        <f>'Tabela Dinamica'!G71</f>
        <v>1.6899999999999998E-2</v>
      </c>
      <c r="N28" s="158"/>
      <c r="O28" s="138"/>
      <c r="P28" s="166" t="str">
        <f>'Tabela Dinamica'!H71</f>
        <v>Precisa Melhorar</v>
      </c>
      <c r="Q28" s="163"/>
      <c r="R28" s="138"/>
    </row>
    <row r="29" spans="1:18" ht="19.5">
      <c r="A29" s="138"/>
      <c r="B29" s="138"/>
      <c r="C29" s="151">
        <f>'Tabela Dinamica'!D72</f>
        <v>15</v>
      </c>
      <c r="D29" s="152" t="str">
        <f>'Tabela Dinamica'!E72</f>
        <v>Vida Terrestre</v>
      </c>
      <c r="E29" s="153"/>
      <c r="F29" s="153"/>
      <c r="G29" s="153"/>
      <c r="H29" s="153"/>
      <c r="I29" s="153"/>
      <c r="J29" s="160">
        <f>'Tabela Dinamica'!F72</f>
        <v>0.17510000000000001</v>
      </c>
      <c r="K29" s="153"/>
      <c r="L29" s="150"/>
      <c r="M29" s="160">
        <f>'Tabela Dinamica'!G72</f>
        <v>0.17449999999999999</v>
      </c>
      <c r="N29" s="158"/>
      <c r="O29" s="138"/>
      <c r="P29" s="166" t="str">
        <f>'Tabela Dinamica'!H72</f>
        <v>Goiana está melhor</v>
      </c>
      <c r="Q29" s="163"/>
      <c r="R29" s="138"/>
    </row>
    <row r="30" spans="1:18" ht="19.5">
      <c r="A30" s="138"/>
      <c r="B30" s="138"/>
      <c r="C30" s="151">
        <f>'Tabela Dinamica'!D73</f>
        <v>16</v>
      </c>
      <c r="D30" s="152" t="str">
        <f>'Tabela Dinamica'!E73</f>
        <v>Paz, Justiça e Instituições Eficazes</v>
      </c>
      <c r="E30" s="153"/>
      <c r="F30" s="153"/>
      <c r="G30" s="153"/>
      <c r="H30" s="153"/>
      <c r="I30" s="153"/>
      <c r="J30" s="160">
        <f>'Tabela Dinamica'!F73</f>
        <v>0.27379999999999999</v>
      </c>
      <c r="K30" s="153"/>
      <c r="L30" s="150"/>
      <c r="M30" s="160">
        <f>'Tabela Dinamica'!G73</f>
        <v>0.27379999999999999</v>
      </c>
      <c r="N30" s="158"/>
      <c r="O30" s="138"/>
      <c r="P30" s="166" t="str">
        <f>'Tabela Dinamica'!H73</f>
        <v>Precisa Melhorar</v>
      </c>
      <c r="Q30" s="163"/>
      <c r="R30" s="138"/>
    </row>
    <row r="31" spans="1:18" ht="20" thickBot="1">
      <c r="A31" s="138"/>
      <c r="B31" s="138"/>
      <c r="C31" s="154">
        <f>'Tabela Dinamica'!D74</f>
        <v>17</v>
      </c>
      <c r="D31" s="155" t="str">
        <f>'Tabela Dinamica'!E74</f>
        <v>Parcerias e Meios de Implementação</v>
      </c>
      <c r="E31" s="156"/>
      <c r="F31" s="156"/>
      <c r="G31" s="156"/>
      <c r="H31" s="156"/>
      <c r="I31" s="156"/>
      <c r="J31" s="162">
        <f>'Tabela Dinamica'!F74</f>
        <v>0.1275</v>
      </c>
      <c r="K31" s="156"/>
      <c r="L31" s="157"/>
      <c r="M31" s="162">
        <f>'Tabela Dinamica'!G74</f>
        <v>0.18140000000000001</v>
      </c>
      <c r="N31" s="161"/>
      <c r="O31" s="138"/>
      <c r="P31" s="167" t="str">
        <f>'Tabela Dinamica'!H74</f>
        <v>Precisa Melhorar</v>
      </c>
      <c r="Q31" s="163"/>
      <c r="R31" s="138"/>
    </row>
    <row r="32" spans="1:18">
      <c r="A32" s="138"/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</row>
    <row r="33" spans="1:18">
      <c r="A33" s="138"/>
      <c r="B33" s="138"/>
      <c r="C33" s="138"/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</row>
    <row r="34" spans="1:18">
      <c r="A34" s="138"/>
      <c r="B34" s="138"/>
      <c r="C34" s="138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</row>
    <row r="35" spans="1:18" ht="14.5" thickBot="1">
      <c r="A35" s="138"/>
      <c r="B35" s="138"/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</row>
    <row r="36" spans="1:18" ht="19.5">
      <c r="A36" s="138"/>
      <c r="B36" s="138"/>
      <c r="C36" s="138"/>
      <c r="D36" s="194" t="str">
        <f>'Tabela Dinamica'!D77</f>
        <v>População</v>
      </c>
      <c r="E36" s="195"/>
      <c r="F36" s="195"/>
      <c r="G36" s="195"/>
      <c r="H36" s="195"/>
      <c r="I36" s="195"/>
      <c r="J36" s="201">
        <f>'Tabela Dinamica'!F77</f>
        <v>81055</v>
      </c>
      <c r="K36" s="200"/>
      <c r="L36" s="191"/>
      <c r="M36" s="201">
        <f>'Tabela Dinamica'!G77</f>
        <v>81055</v>
      </c>
      <c r="N36" s="205"/>
      <c r="O36" s="138"/>
      <c r="P36" s="211" t="str">
        <f>'Tabela Dinamica'!H77</f>
        <v>Precisa Melhorar</v>
      </c>
      <c r="Q36" s="138"/>
      <c r="R36" s="138"/>
    </row>
    <row r="37" spans="1:18" ht="19.5">
      <c r="A37" s="138"/>
      <c r="B37" s="138"/>
      <c r="C37" s="138"/>
      <c r="D37" s="196" t="str">
        <f>'Tabela Dinamica'!D79</f>
        <v>População Rural</v>
      </c>
      <c r="E37" s="197"/>
      <c r="F37" s="197"/>
      <c r="G37" s="197"/>
      <c r="H37" s="197"/>
      <c r="I37" s="197"/>
      <c r="J37" s="202">
        <f>'Tabela Dinamica'!F79</f>
        <v>17619</v>
      </c>
      <c r="K37" s="197"/>
      <c r="L37" s="192"/>
      <c r="M37" s="202">
        <f>'Tabela Dinamica'!G79</f>
        <v>17619</v>
      </c>
      <c r="N37" s="206"/>
      <c r="O37" s="138"/>
      <c r="P37" s="166" t="str">
        <f>'Tabela Dinamica'!H79</f>
        <v>Precisa Melhorar</v>
      </c>
      <c r="Q37" s="138"/>
      <c r="R37" s="138"/>
    </row>
    <row r="38" spans="1:18" ht="19.5">
      <c r="A38" s="138"/>
      <c r="B38" s="138"/>
      <c r="C38" s="138"/>
      <c r="D38" s="196" t="str">
        <f>'Tabela Dinamica'!D82</f>
        <v>Dependência Fiscal</v>
      </c>
      <c r="E38" s="197"/>
      <c r="F38" s="197"/>
      <c r="G38" s="197"/>
      <c r="H38" s="197"/>
      <c r="I38" s="197"/>
      <c r="J38" s="203">
        <f>'Tabela Dinamica'!F82</f>
        <v>0.77059999999999995</v>
      </c>
      <c r="K38" s="197"/>
      <c r="L38" s="192"/>
      <c r="M38" s="203">
        <f>'Tabela Dinamica'!G82</f>
        <v>0.77059999999999995</v>
      </c>
      <c r="N38" s="206"/>
      <c r="O38" s="138"/>
      <c r="P38" s="166" t="str">
        <f>'Tabela Dinamica'!H82</f>
        <v>Precisa Melhorar</v>
      </c>
      <c r="Q38" s="138"/>
      <c r="R38" s="138"/>
    </row>
    <row r="39" spans="1:18" ht="19.5">
      <c r="A39" s="138"/>
      <c r="B39" s="138"/>
      <c r="C39" s="138"/>
      <c r="D39" s="196" t="str">
        <f>'Tabela Dinamica'!D83</f>
        <v>Taxa de Investimento</v>
      </c>
      <c r="E39" s="197"/>
      <c r="F39" s="197"/>
      <c r="G39" s="197"/>
      <c r="H39" s="197"/>
      <c r="I39" s="197"/>
      <c r="J39" s="203">
        <f>'Tabela Dinamica'!F83</f>
        <v>6.7000000000000004E-2</v>
      </c>
      <c r="K39" s="197"/>
      <c r="L39" s="192"/>
      <c r="M39" s="203">
        <f>'Tabela Dinamica'!G83</f>
        <v>6.7000000000000004E-2</v>
      </c>
      <c r="N39" s="206"/>
      <c r="O39" s="138"/>
      <c r="P39" s="166" t="str">
        <f>'Tabela Dinamica'!H83</f>
        <v>Precisa Melhorar</v>
      </c>
      <c r="Q39" s="138"/>
      <c r="R39" s="138"/>
    </row>
    <row r="40" spans="1:18" ht="19.5">
      <c r="A40" s="138"/>
      <c r="B40" s="138"/>
      <c r="C40" s="138"/>
      <c r="D40" s="196" t="str">
        <f>'Tabela Dinamica'!D84</f>
        <v>Transparência Municipal</v>
      </c>
      <c r="E40" s="197"/>
      <c r="F40" s="197"/>
      <c r="G40" s="197"/>
      <c r="H40" s="197"/>
      <c r="I40" s="197"/>
      <c r="J40" s="204">
        <f>'Tabela Dinamica'!F84</f>
        <v>5.6</v>
      </c>
      <c r="K40" s="197"/>
      <c r="L40" s="192"/>
      <c r="M40" s="204">
        <f>'Tabela Dinamica'!G84</f>
        <v>5.6</v>
      </c>
      <c r="N40" s="206"/>
      <c r="O40" s="138"/>
      <c r="P40" s="166" t="str">
        <f>'Tabela Dinamica'!H84</f>
        <v>Precisa Melhorar</v>
      </c>
      <c r="Q40" s="138"/>
      <c r="R40" s="138"/>
    </row>
    <row r="41" spans="1:18" ht="20" thickBot="1">
      <c r="A41" s="138"/>
      <c r="B41" s="138"/>
      <c r="C41" s="138"/>
      <c r="D41" s="198" t="str">
        <f>'Tabela Dinamica'!D81</f>
        <v>PIB per Capita</v>
      </c>
      <c r="E41" s="199"/>
      <c r="F41" s="199"/>
      <c r="G41" s="199"/>
      <c r="H41" s="199"/>
      <c r="I41" s="199"/>
      <c r="J41" s="210">
        <f>'Tabela Dinamica'!F81</f>
        <v>132714.70000000001</v>
      </c>
      <c r="K41" s="199"/>
      <c r="L41" s="193"/>
      <c r="M41" s="210">
        <f>'Tabela Dinamica'!G81</f>
        <v>132714.70000000001</v>
      </c>
      <c r="N41" s="207"/>
      <c r="O41" s="138"/>
      <c r="P41" s="167" t="str">
        <f>'Tabela Dinamica'!H81</f>
        <v>Precisa Melhorar</v>
      </c>
      <c r="Q41" s="138"/>
      <c r="R41" s="138"/>
    </row>
    <row r="42" spans="1:18" ht="19.5">
      <c r="A42" s="138"/>
      <c r="B42" s="138"/>
      <c r="C42" s="182"/>
      <c r="D42" s="208"/>
      <c r="E42" s="208"/>
      <c r="F42" s="208"/>
      <c r="G42" s="208"/>
      <c r="H42" s="208"/>
      <c r="I42" s="208"/>
      <c r="J42" s="209"/>
      <c r="K42" s="209"/>
      <c r="L42" s="209"/>
      <c r="M42" s="208"/>
      <c r="N42" s="208"/>
      <c r="O42" s="182"/>
      <c r="P42" s="138"/>
      <c r="Q42" s="138"/>
      <c r="R42" s="138"/>
    </row>
    <row r="43" spans="1:18" ht="19.5">
      <c r="A43" s="138"/>
      <c r="B43" s="138"/>
      <c r="C43" s="182"/>
      <c r="D43" s="208"/>
      <c r="E43" s="208"/>
      <c r="F43" s="208"/>
      <c r="G43" s="208"/>
      <c r="H43" s="208"/>
      <c r="I43" s="208"/>
      <c r="J43" s="209"/>
      <c r="K43" s="209"/>
      <c r="L43" s="209"/>
      <c r="M43" s="208"/>
      <c r="N43" s="208"/>
      <c r="O43" s="182"/>
      <c r="P43" s="138"/>
      <c r="Q43" s="138"/>
      <c r="R43" s="138"/>
    </row>
    <row r="44" spans="1:18" ht="19.5">
      <c r="A44" s="138"/>
      <c r="B44" s="138"/>
      <c r="C44" s="182"/>
      <c r="D44" s="208"/>
      <c r="E44" s="208"/>
      <c r="F44" s="208"/>
      <c r="G44" s="208"/>
      <c r="H44" s="208"/>
      <c r="I44" s="208"/>
      <c r="J44" s="209"/>
      <c r="K44" s="209"/>
      <c r="L44" s="209"/>
      <c r="M44" s="208"/>
      <c r="N44" s="208"/>
      <c r="O44" s="182"/>
      <c r="P44" s="138"/>
      <c r="Q44" s="138"/>
      <c r="R44" s="138"/>
    </row>
    <row r="45" spans="1:18">
      <c r="A45" s="138"/>
      <c r="B45" s="138"/>
      <c r="C45" s="182"/>
      <c r="D45" s="182"/>
      <c r="E45" s="182"/>
      <c r="F45" s="182"/>
      <c r="G45" s="182"/>
      <c r="H45" s="182"/>
      <c r="I45" s="182"/>
      <c r="J45" s="182"/>
      <c r="K45" s="182"/>
      <c r="L45" s="182"/>
      <c r="M45" s="182"/>
      <c r="N45" s="182"/>
      <c r="O45" s="182"/>
      <c r="P45" s="138"/>
      <c r="Q45" s="138"/>
      <c r="R45" s="138"/>
    </row>
    <row r="46" spans="1:18">
      <c r="A46" s="138"/>
      <c r="B46" s="138"/>
      <c r="C46" s="138"/>
      <c r="D46" s="138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</row>
    <row r="47" spans="1:18">
      <c r="A47" s="138"/>
      <c r="B47" s="138"/>
      <c r="C47" s="138"/>
      <c r="D47" s="138"/>
      <c r="E47" s="138"/>
      <c r="F47" s="138"/>
      <c r="G47" s="138"/>
      <c r="H47" s="138"/>
      <c r="I47" s="138"/>
      <c r="J47" s="138"/>
      <c r="K47" s="138"/>
      <c r="L47" s="138"/>
      <c r="M47" s="138"/>
      <c r="N47" s="138"/>
      <c r="O47" s="138"/>
      <c r="P47" s="138"/>
      <c r="Q47" s="138"/>
      <c r="R47" s="138"/>
    </row>
    <row r="48" spans="1:18">
      <c r="A48" s="138"/>
      <c r="B48" s="138"/>
      <c r="C48" s="138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</row>
    <row r="49" spans="1:18">
      <c r="A49" s="138"/>
      <c r="B49" s="138"/>
      <c r="C49" s="138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</row>
    <row r="50" spans="1:18">
      <c r="A50" s="138"/>
      <c r="B50" s="138"/>
      <c r="C50" s="138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</row>
    <row r="51" spans="1:18">
      <c r="A51" s="138"/>
      <c r="B51" s="138"/>
      <c r="C51" s="138"/>
      <c r="D51" s="138"/>
      <c r="E51" s="138"/>
      <c r="F51" s="138"/>
      <c r="G51" s="138"/>
      <c r="H51" s="138"/>
      <c r="I51" s="138"/>
      <c r="J51" s="138"/>
      <c r="K51" s="138"/>
      <c r="L51" s="229"/>
      <c r="M51" s="229"/>
      <c r="N51" s="229"/>
      <c r="O51" s="229"/>
      <c r="P51" s="229"/>
      <c r="Q51" s="138"/>
      <c r="R51" s="138"/>
    </row>
    <row r="52" spans="1:18">
      <c r="A52" s="138"/>
      <c r="B52" s="138"/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</row>
    <row r="53" spans="1:18">
      <c r="A53" s="138"/>
      <c r="B53" s="138"/>
      <c r="C53" s="138"/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38"/>
      <c r="Q53" s="138"/>
      <c r="R53" s="138"/>
    </row>
    <row r="54" spans="1:18">
      <c r="A54" s="138"/>
      <c r="B54" s="138"/>
      <c r="C54" s="138"/>
      <c r="D54" s="138"/>
      <c r="E54" s="138"/>
      <c r="F54" s="138"/>
      <c r="G54" s="138"/>
      <c r="H54" s="138"/>
      <c r="I54" s="138"/>
      <c r="J54" s="138"/>
      <c r="K54" s="138"/>
      <c r="L54" s="138"/>
      <c r="M54" s="138"/>
      <c r="N54" s="138"/>
      <c r="O54" s="138"/>
      <c r="P54" s="138"/>
      <c r="Q54" s="138"/>
      <c r="R54" s="138"/>
    </row>
    <row r="55" spans="1:18">
      <c r="A55" s="138"/>
      <c r="B55" s="138"/>
      <c r="C55" s="138"/>
      <c r="D55" s="138"/>
      <c r="E55" s="138"/>
      <c r="F55" s="138"/>
      <c r="G55" s="138"/>
      <c r="H55" s="138"/>
      <c r="I55" s="138"/>
      <c r="J55" s="138"/>
      <c r="K55" s="138"/>
      <c r="L55" s="138"/>
      <c r="M55" s="138"/>
      <c r="N55" s="138"/>
      <c r="O55" s="138"/>
      <c r="P55" s="138"/>
      <c r="Q55" s="138"/>
      <c r="R55" s="138"/>
    </row>
    <row r="56" spans="1:18">
      <c r="A56" s="138"/>
      <c r="B56" s="138"/>
      <c r="C56" s="138"/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</row>
    <row r="57" spans="1:18">
      <c r="A57" s="138"/>
      <c r="B57" s="138"/>
      <c r="C57" s="138"/>
      <c r="D57" s="138"/>
      <c r="E57" s="138"/>
      <c r="F57" s="138"/>
      <c r="G57" s="138"/>
      <c r="H57" s="138"/>
      <c r="I57" s="138"/>
      <c r="J57" s="138"/>
      <c r="K57" s="138"/>
      <c r="L57" s="138"/>
      <c r="M57" s="138"/>
      <c r="N57" s="138"/>
      <c r="O57" s="138"/>
      <c r="P57" s="138"/>
      <c r="Q57" s="138"/>
      <c r="R57" s="138"/>
    </row>
    <row r="58" spans="1:18">
      <c r="A58" s="138"/>
      <c r="B58" s="138"/>
      <c r="C58" s="138"/>
      <c r="D58" s="138"/>
      <c r="E58" s="138"/>
      <c r="F58" s="138"/>
      <c r="G58" s="138"/>
      <c r="H58" s="138"/>
      <c r="I58" s="138"/>
      <c r="J58" s="138"/>
      <c r="K58" s="138"/>
      <c r="L58" s="138"/>
      <c r="M58" s="138"/>
      <c r="N58" s="138"/>
      <c r="O58" s="138"/>
      <c r="P58" s="138"/>
      <c r="Q58" s="138"/>
      <c r="R58" s="138"/>
    </row>
    <row r="59" spans="1:18">
      <c r="A59" s="138"/>
      <c r="B59" s="138"/>
      <c r="C59" s="138"/>
      <c r="D59" s="138"/>
      <c r="E59" s="138"/>
      <c r="F59" s="138"/>
      <c r="G59" s="138"/>
      <c r="H59" s="138"/>
      <c r="I59" s="138"/>
      <c r="J59" s="138"/>
      <c r="K59" s="138"/>
      <c r="L59" s="138"/>
      <c r="M59" s="138"/>
      <c r="N59" s="138"/>
      <c r="O59" s="138"/>
      <c r="P59" s="138"/>
      <c r="Q59" s="138"/>
      <c r="R59" s="138"/>
    </row>
    <row r="60" spans="1:18">
      <c r="A60" s="138"/>
      <c r="B60" s="138"/>
      <c r="C60" s="138"/>
      <c r="D60" s="138"/>
      <c r="E60" s="138"/>
      <c r="F60" s="138"/>
      <c r="G60" s="138"/>
      <c r="H60" s="138"/>
      <c r="I60" s="138"/>
      <c r="J60" s="138"/>
      <c r="K60" s="138"/>
      <c r="L60" s="138"/>
      <c r="M60" s="138"/>
      <c r="N60" s="138"/>
      <c r="O60" s="138"/>
      <c r="P60" s="138"/>
      <c r="Q60" s="138"/>
      <c r="R60" s="138"/>
    </row>
  </sheetData>
  <sheetProtection selectLockedCells="1"/>
  <mergeCells count="2">
    <mergeCell ref="J14:K14"/>
    <mergeCell ref="M14:N14"/>
  </mergeCells>
  <conditionalFormatting sqref="P18:Q31 P15:P17 P36:P41">
    <cfRule type="containsText" dxfId="46" priority="1" operator="containsText" text="Melhorar">
      <formula>NOT(ISERROR(SEARCH("Melhorar",P15)))</formula>
    </cfRule>
    <cfRule type="containsText" dxfId="45" priority="2" operator="containsText" text="Goiana">
      <formula>NOT(ISERROR(SEARCH("Goiana",P15)))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DDA1E9D-BE60-4006-8B12-D50C27A6D490}">
          <x14:formula1>
            <xm:f>'ODS Municipios'!$C$1:$R$1</xm:f>
          </x14:formula1>
          <xm:sqref>J14 M14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D896-1862-44C5-B6FA-97B25EC8488D}">
  <dimension ref="A1:AL166"/>
  <sheetViews>
    <sheetView zoomScale="55" zoomScaleNormal="55" workbookViewId="0">
      <selection activeCell="D31" sqref="D31"/>
    </sheetView>
  </sheetViews>
  <sheetFormatPr defaultRowHeight="14"/>
  <cols>
    <col min="1" max="1" width="19.1640625" bestFit="1" customWidth="1"/>
    <col min="2" max="2" width="22.58203125" bestFit="1" customWidth="1"/>
    <col min="3" max="3" width="103.83203125" bestFit="1" customWidth="1"/>
    <col min="4" max="4" width="20.83203125" bestFit="1" customWidth="1"/>
    <col min="5" max="5" width="30.83203125" bestFit="1" customWidth="1"/>
    <col min="6" max="6" width="32.1640625" customWidth="1"/>
    <col min="7" max="7" width="48.58203125" bestFit="1" customWidth="1"/>
    <col min="8" max="8" width="20.83203125" bestFit="1" customWidth="1"/>
    <col min="9" max="11" width="6.75" bestFit="1" customWidth="1"/>
    <col min="12" max="12" width="48.58203125" bestFit="1" customWidth="1"/>
    <col min="13" max="13" width="30.5" bestFit="1" customWidth="1"/>
    <col min="14" max="16" width="6.75" bestFit="1" customWidth="1"/>
    <col min="17" max="17" width="48.58203125" bestFit="1" customWidth="1"/>
    <col min="18" max="18" width="103.83203125" bestFit="1" customWidth="1"/>
    <col min="19" max="19" width="10.08203125" bestFit="1" customWidth="1"/>
    <col min="26" max="26" width="9.58203125" customWidth="1"/>
  </cols>
  <sheetData>
    <row r="1" spans="1:38">
      <c r="A1" t="s">
        <v>49</v>
      </c>
      <c r="B1" t="s">
        <v>50</v>
      </c>
      <c r="D1" t="s">
        <v>563</v>
      </c>
      <c r="L1" t="s">
        <v>565</v>
      </c>
      <c r="AH1" t="str">
        <f>INDEX(TabelaOds[Ods],1)</f>
        <v>ods.1</v>
      </c>
    </row>
    <row r="2" spans="1:38" ht="15.5">
      <c r="A2">
        <f>A55</f>
        <v>8</v>
      </c>
      <c r="B2" s="83" t="str">
        <f>A4</f>
        <v>Promover o crescimento econômico e trabalho decente.</v>
      </c>
      <c r="D2" t="str">
        <f>IFERROR(VLOOKUP(A2,'Dados Tabela Din'!$A$4:$K$20,5,FALSE),"")</f>
        <v>Taxa de emprego formal de 80% e redução da taxa de desemprego para menos de 5%.</v>
      </c>
      <c r="L2" t="str">
        <f>IFERROR(VLOOKUP($A2,'Dados Tabela Din'!$A$3:$K$20,4,FALSE),"")</f>
        <v>85% a 95%</v>
      </c>
    </row>
    <row r="3" spans="1:38">
      <c r="A3" s="71" t="s">
        <v>640</v>
      </c>
      <c r="B3" t="s">
        <v>641</v>
      </c>
      <c r="C3" s="54" t="s">
        <v>644</v>
      </c>
      <c r="D3" t="s">
        <v>642</v>
      </c>
      <c r="E3" t="s">
        <v>643</v>
      </c>
      <c r="G3" s="71" t="s">
        <v>640</v>
      </c>
      <c r="H3" t="s">
        <v>642</v>
      </c>
      <c r="L3" s="71" t="s">
        <v>640</v>
      </c>
      <c r="M3" t="s">
        <v>643</v>
      </c>
      <c r="Q3" s="71" t="s">
        <v>640</v>
      </c>
      <c r="R3" t="s">
        <v>644</v>
      </c>
    </row>
    <row r="4" spans="1:38">
      <c r="A4" s="72" t="s">
        <v>80</v>
      </c>
      <c r="B4" s="7">
        <v>0.37140000000000001</v>
      </c>
      <c r="C4" s="7">
        <v>0.32806666666666667</v>
      </c>
      <c r="D4" s="7">
        <v>0.24655000000000002</v>
      </c>
      <c r="E4" s="7">
        <v>0.37622000000000005</v>
      </c>
      <c r="G4" s="72" t="s">
        <v>80</v>
      </c>
      <c r="H4" s="7">
        <v>0.24655000000000002</v>
      </c>
      <c r="L4" s="72" t="s">
        <v>80</v>
      </c>
      <c r="M4" s="7">
        <v>0.37622000000000005</v>
      </c>
      <c r="Q4" s="72" t="s">
        <v>80</v>
      </c>
      <c r="R4" s="7">
        <v>0.32806666666666667</v>
      </c>
      <c r="AL4">
        <f>ImagensODS!$B$3</f>
        <v>0</v>
      </c>
    </row>
    <row r="5" spans="1:38">
      <c r="Z5" t="s">
        <v>651</v>
      </c>
    </row>
    <row r="6" spans="1:38">
      <c r="Z6" t="s">
        <v>645</v>
      </c>
    </row>
    <row r="7" spans="1:38">
      <c r="Z7" t="s">
        <v>646</v>
      </c>
      <c r="AH7" s="73">
        <f>A2</f>
        <v>8</v>
      </c>
    </row>
    <row r="8" spans="1:38">
      <c r="Z8" t="s">
        <v>647</v>
      </c>
    </row>
    <row r="9" spans="1:38">
      <c r="Z9" t="s">
        <v>648</v>
      </c>
    </row>
    <row r="10" spans="1:38">
      <c r="Z10" t="s">
        <v>649</v>
      </c>
    </row>
    <row r="11" spans="1:38">
      <c r="Z11" t="s">
        <v>650</v>
      </c>
    </row>
    <row r="28" spans="4:18">
      <c r="R28" t="s">
        <v>959</v>
      </c>
    </row>
    <row r="29" spans="4:18" ht="14.5">
      <c r="R29" s="130"/>
    </row>
    <row r="31" spans="4:18">
      <c r="D31" t="s">
        <v>662</v>
      </c>
    </row>
    <row r="33" spans="4:18" ht="23">
      <c r="D33" s="104" t="s">
        <v>979</v>
      </c>
      <c r="F33" s="103" t="s">
        <v>672</v>
      </c>
      <c r="R33" t="s">
        <v>897</v>
      </c>
    </row>
    <row r="34" spans="4:18" ht="14.5">
      <c r="F34" s="130" t="str">
        <f>IFERROR(VLOOKUP(A2,'Dados Tabela Din'!$A$4:$K$20,10,FALSE),"")</f>
        <v>Para um município crescer de forma equilibrada, é preciso gerar oportunidades de trabalho digno para sua população, fortalecendo a economia local.</v>
      </c>
      <c r="R34" s="130" t="str">
        <f>IFERROR(VLOOKUP($A$2,'Dados Tabela Din'!$A$4:$K$20,11,FALSE),"")</f>
        <v>Desenvolvimento Econômico e Geração de Empregos</v>
      </c>
    </row>
    <row r="37" spans="4:18">
      <c r="R37" t="s">
        <v>939</v>
      </c>
    </row>
    <row r="38" spans="4:18" ht="18">
      <c r="F38" s="131" t="s">
        <v>835</v>
      </c>
      <c r="R38" s="130" t="str">
        <f>IFERROR(VLOOKUP($A$2,'Dados Tabela Din'!$A$4:$M$20,12,FALSE),"")</f>
        <v>Atração de linhas do BNDES para financiar grandes projetos de infraestrutura que melhoram a produtividade da cidade.</v>
      </c>
    </row>
    <row r="39" spans="4:18">
      <c r="F39" s="7">
        <f>B4</f>
        <v>0.37140000000000001</v>
      </c>
      <c r="G39" t="str">
        <f>_xlfn.IFS(F39&lt;=49.99%,H43, F39&lt;60%,H44, F39&lt;70%,H45, F39&lt;80%,H46, F39&lt;90%,H47, F39&gt;=90%,H48)</f>
        <v>MUITO BAIXO - Este é um indicativo crítico, o município enfrenta grandes desafios e precisa de ações imediatas e substanciais para alcançar resultados mínimos em áreas essenciais como educação, saúde, meio ambiente, infraestrutura, entre outros.</v>
      </c>
    </row>
    <row r="40" spans="4:18">
      <c r="R40" t="s">
        <v>940</v>
      </c>
    </row>
    <row r="41" spans="4:18" ht="20">
      <c r="D41" s="103"/>
      <c r="R41" s="130" t="str">
        <f>IFERROR(VLOOKUP($A$2,'Dados Tabela Din'!$A$4:$M$20,13,FALSE),"")</f>
        <v>Atração de empresas que buscam selos de sustentabilidade e que oferecem empregos de qualidade, além do acesso a programas de qualificação profissional em parceria com o Sistema S (Senai, Senac).</v>
      </c>
    </row>
    <row r="42" spans="4:18" ht="22.5">
      <c r="D42" s="129" t="s">
        <v>652</v>
      </c>
      <c r="E42" s="111">
        <f>IFERROR(HLOOKUP($D$33,'ODS Municipios'!$A$2:$R$28,19,FALSE),"")</f>
        <v>81055</v>
      </c>
    </row>
    <row r="43" spans="4:18" ht="22.5">
      <c r="D43" s="108" t="s">
        <v>653</v>
      </c>
      <c r="E43" s="107" t="str">
        <f>IFERROR(HLOOKUP($D$33,'ODS Municipios'!$A$2:$R$28,20,FALSE),"")</f>
        <v>81 a 100 mil hab</v>
      </c>
      <c r="G43" t="s">
        <v>844</v>
      </c>
      <c r="H43" t="s">
        <v>890</v>
      </c>
    </row>
    <row r="44" spans="4:18" ht="22.5">
      <c r="D44" s="108" t="s">
        <v>654</v>
      </c>
      <c r="E44" s="111">
        <f>HLOOKUP($D$33,'ODS Municipios'!$A$2:$R$28,21,FALSE)</f>
        <v>17619</v>
      </c>
      <c r="G44" s="11" t="s">
        <v>840</v>
      </c>
      <c r="H44" t="s">
        <v>891</v>
      </c>
    </row>
    <row r="45" spans="4:18" ht="35">
      <c r="D45" s="108" t="s">
        <v>655</v>
      </c>
      <c r="E45" s="107" t="str">
        <f>HLOOKUP($D$33,'ODS Municipios'!$A$2:$R$28,22,FALSE)</f>
        <v>Indústria</v>
      </c>
      <c r="G45" s="11" t="s">
        <v>841</v>
      </c>
      <c r="H45" t="s">
        <v>836</v>
      </c>
    </row>
    <row r="46" spans="4:18" ht="22.5">
      <c r="D46" s="108" t="s">
        <v>658</v>
      </c>
      <c r="E46" s="109">
        <f>HLOOKUP($D$33,'ODS Municipios'!$A$2:$R$28,23,FALSE)</f>
        <v>132714.70000000001</v>
      </c>
      <c r="G46" s="11" t="s">
        <v>842</v>
      </c>
      <c r="H46" t="s">
        <v>837</v>
      </c>
    </row>
    <row r="47" spans="4:18" ht="35">
      <c r="D47" s="108" t="s">
        <v>656</v>
      </c>
      <c r="E47" s="110">
        <f>HLOOKUP($D$33,'ODS Municipios'!$A$2:$R$28,24,FALSE)</f>
        <v>0.77059999999999995</v>
      </c>
      <c r="G47" s="11" t="s">
        <v>843</v>
      </c>
      <c r="H47" t="s">
        <v>838</v>
      </c>
    </row>
    <row r="48" spans="4:18" ht="35">
      <c r="D48" s="108" t="s">
        <v>657</v>
      </c>
      <c r="E48" s="110">
        <f>HLOOKUP($D$33,'ODS Municipios'!$A$2:$R$28,25,FALSE)</f>
        <v>6.7000000000000004E-2</v>
      </c>
      <c r="G48" s="11" t="s">
        <v>839</v>
      </c>
      <c r="H48" t="s">
        <v>892</v>
      </c>
    </row>
    <row r="49" spans="1:13" ht="35">
      <c r="D49" s="108" t="s">
        <v>659</v>
      </c>
      <c r="E49" s="106">
        <f>HLOOKUP($D$33,'ODS Municipios'!$A$2:$R$28,26,FALSE)</f>
        <v>5.6</v>
      </c>
      <c r="G49" s="11"/>
    </row>
    <row r="50" spans="1:13" ht="22.5">
      <c r="D50" s="108" t="s">
        <v>666</v>
      </c>
      <c r="E50" s="109">
        <f>HLOOKUP($D$33,'ODS Municipios'!$A$2:$R$28,27,FALSE)</f>
        <v>10757190008.5</v>
      </c>
      <c r="G50" s="11"/>
    </row>
    <row r="51" spans="1:13">
      <c r="G51" s="11"/>
    </row>
    <row r="54" spans="1:13" ht="14.5" thickBot="1">
      <c r="A54" s="71" t="s">
        <v>640</v>
      </c>
    </row>
    <row r="55" spans="1:13" ht="22.5">
      <c r="A55" s="72">
        <v>8</v>
      </c>
      <c r="D55" s="94"/>
      <c r="E55" s="112" t="s">
        <v>671</v>
      </c>
      <c r="F55" s="95"/>
      <c r="G55" s="95"/>
      <c r="H55" s="95"/>
      <c r="I55" s="96"/>
    </row>
    <row r="56" spans="1:13">
      <c r="D56" s="97"/>
      <c r="E56" s="98"/>
      <c r="F56" s="98"/>
      <c r="G56" s="98"/>
      <c r="H56" s="98"/>
      <c r="I56" s="99"/>
    </row>
    <row r="57" spans="1:13" ht="61.5" customHeight="1">
      <c r="D57" s="105" t="s">
        <v>49</v>
      </c>
      <c r="E57" s="105" t="s">
        <v>639</v>
      </c>
      <c r="F57" s="143" t="str">
        <f>Comparativo!J14</f>
        <v>Goiana 1</v>
      </c>
      <c r="G57" s="142" t="str">
        <f>Comparativo!M14</f>
        <v>Goiana 2</v>
      </c>
      <c r="H57" s="98"/>
      <c r="I57" s="99"/>
    </row>
    <row r="58" spans="1:13" ht="20">
      <c r="D58" s="113">
        <f>HLOOKUP(D$57,'ODS Municipios'!$A$2:$R$28,2,FALSE)</f>
        <v>1</v>
      </c>
      <c r="E58" s="113" t="str">
        <f>HLOOKUP(E$57,'ODS Municipios'!$A$2:$R$28,2,FALSE)</f>
        <v>Erradicação da Pobreza</v>
      </c>
      <c r="F58" s="114">
        <f>HLOOKUP(F$57,'ODS Municipios'!$A$2:$R$28,2,FALSE)</f>
        <v>0.52410000000000001</v>
      </c>
      <c r="G58" s="114">
        <f>HLOOKUP(G$57,'ODS Municipios'!$A$2:$R$28,2,FALSE)</f>
        <v>0.52290000000000003</v>
      </c>
      <c r="H58" s="115" t="str">
        <f>IF(F58&gt;G58,"Goiana está melhor","Precisa Melhorar")</f>
        <v>Goiana está melhor</v>
      </c>
      <c r="I58" s="99"/>
      <c r="M58" s="119"/>
    </row>
    <row r="59" spans="1:13" ht="20">
      <c r="D59" s="113">
        <f>HLOOKUP(D$57,'ODS Municipios'!$A$2:$R$28,3,FALSE)</f>
        <v>2</v>
      </c>
      <c r="E59" s="113" t="str">
        <f>HLOOKUP(E$57,'ODS Municipios'!$A$2:$R$28,3,FALSE)</f>
        <v>Fome Zero e Agricultura Sustentável</v>
      </c>
      <c r="F59" s="114">
        <f>HLOOKUP(F$57,'ODS Municipios'!$A$2:$R$28,3,FALSE)</f>
        <v>0.52769999999999995</v>
      </c>
      <c r="G59" s="114">
        <f>HLOOKUP(G$57,'ODS Municipios'!$A$2:$R$28,3,FALSE)</f>
        <v>0.55559999999999998</v>
      </c>
      <c r="H59" s="115" t="str">
        <f>IF(F59&gt;G59,"Goiana está melhor","Precisa Melhorar")</f>
        <v>Precisa Melhorar</v>
      </c>
      <c r="I59" s="99"/>
      <c r="M59" s="119"/>
    </row>
    <row r="60" spans="1:13" ht="20">
      <c r="D60" s="113">
        <f>HLOOKUP(D$57,'ODS Municipios'!$A$2:$R$28,4,FALSE)</f>
        <v>3</v>
      </c>
      <c r="E60" s="113" t="str">
        <f>HLOOKUP(E$57,'ODS Municipios'!$A$2:$R$28,4,FALSE)</f>
        <v>Saúde e Bem-Estar</v>
      </c>
      <c r="F60" s="114">
        <f>HLOOKUP(F$57,'ODS Municipios'!$A$2:$R$28,4,FALSE)</f>
        <v>0.69489999999999996</v>
      </c>
      <c r="G60" s="114">
        <f>HLOOKUP(G$57,'ODS Municipios'!$A$2:$R$28,4,FALSE)</f>
        <v>0.67610000000000003</v>
      </c>
      <c r="H60" s="115" t="str">
        <f t="shared" ref="H60:H85" si="0">IF(F60&gt;G60,"Goiana está melhor","Precisa Melhorar")</f>
        <v>Goiana está melhor</v>
      </c>
      <c r="I60" s="99"/>
      <c r="M60" s="119"/>
    </row>
    <row r="61" spans="1:13" ht="20">
      <c r="D61" s="113">
        <f>HLOOKUP(D$57,'ODS Municipios'!$A$2:$R$28,5,FALSE)</f>
        <v>4</v>
      </c>
      <c r="E61" s="113" t="str">
        <f>HLOOKUP(E$57,'ODS Municipios'!$A$2:$R$28,5,FALSE)</f>
        <v>Educação de Qualidade</v>
      </c>
      <c r="F61" s="114">
        <f>HLOOKUP(F$57,'ODS Municipios'!$A$2:$R$28,5,FALSE)</f>
        <v>0.39169999999999999</v>
      </c>
      <c r="G61" s="114">
        <f>HLOOKUP(G$57,'ODS Municipios'!$A$2:$R$28,5,FALSE)</f>
        <v>0.44519999999999998</v>
      </c>
      <c r="H61" s="115" t="str">
        <f t="shared" si="0"/>
        <v>Precisa Melhorar</v>
      </c>
      <c r="I61" s="99"/>
      <c r="M61" s="119"/>
    </row>
    <row r="62" spans="1:13" ht="20">
      <c r="D62" s="113">
        <f>HLOOKUP(D$57,'ODS Municipios'!$A$2:$R$28,6,FALSE)</f>
        <v>5</v>
      </c>
      <c r="E62" s="113" t="str">
        <f>HLOOKUP(E$57,'ODS Municipios'!$A$2:$R$28,6,FALSE)</f>
        <v>Igualdade de Gênero</v>
      </c>
      <c r="F62" s="114">
        <f>HLOOKUP(F$57,'ODS Municipios'!$A$2:$R$28,6,FALSE)</f>
        <v>0.2843</v>
      </c>
      <c r="G62" s="114">
        <f>HLOOKUP(G$57,'ODS Municipios'!$A$2:$R$28,6,FALSE)</f>
        <v>0.2671</v>
      </c>
      <c r="H62" s="115" t="str">
        <f t="shared" si="0"/>
        <v>Goiana está melhor</v>
      </c>
      <c r="I62" s="99"/>
      <c r="M62" s="119"/>
    </row>
    <row r="63" spans="1:13" ht="20">
      <c r="D63" s="113">
        <f>HLOOKUP(D$57,'ODS Municipios'!$A$2:$R$28,7,FALSE)</f>
        <v>6</v>
      </c>
      <c r="E63" s="113" t="str">
        <f>HLOOKUP(E$57,'ODS Municipios'!$A$2:$R$28,7,FALSE)</f>
        <v>Água Limpa e Saneamento</v>
      </c>
      <c r="F63" s="114">
        <f>HLOOKUP(F$57,'ODS Municipios'!$A$2:$R$28,7,FALSE)</f>
        <v>0.71970000000000001</v>
      </c>
      <c r="G63" s="114">
        <f>HLOOKUP(G$57,'ODS Municipios'!$A$2:$R$28,7,FALSE)</f>
        <v>0.65629999999999999</v>
      </c>
      <c r="H63" s="115" t="str">
        <f t="shared" si="0"/>
        <v>Goiana está melhor</v>
      </c>
      <c r="I63" s="99"/>
      <c r="M63" s="119"/>
    </row>
    <row r="64" spans="1:13" ht="20">
      <c r="D64" s="113">
        <f>HLOOKUP(D$57,'ODS Municipios'!$A$2:$R$28,8,FALSE)</f>
        <v>7</v>
      </c>
      <c r="E64" s="113" t="str">
        <f>HLOOKUP(E$57,'ODS Municipios'!$A$2:$R$28,8,FALSE)</f>
        <v>Energia Limpa e Acessível</v>
      </c>
      <c r="F64" s="114">
        <f>HLOOKUP(F$57,'ODS Municipios'!$A$2:$R$28,8,FALSE)</f>
        <v>0.91449999999999998</v>
      </c>
      <c r="G64" s="114">
        <f>HLOOKUP(G$57,'ODS Municipios'!$A$2:$R$28,8,FALSE)</f>
        <v>0.91449999999999998</v>
      </c>
      <c r="H64" s="115" t="str">
        <f t="shared" si="0"/>
        <v>Precisa Melhorar</v>
      </c>
      <c r="I64" s="99"/>
      <c r="M64" s="120" t="s">
        <v>677</v>
      </c>
    </row>
    <row r="65" spans="4:13" ht="20">
      <c r="D65" s="113">
        <f>HLOOKUP(D$57,'ODS Municipios'!$A$2:$R$28,9,FALSE)</f>
        <v>8</v>
      </c>
      <c r="E65" s="113" t="str">
        <f>HLOOKUP(E$57,'ODS Municipios'!$A$2:$R$28,9,FALSE)</f>
        <v>Trabalho Decente e Crescimento Econômico</v>
      </c>
      <c r="F65" s="114">
        <f>HLOOKUP(F$57,'ODS Municipios'!$A$2:$R$28,9,FALSE)</f>
        <v>0.37140000000000001</v>
      </c>
      <c r="G65" s="114">
        <f>HLOOKUP(G$57,'ODS Municipios'!$A$2:$R$28,9,FALSE)</f>
        <v>0.35439999999999999</v>
      </c>
      <c r="H65" s="115" t="str">
        <f t="shared" si="0"/>
        <v>Goiana está melhor</v>
      </c>
      <c r="I65" s="99"/>
      <c r="M65" s="119"/>
    </row>
    <row r="66" spans="4:13" ht="25">
      <c r="D66" s="113">
        <f>HLOOKUP(D$57,'ODS Municipios'!$A$2:$R$28,10,FALSE)</f>
        <v>9</v>
      </c>
      <c r="E66" s="113" t="str">
        <f>HLOOKUP(E$57,'ODS Municipios'!$A$2:$R$28,10,FALSE)</f>
        <v>Indústria, Inovação e Infraestrutura</v>
      </c>
      <c r="F66" s="114">
        <f>HLOOKUP(F$57,'ODS Municipios'!$A$2:$R$28,10,FALSE)</f>
        <v>0.50290000000000001</v>
      </c>
      <c r="G66" s="114">
        <f>HLOOKUP(G$57,'ODS Municipios'!$A$2:$R$28,10,FALSE)</f>
        <v>0.52790000000000004</v>
      </c>
      <c r="H66" s="115" t="str">
        <f t="shared" si="0"/>
        <v>Precisa Melhorar</v>
      </c>
      <c r="I66" s="99"/>
      <c r="L66" s="124">
        <v>1</v>
      </c>
      <c r="M66" s="121" t="s">
        <v>678</v>
      </c>
    </row>
    <row r="67" spans="4:13" ht="25">
      <c r="D67" s="113">
        <f>HLOOKUP(D$57,'ODS Municipios'!$A$2:$R$28,11,FALSE)</f>
        <v>10</v>
      </c>
      <c r="E67" s="113" t="str">
        <f>HLOOKUP(E$57,'ODS Municipios'!$A$2:$R$28,11,FALSE)</f>
        <v>Redução das Desigualdades</v>
      </c>
      <c r="F67" s="114">
        <f>HLOOKUP(F$57,'ODS Municipios'!$A$2:$R$28,11,FALSE)</f>
        <v>0.47960000000000003</v>
      </c>
      <c r="G67" s="114">
        <f>HLOOKUP(G$57,'ODS Municipios'!$A$2:$R$28,11,FALSE)</f>
        <v>0.54169999999999996</v>
      </c>
      <c r="H67" s="115" t="str">
        <f t="shared" si="0"/>
        <v>Precisa Melhorar</v>
      </c>
      <c r="I67" s="99"/>
      <c r="L67" s="124"/>
      <c r="M67" s="122"/>
    </row>
    <row r="68" spans="4:13" ht="25">
      <c r="D68" s="113">
        <f>HLOOKUP(D$57,'ODS Municipios'!$A$2:$R$28,12,FALSE)</f>
        <v>11</v>
      </c>
      <c r="E68" s="113" t="str">
        <f>HLOOKUP(E$57,'ODS Municipios'!$A$2:$R$28,12,FALSE)</f>
        <v>Cidades e Comunidades Sustentáveis</v>
      </c>
      <c r="F68" s="114">
        <f>HLOOKUP(F$57,'ODS Municipios'!$A$2:$R$28,12,FALSE)</f>
        <v>0.64759999999999995</v>
      </c>
      <c r="G68" s="114">
        <f>HLOOKUP(G$57,'ODS Municipios'!$A$2:$R$28,12,FALSE)</f>
        <v>0.49059999999999998</v>
      </c>
      <c r="H68" s="115" t="str">
        <f t="shared" si="0"/>
        <v>Goiana está melhor</v>
      </c>
      <c r="I68" s="99"/>
      <c r="L68" s="124"/>
      <c r="M68" s="123" t="s">
        <v>692</v>
      </c>
    </row>
    <row r="69" spans="4:13" ht="25">
      <c r="D69" s="113">
        <f>HLOOKUP(D$57,'ODS Municipios'!$A$2:$R$28,13,FALSE)</f>
        <v>12</v>
      </c>
      <c r="E69" s="113" t="str">
        <f>HLOOKUP(E$57,'ODS Municipios'!$A$2:$R$28,13,FALSE)</f>
        <v>Consumo e Produção Responsáveis</v>
      </c>
      <c r="F69" s="114">
        <f>HLOOKUP(F$57,'ODS Municipios'!$A$2:$R$28,13,FALSE)</f>
        <v>0.28639999999999999</v>
      </c>
      <c r="G69" s="114">
        <f>HLOOKUP(G$57,'ODS Municipios'!$A$2:$R$28,13,FALSE)</f>
        <v>0.41959999999999997</v>
      </c>
      <c r="H69" s="115" t="str">
        <f t="shared" si="0"/>
        <v>Precisa Melhorar</v>
      </c>
      <c r="I69" s="99"/>
      <c r="L69" s="124"/>
      <c r="M69" s="122"/>
    </row>
    <row r="70" spans="4:13" ht="25">
      <c r="D70" s="113">
        <f>HLOOKUP(D$57,'ODS Municipios'!$A$2:$R$28,14,FALSE)</f>
        <v>13</v>
      </c>
      <c r="E70" s="113" t="str">
        <f>HLOOKUP(E$57,'ODS Municipios'!$A$2:$R$28,14,FALSE)</f>
        <v>Ação Contra a Mudança Global do Clima</v>
      </c>
      <c r="F70" s="114">
        <f>HLOOKUP(F$57,'ODS Municipios'!$A$2:$R$28,14,FALSE)</f>
        <v>0.73860000000000003</v>
      </c>
      <c r="G70" s="114">
        <f>HLOOKUP(G$57,'ODS Municipios'!$A$2:$R$28,14,FALSE)</f>
        <v>0.76100000000000001</v>
      </c>
      <c r="H70" s="115" t="str">
        <f t="shared" si="0"/>
        <v>Precisa Melhorar</v>
      </c>
      <c r="I70" s="99"/>
      <c r="L70" s="124"/>
      <c r="M70" s="123" t="s">
        <v>693</v>
      </c>
    </row>
    <row r="71" spans="4:13" ht="25">
      <c r="D71" s="113">
        <f>HLOOKUP(D$57,'ODS Municipios'!$A$2:$R$28,15,FALSE)</f>
        <v>14</v>
      </c>
      <c r="E71" s="113" t="str">
        <f>HLOOKUP(E$57,'ODS Municipios'!$A$2:$R$28,15,FALSE)</f>
        <v>Vida na Água</v>
      </c>
      <c r="F71" s="114">
        <f>HLOOKUP(F$57,'ODS Municipios'!$A$2:$R$28,15,FALSE)</f>
        <v>1.6899999999999998E-2</v>
      </c>
      <c r="G71" s="114">
        <f>HLOOKUP(G$57,'ODS Municipios'!$A$2:$R$28,15,FALSE)</f>
        <v>1.6899999999999998E-2</v>
      </c>
      <c r="H71" s="115" t="str">
        <f t="shared" si="0"/>
        <v>Precisa Melhorar</v>
      </c>
      <c r="I71" s="99"/>
      <c r="L71" s="124"/>
      <c r="M71" s="119"/>
    </row>
    <row r="72" spans="4:13" ht="25">
      <c r="D72" s="113">
        <f>HLOOKUP(D$57,'ODS Municipios'!$A$2:$R$28,16,FALSE)</f>
        <v>15</v>
      </c>
      <c r="E72" s="113" t="str">
        <f>HLOOKUP(E$57,'ODS Municipios'!$A$2:$R$28,16,FALSE)</f>
        <v>Vida Terrestre</v>
      </c>
      <c r="F72" s="114">
        <f>HLOOKUP(F$57,'ODS Municipios'!$A$2:$R$28,16,FALSE)</f>
        <v>0.17510000000000001</v>
      </c>
      <c r="G72" s="114">
        <f>HLOOKUP(G$57,'ODS Municipios'!$A$2:$R$28,16,FALSE)</f>
        <v>0.17449999999999999</v>
      </c>
      <c r="H72" s="115" t="str">
        <f t="shared" si="0"/>
        <v>Goiana está melhor</v>
      </c>
      <c r="I72" s="99"/>
      <c r="L72" s="124">
        <v>2</v>
      </c>
      <c r="M72" s="121" t="s">
        <v>679</v>
      </c>
    </row>
    <row r="73" spans="4:13" ht="25">
      <c r="D73" s="113">
        <f>HLOOKUP(D$57,'ODS Municipios'!$A$2:$R$28,17,FALSE)</f>
        <v>16</v>
      </c>
      <c r="E73" s="113" t="str">
        <f>HLOOKUP(E$57,'ODS Municipios'!$A$2:$R$28,17,FALSE)</f>
        <v>Paz, Justiça e Instituições Eficazes</v>
      </c>
      <c r="F73" s="114">
        <f>HLOOKUP(F$57,'ODS Municipios'!$A$2:$R$28,17,FALSE)</f>
        <v>0.27379999999999999</v>
      </c>
      <c r="G73" s="114">
        <f>HLOOKUP(G$57,'ODS Municipios'!$A$2:$R$28,17,FALSE)</f>
        <v>0.27379999999999999</v>
      </c>
      <c r="H73" s="115" t="str">
        <f t="shared" si="0"/>
        <v>Precisa Melhorar</v>
      </c>
      <c r="I73" s="99"/>
      <c r="L73" s="124"/>
      <c r="M73" s="122"/>
    </row>
    <row r="74" spans="4:13" ht="25">
      <c r="D74" s="113">
        <f>HLOOKUP(D$57,'ODS Municipios'!$A$2:$R$28,18,FALSE)</f>
        <v>17</v>
      </c>
      <c r="E74" s="113" t="str">
        <f>HLOOKUP(E$57,'ODS Municipios'!$A$2:$R$28,18,FALSE)</f>
        <v>Parcerias e Meios de Implementação</v>
      </c>
      <c r="F74" s="114">
        <f>HLOOKUP(F$57,'ODS Municipios'!$A$2:$R$28,18,FALSE)</f>
        <v>0.1275</v>
      </c>
      <c r="G74" s="114">
        <f>HLOOKUP(G$57,'ODS Municipios'!$A$2:$R$28,18,FALSE)</f>
        <v>0.18140000000000001</v>
      </c>
      <c r="H74" s="115" t="str">
        <f t="shared" si="0"/>
        <v>Precisa Melhorar</v>
      </c>
      <c r="I74" s="99"/>
      <c r="L74" s="124"/>
      <c r="M74" s="123" t="s">
        <v>694</v>
      </c>
    </row>
    <row r="75" spans="4:13" ht="25">
      <c r="D75" s="97"/>
      <c r="E75" s="98"/>
      <c r="F75" s="98"/>
      <c r="G75" s="98"/>
      <c r="H75" s="98"/>
      <c r="I75" s="99"/>
      <c r="L75" s="124"/>
      <c r="M75" s="122"/>
    </row>
    <row r="76" spans="4:13" ht="25">
      <c r="D76" s="97"/>
      <c r="E76" s="98"/>
      <c r="F76" s="98"/>
      <c r="G76" s="98"/>
      <c r="H76" s="98"/>
      <c r="I76" s="99"/>
      <c r="L76" s="124"/>
      <c r="M76" s="123" t="s">
        <v>695</v>
      </c>
    </row>
    <row r="77" spans="4:13" ht="25">
      <c r="D77" s="172" t="str">
        <f>HLOOKUP(D$57,'ODS Municipios'!$A$2:$R$28,19,FALSE)</f>
        <v>População</v>
      </c>
      <c r="E77" s="169" t="str">
        <f>HLOOKUP(E$57,'ODS Municipios'!$A$2:$R$28,19,FALSE)</f>
        <v>-</v>
      </c>
      <c r="F77" s="171">
        <f>HLOOKUP(F$57,'ODS Municipios'!$A$2:$R$28,19,FALSE)</f>
        <v>81055</v>
      </c>
      <c r="G77" s="171">
        <f>HLOOKUP(G$57,'ODS Municipios'!$A$2:$R$28,19,FALSE)</f>
        <v>81055</v>
      </c>
      <c r="H77" s="115" t="str">
        <f t="shared" si="0"/>
        <v>Precisa Melhorar</v>
      </c>
      <c r="I77" s="99"/>
      <c r="L77" s="124"/>
      <c r="M77" s="119"/>
    </row>
    <row r="78" spans="4:13" ht="25">
      <c r="D78" s="172" t="str">
        <f>HLOOKUP(D$57,'ODS Municipios'!$A$2:$R$28,20,FALSE)</f>
        <v>Faixa Populacional</v>
      </c>
      <c r="E78" s="169" t="str">
        <f>HLOOKUP(E$57,'ODS Municipios'!$A$2:$R$28,19,FALSE)</f>
        <v>-</v>
      </c>
      <c r="F78" s="174" t="str">
        <f>HLOOKUP(F$57,'ODS Municipios'!$A$2:$R$28,20,FALSE)</f>
        <v>80 a 100 mil hab</v>
      </c>
      <c r="G78" s="174" t="str">
        <f>HLOOKUP(G$57,'ODS Municipios'!$A$2:$R$28,20,FALSE)</f>
        <v>81 a 100 mil hab</v>
      </c>
      <c r="H78" s="115" t="str">
        <f t="shared" si="0"/>
        <v>Precisa Melhorar</v>
      </c>
      <c r="I78" s="99"/>
      <c r="L78" s="124">
        <v>3</v>
      </c>
      <c r="M78" s="121" t="s">
        <v>200</v>
      </c>
    </row>
    <row r="79" spans="4:13" ht="25">
      <c r="D79" s="172" t="str">
        <f>HLOOKUP(D$57,'ODS Municipios'!$A$2:$R$28,21,FALSE)</f>
        <v>População Rural</v>
      </c>
      <c r="E79" s="169" t="str">
        <f>HLOOKUP(E$57,'ODS Municipios'!$A$2:$R$28,19,FALSE)</f>
        <v>-</v>
      </c>
      <c r="F79" s="171">
        <f>HLOOKUP(F$57,'ODS Municipios'!$A$2:$R$28,21,FALSE)</f>
        <v>17619</v>
      </c>
      <c r="G79" s="171">
        <f>HLOOKUP(G$57,'ODS Municipios'!$A$2:$R$28,21,FALSE)</f>
        <v>17619</v>
      </c>
      <c r="H79" s="115" t="str">
        <f t="shared" si="0"/>
        <v>Precisa Melhorar</v>
      </c>
      <c r="I79" s="99"/>
      <c r="L79" s="124"/>
      <c r="M79" s="122"/>
    </row>
    <row r="80" spans="4:13" ht="25">
      <c r="D80" s="172" t="str">
        <f>HLOOKUP(D$57,'ODS Municipios'!$A$2:$R$28,22,FALSE)</f>
        <v>Setor Econômico Predominante</v>
      </c>
      <c r="E80" s="169" t="str">
        <f>HLOOKUP(E$57,'ODS Municipios'!$A$2:$R$28,19,FALSE)</f>
        <v>-</v>
      </c>
      <c r="F80" s="174" t="str">
        <f>HLOOKUP(F$57,'ODS Municipios'!$A$2:$R$28,22,FALSE)</f>
        <v>Indústria</v>
      </c>
      <c r="G80" s="174" t="str">
        <f>HLOOKUP(G$57,'ODS Municipios'!$A$2:$R$28,22,FALSE)</f>
        <v>Indústria</v>
      </c>
      <c r="H80" s="115" t="str">
        <f t="shared" si="0"/>
        <v>Precisa Melhorar</v>
      </c>
      <c r="I80" s="99"/>
      <c r="L80" s="124"/>
      <c r="M80" s="123" t="s">
        <v>696</v>
      </c>
    </row>
    <row r="81" spans="4:13" ht="25">
      <c r="D81" s="172" t="str">
        <f>HLOOKUP(D$57,'ODS Municipios'!$A$2:$R$28,23,FALSE)</f>
        <v>PIB per Capita</v>
      </c>
      <c r="E81" s="169" t="str">
        <f>HLOOKUP(E$57,'ODS Municipios'!$A$2:$R$28,19,FALSE)</f>
        <v>-</v>
      </c>
      <c r="F81" s="173">
        <f>HLOOKUP(F$57,'ODS Municipios'!$A$2:$R$28,23,FALSE)</f>
        <v>132714.70000000001</v>
      </c>
      <c r="G81" s="173">
        <f>HLOOKUP(G$57,'ODS Municipios'!$A$2:$R$28,23,FALSE)</f>
        <v>132714.70000000001</v>
      </c>
      <c r="H81" s="115" t="str">
        <f t="shared" si="0"/>
        <v>Precisa Melhorar</v>
      </c>
      <c r="I81" s="99"/>
      <c r="L81" s="124"/>
      <c r="M81" s="122"/>
    </row>
    <row r="82" spans="4:13" ht="25">
      <c r="D82" s="172" t="str">
        <f>HLOOKUP(D$57,'ODS Municipios'!$A$2:$R$28,24,FALSE)</f>
        <v>Dependência Fiscal</v>
      </c>
      <c r="E82" s="169" t="str">
        <f>HLOOKUP(E$57,'ODS Municipios'!$A$2:$R$28,19,FALSE)</f>
        <v>-</v>
      </c>
      <c r="F82" s="114">
        <f>HLOOKUP(F$57,'ODS Municipios'!$A$2:$R$28,24,FALSE)</f>
        <v>0.77059999999999995</v>
      </c>
      <c r="G82" s="114">
        <f>HLOOKUP(G$57,'ODS Municipios'!$A$2:$R$28,24,FALSE)</f>
        <v>0.77059999999999995</v>
      </c>
      <c r="H82" s="115" t="str">
        <f t="shared" si="0"/>
        <v>Precisa Melhorar</v>
      </c>
      <c r="I82" s="99"/>
      <c r="L82" s="124"/>
      <c r="M82" s="123" t="s">
        <v>697</v>
      </c>
    </row>
    <row r="83" spans="4:13" ht="25">
      <c r="D83" s="172" t="str">
        <f>HLOOKUP(D$57,'ODS Municipios'!$A$2:$R$28,25,FALSE)</f>
        <v>Taxa de Investimento</v>
      </c>
      <c r="E83" s="169" t="str">
        <f>HLOOKUP(E$57,'ODS Municipios'!$A$2:$R$28,19,FALSE)</f>
        <v>-</v>
      </c>
      <c r="F83" s="114">
        <f>HLOOKUP(F$57,'ODS Municipios'!$A$2:$R$28,25,FALSE)</f>
        <v>6.7000000000000004E-2</v>
      </c>
      <c r="G83" s="114">
        <f>HLOOKUP(G$57,'ODS Municipios'!$A$2:$R$28,25,FALSE)</f>
        <v>6.7000000000000004E-2</v>
      </c>
      <c r="H83" s="115" t="str">
        <f t="shared" si="0"/>
        <v>Precisa Melhorar</v>
      </c>
      <c r="I83" s="99"/>
      <c r="L83" s="124"/>
      <c r="M83" s="119"/>
    </row>
    <row r="84" spans="4:13" ht="25">
      <c r="D84" s="172" t="str">
        <f>HLOOKUP(D$57,'ODS Municipios'!$A$2:$R$28,26,FALSE)</f>
        <v>Transparência Municipal</v>
      </c>
      <c r="E84" s="169" t="str">
        <f>HLOOKUP(E$57,'ODS Municipios'!$A$2:$R$28,19,FALSE)</f>
        <v>-</v>
      </c>
      <c r="F84" s="170">
        <f>HLOOKUP(F$57,'ODS Municipios'!$A$2:$R$28,26,FALSE)</f>
        <v>5.6</v>
      </c>
      <c r="G84" s="170">
        <f>HLOOKUP(G$57,'ODS Municipios'!$A$2:$R$28,26,FALSE)</f>
        <v>5.6</v>
      </c>
      <c r="H84" s="115" t="str">
        <f t="shared" si="0"/>
        <v>Precisa Melhorar</v>
      </c>
      <c r="I84" s="99"/>
      <c r="L84" s="124">
        <v>4</v>
      </c>
      <c r="M84" s="121" t="s">
        <v>680</v>
      </c>
    </row>
    <row r="85" spans="4:13" ht="25">
      <c r="D85" s="172" t="str">
        <f>HLOOKUP(D$57,'ODS Municipios'!$A$2:$R$28,27,FALSE)</f>
        <v>PIB Município</v>
      </c>
      <c r="E85" s="169" t="str">
        <f>HLOOKUP(E$57,'ODS Municipios'!$A$2:$R$28,19,FALSE)</f>
        <v>-</v>
      </c>
      <c r="F85" s="173">
        <f>HLOOKUP(F$57,'ODS Municipios'!$A$2:$R$28,27,FALSE)</f>
        <v>10757190008.5</v>
      </c>
      <c r="G85" s="173">
        <f>HLOOKUP(G$57,'ODS Municipios'!$A$2:$R$28,27,FALSE)</f>
        <v>10757190008.5</v>
      </c>
      <c r="H85" s="115" t="str">
        <f t="shared" si="0"/>
        <v>Precisa Melhorar</v>
      </c>
      <c r="I85" s="99"/>
      <c r="L85" s="124"/>
      <c r="M85" s="122"/>
    </row>
    <row r="86" spans="4:13" ht="25">
      <c r="D86" s="97"/>
      <c r="E86" s="98"/>
      <c r="F86" s="98"/>
      <c r="G86" s="98"/>
      <c r="H86" s="98"/>
      <c r="I86" s="99"/>
      <c r="L86" s="124"/>
      <c r="M86" s="123" t="s">
        <v>698</v>
      </c>
    </row>
    <row r="87" spans="4:13" ht="25">
      <c r="D87" s="97"/>
      <c r="E87" s="98"/>
      <c r="F87" s="98"/>
      <c r="G87" s="98"/>
      <c r="H87" s="98"/>
      <c r="I87" s="99"/>
      <c r="L87" s="124"/>
      <c r="M87" s="122"/>
    </row>
    <row r="88" spans="4:13" ht="25">
      <c r="D88" s="97"/>
      <c r="E88" s="98"/>
      <c r="F88" s="98"/>
      <c r="G88" s="98"/>
      <c r="H88" s="98"/>
      <c r="I88" s="99"/>
      <c r="L88" s="124"/>
      <c r="M88" s="123" t="s">
        <v>699</v>
      </c>
    </row>
    <row r="89" spans="4:13" ht="25">
      <c r="D89" s="97"/>
      <c r="E89" s="98"/>
      <c r="F89" s="98"/>
      <c r="G89" s="98"/>
      <c r="H89" s="98"/>
      <c r="I89" s="99"/>
      <c r="L89" s="124"/>
      <c r="M89" s="119"/>
    </row>
    <row r="90" spans="4:13" ht="25">
      <c r="D90" s="97"/>
      <c r="E90" s="98"/>
      <c r="F90" s="98"/>
      <c r="G90" s="98"/>
      <c r="H90" s="98"/>
      <c r="I90" s="99"/>
      <c r="L90" s="124">
        <v>5</v>
      </c>
      <c r="M90" s="121" t="s">
        <v>681</v>
      </c>
    </row>
    <row r="91" spans="4:13" ht="25">
      <c r="D91" s="97"/>
      <c r="E91" s="98"/>
      <c r="F91" s="98"/>
      <c r="G91" s="98"/>
      <c r="H91" s="98"/>
      <c r="I91" s="99"/>
      <c r="L91" s="124"/>
      <c r="M91" s="122"/>
    </row>
    <row r="92" spans="4:13" ht="25">
      <c r="D92" s="97"/>
      <c r="E92" s="98"/>
      <c r="F92" s="98"/>
      <c r="G92" s="98"/>
      <c r="H92" s="98"/>
      <c r="I92" s="99"/>
      <c r="L92" s="124"/>
      <c r="M92" s="123" t="s">
        <v>700</v>
      </c>
    </row>
    <row r="93" spans="4:13" ht="25">
      <c r="D93" s="97"/>
      <c r="E93" s="98"/>
      <c r="F93" s="98"/>
      <c r="G93" s="98"/>
      <c r="H93" s="98"/>
      <c r="I93" s="99"/>
      <c r="L93" s="124"/>
      <c r="M93" s="122"/>
    </row>
    <row r="94" spans="4:13" ht="25">
      <c r="D94" s="97"/>
      <c r="E94" s="98"/>
      <c r="F94" s="98"/>
      <c r="G94" s="98"/>
      <c r="H94" s="98"/>
      <c r="I94" s="99"/>
      <c r="L94" s="124"/>
      <c r="M94" s="123" t="s">
        <v>701</v>
      </c>
    </row>
    <row r="95" spans="4:13" ht="25">
      <c r="D95" s="97"/>
      <c r="E95" s="98"/>
      <c r="F95" s="98"/>
      <c r="G95" s="98"/>
      <c r="H95" s="98"/>
      <c r="I95" s="99"/>
      <c r="L95" s="124"/>
      <c r="M95" s="119"/>
    </row>
    <row r="96" spans="4:13" ht="25">
      <c r="D96" s="97"/>
      <c r="E96" s="98"/>
      <c r="F96" s="98"/>
      <c r="G96" s="98"/>
      <c r="H96" s="98"/>
      <c r="I96" s="99"/>
      <c r="L96" s="124">
        <v>6</v>
      </c>
      <c r="M96" s="121" t="s">
        <v>682</v>
      </c>
    </row>
    <row r="97" spans="4:13" ht="25">
      <c r="D97" s="97"/>
      <c r="E97" s="98"/>
      <c r="F97" s="98"/>
      <c r="G97" s="98"/>
      <c r="H97" s="98"/>
      <c r="I97" s="99"/>
      <c r="L97" s="124"/>
      <c r="M97" s="122"/>
    </row>
    <row r="98" spans="4:13" ht="25">
      <c r="D98" s="97"/>
      <c r="E98" s="98"/>
      <c r="F98" s="98"/>
      <c r="G98" s="98"/>
      <c r="H98" s="98"/>
      <c r="I98" s="99"/>
      <c r="L98" s="124"/>
      <c r="M98" s="123" t="s">
        <v>702</v>
      </c>
    </row>
    <row r="99" spans="4:13" ht="25">
      <c r="D99" s="97"/>
      <c r="E99" s="98"/>
      <c r="F99" s="98"/>
      <c r="G99" s="98"/>
      <c r="H99" s="98"/>
      <c r="I99" s="99"/>
      <c r="L99" s="124"/>
      <c r="M99" s="122"/>
    </row>
    <row r="100" spans="4:13" ht="25">
      <c r="D100" s="97"/>
      <c r="E100" s="98"/>
      <c r="F100" s="98"/>
      <c r="G100" s="98"/>
      <c r="H100" s="98"/>
      <c r="I100" s="99"/>
      <c r="L100" s="124"/>
      <c r="M100" s="123" t="s">
        <v>703</v>
      </c>
    </row>
    <row r="101" spans="4:13" ht="25">
      <c r="D101" s="97"/>
      <c r="E101" s="98"/>
      <c r="F101" s="98"/>
      <c r="G101" s="98"/>
      <c r="H101" s="98"/>
      <c r="I101" s="99"/>
      <c r="L101" s="124"/>
      <c r="M101" s="119"/>
    </row>
    <row r="102" spans="4:13" ht="25">
      <c r="D102" s="97"/>
      <c r="E102" s="98"/>
      <c r="F102" s="98"/>
      <c r="G102" s="98"/>
      <c r="H102" s="98"/>
      <c r="I102" s="99"/>
      <c r="L102" s="124">
        <v>7</v>
      </c>
      <c r="M102" s="121" t="s">
        <v>683</v>
      </c>
    </row>
    <row r="103" spans="4:13" ht="25">
      <c r="D103" s="97"/>
      <c r="E103" s="98"/>
      <c r="F103" s="98"/>
      <c r="G103" s="98"/>
      <c r="H103" s="98"/>
      <c r="I103" s="99"/>
      <c r="L103" s="124"/>
      <c r="M103" s="122"/>
    </row>
    <row r="104" spans="4:13" ht="25">
      <c r="D104" s="97"/>
      <c r="E104" s="98"/>
      <c r="F104" s="98"/>
      <c r="G104" s="98"/>
      <c r="H104" s="98"/>
      <c r="I104" s="99"/>
      <c r="L104" s="124"/>
      <c r="M104" s="123" t="s">
        <v>704</v>
      </c>
    </row>
    <row r="105" spans="4:13" ht="25">
      <c r="D105" s="97"/>
      <c r="E105" s="98"/>
      <c r="F105" s="98"/>
      <c r="G105" s="98"/>
      <c r="H105" s="98"/>
      <c r="I105" s="99"/>
      <c r="L105" s="124"/>
      <c r="M105" s="122"/>
    </row>
    <row r="106" spans="4:13" ht="25">
      <c r="D106" s="97"/>
      <c r="E106" s="98"/>
      <c r="F106" s="98"/>
      <c r="G106" s="98"/>
      <c r="H106" s="98"/>
      <c r="I106" s="99"/>
      <c r="L106" s="124"/>
      <c r="M106" s="123" t="s">
        <v>705</v>
      </c>
    </row>
    <row r="107" spans="4:13" ht="25">
      <c r="D107" s="97"/>
      <c r="E107" s="98"/>
      <c r="F107" s="98"/>
      <c r="G107" s="98"/>
      <c r="H107" s="98"/>
      <c r="I107" s="99"/>
      <c r="L107" s="124"/>
      <c r="M107" s="119"/>
    </row>
    <row r="108" spans="4:13" ht="25">
      <c r="D108" s="97"/>
      <c r="E108" s="98"/>
      <c r="F108" s="98"/>
      <c r="G108" s="98"/>
      <c r="H108" s="98"/>
      <c r="I108" s="99"/>
      <c r="L108" s="124">
        <v>8</v>
      </c>
      <c r="M108" s="121" t="s">
        <v>684</v>
      </c>
    </row>
    <row r="109" spans="4:13" ht="25">
      <c r="D109" s="97"/>
      <c r="E109" s="98"/>
      <c r="F109" s="98"/>
      <c r="G109" s="98"/>
      <c r="H109" s="98"/>
      <c r="I109" s="99"/>
      <c r="L109" s="124"/>
      <c r="M109" s="122"/>
    </row>
    <row r="110" spans="4:13" ht="25">
      <c r="D110" s="97"/>
      <c r="E110" s="98"/>
      <c r="F110" s="98"/>
      <c r="G110" s="98"/>
      <c r="H110" s="98"/>
      <c r="I110" s="99"/>
      <c r="L110" s="124"/>
      <c r="M110" s="123" t="s">
        <v>706</v>
      </c>
    </row>
    <row r="111" spans="4:13" ht="25">
      <c r="D111" s="97"/>
      <c r="E111" s="98"/>
      <c r="F111" s="98"/>
      <c r="G111" s="98"/>
      <c r="H111" s="98"/>
      <c r="I111" s="99"/>
      <c r="L111" s="124"/>
      <c r="M111" s="122"/>
    </row>
    <row r="112" spans="4:13" ht="25">
      <c r="D112" s="97"/>
      <c r="E112" s="98"/>
      <c r="F112" s="98"/>
      <c r="G112" s="98"/>
      <c r="H112" s="98"/>
      <c r="I112" s="99"/>
      <c r="L112" s="124"/>
      <c r="M112" s="123" t="s">
        <v>707</v>
      </c>
    </row>
    <row r="113" spans="4:13" ht="25">
      <c r="D113" s="97"/>
      <c r="E113" s="98"/>
      <c r="F113" s="98"/>
      <c r="G113" s="98"/>
      <c r="H113" s="98"/>
      <c r="I113" s="99"/>
      <c r="L113" s="124"/>
      <c r="M113" s="119"/>
    </row>
    <row r="114" spans="4:13" ht="25">
      <c r="D114" s="97"/>
      <c r="E114" s="98"/>
      <c r="F114" s="98"/>
      <c r="G114" s="98"/>
      <c r="H114" s="98"/>
      <c r="I114" s="99"/>
      <c r="L114" s="124">
        <v>9</v>
      </c>
      <c r="M114" s="121" t="s">
        <v>685</v>
      </c>
    </row>
    <row r="115" spans="4:13" ht="25">
      <c r="D115" s="97"/>
      <c r="E115" s="98"/>
      <c r="F115" s="98"/>
      <c r="G115" s="98"/>
      <c r="H115" s="98"/>
      <c r="I115" s="99"/>
      <c r="L115" s="124"/>
      <c r="M115" s="122"/>
    </row>
    <row r="116" spans="4:13" ht="25">
      <c r="D116" s="97"/>
      <c r="E116" s="98"/>
      <c r="F116" s="98"/>
      <c r="G116" s="98"/>
      <c r="H116" s="98"/>
      <c r="I116" s="99"/>
      <c r="L116" s="124"/>
      <c r="M116" s="123" t="s">
        <v>708</v>
      </c>
    </row>
    <row r="117" spans="4:13" ht="25">
      <c r="D117" s="97"/>
      <c r="E117" s="98"/>
      <c r="F117" s="98"/>
      <c r="G117" s="98"/>
      <c r="H117" s="98"/>
      <c r="I117" s="99"/>
      <c r="L117" s="124"/>
      <c r="M117" s="122"/>
    </row>
    <row r="118" spans="4:13" ht="25.5" thickBot="1">
      <c r="D118" s="100"/>
      <c r="E118" s="101"/>
      <c r="F118" s="101"/>
      <c r="G118" s="101"/>
      <c r="H118" s="101"/>
      <c r="I118" s="102"/>
      <c r="L118" s="124"/>
      <c r="M118" s="123" t="s">
        <v>709</v>
      </c>
    </row>
    <row r="119" spans="4:13" ht="25">
      <c r="L119" s="124"/>
      <c r="M119" s="119"/>
    </row>
    <row r="120" spans="4:13" ht="25">
      <c r="L120" s="124">
        <v>10</v>
      </c>
      <c r="M120" s="121" t="s">
        <v>686</v>
      </c>
    </row>
    <row r="121" spans="4:13" ht="25">
      <c r="L121" s="124"/>
      <c r="M121" s="122"/>
    </row>
    <row r="122" spans="4:13" ht="25">
      <c r="L122" s="124"/>
      <c r="M122" s="123" t="s">
        <v>710</v>
      </c>
    </row>
    <row r="123" spans="4:13" ht="25">
      <c r="L123" s="124"/>
      <c r="M123" s="122"/>
    </row>
    <row r="124" spans="4:13" ht="25">
      <c r="L124" s="124"/>
      <c r="M124" s="123" t="s">
        <v>711</v>
      </c>
    </row>
    <row r="125" spans="4:13" ht="25">
      <c r="L125" s="124"/>
      <c r="M125" s="119"/>
    </row>
    <row r="126" spans="4:13" ht="25">
      <c r="L126" s="124">
        <v>11</v>
      </c>
      <c r="M126" s="121" t="s">
        <v>216</v>
      </c>
    </row>
    <row r="127" spans="4:13" ht="25">
      <c r="L127" s="124"/>
      <c r="M127" s="122"/>
    </row>
    <row r="128" spans="4:13" ht="25">
      <c r="L128" s="124"/>
      <c r="M128" s="123" t="s">
        <v>712</v>
      </c>
    </row>
    <row r="129" spans="12:13" ht="25">
      <c r="L129" s="124"/>
      <c r="M129" s="122"/>
    </row>
    <row r="130" spans="12:13" ht="25">
      <c r="L130" s="124"/>
      <c r="M130" s="123" t="s">
        <v>713</v>
      </c>
    </row>
    <row r="131" spans="12:13" ht="25">
      <c r="L131" s="124"/>
      <c r="M131" s="119"/>
    </row>
    <row r="132" spans="12:13" ht="25">
      <c r="L132" s="124">
        <v>12</v>
      </c>
      <c r="M132" s="121" t="s">
        <v>687</v>
      </c>
    </row>
    <row r="133" spans="12:13" ht="25">
      <c r="L133" s="124"/>
      <c r="M133" s="122"/>
    </row>
    <row r="134" spans="12:13" ht="25">
      <c r="L134" s="124"/>
      <c r="M134" s="123" t="s">
        <v>714</v>
      </c>
    </row>
    <row r="135" spans="12:13" ht="25">
      <c r="L135" s="124"/>
      <c r="M135" s="122"/>
    </row>
    <row r="136" spans="12:13" ht="25">
      <c r="L136" s="124"/>
      <c r="M136" s="123" t="s">
        <v>715</v>
      </c>
    </row>
    <row r="137" spans="12:13" ht="25">
      <c r="L137" s="124"/>
      <c r="M137" s="119"/>
    </row>
    <row r="138" spans="12:13" ht="25">
      <c r="L138" s="124">
        <v>13</v>
      </c>
      <c r="M138" s="121" t="s">
        <v>220</v>
      </c>
    </row>
    <row r="139" spans="12:13" ht="25">
      <c r="L139" s="124"/>
      <c r="M139" s="122"/>
    </row>
    <row r="140" spans="12:13" ht="25">
      <c r="L140" s="124"/>
      <c r="M140" s="123" t="s">
        <v>716</v>
      </c>
    </row>
    <row r="141" spans="12:13" ht="25">
      <c r="L141" s="124"/>
      <c r="M141" s="122"/>
    </row>
    <row r="142" spans="12:13" ht="25">
      <c r="L142" s="124"/>
      <c r="M142" s="123" t="s">
        <v>717</v>
      </c>
    </row>
    <row r="143" spans="12:13" ht="25">
      <c r="L143" s="124"/>
      <c r="M143" s="119"/>
    </row>
    <row r="144" spans="12:13" ht="25">
      <c r="L144" s="124">
        <v>14</v>
      </c>
      <c r="M144" s="121" t="s">
        <v>688</v>
      </c>
    </row>
    <row r="145" spans="12:13" ht="25">
      <c r="L145" s="124"/>
      <c r="M145" s="122"/>
    </row>
    <row r="146" spans="12:13" ht="25">
      <c r="L146" s="124"/>
      <c r="M146" s="123" t="s">
        <v>718</v>
      </c>
    </row>
    <row r="147" spans="12:13" ht="25">
      <c r="L147" s="124"/>
      <c r="M147" s="122"/>
    </row>
    <row r="148" spans="12:13" ht="25">
      <c r="L148" s="124"/>
      <c r="M148" s="123" t="s">
        <v>719</v>
      </c>
    </row>
    <row r="149" spans="12:13" ht="25">
      <c r="L149" s="124"/>
      <c r="M149" s="119"/>
    </row>
    <row r="150" spans="12:13" ht="25">
      <c r="L150" s="124">
        <v>15</v>
      </c>
      <c r="M150" s="121" t="s">
        <v>689</v>
      </c>
    </row>
    <row r="151" spans="12:13" ht="25">
      <c r="L151" s="124"/>
      <c r="M151" s="122"/>
    </row>
    <row r="152" spans="12:13" ht="25">
      <c r="L152" s="124"/>
      <c r="M152" s="123" t="s">
        <v>720</v>
      </c>
    </row>
    <row r="153" spans="12:13" ht="25">
      <c r="L153" s="124"/>
      <c r="M153" s="122"/>
    </row>
    <row r="154" spans="12:13" ht="25">
      <c r="L154" s="124"/>
      <c r="M154" s="123" t="s">
        <v>721</v>
      </c>
    </row>
    <row r="155" spans="12:13" ht="25">
      <c r="L155" s="124"/>
      <c r="M155" s="119"/>
    </row>
    <row r="156" spans="12:13" ht="25">
      <c r="L156" s="124">
        <v>16</v>
      </c>
      <c r="M156" s="121" t="s">
        <v>690</v>
      </c>
    </row>
    <row r="157" spans="12:13" ht="25">
      <c r="L157" s="124"/>
      <c r="M157" s="122"/>
    </row>
    <row r="158" spans="12:13" ht="25">
      <c r="L158" s="124"/>
      <c r="M158" s="123" t="s">
        <v>722</v>
      </c>
    </row>
    <row r="159" spans="12:13" ht="25">
      <c r="L159" s="124"/>
      <c r="M159" s="122"/>
    </row>
    <row r="160" spans="12:13" ht="25">
      <c r="L160" s="124"/>
      <c r="M160" s="123" t="s">
        <v>723</v>
      </c>
    </row>
    <row r="161" spans="12:13" ht="25">
      <c r="L161" s="124"/>
      <c r="M161" s="119"/>
    </row>
    <row r="162" spans="12:13" ht="25">
      <c r="L162" s="124">
        <v>17</v>
      </c>
      <c r="M162" s="121" t="s">
        <v>691</v>
      </c>
    </row>
    <row r="163" spans="12:13" ht="25">
      <c r="L163" s="124"/>
      <c r="M163" s="122"/>
    </row>
    <row r="164" spans="12:13" ht="25">
      <c r="L164" s="124"/>
      <c r="M164" s="123" t="s">
        <v>724</v>
      </c>
    </row>
    <row r="165" spans="12:13" ht="25">
      <c r="L165" s="124"/>
      <c r="M165" s="122"/>
    </row>
    <row r="166" spans="12:13" ht="25">
      <c r="L166" s="124"/>
      <c r="M166" s="123" t="s">
        <v>725</v>
      </c>
    </row>
  </sheetData>
  <conditionalFormatting sqref="H58:H74 H77:H85">
    <cfRule type="containsText" dxfId="44" priority="1" operator="containsText" text="Goiana está melhor">
      <formula>NOT(ISERROR(SEARCH("Goiana está melhor",H58)))</formula>
    </cfRule>
    <cfRule type="containsText" dxfId="43" priority="2" operator="containsText" text="melhorar">
      <formula>NOT(ISERROR(SEARCH("melhorar",H58)))</formula>
    </cfRule>
  </conditionalFormatting>
  <dataValidations count="1">
    <dataValidation type="list" allowBlank="1" showInputMessage="1" showErrorMessage="1" sqref="F57" xr:uid="{782E0EA7-B1C9-4A8E-8353-300AAA8F0D51}">
      <formula1>$D$33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6"/>
  <tableParts count="1">
    <tablePart r:id="rId7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7E11D87-473F-4D0E-920D-DDB4A8299874}">
          <x14:formula1>
            <xm:f>'ODS Municipios'!$A$2:$R$2</xm:f>
          </x14:formula1>
          <xm:sqref>D33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EDC8-DC57-4D38-8488-C8FEFB4CB45E}">
  <dimension ref="A1:R50"/>
  <sheetViews>
    <sheetView showGridLines="0" zoomScale="90" zoomScaleNormal="90" workbookViewId="0">
      <selection activeCell="A51" sqref="A51:XFD1048576"/>
    </sheetView>
  </sheetViews>
  <sheetFormatPr defaultColWidth="0" defaultRowHeight="14" zeroHeight="1"/>
  <cols>
    <col min="1" max="16" width="9" customWidth="1"/>
    <col min="17" max="17" width="17.83203125" customWidth="1"/>
    <col min="18" max="18" width="9" customWidth="1"/>
    <col min="19" max="16384" width="9" hidden="1"/>
  </cols>
  <sheetData>
    <row r="1" spans="1:18" ht="45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8"/>
    </row>
    <row r="2" spans="1:18" ht="23.5" customHeight="1" thickBot="1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9"/>
    </row>
    <row r="3" spans="1:18">
      <c r="A3" s="138"/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</row>
    <row r="4" spans="1:18">
      <c r="A4" s="138"/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</row>
    <row r="5" spans="1:18">
      <c r="A5" s="138"/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</row>
    <row r="6" spans="1:18">
      <c r="A6" s="138"/>
      <c r="B6" s="138"/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</row>
    <row r="7" spans="1:18">
      <c r="A7" s="138"/>
      <c r="B7" s="138"/>
      <c r="C7" s="138"/>
      <c r="D7" s="138"/>
      <c r="E7" s="139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</row>
    <row r="8" spans="1:18">
      <c r="A8" s="138"/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</row>
    <row r="9" spans="1:18">
      <c r="A9" s="138"/>
      <c r="B9" s="138"/>
      <c r="C9" s="138"/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8"/>
    </row>
    <row r="10" spans="1:18">
      <c r="A10" s="138"/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  <c r="R10" s="138"/>
    </row>
    <row r="11" spans="1:18">
      <c r="A11" s="138"/>
      <c r="B11" s="138"/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138"/>
      <c r="R11" s="138"/>
    </row>
    <row r="12" spans="1:18">
      <c r="A12" s="138"/>
      <c r="B12" s="138"/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</row>
    <row r="13" spans="1:18">
      <c r="A13" s="138"/>
      <c r="B13" s="138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</row>
    <row r="14" spans="1:18">
      <c r="A14" s="138"/>
      <c r="B14" s="138"/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</row>
    <row r="15" spans="1:18">
      <c r="A15" s="138"/>
      <c r="B15" s="138"/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</row>
    <row r="16" spans="1:18">
      <c r="A16" s="138"/>
      <c r="B16" s="138"/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</row>
    <row r="17" spans="1:18">
      <c r="A17" s="138"/>
      <c r="B17" s="138"/>
      <c r="C17" s="138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38"/>
      <c r="Q17" s="138"/>
      <c r="R17" s="138"/>
    </row>
    <row r="18" spans="1:18">
      <c r="A18" s="138"/>
      <c r="B18" s="138"/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8"/>
    </row>
    <row r="19" spans="1:18">
      <c r="A19" s="138"/>
      <c r="B19" s="138"/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</row>
    <row r="20" spans="1:18">
      <c r="A20" s="138"/>
      <c r="B20" s="138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</row>
    <row r="21" spans="1:18">
      <c r="A21" s="138"/>
      <c r="B21" s="138"/>
      <c r="C21" s="138"/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/>
    </row>
    <row r="22" spans="1:18">
      <c r="A22" s="138"/>
      <c r="B22" s="138"/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</row>
    <row r="23" spans="1:18">
      <c r="A23" s="138"/>
      <c r="B23" s="138"/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</row>
    <row r="24" spans="1:18">
      <c r="A24" s="138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</row>
    <row r="25" spans="1:18">
      <c r="A25" s="138"/>
      <c r="B25" s="138"/>
      <c r="C25" s="138"/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8"/>
      <c r="Q25" s="138"/>
      <c r="R25" s="138"/>
    </row>
    <row r="26" spans="1:18">
      <c r="A26" s="138"/>
      <c r="B26" s="138"/>
      <c r="C26" s="138"/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</row>
    <row r="27" spans="1:18">
      <c r="A27" s="138"/>
      <c r="B27" s="138"/>
      <c r="C27" s="138"/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</row>
    <row r="28" spans="1:18">
      <c r="A28" s="138"/>
      <c r="B28" s="138"/>
      <c r="C28" s="138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</row>
    <row r="29" spans="1:18">
      <c r="A29" s="138"/>
      <c r="B29" s="138"/>
      <c r="C29" s="138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</row>
    <row r="30" spans="1:18">
      <c r="A30" s="138"/>
      <c r="B30" s="138"/>
      <c r="C30" s="138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</row>
    <row r="31" spans="1:18">
      <c r="A31" s="138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</row>
    <row r="32" spans="1:18">
      <c r="A32" s="138"/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</row>
    <row r="33" spans="1:18">
      <c r="A33" s="138"/>
      <c r="B33" s="138"/>
      <c r="C33" s="138"/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</row>
    <row r="34" spans="1:18">
      <c r="A34" s="138"/>
      <c r="B34" s="138"/>
      <c r="C34" s="138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</row>
    <row r="35" spans="1:18">
      <c r="A35" s="138"/>
      <c r="B35" s="138"/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</row>
    <row r="36" spans="1:18">
      <c r="A36" s="138"/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</row>
    <row r="37" spans="1:18">
      <c r="A37" s="138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</row>
    <row r="38" spans="1:18">
      <c r="A38" s="138"/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</row>
    <row r="39" spans="1:18">
      <c r="A39" s="138"/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</row>
    <row r="40" spans="1:18">
      <c r="A40" s="138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</row>
    <row r="41" spans="1:18">
      <c r="A41" s="138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</row>
    <row r="42" spans="1:18">
      <c r="A42" s="138"/>
      <c r="B42" s="138"/>
      <c r="C42" s="138"/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</row>
    <row r="43" spans="1:18">
      <c r="A43" s="138"/>
      <c r="B43" s="138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</row>
    <row r="44" spans="1:18">
      <c r="A44" s="138"/>
      <c r="B44" s="138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</row>
    <row r="45" spans="1:18">
      <c r="A45" s="138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</row>
    <row r="46" spans="1:18">
      <c r="A46" s="138"/>
      <c r="B46" s="138"/>
      <c r="C46" s="138"/>
      <c r="D46" s="138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</row>
    <row r="47" spans="1:18">
      <c r="A47" s="138"/>
      <c r="B47" s="138"/>
      <c r="C47" s="138"/>
      <c r="D47" s="138"/>
      <c r="E47" s="138"/>
      <c r="F47" s="138"/>
      <c r="G47" s="138"/>
      <c r="H47" s="138"/>
      <c r="I47" s="138"/>
      <c r="J47" s="138"/>
      <c r="K47" s="138"/>
      <c r="L47" s="138"/>
      <c r="M47" s="138"/>
      <c r="N47" s="138"/>
      <c r="O47" s="138"/>
      <c r="P47" s="138"/>
      <c r="Q47" s="138"/>
      <c r="R47" s="138"/>
    </row>
    <row r="48" spans="1:18">
      <c r="A48" s="138"/>
      <c r="B48" s="138"/>
      <c r="C48" s="138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</row>
    <row r="49" spans="1:18">
      <c r="A49" s="138"/>
      <c r="B49" s="138"/>
      <c r="C49" s="138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</row>
    <row r="50" spans="1:18">
      <c r="A50" s="138"/>
      <c r="B50" s="138"/>
      <c r="C50" s="138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</row>
  </sheetData>
  <sheetProtection sheet="1" objects="1" scenarios="1"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DBFB0-6277-4F0A-9EE4-463C3380DF4F}">
  <dimension ref="A1:R60"/>
  <sheetViews>
    <sheetView zoomScale="90" zoomScaleNormal="90" workbookViewId="0">
      <selection activeCell="F10" sqref="F10"/>
    </sheetView>
  </sheetViews>
  <sheetFormatPr defaultColWidth="0" defaultRowHeight="14"/>
  <cols>
    <col min="1" max="16" width="9" customWidth="1"/>
    <col min="17" max="17" width="17.83203125" customWidth="1"/>
    <col min="18" max="18" width="9" customWidth="1"/>
    <col min="19" max="16384" width="9" hidden="1"/>
  </cols>
  <sheetData>
    <row r="1" spans="1:18" ht="45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8"/>
    </row>
    <row r="2" spans="1:18" ht="23.5" customHeight="1" thickBot="1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9"/>
    </row>
    <row r="3" spans="1:18">
      <c r="A3" s="138"/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</row>
    <row r="4" spans="1:18">
      <c r="A4" s="138"/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</row>
    <row r="5" spans="1:18">
      <c r="A5" s="138"/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</row>
    <row r="6" spans="1:18">
      <c r="A6" s="138"/>
      <c r="B6" s="138"/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</row>
    <row r="7" spans="1:18">
      <c r="A7" s="138"/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</row>
    <row r="8" spans="1:18">
      <c r="A8" s="138"/>
      <c r="B8" s="189">
        <f>'Dados Tabela Din'!D202</f>
        <v>8</v>
      </c>
      <c r="C8" s="189">
        <f>'Dados Tabela Din'!F202</f>
        <v>1</v>
      </c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</row>
    <row r="9" spans="1:18">
      <c r="A9" s="138"/>
      <c r="B9" s="188">
        <f>B8</f>
        <v>8</v>
      </c>
      <c r="C9" s="188">
        <f>C8</f>
        <v>1</v>
      </c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8"/>
    </row>
    <row r="10" spans="1:18">
      <c r="A10" s="138"/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  <c r="R10" s="138"/>
    </row>
    <row r="11" spans="1:18">
      <c r="A11" s="138"/>
      <c r="B11" s="138"/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138"/>
      <c r="R11" s="138"/>
    </row>
    <row r="12" spans="1:18">
      <c r="A12" s="138"/>
      <c r="B12" s="138"/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</row>
    <row r="13" spans="1:18">
      <c r="A13" s="138"/>
      <c r="B13" s="138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</row>
    <row r="14" spans="1:18">
      <c r="A14" s="138"/>
      <c r="B14" s="138"/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</row>
    <row r="15" spans="1:18">
      <c r="A15" s="138"/>
      <c r="B15" s="138"/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</row>
    <row r="16" spans="1:18">
      <c r="A16" s="138"/>
      <c r="B16" s="138"/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</row>
    <row r="17" spans="1:18">
      <c r="A17" s="138"/>
      <c r="B17" s="138"/>
      <c r="C17" s="138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38"/>
      <c r="Q17" s="138"/>
      <c r="R17" s="138"/>
    </row>
    <row r="18" spans="1:18">
      <c r="A18" s="138"/>
      <c r="B18" s="138"/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8"/>
    </row>
    <row r="19" spans="1:18">
      <c r="A19" s="138"/>
      <c r="B19" s="138"/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</row>
    <row r="20" spans="1:18">
      <c r="A20" s="138"/>
      <c r="B20" s="138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</row>
    <row r="21" spans="1:18">
      <c r="A21" s="138"/>
      <c r="B21" s="138"/>
      <c r="C21" s="138"/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/>
    </row>
    <row r="22" spans="1:18">
      <c r="A22" s="138"/>
      <c r="B22" s="138"/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</row>
    <row r="23" spans="1:18">
      <c r="A23" s="138"/>
      <c r="B23" s="138"/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</row>
    <row r="24" spans="1:18">
      <c r="A24" s="138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</row>
    <row r="25" spans="1:18">
      <c r="A25" s="138"/>
      <c r="B25" s="138"/>
      <c r="C25" s="138"/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8"/>
      <c r="Q25" s="138"/>
      <c r="R25" s="138"/>
    </row>
    <row r="26" spans="1:18">
      <c r="A26" s="138"/>
      <c r="B26" s="138"/>
      <c r="C26" s="138"/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</row>
    <row r="27" spans="1:18">
      <c r="A27" s="138"/>
      <c r="B27" s="138"/>
      <c r="C27" s="138"/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</row>
    <row r="28" spans="1:18">
      <c r="A28" s="138"/>
      <c r="B28" s="138"/>
      <c r="C28" s="138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</row>
    <row r="29" spans="1:18">
      <c r="A29" s="138"/>
      <c r="B29" s="138"/>
      <c r="C29" s="138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</row>
    <row r="30" spans="1:18">
      <c r="A30" s="138"/>
      <c r="B30" s="138"/>
      <c r="C30" s="138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</row>
    <row r="31" spans="1:18">
      <c r="A31" s="138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</row>
    <row r="32" spans="1:18">
      <c r="A32" s="138"/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</row>
    <row r="33" spans="1:18">
      <c r="A33" s="138"/>
      <c r="B33" s="138"/>
      <c r="C33" s="138"/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</row>
    <row r="34" spans="1:18">
      <c r="A34" s="138"/>
      <c r="B34" s="138"/>
      <c r="C34" s="138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</row>
    <row r="35" spans="1:18">
      <c r="A35" s="138"/>
      <c r="B35" s="138"/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</row>
    <row r="36" spans="1:18">
      <c r="A36" s="138"/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</row>
    <row r="37" spans="1:18">
      <c r="A37" s="138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</row>
    <row r="38" spans="1:18">
      <c r="A38" s="138"/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</row>
    <row r="39" spans="1:18">
      <c r="A39" s="138"/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</row>
    <row r="40" spans="1:18">
      <c r="A40" s="138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</row>
    <row r="41" spans="1:18">
      <c r="A41" s="138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</row>
    <row r="42" spans="1:18">
      <c r="A42" s="138"/>
      <c r="B42" s="138"/>
      <c r="C42" s="138"/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</row>
    <row r="43" spans="1:18">
      <c r="A43" s="138"/>
      <c r="B43" s="138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</row>
    <row r="44" spans="1:18">
      <c r="A44" s="138"/>
      <c r="B44" s="138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</row>
    <row r="45" spans="1:18">
      <c r="A45" s="138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</row>
    <row r="46" spans="1:18">
      <c r="A46" s="138"/>
      <c r="B46" s="138"/>
      <c r="C46" s="138"/>
      <c r="D46" s="138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</row>
    <row r="47" spans="1:18">
      <c r="A47" s="138"/>
      <c r="B47" s="138"/>
      <c r="C47" s="138"/>
      <c r="D47" s="138"/>
      <c r="E47" s="138"/>
      <c r="F47" s="138"/>
      <c r="G47" s="138"/>
      <c r="H47" s="138"/>
      <c r="I47" s="138"/>
      <c r="J47" s="138"/>
      <c r="K47" s="138"/>
      <c r="L47" s="138"/>
      <c r="M47" s="138"/>
      <c r="N47" s="138"/>
      <c r="O47" s="138"/>
      <c r="P47" s="138"/>
      <c r="Q47" s="138"/>
      <c r="R47" s="138"/>
    </row>
    <row r="48" spans="1:18">
      <c r="A48" s="138"/>
      <c r="B48" s="138"/>
      <c r="C48" s="138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</row>
    <row r="49" spans="1:18">
      <c r="A49" s="138"/>
      <c r="B49" s="138"/>
      <c r="C49" s="138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</row>
    <row r="50" spans="1:18">
      <c r="A50" s="138"/>
      <c r="B50" s="138"/>
      <c r="C50" s="138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</row>
    <row r="51" spans="1:18">
      <c r="A51" s="138"/>
      <c r="B51" s="13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</row>
    <row r="52" spans="1:18">
      <c r="A52" s="138"/>
      <c r="B52" s="138"/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</row>
    <row r="53" spans="1:18">
      <c r="A53" s="138"/>
      <c r="B53" s="138"/>
      <c r="C53" s="138"/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38"/>
      <c r="Q53" s="138"/>
      <c r="R53" s="138"/>
    </row>
    <row r="54" spans="1:18">
      <c r="A54" s="138"/>
      <c r="B54" s="138"/>
      <c r="C54" s="138"/>
      <c r="D54" s="138"/>
      <c r="E54" s="138"/>
      <c r="F54" s="138"/>
      <c r="G54" s="138"/>
      <c r="H54" s="138"/>
      <c r="I54" s="138"/>
      <c r="J54" s="138"/>
      <c r="K54" s="138"/>
      <c r="L54" s="138"/>
      <c r="M54" s="138"/>
      <c r="N54" s="138"/>
      <c r="O54" s="138"/>
      <c r="P54" s="138"/>
      <c r="Q54" s="138"/>
      <c r="R54" s="138"/>
    </row>
    <row r="55" spans="1:18">
      <c r="A55" s="138"/>
      <c r="B55" s="138"/>
      <c r="C55" s="138"/>
      <c r="D55" s="138"/>
      <c r="E55" s="138"/>
      <c r="F55" s="138"/>
      <c r="G55" s="138"/>
      <c r="H55" s="138"/>
      <c r="I55" s="138"/>
      <c r="J55" s="138"/>
      <c r="K55" s="138"/>
      <c r="L55" s="138"/>
      <c r="M55" s="138"/>
      <c r="N55" s="138"/>
      <c r="O55" s="138"/>
      <c r="P55" s="138"/>
      <c r="Q55" s="138"/>
      <c r="R55" s="138"/>
    </row>
    <row r="56" spans="1:18">
      <c r="A56" s="138"/>
      <c r="B56" s="138"/>
      <c r="C56" s="138"/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</row>
    <row r="57" spans="1:18">
      <c r="A57" s="138"/>
      <c r="B57" s="138"/>
      <c r="C57" s="138"/>
      <c r="D57" s="138"/>
      <c r="E57" s="138"/>
      <c r="F57" s="138"/>
      <c r="G57" s="138"/>
      <c r="H57" s="138"/>
      <c r="I57" s="138"/>
      <c r="J57" s="138"/>
      <c r="K57" s="138"/>
      <c r="L57" s="138"/>
      <c r="M57" s="138"/>
      <c r="N57" s="138"/>
      <c r="O57" s="138"/>
      <c r="P57" s="138"/>
      <c r="Q57" s="138"/>
      <c r="R57" s="138"/>
    </row>
    <row r="58" spans="1:18">
      <c r="A58" s="138"/>
      <c r="B58" s="138"/>
      <c r="C58" s="138"/>
      <c r="D58" s="138"/>
      <c r="E58" s="138"/>
      <c r="F58" s="138"/>
      <c r="G58" s="138"/>
      <c r="H58" s="138"/>
      <c r="I58" s="138"/>
      <c r="J58" s="138"/>
      <c r="K58" s="138"/>
      <c r="L58" s="138"/>
      <c r="M58" s="138"/>
      <c r="N58" s="138"/>
      <c r="O58" s="138"/>
      <c r="P58" s="138"/>
      <c r="Q58" s="138"/>
      <c r="R58" s="138"/>
    </row>
    <row r="59" spans="1:18">
      <c r="A59" s="138"/>
      <c r="B59" s="138"/>
      <c r="C59" s="138"/>
      <c r="D59" s="138"/>
      <c r="E59" s="138"/>
      <c r="F59" s="138"/>
      <c r="G59" s="138"/>
      <c r="H59" s="138"/>
      <c r="I59" s="138"/>
      <c r="J59" s="138"/>
      <c r="K59" s="138"/>
      <c r="L59" s="138"/>
      <c r="M59" s="138"/>
      <c r="N59" s="138"/>
      <c r="O59" s="138"/>
      <c r="P59" s="138"/>
      <c r="Q59" s="138"/>
      <c r="R59" s="138"/>
    </row>
    <row r="60" spans="1:18">
      <c r="A60" s="138"/>
      <c r="B60" s="138"/>
      <c r="C60" s="138"/>
      <c r="D60" s="138"/>
      <c r="E60" s="138"/>
      <c r="F60" s="138"/>
      <c r="G60" s="138"/>
      <c r="H60" s="138"/>
      <c r="I60" s="138"/>
      <c r="J60" s="138"/>
      <c r="K60" s="138"/>
      <c r="L60" s="138"/>
      <c r="M60" s="138"/>
      <c r="N60" s="138"/>
      <c r="O60" s="138"/>
      <c r="P60" s="138"/>
      <c r="Q60" s="138"/>
      <c r="R60" s="138"/>
    </row>
  </sheetData>
  <sheetProtection sheet="1" objects="1" scenarios="1"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461-78E3-42AA-9527-B67ACF1A8FAD}">
  <dimension ref="A1:R60"/>
  <sheetViews>
    <sheetView topLeftCell="A19" zoomScale="90" zoomScaleNormal="90" workbookViewId="0">
      <selection activeCell="F13" sqref="F13"/>
    </sheetView>
  </sheetViews>
  <sheetFormatPr defaultColWidth="0" defaultRowHeight="14"/>
  <cols>
    <col min="1" max="16" width="9" customWidth="1"/>
    <col min="17" max="17" width="17.83203125" customWidth="1"/>
    <col min="18" max="18" width="9" customWidth="1"/>
    <col min="19" max="16384" width="9" hidden="1"/>
  </cols>
  <sheetData>
    <row r="1" spans="1:18" ht="45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8"/>
    </row>
    <row r="2" spans="1:18" ht="23.5" customHeight="1" thickBot="1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9"/>
    </row>
    <row r="3" spans="1:18">
      <c r="A3" s="138"/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</row>
    <row r="4" spans="1:18">
      <c r="A4" s="138"/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</row>
    <row r="5" spans="1:18">
      <c r="A5" s="138"/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</row>
    <row r="6" spans="1:18">
      <c r="A6" s="138"/>
      <c r="B6" s="138"/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</row>
    <row r="7" spans="1:18">
      <c r="A7" s="138"/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</row>
    <row r="8" spans="1:18">
      <c r="A8" s="138"/>
      <c r="B8" s="189">
        <f>'Dados Tabela Din'!D203</f>
        <v>9</v>
      </c>
      <c r="C8" s="189">
        <f>'Dados Tabela Din'!F203</f>
        <v>11</v>
      </c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</row>
    <row r="9" spans="1:18">
      <c r="A9" s="138"/>
      <c r="B9" s="138"/>
      <c r="C9" s="138"/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8"/>
    </row>
    <row r="10" spans="1:18">
      <c r="A10" s="138"/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  <c r="R10" s="138"/>
    </row>
    <row r="11" spans="1:18">
      <c r="A11" s="138"/>
      <c r="B11" s="138"/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138"/>
      <c r="R11" s="138"/>
    </row>
    <row r="12" spans="1:18">
      <c r="A12" s="138"/>
      <c r="B12" s="138"/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</row>
    <row r="13" spans="1:18">
      <c r="A13" s="138"/>
      <c r="B13" s="138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</row>
    <row r="14" spans="1:18">
      <c r="A14" s="138"/>
      <c r="B14" s="138"/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</row>
    <row r="15" spans="1:18">
      <c r="A15" s="138"/>
      <c r="B15" s="138"/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</row>
    <row r="16" spans="1:18">
      <c r="A16" s="138"/>
      <c r="B16" s="138"/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</row>
    <row r="17" spans="1:18">
      <c r="A17" s="138"/>
      <c r="B17" s="138"/>
      <c r="C17" s="138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38"/>
      <c r="Q17" s="138"/>
      <c r="R17" s="138"/>
    </row>
    <row r="18" spans="1:18">
      <c r="A18" s="138"/>
      <c r="B18" s="138"/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8"/>
    </row>
    <row r="19" spans="1:18">
      <c r="A19" s="138"/>
      <c r="B19" s="138"/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</row>
    <row r="20" spans="1:18">
      <c r="A20" s="138"/>
      <c r="B20" s="138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</row>
    <row r="21" spans="1:18">
      <c r="A21" s="138"/>
      <c r="B21" s="138"/>
      <c r="C21" s="138"/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/>
    </row>
    <row r="22" spans="1:18">
      <c r="A22" s="138"/>
      <c r="B22" s="138"/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</row>
    <row r="23" spans="1:18">
      <c r="A23" s="138"/>
      <c r="B23" s="138"/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</row>
    <row r="24" spans="1:18">
      <c r="A24" s="138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</row>
    <row r="25" spans="1:18">
      <c r="A25" s="138"/>
      <c r="B25" s="138"/>
      <c r="C25" s="138"/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8"/>
      <c r="Q25" s="138"/>
      <c r="R25" s="138"/>
    </row>
    <row r="26" spans="1:18">
      <c r="A26" s="138"/>
      <c r="B26" s="138"/>
      <c r="C26" s="138"/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</row>
    <row r="27" spans="1:18">
      <c r="A27" s="138"/>
      <c r="B27" s="138"/>
      <c r="C27" s="138"/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</row>
    <row r="28" spans="1:18">
      <c r="A28" s="138"/>
      <c r="B28" s="138"/>
      <c r="C28" s="138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</row>
    <row r="29" spans="1:18">
      <c r="A29" s="138"/>
      <c r="B29" s="138"/>
      <c r="C29" s="138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</row>
    <row r="30" spans="1:18">
      <c r="A30" s="138"/>
      <c r="B30" s="138"/>
      <c r="C30" s="138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</row>
    <row r="31" spans="1:18">
      <c r="A31" s="138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</row>
    <row r="32" spans="1:18">
      <c r="A32" s="138"/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</row>
    <row r="33" spans="1:18">
      <c r="A33" s="138"/>
      <c r="B33" s="138"/>
      <c r="C33" s="138"/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</row>
    <row r="34" spans="1:18">
      <c r="A34" s="138"/>
      <c r="B34" s="138"/>
      <c r="C34" s="138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</row>
    <row r="35" spans="1:18">
      <c r="A35" s="138"/>
      <c r="B35" s="138"/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</row>
    <row r="36" spans="1:18">
      <c r="A36" s="138"/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</row>
    <row r="37" spans="1:18">
      <c r="A37" s="138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</row>
    <row r="38" spans="1:18" ht="14.5">
      <c r="A38" s="138"/>
      <c r="B38" s="138"/>
      <c r="C38" s="138"/>
      <c r="D38" s="138"/>
      <c r="E38" s="138"/>
      <c r="F38" s="138"/>
      <c r="G38" s="190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</row>
    <row r="39" spans="1:18">
      <c r="A39" s="138"/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</row>
    <row r="40" spans="1:18">
      <c r="A40" s="138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</row>
    <row r="41" spans="1:18">
      <c r="A41" s="138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</row>
    <row r="42" spans="1:18">
      <c r="A42" s="138"/>
      <c r="B42" s="138"/>
      <c r="C42" s="138"/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</row>
    <row r="43" spans="1:18">
      <c r="A43" s="138"/>
      <c r="B43" s="138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</row>
    <row r="44" spans="1:18">
      <c r="A44" s="138"/>
      <c r="B44" s="138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</row>
    <row r="45" spans="1:18">
      <c r="A45" s="138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</row>
    <row r="46" spans="1:18">
      <c r="A46" s="138"/>
      <c r="B46" s="138"/>
      <c r="C46" s="138"/>
      <c r="D46" s="138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</row>
    <row r="47" spans="1:18">
      <c r="A47" s="138"/>
      <c r="B47" s="138"/>
      <c r="C47" s="138"/>
      <c r="D47" s="138"/>
      <c r="E47" s="138"/>
      <c r="F47" s="138"/>
      <c r="G47" s="138"/>
      <c r="H47" s="138"/>
      <c r="I47" s="138"/>
      <c r="J47" s="138"/>
      <c r="K47" s="138"/>
      <c r="L47" s="138"/>
      <c r="M47" s="138"/>
      <c r="N47" s="138"/>
      <c r="O47" s="138"/>
      <c r="P47" s="138"/>
      <c r="Q47" s="138"/>
      <c r="R47" s="138"/>
    </row>
    <row r="48" spans="1:18">
      <c r="A48" s="138"/>
      <c r="B48" s="138"/>
      <c r="C48" s="138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</row>
    <row r="49" spans="1:18">
      <c r="A49" s="138"/>
      <c r="B49" s="138"/>
      <c r="C49" s="138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</row>
    <row r="50" spans="1:18">
      <c r="A50" s="138"/>
      <c r="B50" s="138"/>
      <c r="C50" s="138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</row>
    <row r="51" spans="1:18">
      <c r="A51" s="138"/>
      <c r="B51" s="13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</row>
    <row r="52" spans="1:18">
      <c r="A52" s="138"/>
      <c r="B52" s="138"/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</row>
    <row r="53" spans="1:18">
      <c r="A53" s="138"/>
      <c r="B53" s="138"/>
      <c r="C53" s="138"/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38"/>
      <c r="Q53" s="138"/>
      <c r="R53" s="138"/>
    </row>
    <row r="54" spans="1:18">
      <c r="A54" s="138"/>
      <c r="B54" s="138"/>
      <c r="C54" s="138"/>
      <c r="D54" s="138"/>
      <c r="E54" s="138"/>
      <c r="F54" s="138"/>
      <c r="G54" s="138"/>
      <c r="H54" s="138"/>
      <c r="I54" s="138"/>
      <c r="J54" s="138"/>
      <c r="K54" s="138"/>
      <c r="L54" s="138"/>
      <c r="M54" s="138"/>
      <c r="N54" s="138"/>
      <c r="O54" s="138"/>
      <c r="P54" s="138"/>
      <c r="Q54" s="138"/>
      <c r="R54" s="138"/>
    </row>
    <row r="55" spans="1:18">
      <c r="A55" s="138"/>
      <c r="B55" s="138"/>
      <c r="C55" s="138"/>
      <c r="D55" s="138"/>
      <c r="E55" s="138"/>
      <c r="F55" s="138"/>
      <c r="G55" s="138"/>
      <c r="H55" s="138"/>
      <c r="I55" s="138"/>
      <c r="J55" s="138"/>
      <c r="K55" s="138"/>
      <c r="L55" s="138"/>
      <c r="M55" s="138"/>
      <c r="N55" s="138"/>
      <c r="O55" s="138"/>
      <c r="P55" s="138"/>
      <c r="Q55" s="138"/>
      <c r="R55" s="138"/>
    </row>
    <row r="56" spans="1:18">
      <c r="A56" s="138"/>
      <c r="B56" s="138"/>
      <c r="C56" s="138"/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</row>
    <row r="57" spans="1:18">
      <c r="A57" s="138"/>
      <c r="B57" s="138"/>
      <c r="C57" s="138"/>
      <c r="D57" s="138"/>
      <c r="E57" s="138"/>
      <c r="F57" s="138"/>
      <c r="G57" s="138"/>
      <c r="H57" s="138"/>
      <c r="I57" s="138"/>
      <c r="J57" s="138"/>
      <c r="K57" s="138"/>
      <c r="L57" s="138"/>
      <c r="M57" s="138"/>
      <c r="N57" s="138"/>
      <c r="O57" s="138"/>
      <c r="P57" s="138"/>
      <c r="Q57" s="138"/>
      <c r="R57" s="138"/>
    </row>
    <row r="58" spans="1:18">
      <c r="A58" s="138"/>
      <c r="B58" s="138"/>
      <c r="C58" s="138"/>
      <c r="D58" s="138"/>
      <c r="E58" s="138"/>
      <c r="F58" s="138"/>
      <c r="G58" s="138"/>
      <c r="H58" s="138"/>
      <c r="I58" s="138"/>
      <c r="J58" s="138"/>
      <c r="K58" s="138"/>
      <c r="L58" s="138"/>
      <c r="M58" s="138"/>
      <c r="N58" s="138"/>
      <c r="O58" s="138"/>
      <c r="P58" s="138"/>
      <c r="Q58" s="138"/>
      <c r="R58" s="138"/>
    </row>
    <row r="59" spans="1:18">
      <c r="A59" s="138"/>
      <c r="B59" s="138"/>
      <c r="C59" s="138"/>
      <c r="D59" s="138"/>
      <c r="E59" s="138"/>
      <c r="F59" s="138"/>
      <c r="G59" s="138"/>
      <c r="H59" s="138"/>
      <c r="I59" s="138"/>
      <c r="J59" s="138"/>
      <c r="K59" s="138"/>
      <c r="L59" s="138"/>
      <c r="M59" s="138"/>
      <c r="N59" s="138"/>
      <c r="O59" s="138"/>
      <c r="P59" s="138"/>
      <c r="Q59" s="138"/>
      <c r="R59" s="138"/>
    </row>
    <row r="60" spans="1:18">
      <c r="A60" s="138"/>
      <c r="B60" s="138"/>
      <c r="C60" s="138"/>
      <c r="D60" s="138"/>
      <c r="E60" s="138"/>
      <c r="F60" s="138"/>
      <c r="G60" s="138"/>
      <c r="H60" s="138"/>
      <c r="I60" s="138"/>
      <c r="J60" s="138"/>
      <c r="K60" s="138"/>
      <c r="L60" s="138"/>
      <c r="M60" s="138"/>
      <c r="N60" s="138"/>
      <c r="O60" s="138"/>
      <c r="P60" s="138"/>
      <c r="Q60" s="138"/>
      <c r="R60" s="138"/>
    </row>
  </sheetData>
  <sheetProtection sheet="1" objects="1" scenarios="1"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3BD28-4686-4D8D-8650-5C7DDB4F45F6}">
  <dimension ref="A1:R60"/>
  <sheetViews>
    <sheetView zoomScale="90" zoomScaleNormal="90" workbookViewId="0">
      <selection activeCell="I12" sqref="I12"/>
    </sheetView>
  </sheetViews>
  <sheetFormatPr defaultColWidth="0" defaultRowHeight="14"/>
  <cols>
    <col min="1" max="16" width="9" customWidth="1"/>
    <col min="17" max="17" width="17.83203125" customWidth="1"/>
    <col min="18" max="18" width="9" customWidth="1"/>
    <col min="19" max="16384" width="9" hidden="1"/>
  </cols>
  <sheetData>
    <row r="1" spans="1:18" ht="45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8"/>
    </row>
    <row r="2" spans="1:18" ht="23.5" customHeight="1" thickBot="1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9"/>
    </row>
    <row r="3" spans="1:18">
      <c r="A3" s="138"/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</row>
    <row r="4" spans="1:18">
      <c r="A4" s="138"/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</row>
    <row r="5" spans="1:18">
      <c r="A5" s="138"/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</row>
    <row r="6" spans="1:18">
      <c r="A6" s="138"/>
      <c r="B6" s="138"/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</row>
    <row r="7" spans="1:18">
      <c r="A7" s="138"/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</row>
    <row r="8" spans="1:18">
      <c r="A8" s="138"/>
      <c r="B8" s="189">
        <f>'Dados Tabela Din'!D204</f>
        <v>4</v>
      </c>
      <c r="C8" s="189">
        <f>'Dados Tabela Din'!F204</f>
        <v>8</v>
      </c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</row>
    <row r="9" spans="1:18">
      <c r="A9" s="138"/>
      <c r="B9" s="138"/>
      <c r="C9" s="138"/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8"/>
    </row>
    <row r="10" spans="1:18">
      <c r="A10" s="138"/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  <c r="R10" s="138"/>
    </row>
    <row r="11" spans="1:18">
      <c r="A11" s="138"/>
      <c r="B11" s="138"/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138"/>
      <c r="R11" s="138"/>
    </row>
    <row r="12" spans="1:18">
      <c r="A12" s="138"/>
      <c r="B12" s="138"/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</row>
    <row r="13" spans="1:18">
      <c r="A13" s="138"/>
      <c r="B13" s="138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</row>
    <row r="14" spans="1:18">
      <c r="A14" s="138"/>
      <c r="B14" s="138"/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</row>
    <row r="15" spans="1:18">
      <c r="A15" s="138"/>
      <c r="B15" s="138"/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</row>
    <row r="16" spans="1:18">
      <c r="A16" s="138"/>
      <c r="B16" s="138"/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</row>
    <row r="17" spans="1:18">
      <c r="A17" s="138"/>
      <c r="B17" s="138"/>
      <c r="C17" s="138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38"/>
      <c r="Q17" s="138"/>
      <c r="R17" s="138"/>
    </row>
    <row r="18" spans="1:18">
      <c r="A18" s="138"/>
      <c r="B18" s="138"/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8"/>
    </row>
    <row r="19" spans="1:18">
      <c r="A19" s="138"/>
      <c r="B19" s="138"/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</row>
    <row r="20" spans="1:18">
      <c r="A20" s="138"/>
      <c r="B20" s="138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</row>
    <row r="21" spans="1:18">
      <c r="A21" s="138"/>
      <c r="B21" s="138"/>
      <c r="C21" s="138"/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/>
    </row>
    <row r="22" spans="1:18">
      <c r="A22" s="138"/>
      <c r="B22" s="138"/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</row>
    <row r="23" spans="1:18">
      <c r="A23" s="138"/>
      <c r="B23" s="138"/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</row>
    <row r="24" spans="1:18">
      <c r="A24" s="138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</row>
    <row r="25" spans="1:18">
      <c r="A25" s="138"/>
      <c r="B25" s="138"/>
      <c r="C25" s="138"/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8"/>
      <c r="Q25" s="138"/>
      <c r="R25" s="138"/>
    </row>
    <row r="26" spans="1:18">
      <c r="A26" s="138"/>
      <c r="B26" s="138"/>
      <c r="C26" s="138"/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</row>
    <row r="27" spans="1:18">
      <c r="A27" s="138"/>
      <c r="B27" s="138"/>
      <c r="C27" s="138"/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</row>
    <row r="28" spans="1:18">
      <c r="A28" s="138"/>
      <c r="B28" s="138"/>
      <c r="C28" s="138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</row>
    <row r="29" spans="1:18">
      <c r="A29" s="138"/>
      <c r="B29" s="138"/>
      <c r="C29" s="138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</row>
    <row r="30" spans="1:18">
      <c r="A30" s="138"/>
      <c r="B30" s="138"/>
      <c r="C30" s="138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</row>
    <row r="31" spans="1:18">
      <c r="A31" s="138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</row>
    <row r="32" spans="1:18">
      <c r="A32" s="138"/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</row>
    <row r="33" spans="1:18">
      <c r="A33" s="138"/>
      <c r="B33" s="138"/>
      <c r="C33" s="138"/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</row>
    <row r="34" spans="1:18">
      <c r="A34" s="138"/>
      <c r="B34" s="138"/>
      <c r="C34" s="138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</row>
    <row r="35" spans="1:18">
      <c r="A35" s="138"/>
      <c r="B35" s="138"/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</row>
    <row r="36" spans="1:18">
      <c r="A36" s="138"/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</row>
    <row r="37" spans="1:18">
      <c r="A37" s="138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</row>
    <row r="38" spans="1:18">
      <c r="A38" s="138"/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</row>
    <row r="39" spans="1:18">
      <c r="A39" s="138"/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</row>
    <row r="40" spans="1:18">
      <c r="A40" s="138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</row>
    <row r="41" spans="1:18">
      <c r="A41" s="138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</row>
    <row r="42" spans="1:18">
      <c r="A42" s="138"/>
      <c r="B42" s="138"/>
      <c r="C42" s="138"/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</row>
    <row r="43" spans="1:18">
      <c r="A43" s="138"/>
      <c r="B43" s="138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</row>
    <row r="44" spans="1:18">
      <c r="A44" s="138"/>
      <c r="B44" s="138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</row>
    <row r="45" spans="1:18">
      <c r="A45" s="138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</row>
    <row r="46" spans="1:18">
      <c r="A46" s="138"/>
      <c r="B46" s="138"/>
      <c r="C46" s="138"/>
      <c r="D46" s="138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</row>
    <row r="47" spans="1:18">
      <c r="A47" s="138"/>
      <c r="B47" s="138"/>
      <c r="C47" s="138"/>
      <c r="D47" s="138"/>
      <c r="E47" s="138"/>
      <c r="F47" s="138"/>
      <c r="G47" s="138"/>
      <c r="H47" s="138"/>
      <c r="I47" s="138"/>
      <c r="J47" s="138"/>
      <c r="K47" s="138"/>
      <c r="L47" s="138"/>
      <c r="M47" s="138"/>
      <c r="N47" s="138"/>
      <c r="O47" s="138"/>
      <c r="P47" s="138"/>
      <c r="Q47" s="138"/>
      <c r="R47" s="138"/>
    </row>
    <row r="48" spans="1:18">
      <c r="A48" s="138"/>
      <c r="B48" s="138"/>
      <c r="C48" s="138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</row>
    <row r="49" spans="1:18">
      <c r="A49" s="138"/>
      <c r="B49" s="138"/>
      <c r="C49" s="138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</row>
    <row r="50" spans="1:18">
      <c r="A50" s="138"/>
      <c r="B50" s="138"/>
      <c r="C50" s="138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</row>
    <row r="51" spans="1:18">
      <c r="A51" s="138"/>
      <c r="B51" s="13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</row>
    <row r="52" spans="1:18">
      <c r="A52" s="138"/>
      <c r="B52" s="138"/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</row>
    <row r="53" spans="1:18">
      <c r="A53" s="138"/>
      <c r="B53" s="138"/>
      <c r="C53" s="138"/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38"/>
      <c r="Q53" s="138"/>
      <c r="R53" s="138"/>
    </row>
    <row r="54" spans="1:18">
      <c r="A54" s="138"/>
      <c r="B54" s="138"/>
      <c r="C54" s="138"/>
      <c r="D54" s="138"/>
      <c r="E54" s="138"/>
      <c r="F54" s="138"/>
      <c r="G54" s="138"/>
      <c r="H54" s="138"/>
      <c r="I54" s="138"/>
      <c r="J54" s="138"/>
      <c r="K54" s="138"/>
      <c r="L54" s="138"/>
      <c r="M54" s="138"/>
      <c r="N54" s="138"/>
      <c r="O54" s="138"/>
      <c r="P54" s="138"/>
      <c r="Q54" s="138"/>
      <c r="R54" s="138"/>
    </row>
    <row r="55" spans="1:18">
      <c r="A55" s="138"/>
      <c r="B55" s="138"/>
      <c r="C55" s="138"/>
      <c r="D55" s="138"/>
      <c r="E55" s="138"/>
      <c r="F55" s="138"/>
      <c r="G55" s="138"/>
      <c r="H55" s="138"/>
      <c r="I55" s="138"/>
      <c r="J55" s="138"/>
      <c r="K55" s="138"/>
      <c r="L55" s="138"/>
      <c r="M55" s="138"/>
      <c r="N55" s="138"/>
      <c r="O55" s="138"/>
      <c r="P55" s="138"/>
      <c r="Q55" s="138"/>
      <c r="R55" s="138"/>
    </row>
    <row r="56" spans="1:18">
      <c r="A56" s="138"/>
      <c r="B56" s="138"/>
      <c r="C56" s="138"/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</row>
    <row r="57" spans="1:18">
      <c r="A57" s="138"/>
      <c r="B57" s="138"/>
      <c r="C57" s="138"/>
      <c r="D57" s="138"/>
      <c r="E57" s="138"/>
      <c r="F57" s="138"/>
      <c r="G57" s="138"/>
      <c r="H57" s="138"/>
      <c r="I57" s="138"/>
      <c r="J57" s="138"/>
      <c r="K57" s="138"/>
      <c r="L57" s="138"/>
      <c r="M57" s="138"/>
      <c r="N57" s="138"/>
      <c r="O57" s="138"/>
      <c r="P57" s="138"/>
      <c r="Q57" s="138"/>
      <c r="R57" s="138"/>
    </row>
    <row r="58" spans="1:18">
      <c r="A58" s="138"/>
      <c r="B58" s="138"/>
      <c r="C58" s="138"/>
      <c r="D58" s="138"/>
      <c r="E58" s="138"/>
      <c r="F58" s="138"/>
      <c r="G58" s="138"/>
      <c r="H58" s="138"/>
      <c r="I58" s="138"/>
      <c r="J58" s="138"/>
      <c r="K58" s="138"/>
      <c r="L58" s="138"/>
      <c r="M58" s="138"/>
      <c r="N58" s="138"/>
      <c r="O58" s="138"/>
      <c r="P58" s="138"/>
      <c r="Q58" s="138"/>
      <c r="R58" s="138"/>
    </row>
    <row r="59" spans="1:18">
      <c r="A59" s="138"/>
      <c r="B59" s="138"/>
      <c r="C59" s="138"/>
      <c r="D59" s="138"/>
      <c r="E59" s="138"/>
      <c r="F59" s="138"/>
      <c r="G59" s="138"/>
      <c r="H59" s="138"/>
      <c r="I59" s="138"/>
      <c r="J59" s="138"/>
      <c r="K59" s="138"/>
      <c r="L59" s="138"/>
      <c r="M59" s="138"/>
      <c r="N59" s="138"/>
      <c r="O59" s="138"/>
      <c r="P59" s="138"/>
      <c r="Q59" s="138"/>
      <c r="R59" s="138"/>
    </row>
    <row r="60" spans="1:18">
      <c r="A60" s="138"/>
      <c r="B60" s="138"/>
      <c r="C60" s="138"/>
      <c r="D60" s="138"/>
      <c r="E60" s="138"/>
      <c r="F60" s="138"/>
      <c r="G60" s="138"/>
      <c r="H60" s="138"/>
      <c r="I60" s="138"/>
      <c r="J60" s="138"/>
      <c r="K60" s="138"/>
      <c r="L60" s="138"/>
      <c r="M60" s="138"/>
      <c r="N60" s="138"/>
      <c r="O60" s="138"/>
      <c r="P60" s="138"/>
      <c r="Q60" s="138"/>
      <c r="R60" s="138"/>
    </row>
  </sheetData>
  <sheetProtection sheet="1" objects="1" scenarios="1"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F11B-73F1-4E4A-B213-256069B10E46}">
  <dimension ref="A1:R60"/>
  <sheetViews>
    <sheetView zoomScale="90" zoomScaleNormal="90" workbookViewId="0">
      <selection activeCell="C4" sqref="C4"/>
    </sheetView>
  </sheetViews>
  <sheetFormatPr defaultColWidth="0" defaultRowHeight="14"/>
  <cols>
    <col min="1" max="16" width="9" customWidth="1"/>
    <col min="17" max="17" width="17.83203125" customWidth="1"/>
    <col min="18" max="18" width="9" customWidth="1"/>
    <col min="19" max="16384" width="9" hidden="1"/>
  </cols>
  <sheetData>
    <row r="1" spans="1:18" ht="45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8"/>
    </row>
    <row r="2" spans="1:18" ht="23.5" customHeight="1" thickBot="1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9"/>
    </row>
    <row r="3" spans="1:18">
      <c r="A3" s="138"/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</row>
    <row r="4" spans="1:18">
      <c r="A4" s="138"/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</row>
    <row r="5" spans="1:18">
      <c r="A5" s="138"/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</row>
    <row r="6" spans="1:18">
      <c r="A6" s="138"/>
      <c r="B6" s="138"/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</row>
    <row r="7" spans="1:18">
      <c r="A7" s="138"/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</row>
    <row r="8" spans="1:18">
      <c r="A8" s="138"/>
      <c r="B8" s="189">
        <f>'Dados Tabela Din'!D205</f>
        <v>3</v>
      </c>
      <c r="C8" s="189">
        <f>'Dados Tabela Din'!F205</f>
        <v>10</v>
      </c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</row>
    <row r="9" spans="1:18">
      <c r="A9" s="138"/>
      <c r="B9" s="138"/>
      <c r="C9" s="138"/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8"/>
    </row>
    <row r="10" spans="1:18">
      <c r="A10" s="138"/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  <c r="R10" s="138"/>
    </row>
    <row r="11" spans="1:18">
      <c r="A11" s="138"/>
      <c r="B11" s="138"/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138"/>
      <c r="R11" s="138"/>
    </row>
    <row r="12" spans="1:18">
      <c r="A12" s="138"/>
      <c r="B12" s="138"/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</row>
    <row r="13" spans="1:18">
      <c r="A13" s="138"/>
      <c r="B13" s="138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</row>
    <row r="14" spans="1:18">
      <c r="A14" s="138"/>
      <c r="B14" s="138"/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</row>
    <row r="15" spans="1:18">
      <c r="A15" s="138"/>
      <c r="B15" s="138"/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</row>
    <row r="16" spans="1:18">
      <c r="A16" s="138"/>
      <c r="B16" s="138"/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</row>
    <row r="17" spans="1:18">
      <c r="A17" s="138"/>
      <c r="B17" s="138"/>
      <c r="C17" s="138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38"/>
      <c r="Q17" s="138"/>
      <c r="R17" s="138"/>
    </row>
    <row r="18" spans="1:18">
      <c r="A18" s="138"/>
      <c r="B18" s="138"/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8"/>
    </row>
    <row r="19" spans="1:18">
      <c r="A19" s="138"/>
      <c r="B19" s="138"/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</row>
    <row r="20" spans="1:18">
      <c r="A20" s="138"/>
      <c r="B20" s="138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</row>
    <row r="21" spans="1:18">
      <c r="A21" s="138"/>
      <c r="B21" s="138"/>
      <c r="C21" s="138"/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/>
    </row>
    <row r="22" spans="1:18">
      <c r="A22" s="138"/>
      <c r="B22" s="138"/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</row>
    <row r="23" spans="1:18">
      <c r="A23" s="138"/>
      <c r="B23" s="138"/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</row>
    <row r="24" spans="1:18">
      <c r="A24" s="138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</row>
    <row r="25" spans="1:18">
      <c r="A25" s="138"/>
      <c r="B25" s="138"/>
      <c r="C25" s="138"/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8"/>
      <c r="Q25" s="138"/>
      <c r="R25" s="138"/>
    </row>
    <row r="26" spans="1:18">
      <c r="A26" s="138"/>
      <c r="B26" s="138"/>
      <c r="C26" s="138"/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</row>
    <row r="27" spans="1:18">
      <c r="A27" s="138"/>
      <c r="B27" s="138"/>
      <c r="C27" s="138"/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</row>
    <row r="28" spans="1:18">
      <c r="A28" s="138"/>
      <c r="B28" s="138"/>
      <c r="C28" s="138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</row>
    <row r="29" spans="1:18">
      <c r="A29" s="138"/>
      <c r="B29" s="138"/>
      <c r="C29" s="138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</row>
    <row r="30" spans="1:18">
      <c r="A30" s="138"/>
      <c r="B30" s="138"/>
      <c r="C30" s="138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</row>
    <row r="31" spans="1:18">
      <c r="A31" s="138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</row>
    <row r="32" spans="1:18">
      <c r="A32" s="138"/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</row>
    <row r="33" spans="1:18">
      <c r="A33" s="138"/>
      <c r="B33" s="138"/>
      <c r="C33" s="138"/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</row>
    <row r="34" spans="1:18">
      <c r="A34" s="138"/>
      <c r="B34" s="138"/>
      <c r="C34" s="138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</row>
    <row r="35" spans="1:18">
      <c r="A35" s="138"/>
      <c r="B35" s="138"/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</row>
    <row r="36" spans="1:18">
      <c r="A36" s="138"/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</row>
    <row r="37" spans="1:18">
      <c r="A37" s="138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</row>
    <row r="38" spans="1:18">
      <c r="A38" s="138"/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</row>
    <row r="39" spans="1:18">
      <c r="A39" s="138"/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</row>
    <row r="40" spans="1:18">
      <c r="A40" s="138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</row>
    <row r="41" spans="1:18">
      <c r="A41" s="138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</row>
    <row r="42" spans="1:18">
      <c r="A42" s="138"/>
      <c r="B42" s="138"/>
      <c r="C42" s="138"/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</row>
    <row r="43" spans="1:18">
      <c r="A43" s="138"/>
      <c r="B43" s="138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</row>
    <row r="44" spans="1:18">
      <c r="A44" s="138"/>
      <c r="B44" s="138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</row>
    <row r="45" spans="1:18">
      <c r="A45" s="138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</row>
    <row r="46" spans="1:18">
      <c r="A46" s="138"/>
      <c r="B46" s="138"/>
      <c r="C46" s="138"/>
      <c r="D46" s="138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</row>
    <row r="47" spans="1:18">
      <c r="A47" s="138"/>
      <c r="B47" s="138"/>
      <c r="C47" s="138"/>
      <c r="D47" s="138"/>
      <c r="E47" s="138"/>
      <c r="F47" s="138"/>
      <c r="G47" s="138"/>
      <c r="H47" s="138"/>
      <c r="I47" s="138"/>
      <c r="J47" s="138"/>
      <c r="K47" s="138"/>
      <c r="L47" s="138"/>
      <c r="M47" s="138"/>
      <c r="N47" s="138"/>
      <c r="O47" s="138"/>
      <c r="P47" s="138"/>
      <c r="Q47" s="138"/>
      <c r="R47" s="138"/>
    </row>
    <row r="48" spans="1:18">
      <c r="A48" s="138"/>
      <c r="B48" s="138"/>
      <c r="C48" s="138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</row>
    <row r="49" spans="1:18">
      <c r="A49" s="138"/>
      <c r="B49" s="138"/>
      <c r="C49" s="138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</row>
    <row r="50" spans="1:18">
      <c r="A50" s="138"/>
      <c r="B50" s="138"/>
      <c r="C50" s="138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</row>
    <row r="51" spans="1:18">
      <c r="A51" s="138"/>
      <c r="B51" s="13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</row>
    <row r="52" spans="1:18">
      <c r="A52" s="138"/>
      <c r="B52" s="138"/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</row>
    <row r="53" spans="1:18">
      <c r="A53" s="138"/>
      <c r="B53" s="138"/>
      <c r="C53" s="138"/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38"/>
      <c r="Q53" s="138"/>
      <c r="R53" s="138"/>
    </row>
    <row r="54" spans="1:18">
      <c r="A54" s="138"/>
      <c r="B54" s="138"/>
      <c r="C54" s="138"/>
      <c r="D54" s="138"/>
      <c r="E54" s="138"/>
      <c r="F54" s="138"/>
      <c r="G54" s="138"/>
      <c r="H54" s="138"/>
      <c r="I54" s="138"/>
      <c r="J54" s="138"/>
      <c r="K54" s="138"/>
      <c r="L54" s="138"/>
      <c r="M54" s="138"/>
      <c r="N54" s="138"/>
      <c r="O54" s="138"/>
      <c r="P54" s="138"/>
      <c r="Q54" s="138"/>
      <c r="R54" s="138"/>
    </row>
    <row r="55" spans="1:18">
      <c r="A55" s="138"/>
      <c r="B55" s="138"/>
      <c r="C55" s="138"/>
      <c r="D55" s="138"/>
      <c r="E55" s="138"/>
      <c r="F55" s="138"/>
      <c r="G55" s="138"/>
      <c r="H55" s="138"/>
      <c r="I55" s="138"/>
      <c r="J55" s="138"/>
      <c r="K55" s="138"/>
      <c r="L55" s="138"/>
      <c r="M55" s="138"/>
      <c r="N55" s="138"/>
      <c r="O55" s="138"/>
      <c r="P55" s="138"/>
      <c r="Q55" s="138"/>
      <c r="R55" s="138"/>
    </row>
    <row r="56" spans="1:18">
      <c r="A56" s="138"/>
      <c r="B56" s="138"/>
      <c r="C56" s="138"/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</row>
    <row r="57" spans="1:18">
      <c r="A57" s="138"/>
      <c r="B57" s="138"/>
      <c r="C57" s="138"/>
      <c r="D57" s="138"/>
      <c r="E57" s="138"/>
      <c r="F57" s="138"/>
      <c r="G57" s="138"/>
      <c r="H57" s="138"/>
      <c r="I57" s="138"/>
      <c r="J57" s="138"/>
      <c r="K57" s="138"/>
      <c r="L57" s="138"/>
      <c r="M57" s="138"/>
      <c r="N57" s="138"/>
      <c r="O57" s="138"/>
      <c r="P57" s="138"/>
      <c r="Q57" s="138"/>
      <c r="R57" s="138"/>
    </row>
    <row r="58" spans="1:18">
      <c r="A58" s="138"/>
      <c r="B58" s="138"/>
      <c r="C58" s="138"/>
      <c r="D58" s="138"/>
      <c r="E58" s="138"/>
      <c r="F58" s="138"/>
      <c r="G58" s="138"/>
      <c r="H58" s="138"/>
      <c r="I58" s="138"/>
      <c r="J58" s="138"/>
      <c r="K58" s="138"/>
      <c r="L58" s="138"/>
      <c r="M58" s="138"/>
      <c r="N58" s="138"/>
      <c r="O58" s="138"/>
      <c r="P58" s="138"/>
      <c r="Q58" s="138"/>
      <c r="R58" s="138"/>
    </row>
    <row r="59" spans="1:18">
      <c r="A59" s="138"/>
      <c r="B59" s="138"/>
      <c r="C59" s="138"/>
      <c r="D59" s="138"/>
      <c r="E59" s="138"/>
      <c r="F59" s="138"/>
      <c r="G59" s="138"/>
      <c r="H59" s="138"/>
      <c r="I59" s="138"/>
      <c r="J59" s="138"/>
      <c r="K59" s="138"/>
      <c r="L59" s="138"/>
      <c r="M59" s="138"/>
      <c r="N59" s="138"/>
      <c r="O59" s="138"/>
      <c r="P59" s="138"/>
      <c r="Q59" s="138"/>
      <c r="R59" s="138"/>
    </row>
    <row r="60" spans="1:18">
      <c r="A60" s="138"/>
      <c r="B60" s="138"/>
      <c r="C60" s="138"/>
      <c r="D60" s="138"/>
      <c r="E60" s="138"/>
      <c r="F60" s="138"/>
      <c r="G60" s="138"/>
      <c r="H60" s="138"/>
      <c r="I60" s="138"/>
      <c r="J60" s="138"/>
      <c r="K60" s="138"/>
      <c r="L60" s="138"/>
      <c r="M60" s="138"/>
      <c r="N60" s="138"/>
      <c r="O60" s="138"/>
      <c r="P60" s="138"/>
      <c r="Q60" s="138"/>
      <c r="R60" s="138"/>
    </row>
  </sheetData>
  <sheetProtection sheet="1" objects="1" scenarios="1"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ABEE3-9DAC-4864-8EAE-4842A6BD5C30}">
  <dimension ref="A1:R60"/>
  <sheetViews>
    <sheetView zoomScale="90" zoomScaleNormal="90" workbookViewId="0">
      <selection activeCell="F6" sqref="F6"/>
    </sheetView>
  </sheetViews>
  <sheetFormatPr defaultColWidth="0" defaultRowHeight="14"/>
  <cols>
    <col min="1" max="16" width="9" customWidth="1"/>
    <col min="17" max="17" width="17.83203125" customWidth="1"/>
    <col min="18" max="18" width="9" customWidth="1"/>
    <col min="19" max="16384" width="9" hidden="1"/>
  </cols>
  <sheetData>
    <row r="1" spans="1:18" ht="45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8"/>
    </row>
    <row r="2" spans="1:18" ht="23.5" customHeight="1" thickBot="1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9"/>
    </row>
    <row r="3" spans="1:18">
      <c r="A3" s="138"/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</row>
    <row r="4" spans="1:18">
      <c r="A4" s="138"/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</row>
    <row r="5" spans="1:18">
      <c r="A5" s="138"/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</row>
    <row r="6" spans="1:18">
      <c r="A6" s="138"/>
      <c r="B6" s="138"/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</row>
    <row r="7" spans="1:18">
      <c r="A7" s="138"/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</row>
    <row r="8" spans="1:18">
      <c r="A8" s="138"/>
      <c r="B8" s="189">
        <f>'Dados Tabela Din'!D206</f>
        <v>11</v>
      </c>
      <c r="C8" s="189">
        <f>'Dados Tabela Din'!F206</f>
        <v>12</v>
      </c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</row>
    <row r="9" spans="1:18">
      <c r="A9" s="138"/>
      <c r="B9" s="138"/>
      <c r="C9" s="138"/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8"/>
    </row>
    <row r="10" spans="1:18">
      <c r="A10" s="138"/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  <c r="R10" s="138"/>
    </row>
    <row r="11" spans="1:18">
      <c r="A11" s="138"/>
      <c r="B11" s="138"/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138"/>
      <c r="R11" s="138"/>
    </row>
    <row r="12" spans="1:18">
      <c r="A12" s="138"/>
      <c r="B12" s="138"/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</row>
    <row r="13" spans="1:18">
      <c r="A13" s="138"/>
      <c r="B13" s="138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</row>
    <row r="14" spans="1:18">
      <c r="A14" s="138"/>
      <c r="B14" s="138"/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</row>
    <row r="15" spans="1:18">
      <c r="A15" s="138"/>
      <c r="B15" s="138"/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</row>
    <row r="16" spans="1:18">
      <c r="A16" s="138"/>
      <c r="B16" s="138"/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</row>
    <row r="17" spans="1:18">
      <c r="A17" s="138"/>
      <c r="B17" s="138"/>
      <c r="C17" s="138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38"/>
      <c r="Q17" s="138"/>
      <c r="R17" s="138"/>
    </row>
    <row r="18" spans="1:18">
      <c r="A18" s="138"/>
      <c r="B18" s="138"/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8"/>
    </row>
    <row r="19" spans="1:18">
      <c r="A19" s="138"/>
      <c r="B19" s="138"/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</row>
    <row r="20" spans="1:18">
      <c r="A20" s="138"/>
      <c r="B20" s="138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</row>
    <row r="21" spans="1:18">
      <c r="A21" s="138"/>
      <c r="B21" s="138"/>
      <c r="C21" s="138"/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/>
    </row>
    <row r="22" spans="1:18">
      <c r="A22" s="138"/>
      <c r="B22" s="138"/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</row>
    <row r="23" spans="1:18">
      <c r="A23" s="138"/>
      <c r="B23" s="138"/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</row>
    <row r="24" spans="1:18">
      <c r="A24" s="138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</row>
    <row r="25" spans="1:18">
      <c r="A25" s="138"/>
      <c r="B25" s="138"/>
      <c r="C25" s="138"/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8"/>
      <c r="Q25" s="138"/>
      <c r="R25" s="138"/>
    </row>
    <row r="26" spans="1:18">
      <c r="A26" s="138"/>
      <c r="B26" s="138"/>
      <c r="C26" s="138"/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</row>
    <row r="27" spans="1:18">
      <c r="A27" s="138"/>
      <c r="B27" s="138"/>
      <c r="C27" s="138"/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</row>
    <row r="28" spans="1:18">
      <c r="A28" s="138"/>
      <c r="B28" s="138"/>
      <c r="C28" s="138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</row>
    <row r="29" spans="1:18">
      <c r="A29" s="138"/>
      <c r="B29" s="138"/>
      <c r="C29" s="138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</row>
    <row r="30" spans="1:18">
      <c r="A30" s="138"/>
      <c r="B30" s="138"/>
      <c r="C30" s="138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</row>
    <row r="31" spans="1:18">
      <c r="A31" s="138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</row>
    <row r="32" spans="1:18">
      <c r="A32" s="138"/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</row>
    <row r="33" spans="1:18">
      <c r="A33" s="138"/>
      <c r="B33" s="138"/>
      <c r="C33" s="138"/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</row>
    <row r="34" spans="1:18">
      <c r="A34" s="138"/>
      <c r="B34" s="138"/>
      <c r="C34" s="138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</row>
    <row r="35" spans="1:18">
      <c r="A35" s="138"/>
      <c r="B35" s="138"/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</row>
    <row r="36" spans="1:18">
      <c r="A36" s="138"/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</row>
    <row r="37" spans="1:18">
      <c r="A37" s="138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</row>
    <row r="38" spans="1:18">
      <c r="A38" s="138"/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</row>
    <row r="39" spans="1:18">
      <c r="A39" s="138"/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</row>
    <row r="40" spans="1:18">
      <c r="A40" s="138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</row>
    <row r="41" spans="1:18">
      <c r="A41" s="138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</row>
    <row r="42" spans="1:18">
      <c r="A42" s="138"/>
      <c r="B42" s="138"/>
      <c r="C42" s="138"/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</row>
    <row r="43" spans="1:18">
      <c r="A43" s="138"/>
      <c r="B43" s="138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</row>
    <row r="44" spans="1:18">
      <c r="A44" s="138"/>
      <c r="B44" s="138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</row>
    <row r="45" spans="1:18">
      <c r="A45" s="138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</row>
    <row r="46" spans="1:18">
      <c r="A46" s="138"/>
      <c r="B46" s="138"/>
      <c r="C46" s="138"/>
      <c r="D46" s="138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</row>
    <row r="47" spans="1:18">
      <c r="A47" s="138"/>
      <c r="B47" s="138"/>
      <c r="C47" s="138"/>
      <c r="D47" s="138"/>
      <c r="E47" s="138"/>
      <c r="F47" s="138"/>
      <c r="G47" s="138"/>
      <c r="H47" s="138"/>
      <c r="I47" s="138"/>
      <c r="J47" s="138"/>
      <c r="K47" s="138"/>
      <c r="L47" s="138"/>
      <c r="M47" s="138"/>
      <c r="N47" s="138"/>
      <c r="O47" s="138"/>
      <c r="P47" s="138"/>
      <c r="Q47" s="138"/>
      <c r="R47" s="138"/>
    </row>
    <row r="48" spans="1:18">
      <c r="A48" s="138"/>
      <c r="B48" s="138"/>
      <c r="C48" s="138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</row>
    <row r="49" spans="1:18">
      <c r="A49" s="138"/>
      <c r="B49" s="138"/>
      <c r="C49" s="138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</row>
    <row r="50" spans="1:18">
      <c r="A50" s="138"/>
      <c r="B50" s="138"/>
      <c r="C50" s="138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</row>
    <row r="51" spans="1:18">
      <c r="A51" s="138"/>
      <c r="B51" s="13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</row>
    <row r="52" spans="1:18">
      <c r="A52" s="138"/>
      <c r="B52" s="138"/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</row>
    <row r="53" spans="1:18">
      <c r="A53" s="138"/>
      <c r="B53" s="138"/>
      <c r="C53" s="138"/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38"/>
      <c r="Q53" s="138"/>
      <c r="R53" s="138"/>
    </row>
    <row r="54" spans="1:18">
      <c r="A54" s="138"/>
      <c r="B54" s="138"/>
      <c r="C54" s="138"/>
      <c r="D54" s="138"/>
      <c r="E54" s="138"/>
      <c r="F54" s="138"/>
      <c r="G54" s="138"/>
      <c r="H54" s="138"/>
      <c r="I54" s="138"/>
      <c r="J54" s="138"/>
      <c r="K54" s="138"/>
      <c r="L54" s="138"/>
      <c r="M54" s="138"/>
      <c r="N54" s="138"/>
      <c r="O54" s="138"/>
      <c r="P54" s="138"/>
      <c r="Q54" s="138"/>
      <c r="R54" s="138"/>
    </row>
    <row r="55" spans="1:18">
      <c r="A55" s="138"/>
      <c r="B55" s="138"/>
      <c r="C55" s="138"/>
      <c r="D55" s="138"/>
      <c r="E55" s="138"/>
      <c r="F55" s="138"/>
      <c r="G55" s="138"/>
      <c r="H55" s="138"/>
      <c r="I55" s="138"/>
      <c r="J55" s="138"/>
      <c r="K55" s="138"/>
      <c r="L55" s="138"/>
      <c r="M55" s="138"/>
      <c r="N55" s="138"/>
      <c r="O55" s="138"/>
      <c r="P55" s="138"/>
      <c r="Q55" s="138"/>
      <c r="R55" s="138"/>
    </row>
    <row r="56" spans="1:18">
      <c r="A56" s="138"/>
      <c r="B56" s="138"/>
      <c r="C56" s="138"/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</row>
    <row r="57" spans="1:18">
      <c r="A57" s="138"/>
      <c r="B57" s="138"/>
      <c r="C57" s="138"/>
      <c r="D57" s="138"/>
      <c r="E57" s="138"/>
      <c r="F57" s="138"/>
      <c r="G57" s="138"/>
      <c r="H57" s="138"/>
      <c r="I57" s="138"/>
      <c r="J57" s="138"/>
      <c r="K57" s="138"/>
      <c r="L57" s="138"/>
      <c r="M57" s="138"/>
      <c r="N57" s="138"/>
      <c r="O57" s="138"/>
      <c r="P57" s="138"/>
      <c r="Q57" s="138"/>
      <c r="R57" s="138"/>
    </row>
    <row r="58" spans="1:18">
      <c r="A58" s="138"/>
      <c r="B58" s="138"/>
      <c r="C58" s="138"/>
      <c r="D58" s="138"/>
      <c r="E58" s="138"/>
      <c r="F58" s="138"/>
      <c r="G58" s="138"/>
      <c r="H58" s="138"/>
      <c r="I58" s="138"/>
      <c r="J58" s="138"/>
      <c r="K58" s="138"/>
      <c r="L58" s="138"/>
      <c r="M58" s="138"/>
      <c r="N58" s="138"/>
      <c r="O58" s="138"/>
      <c r="P58" s="138"/>
      <c r="Q58" s="138"/>
      <c r="R58" s="138"/>
    </row>
    <row r="59" spans="1:18">
      <c r="A59" s="138"/>
      <c r="B59" s="138"/>
      <c r="C59" s="138"/>
      <c r="D59" s="138"/>
      <c r="E59" s="138"/>
      <c r="F59" s="138"/>
      <c r="G59" s="138"/>
      <c r="H59" s="138"/>
      <c r="I59" s="138"/>
      <c r="J59" s="138"/>
      <c r="K59" s="138"/>
      <c r="L59" s="138"/>
      <c r="M59" s="138"/>
      <c r="N59" s="138"/>
      <c r="O59" s="138"/>
      <c r="P59" s="138"/>
      <c r="Q59" s="138"/>
      <c r="R59" s="138"/>
    </row>
    <row r="60" spans="1:18">
      <c r="A60" s="138"/>
      <c r="B60" s="138"/>
      <c r="C60" s="138"/>
      <c r="D60" s="138"/>
      <c r="E60" s="138"/>
      <c r="F60" s="138"/>
      <c r="G60" s="138"/>
      <c r="H60" s="138"/>
      <c r="I60" s="138"/>
      <c r="J60" s="138"/>
      <c r="K60" s="138"/>
      <c r="L60" s="138"/>
      <c r="M60" s="138"/>
      <c r="N60" s="138"/>
      <c r="O60" s="138"/>
      <c r="P60" s="138"/>
      <c r="Q60" s="138"/>
      <c r="R60" s="138"/>
    </row>
  </sheetData>
  <sheetProtection sheet="1" objects="1" scenarios="1"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C499-FD86-40EB-9B05-C7289C9D8F71}">
  <dimension ref="A1:R60"/>
  <sheetViews>
    <sheetView zoomScale="90" zoomScaleNormal="90" workbookViewId="0">
      <selection activeCell="E10" sqref="E10"/>
    </sheetView>
  </sheetViews>
  <sheetFormatPr defaultColWidth="0" defaultRowHeight="14"/>
  <cols>
    <col min="1" max="16" width="9" customWidth="1"/>
    <col min="17" max="17" width="17.83203125" customWidth="1"/>
    <col min="18" max="18" width="9" customWidth="1"/>
    <col min="19" max="16384" width="9" hidden="1"/>
  </cols>
  <sheetData>
    <row r="1" spans="1:18" ht="45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8"/>
    </row>
    <row r="2" spans="1:18" ht="23.5" customHeight="1" thickBot="1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9"/>
    </row>
    <row r="3" spans="1:18">
      <c r="A3" s="138"/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</row>
    <row r="4" spans="1:18">
      <c r="A4" s="138"/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</row>
    <row r="5" spans="1:18">
      <c r="A5" s="138"/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</row>
    <row r="6" spans="1:18">
      <c r="A6" s="138"/>
      <c r="B6" s="138"/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</row>
    <row r="7" spans="1:18">
      <c r="A7" s="138"/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</row>
    <row r="8" spans="1:18">
      <c r="A8" s="138"/>
      <c r="B8" s="189">
        <f>'Dados Tabela Din'!D207</f>
        <v>16</v>
      </c>
      <c r="C8" s="189">
        <f>'Dados Tabela Din'!F207</f>
        <v>17</v>
      </c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</row>
    <row r="9" spans="1:18">
      <c r="A9" s="138"/>
      <c r="B9" s="138"/>
      <c r="C9" s="138"/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8"/>
    </row>
    <row r="10" spans="1:18">
      <c r="A10" s="138"/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  <c r="R10" s="138"/>
    </row>
    <row r="11" spans="1:18">
      <c r="A11" s="138"/>
      <c r="B11" s="138"/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138"/>
      <c r="R11" s="138"/>
    </row>
    <row r="12" spans="1:18">
      <c r="A12" s="138"/>
      <c r="B12" s="138"/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</row>
    <row r="13" spans="1:18">
      <c r="A13" s="138"/>
      <c r="B13" s="138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</row>
    <row r="14" spans="1:18">
      <c r="A14" s="138"/>
      <c r="B14" s="138"/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</row>
    <row r="15" spans="1:18">
      <c r="A15" s="138"/>
      <c r="B15" s="138"/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</row>
    <row r="16" spans="1:18">
      <c r="A16" s="138"/>
      <c r="B16" s="138"/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</row>
    <row r="17" spans="1:18">
      <c r="A17" s="138"/>
      <c r="B17" s="138"/>
      <c r="C17" s="138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38"/>
      <c r="Q17" s="138"/>
      <c r="R17" s="138"/>
    </row>
    <row r="18" spans="1:18">
      <c r="A18" s="138"/>
      <c r="B18" s="138"/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8"/>
    </row>
    <row r="19" spans="1:18">
      <c r="A19" s="138"/>
      <c r="B19" s="138"/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</row>
    <row r="20" spans="1:18">
      <c r="A20" s="138"/>
      <c r="B20" s="138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</row>
    <row r="21" spans="1:18">
      <c r="A21" s="138"/>
      <c r="B21" s="138"/>
      <c r="C21" s="138"/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/>
    </row>
    <row r="22" spans="1:18">
      <c r="A22" s="138"/>
      <c r="B22" s="138"/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</row>
    <row r="23" spans="1:18">
      <c r="A23" s="138"/>
      <c r="B23" s="138"/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</row>
    <row r="24" spans="1:18">
      <c r="A24" s="138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</row>
    <row r="25" spans="1:18">
      <c r="A25" s="138"/>
      <c r="B25" s="138"/>
      <c r="C25" s="138"/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8"/>
      <c r="Q25" s="138"/>
      <c r="R25" s="138"/>
    </row>
    <row r="26" spans="1:18">
      <c r="A26" s="138"/>
      <c r="B26" s="138"/>
      <c r="C26" s="138"/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</row>
    <row r="27" spans="1:18">
      <c r="A27" s="138"/>
      <c r="B27" s="138"/>
      <c r="C27" s="138"/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</row>
    <row r="28" spans="1:18">
      <c r="A28" s="138"/>
      <c r="B28" s="138"/>
      <c r="C28" s="138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</row>
    <row r="29" spans="1:18">
      <c r="A29" s="138"/>
      <c r="B29" s="138"/>
      <c r="C29" s="138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</row>
    <row r="30" spans="1:18">
      <c r="A30" s="138"/>
      <c r="B30" s="138"/>
      <c r="C30" s="138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</row>
    <row r="31" spans="1:18">
      <c r="A31" s="138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</row>
    <row r="32" spans="1:18">
      <c r="A32" s="138"/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</row>
    <row r="33" spans="1:18">
      <c r="A33" s="138"/>
      <c r="B33" s="138"/>
      <c r="C33" s="138"/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</row>
    <row r="34" spans="1:18">
      <c r="A34" s="138"/>
      <c r="B34" s="138"/>
      <c r="C34" s="138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</row>
    <row r="35" spans="1:18">
      <c r="A35" s="138"/>
      <c r="B35" s="138"/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</row>
    <row r="36" spans="1:18">
      <c r="A36" s="138"/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</row>
    <row r="37" spans="1:18">
      <c r="A37" s="138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</row>
    <row r="38" spans="1:18">
      <c r="A38" s="138"/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</row>
    <row r="39" spans="1:18">
      <c r="A39" s="138"/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</row>
    <row r="40" spans="1:18">
      <c r="A40" s="138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</row>
    <row r="41" spans="1:18">
      <c r="A41" s="138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</row>
    <row r="42" spans="1:18">
      <c r="A42" s="138"/>
      <c r="B42" s="138"/>
      <c r="C42" s="138"/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</row>
    <row r="43" spans="1:18">
      <c r="A43" s="138"/>
      <c r="B43" s="138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</row>
    <row r="44" spans="1:18">
      <c r="A44" s="138"/>
      <c r="B44" s="138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</row>
    <row r="45" spans="1:18">
      <c r="A45" s="138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</row>
    <row r="46" spans="1:18">
      <c r="A46" s="138"/>
      <c r="B46" s="138"/>
      <c r="C46" s="138"/>
      <c r="D46" s="138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</row>
    <row r="47" spans="1:18">
      <c r="A47" s="138"/>
      <c r="B47" s="138"/>
      <c r="C47" s="138"/>
      <c r="D47" s="138"/>
      <c r="E47" s="138"/>
      <c r="F47" s="138"/>
      <c r="G47" s="138"/>
      <c r="H47" s="138"/>
      <c r="I47" s="138"/>
      <c r="J47" s="138"/>
      <c r="K47" s="138"/>
      <c r="L47" s="138"/>
      <c r="M47" s="138"/>
      <c r="N47" s="138"/>
      <c r="O47" s="138"/>
      <c r="P47" s="138"/>
      <c r="Q47" s="138"/>
      <c r="R47" s="138"/>
    </row>
    <row r="48" spans="1:18">
      <c r="A48" s="138"/>
      <c r="B48" s="138"/>
      <c r="C48" s="138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</row>
    <row r="49" spans="1:18">
      <c r="A49" s="138"/>
      <c r="B49" s="138"/>
      <c r="C49" s="138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</row>
    <row r="50" spans="1:18">
      <c r="A50" s="138"/>
      <c r="B50" s="138"/>
      <c r="C50" s="138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</row>
    <row r="51" spans="1:18">
      <c r="A51" s="138"/>
      <c r="B51" s="13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</row>
    <row r="52" spans="1:18">
      <c r="A52" s="138"/>
      <c r="B52" s="138"/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</row>
    <row r="53" spans="1:18">
      <c r="A53" s="138"/>
      <c r="B53" s="138"/>
      <c r="C53" s="138"/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38"/>
      <c r="Q53" s="138"/>
      <c r="R53" s="138"/>
    </row>
    <row r="54" spans="1:18">
      <c r="A54" s="138"/>
      <c r="B54" s="138"/>
      <c r="C54" s="138"/>
      <c r="D54" s="138"/>
      <c r="E54" s="138"/>
      <c r="F54" s="138"/>
      <c r="G54" s="138"/>
      <c r="H54" s="138"/>
      <c r="I54" s="138"/>
      <c r="J54" s="138"/>
      <c r="K54" s="138"/>
      <c r="L54" s="138"/>
      <c r="M54" s="138"/>
      <c r="N54" s="138"/>
      <c r="O54" s="138"/>
      <c r="P54" s="138"/>
      <c r="Q54" s="138"/>
      <c r="R54" s="138"/>
    </row>
    <row r="55" spans="1:18">
      <c r="A55" s="138"/>
      <c r="B55" s="138"/>
      <c r="C55" s="138"/>
      <c r="D55" s="138"/>
      <c r="E55" s="138"/>
      <c r="F55" s="138"/>
      <c r="G55" s="138"/>
      <c r="H55" s="138"/>
      <c r="I55" s="138"/>
      <c r="J55" s="138"/>
      <c r="K55" s="138"/>
      <c r="L55" s="138"/>
      <c r="M55" s="138"/>
      <c r="N55" s="138"/>
      <c r="O55" s="138"/>
      <c r="P55" s="138"/>
      <c r="Q55" s="138"/>
      <c r="R55" s="138"/>
    </row>
    <row r="56" spans="1:18">
      <c r="A56" s="138"/>
      <c r="B56" s="138"/>
      <c r="C56" s="138"/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</row>
    <row r="57" spans="1:18">
      <c r="A57" s="138"/>
      <c r="B57" s="138"/>
      <c r="C57" s="138"/>
      <c r="D57" s="138"/>
      <c r="E57" s="138"/>
      <c r="F57" s="138"/>
      <c r="G57" s="138"/>
      <c r="H57" s="138"/>
      <c r="I57" s="138"/>
      <c r="J57" s="138"/>
      <c r="K57" s="138"/>
      <c r="L57" s="138"/>
      <c r="M57" s="138"/>
      <c r="N57" s="138"/>
      <c r="O57" s="138"/>
      <c r="P57" s="138"/>
      <c r="Q57" s="138"/>
      <c r="R57" s="138"/>
    </row>
    <row r="58" spans="1:18">
      <c r="A58" s="138"/>
      <c r="B58" s="138"/>
      <c r="C58" s="138"/>
      <c r="D58" s="138"/>
      <c r="E58" s="138"/>
      <c r="F58" s="138"/>
      <c r="G58" s="138"/>
      <c r="H58" s="138"/>
      <c r="I58" s="138"/>
      <c r="J58" s="138"/>
      <c r="K58" s="138"/>
      <c r="L58" s="138"/>
      <c r="M58" s="138"/>
      <c r="N58" s="138"/>
      <c r="O58" s="138"/>
      <c r="P58" s="138"/>
      <c r="Q58" s="138"/>
      <c r="R58" s="138"/>
    </row>
    <row r="59" spans="1:18">
      <c r="A59" s="138"/>
      <c r="B59" s="138"/>
      <c r="C59" s="138"/>
      <c r="D59" s="138"/>
      <c r="E59" s="138"/>
      <c r="F59" s="138"/>
      <c r="G59" s="138"/>
      <c r="H59" s="138"/>
      <c r="I59" s="138"/>
      <c r="J59" s="138"/>
      <c r="K59" s="138"/>
      <c r="L59" s="138"/>
      <c r="M59" s="138"/>
      <c r="N59" s="138"/>
      <c r="O59" s="138"/>
      <c r="P59" s="138"/>
      <c r="Q59" s="138"/>
      <c r="R59" s="138"/>
    </row>
    <row r="60" spans="1:18">
      <c r="A60" s="138"/>
      <c r="B60" s="138"/>
      <c r="C60" s="138"/>
      <c r="D60" s="138"/>
      <c r="E60" s="138"/>
      <c r="F60" s="138"/>
      <c r="G60" s="138"/>
      <c r="H60" s="138"/>
      <c r="I60" s="138"/>
      <c r="J60" s="138"/>
      <c r="K60" s="138"/>
      <c r="L60" s="138"/>
      <c r="M60" s="138"/>
      <c r="N60" s="138"/>
      <c r="O60" s="138"/>
      <c r="P60" s="138"/>
      <c r="Q60" s="138"/>
      <c r="R60" s="138"/>
    </row>
  </sheetData>
  <sheetProtection sheet="1" objects="1" scenarios="1"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2A17-E6C8-4573-B9E2-8C4AD6A21128}">
  <dimension ref="A2:CC212"/>
  <sheetViews>
    <sheetView topLeftCell="A4" zoomScale="80" zoomScaleNormal="80" workbookViewId="0">
      <pane xSplit="1" topLeftCell="B1" activePane="topRight" state="frozen"/>
      <selection pane="topRight" activeCell="B22" sqref="B22"/>
    </sheetView>
  </sheetViews>
  <sheetFormatPr defaultColWidth="8.75" defaultRowHeight="14"/>
  <cols>
    <col min="1" max="1" width="8.58203125" style="19" customWidth="1"/>
    <col min="2" max="2" width="49.08203125" style="19" customWidth="1"/>
    <col min="3" max="3" width="70.83203125" style="19" bestFit="1" customWidth="1"/>
    <col min="4" max="4" width="20.5" style="19" customWidth="1"/>
    <col min="5" max="5" width="43.25" style="19" bestFit="1" customWidth="1"/>
    <col min="6" max="6" width="38" style="19" customWidth="1"/>
    <col min="7" max="7" width="23" style="19" customWidth="1"/>
    <col min="8" max="8" width="23.5" style="19" customWidth="1"/>
    <col min="9" max="9" width="61.08203125" style="19" customWidth="1"/>
    <col min="10" max="10" width="54.25" style="19" customWidth="1"/>
    <col min="11" max="11" width="19.08203125" style="19" customWidth="1"/>
    <col min="12" max="12" width="37" style="19" customWidth="1"/>
    <col min="13" max="13" width="41.58203125" style="19" customWidth="1"/>
    <col min="14" max="14" width="22.83203125" style="19" customWidth="1"/>
    <col min="15" max="18" width="15.58203125" style="19" customWidth="1"/>
    <col min="19" max="44" width="8.75" style="19"/>
    <col min="45" max="45" width="15.08203125" style="19" customWidth="1"/>
    <col min="46" max="46" width="10.75" style="19" customWidth="1"/>
    <col min="47" max="47" width="12.33203125" style="19" customWidth="1"/>
    <col min="48" max="48" width="10.75" style="19" customWidth="1"/>
    <col min="49" max="49" width="8.75" style="19"/>
    <col min="50" max="50" width="10.5" style="19" customWidth="1"/>
    <col min="51" max="54" width="8.75" style="19"/>
    <col min="55" max="55" width="10" style="19" bestFit="1" customWidth="1"/>
    <col min="56" max="60" width="8.75" style="19"/>
    <col min="61" max="61" width="11.58203125" style="19" customWidth="1"/>
    <col min="62" max="73" width="8.75" style="19"/>
    <col min="74" max="74" width="11.83203125" style="19" customWidth="1"/>
    <col min="75" max="16384" width="8.75" style="19"/>
  </cols>
  <sheetData>
    <row r="2" spans="1:81" ht="17">
      <c r="A2" s="224" t="s">
        <v>46</v>
      </c>
      <c r="B2" s="224"/>
      <c r="C2" s="224"/>
      <c r="D2" s="224"/>
      <c r="E2" s="224"/>
      <c r="F2" s="224"/>
      <c r="G2" s="224"/>
      <c r="H2" s="224"/>
      <c r="I2" s="224"/>
      <c r="J2" s="224"/>
      <c r="K2" s="224"/>
      <c r="L2" s="23"/>
      <c r="AS2" s="19">
        <v>5290</v>
      </c>
      <c r="AT2" s="19">
        <v>5156</v>
      </c>
      <c r="AU2" s="19">
        <v>3234</v>
      </c>
      <c r="AV2" s="19">
        <v>4811</v>
      </c>
      <c r="AX2" s="66">
        <f>SUM(AS2:AV2)/4</f>
        <v>4622.75</v>
      </c>
      <c r="BC2" s="19">
        <v>2154</v>
      </c>
      <c r="BD2" s="19">
        <v>3909</v>
      </c>
      <c r="BE2" s="19">
        <v>4033</v>
      </c>
      <c r="BF2" s="19">
        <v>4161</v>
      </c>
      <c r="BG2" s="19">
        <v>2398</v>
      </c>
      <c r="BI2" s="66">
        <f>SUM(BC2:BG2)/5</f>
        <v>3331</v>
      </c>
      <c r="BP2" s="19">
        <v>4453</v>
      </c>
      <c r="BQ2" s="19">
        <v>3526</v>
      </c>
      <c r="BR2" s="19">
        <v>3782</v>
      </c>
      <c r="BS2" s="19">
        <v>4033</v>
      </c>
      <c r="BT2" s="19">
        <v>2783</v>
      </c>
      <c r="BU2" s="19">
        <v>3365</v>
      </c>
      <c r="BW2" s="69">
        <f>MEDIAN(BP2,BQ2,BR2,BS2,BT2,BU2,)</f>
        <v>3526</v>
      </c>
      <c r="BY2" s="70">
        <f>AVERAGE(BQ2,BT2,BU2)</f>
        <v>3224.6666666666665</v>
      </c>
    </row>
    <row r="3" spans="1:81" ht="42">
      <c r="A3" s="57" t="s">
        <v>329</v>
      </c>
      <c r="B3" s="57" t="s">
        <v>49</v>
      </c>
      <c r="C3" s="57" t="s">
        <v>50</v>
      </c>
      <c r="D3" s="57" t="s">
        <v>51</v>
      </c>
      <c r="E3" s="57" t="s">
        <v>330</v>
      </c>
      <c r="F3" s="57" t="s">
        <v>610</v>
      </c>
      <c r="G3" s="57" t="s">
        <v>54</v>
      </c>
      <c r="H3" s="57" t="s">
        <v>624</v>
      </c>
      <c r="I3" s="57" t="s">
        <v>634</v>
      </c>
      <c r="J3" s="80" t="s">
        <v>672</v>
      </c>
      <c r="K3" s="80" t="s">
        <v>676</v>
      </c>
      <c r="L3" s="80" t="s">
        <v>899</v>
      </c>
      <c r="M3" s="141" t="s">
        <v>900</v>
      </c>
      <c r="N3" s="141" t="s">
        <v>901</v>
      </c>
      <c r="O3" s="175" t="s">
        <v>673</v>
      </c>
      <c r="P3" s="175" t="s">
        <v>674</v>
      </c>
      <c r="Q3" s="175" t="s">
        <v>675</v>
      </c>
      <c r="R3" s="175" t="s">
        <v>902</v>
      </c>
      <c r="AS3" s="25" t="s">
        <v>611</v>
      </c>
      <c r="AT3" s="25" t="s">
        <v>612</v>
      </c>
      <c r="AU3" s="25" t="s">
        <v>613</v>
      </c>
      <c r="AV3" s="25" t="s">
        <v>614</v>
      </c>
      <c r="AX3" s="68" t="s">
        <v>632</v>
      </c>
      <c r="BC3" s="19" t="s">
        <v>618</v>
      </c>
      <c r="BD3" s="19" t="s">
        <v>619</v>
      </c>
      <c r="BE3" s="19" t="s">
        <v>620</v>
      </c>
      <c r="BF3" s="19" t="s">
        <v>621</v>
      </c>
      <c r="BG3" s="19" t="s">
        <v>622</v>
      </c>
      <c r="BI3" s="68" t="s">
        <v>633</v>
      </c>
      <c r="BP3" s="36" t="s">
        <v>625</v>
      </c>
      <c r="BQ3" s="176" t="s">
        <v>626</v>
      </c>
      <c r="BR3" s="36" t="s">
        <v>627</v>
      </c>
      <c r="BS3" s="36" t="s">
        <v>620</v>
      </c>
      <c r="BT3" s="176" t="s">
        <v>628</v>
      </c>
      <c r="BU3" s="176" t="s">
        <v>629</v>
      </c>
      <c r="BW3" s="25" t="s">
        <v>633</v>
      </c>
      <c r="BX3" s="25"/>
      <c r="BY3" s="25" t="s">
        <v>633</v>
      </c>
      <c r="CC3" s="19" t="s">
        <v>975</v>
      </c>
    </row>
    <row r="4" spans="1:81" ht="87.5" customHeight="1">
      <c r="A4" s="24">
        <v>1</v>
      </c>
      <c r="B4" s="24" t="s">
        <v>331</v>
      </c>
      <c r="C4" s="25" t="s">
        <v>59</v>
      </c>
      <c r="D4" s="24" t="s">
        <v>60</v>
      </c>
      <c r="E4" s="57" t="s">
        <v>332</v>
      </c>
      <c r="F4" s="61">
        <v>0.52410000000000001</v>
      </c>
      <c r="G4" s="26">
        <f>AX4</f>
        <v>0.46065</v>
      </c>
      <c r="H4" s="26">
        <f>BI4</f>
        <v>0.63483999999999996</v>
      </c>
      <c r="I4" s="26">
        <v>0.5387333333333334</v>
      </c>
      <c r="J4" s="125" t="s">
        <v>726</v>
      </c>
      <c r="K4" s="140" t="s">
        <v>854</v>
      </c>
      <c r="L4" s="183" t="s">
        <v>906</v>
      </c>
      <c r="M4" s="126" t="s">
        <v>922</v>
      </c>
      <c r="N4" s="26"/>
      <c r="O4" s="26"/>
      <c r="P4" s="26"/>
      <c r="Q4" s="26"/>
      <c r="R4" s="26"/>
      <c r="AS4" s="62">
        <v>0.4929</v>
      </c>
      <c r="AT4" s="62">
        <v>0.42559999999999998</v>
      </c>
      <c r="AU4" s="62">
        <v>0.44090000000000001</v>
      </c>
      <c r="AV4" s="62">
        <v>0.48320000000000002</v>
      </c>
      <c r="AX4" s="63">
        <f>SUM(AS4:AV4)/4</f>
        <v>0.46065</v>
      </c>
      <c r="BC4" s="63">
        <v>0.68049999999999999</v>
      </c>
      <c r="BD4" s="63">
        <v>0.64029999999999998</v>
      </c>
      <c r="BE4" s="63">
        <v>0.59589999999999999</v>
      </c>
      <c r="BF4" s="63">
        <v>0.62439999999999996</v>
      </c>
      <c r="BG4" s="63">
        <v>0.6331</v>
      </c>
      <c r="BI4" s="63">
        <f>AVERAGE(BC4,BD4,BE4,BF4,BG4)</f>
        <v>0.63483999999999996</v>
      </c>
      <c r="BP4" s="68">
        <v>0.5282</v>
      </c>
      <c r="BQ4" s="68">
        <v>0.43630000000000002</v>
      </c>
      <c r="BR4" s="68">
        <v>0.48270000000000002</v>
      </c>
      <c r="BS4" s="68">
        <v>0.59589999999999999</v>
      </c>
      <c r="BT4" s="68">
        <v>0.74960000000000004</v>
      </c>
      <c r="BU4" s="68">
        <v>0.43030000000000002</v>
      </c>
      <c r="BW4" s="27">
        <f>MEDIAN(BP4,BQ4,BR4,BS4,BT4,BU4,)</f>
        <v>0.48270000000000002</v>
      </c>
      <c r="BY4" s="27">
        <f>AVERAGE(BQ4,BT4,BU4)</f>
        <v>0.5387333333333334</v>
      </c>
      <c r="CC4" s="63">
        <f>SUM(BQ4+BT4+BU4)/3</f>
        <v>0.5387333333333334</v>
      </c>
    </row>
    <row r="5" spans="1:81" ht="84">
      <c r="A5" s="24">
        <v>2</v>
      </c>
      <c r="B5" s="24" t="s">
        <v>333</v>
      </c>
      <c r="C5" s="25" t="s">
        <v>63</v>
      </c>
      <c r="D5" s="24" t="s">
        <v>64</v>
      </c>
      <c r="E5" s="57" t="s">
        <v>334</v>
      </c>
      <c r="F5" s="61">
        <v>0.52769999999999995</v>
      </c>
      <c r="G5" s="26">
        <f t="shared" ref="G5:G20" si="0">AX5</f>
        <v>0.50295000000000001</v>
      </c>
      <c r="H5" s="26">
        <f t="shared" ref="H5:H20" si="1">BI5</f>
        <v>0.42038000000000003</v>
      </c>
      <c r="I5" s="26">
        <v>0.47266666666666673</v>
      </c>
      <c r="J5" s="126" t="s">
        <v>727</v>
      </c>
      <c r="K5" s="140" t="s">
        <v>854</v>
      </c>
      <c r="L5" s="126" t="s">
        <v>907</v>
      </c>
      <c r="M5" s="126" t="s">
        <v>923</v>
      </c>
      <c r="N5" s="26"/>
      <c r="O5" s="26"/>
      <c r="P5" s="26"/>
      <c r="Q5" s="26"/>
      <c r="R5" s="26"/>
      <c r="AS5" s="63">
        <v>0.49480000000000002</v>
      </c>
      <c r="AT5" s="63">
        <v>0.54239999999999999</v>
      </c>
      <c r="AU5" s="63">
        <v>0.48930000000000001</v>
      </c>
      <c r="AV5" s="63">
        <v>0.48530000000000001</v>
      </c>
      <c r="AX5" s="63">
        <f t="shared" ref="AX5:AX23" si="2">SUM(AS5:AV5)/4</f>
        <v>0.50295000000000001</v>
      </c>
      <c r="BC5" s="63">
        <v>0.44929999999999998</v>
      </c>
      <c r="BD5" s="63">
        <v>0.44119999999999998</v>
      </c>
      <c r="BE5" s="63">
        <v>0.38619999999999999</v>
      </c>
      <c r="BF5" s="63">
        <v>0.33779999999999999</v>
      </c>
      <c r="BG5" s="63">
        <v>0.4874</v>
      </c>
      <c r="BI5" s="63">
        <f t="shared" ref="BI5:BI23" si="3">AVERAGE(BC5,BD5,BE5,BF5,BG5)</f>
        <v>0.42038000000000003</v>
      </c>
      <c r="BP5" s="68">
        <v>0.4012</v>
      </c>
      <c r="BQ5" s="68">
        <v>0.57399999999999995</v>
      </c>
      <c r="BR5" s="68">
        <v>0.46360000000000001</v>
      </c>
      <c r="BS5" s="68">
        <v>0.38619999999999999</v>
      </c>
      <c r="BT5" s="68">
        <v>0.47820000000000001</v>
      </c>
      <c r="BU5" s="68">
        <v>0.36580000000000001</v>
      </c>
      <c r="BW5" s="27">
        <f t="shared" ref="BW5:BW20" si="4">MEDIAN(BP5,BQ5,BR5,BS5,BT5,BU5,)</f>
        <v>0.4012</v>
      </c>
      <c r="BY5" s="27">
        <f t="shared" ref="BY5:BY23" si="5">AVERAGE(BQ5,BT5,BU5)</f>
        <v>0.47266666666666673</v>
      </c>
      <c r="CC5" s="63">
        <f t="shared" ref="CC5:CC20" si="6">SUM(BQ5+BT5+BU5)/3</f>
        <v>0.47266666666666673</v>
      </c>
    </row>
    <row r="6" spans="1:81" ht="56">
      <c r="A6" s="24">
        <v>3</v>
      </c>
      <c r="B6" s="24" t="s">
        <v>335</v>
      </c>
      <c r="C6" s="25" t="s">
        <v>66</v>
      </c>
      <c r="D6" s="24" t="s">
        <v>60</v>
      </c>
      <c r="E6" s="57" t="s">
        <v>336</v>
      </c>
      <c r="F6" s="61">
        <v>0.69489999999999996</v>
      </c>
      <c r="G6" s="26">
        <f t="shared" si="0"/>
        <v>0.640625</v>
      </c>
      <c r="H6" s="26">
        <f t="shared" si="1"/>
        <v>0.62195999999999996</v>
      </c>
      <c r="I6" s="26">
        <v>0.70926666666666671</v>
      </c>
      <c r="J6" s="126" t="s">
        <v>728</v>
      </c>
      <c r="K6" s="140" t="s">
        <v>872</v>
      </c>
      <c r="L6" s="126" t="s">
        <v>908</v>
      </c>
      <c r="M6" s="126" t="s">
        <v>924</v>
      </c>
      <c r="N6" s="26"/>
      <c r="O6" s="26"/>
      <c r="P6" s="26"/>
      <c r="Q6" s="26"/>
      <c r="R6" s="26"/>
      <c r="AS6" s="63">
        <v>0.4884</v>
      </c>
      <c r="AT6" s="63">
        <v>0.68530000000000002</v>
      </c>
      <c r="AU6" s="63">
        <v>0.67300000000000004</v>
      </c>
      <c r="AV6" s="63">
        <v>0.71579999999999999</v>
      </c>
      <c r="AX6" s="63">
        <f t="shared" si="2"/>
        <v>0.640625</v>
      </c>
      <c r="BC6" s="63">
        <v>0.58720000000000006</v>
      </c>
      <c r="BD6" s="63">
        <v>0.57550000000000001</v>
      </c>
      <c r="BE6" s="63">
        <v>0.64929999999999999</v>
      </c>
      <c r="BF6" s="63">
        <v>0.62619999999999998</v>
      </c>
      <c r="BG6" s="63">
        <v>0.67159999999999997</v>
      </c>
      <c r="BI6" s="63">
        <f t="shared" si="3"/>
        <v>0.62195999999999996</v>
      </c>
      <c r="BP6" s="68">
        <v>0.59050000000000002</v>
      </c>
      <c r="BQ6" s="68">
        <v>0.71509999999999996</v>
      </c>
      <c r="BR6" s="68">
        <v>0.70269999999999999</v>
      </c>
      <c r="BS6" s="68">
        <v>0.64929999999999999</v>
      </c>
      <c r="BT6" s="68">
        <v>0.68979999999999997</v>
      </c>
      <c r="BU6" s="68">
        <v>0.72289999999999999</v>
      </c>
      <c r="BW6" s="27">
        <f t="shared" si="4"/>
        <v>0.68979999999999997</v>
      </c>
      <c r="BY6" s="27">
        <f t="shared" si="5"/>
        <v>0.70926666666666671</v>
      </c>
      <c r="CC6" s="63">
        <f t="shared" si="6"/>
        <v>0.70926666666666671</v>
      </c>
    </row>
    <row r="7" spans="1:81" ht="56">
      <c r="A7" s="24">
        <v>4</v>
      </c>
      <c r="B7" s="24" t="s">
        <v>337</v>
      </c>
      <c r="C7" s="25" t="s">
        <v>69</v>
      </c>
      <c r="D7" s="24" t="s">
        <v>60</v>
      </c>
      <c r="E7" s="57" t="s">
        <v>338</v>
      </c>
      <c r="F7" s="61">
        <v>0.39169999999999999</v>
      </c>
      <c r="G7" s="26">
        <f t="shared" si="0"/>
        <v>0.32032500000000003</v>
      </c>
      <c r="H7" s="26">
        <f t="shared" si="1"/>
        <v>0.44875999999999994</v>
      </c>
      <c r="I7" s="26">
        <v>0.39716666666666667</v>
      </c>
      <c r="J7" s="126" t="s">
        <v>729</v>
      </c>
      <c r="K7" s="140" t="s">
        <v>866</v>
      </c>
      <c r="L7" s="126" t="s">
        <v>930</v>
      </c>
      <c r="M7" s="126" t="s">
        <v>909</v>
      </c>
      <c r="N7" s="26"/>
      <c r="O7" s="26"/>
      <c r="P7" s="26"/>
      <c r="Q7" s="26"/>
      <c r="R7" s="26"/>
      <c r="AS7" s="63">
        <v>0.1943</v>
      </c>
      <c r="AT7" s="63">
        <v>0.35160000000000002</v>
      </c>
      <c r="AU7" s="63">
        <v>0.4168</v>
      </c>
      <c r="AV7" s="63">
        <v>0.31859999999999999</v>
      </c>
      <c r="AX7" s="63">
        <f t="shared" si="2"/>
        <v>0.32032500000000003</v>
      </c>
      <c r="BC7" s="63">
        <v>0.4511</v>
      </c>
      <c r="BD7" s="63">
        <v>0.43469999999999998</v>
      </c>
      <c r="BE7" s="63">
        <v>0.49059999999999998</v>
      </c>
      <c r="BF7" s="63">
        <v>0.44390000000000002</v>
      </c>
      <c r="BG7" s="63">
        <v>0.42349999999999999</v>
      </c>
      <c r="BI7" s="63">
        <f t="shared" si="3"/>
        <v>0.44875999999999994</v>
      </c>
      <c r="BP7" s="68">
        <v>0.38350000000000001</v>
      </c>
      <c r="BQ7" s="68">
        <v>0.40200000000000002</v>
      </c>
      <c r="BR7" s="68">
        <v>0.35620000000000002</v>
      </c>
      <c r="BS7" s="68">
        <v>0.49059999999999998</v>
      </c>
      <c r="BT7" s="68">
        <v>0.39119999999999999</v>
      </c>
      <c r="BU7" s="68">
        <v>0.39829999999999999</v>
      </c>
      <c r="BW7" s="27">
        <f t="shared" si="4"/>
        <v>0.39119999999999999</v>
      </c>
      <c r="BY7" s="27">
        <f t="shared" si="5"/>
        <v>0.39716666666666667</v>
      </c>
      <c r="CC7" s="63">
        <f t="shared" si="6"/>
        <v>0.39716666666666667</v>
      </c>
    </row>
    <row r="8" spans="1:81" ht="56" customHeight="1">
      <c r="A8" s="24">
        <v>5</v>
      </c>
      <c r="B8" s="24" t="s">
        <v>339</v>
      </c>
      <c r="C8" s="25" t="s">
        <v>71</v>
      </c>
      <c r="D8" s="24" t="s">
        <v>72</v>
      </c>
      <c r="E8" s="57" t="s">
        <v>340</v>
      </c>
      <c r="F8" s="61">
        <v>0.2843</v>
      </c>
      <c r="G8" s="26">
        <f t="shared" si="0"/>
        <v>0.31832500000000002</v>
      </c>
      <c r="H8" s="26">
        <f t="shared" si="1"/>
        <v>0.30375999999999997</v>
      </c>
      <c r="I8" s="26">
        <v>0.47350000000000003</v>
      </c>
      <c r="J8" s="126" t="s">
        <v>730</v>
      </c>
      <c r="K8" s="140" t="s">
        <v>872</v>
      </c>
      <c r="L8" s="126" t="s">
        <v>910</v>
      </c>
      <c r="M8" s="126" t="s">
        <v>937</v>
      </c>
      <c r="N8" s="26"/>
      <c r="O8" s="26"/>
      <c r="P8" s="26"/>
      <c r="Q8" s="26"/>
      <c r="R8" s="26"/>
      <c r="AS8" s="63">
        <v>0.34599999999999997</v>
      </c>
      <c r="AT8" s="63">
        <v>0.27279999999999999</v>
      </c>
      <c r="AU8" s="63">
        <v>0.30370000000000003</v>
      </c>
      <c r="AV8" s="63">
        <v>0.3508</v>
      </c>
      <c r="AX8" s="63">
        <f t="shared" si="2"/>
        <v>0.31832500000000002</v>
      </c>
      <c r="BC8" s="63">
        <v>0.39550000000000002</v>
      </c>
      <c r="BD8" s="63">
        <v>0.3871</v>
      </c>
      <c r="BE8" s="63">
        <v>0.13550000000000001</v>
      </c>
      <c r="BF8" s="63">
        <v>0.19739999999999999</v>
      </c>
      <c r="BG8" s="63">
        <v>0.40329999999999999</v>
      </c>
      <c r="BI8" s="63">
        <f t="shared" si="3"/>
        <v>0.30375999999999997</v>
      </c>
      <c r="BP8" s="68">
        <v>0.29060000000000002</v>
      </c>
      <c r="BQ8" s="68">
        <v>0.30470000000000003</v>
      </c>
      <c r="BR8" s="68">
        <v>0.35099999999999998</v>
      </c>
      <c r="BS8" s="68">
        <v>0.13550000000000001</v>
      </c>
      <c r="BT8" s="68">
        <v>0.48559999999999998</v>
      </c>
      <c r="BU8" s="68">
        <v>0.63019999999999998</v>
      </c>
      <c r="BW8" s="27">
        <f t="shared" si="4"/>
        <v>0.30470000000000003</v>
      </c>
      <c r="BY8" s="27">
        <f t="shared" si="5"/>
        <v>0.47350000000000003</v>
      </c>
      <c r="CC8" s="63">
        <f t="shared" si="6"/>
        <v>0.47350000000000003</v>
      </c>
    </row>
    <row r="9" spans="1:81" ht="70">
      <c r="A9" s="24">
        <v>6</v>
      </c>
      <c r="B9" s="24" t="s">
        <v>341</v>
      </c>
      <c r="C9" s="25" t="s">
        <v>74</v>
      </c>
      <c r="D9" s="24" t="s">
        <v>60</v>
      </c>
      <c r="E9" s="57" t="s">
        <v>342</v>
      </c>
      <c r="F9" s="61">
        <v>0.71970000000000001</v>
      </c>
      <c r="G9" s="26">
        <f t="shared" si="0"/>
        <v>0.43720000000000003</v>
      </c>
      <c r="H9" s="26">
        <f t="shared" si="1"/>
        <v>0.69467999999999996</v>
      </c>
      <c r="I9" s="26">
        <v>0.65746666666666664</v>
      </c>
      <c r="J9" s="126" t="s">
        <v>731</v>
      </c>
      <c r="K9" s="140" t="s">
        <v>872</v>
      </c>
      <c r="L9" s="126" t="s">
        <v>911</v>
      </c>
      <c r="M9" s="126" t="s">
        <v>925</v>
      </c>
      <c r="N9" s="26"/>
      <c r="O9" s="26"/>
      <c r="P9" s="26"/>
      <c r="Q9" s="26"/>
      <c r="R9" s="26"/>
      <c r="AS9" s="63">
        <v>0.39860000000000001</v>
      </c>
      <c r="AT9" s="63">
        <v>0.37319999999999998</v>
      </c>
      <c r="AU9" s="63">
        <v>0.57699999999999996</v>
      </c>
      <c r="AV9" s="63">
        <v>0.4</v>
      </c>
      <c r="AX9" s="63">
        <f t="shared" si="2"/>
        <v>0.43720000000000003</v>
      </c>
      <c r="BC9" s="63">
        <v>0.68869999999999998</v>
      </c>
      <c r="BD9" s="63">
        <v>0.61739999999999995</v>
      </c>
      <c r="BE9" s="63">
        <v>0.70679999999999998</v>
      </c>
      <c r="BF9" s="63">
        <v>0.63019999999999998</v>
      </c>
      <c r="BG9" s="63">
        <v>0.83030000000000004</v>
      </c>
      <c r="BI9" s="63">
        <f t="shared" si="3"/>
        <v>0.69467999999999996</v>
      </c>
      <c r="BP9" s="68">
        <v>0.67369999999999997</v>
      </c>
      <c r="BQ9" s="68">
        <v>0.44750000000000001</v>
      </c>
      <c r="BR9" s="68">
        <v>0.76970000000000005</v>
      </c>
      <c r="BS9" s="68">
        <v>0.70679999999999998</v>
      </c>
      <c r="BT9" s="68">
        <v>0.70020000000000004</v>
      </c>
      <c r="BU9" s="68">
        <v>0.82469999999999999</v>
      </c>
      <c r="BW9" s="27">
        <f t="shared" si="4"/>
        <v>0.70020000000000004</v>
      </c>
      <c r="BY9" s="27">
        <f t="shared" si="5"/>
        <v>0.65746666666666664</v>
      </c>
      <c r="CC9" s="63">
        <f t="shared" si="6"/>
        <v>0.65746666666666664</v>
      </c>
    </row>
    <row r="10" spans="1:81" ht="56">
      <c r="A10" s="24">
        <v>7</v>
      </c>
      <c r="B10" s="24" t="s">
        <v>343</v>
      </c>
      <c r="C10" s="25" t="s">
        <v>76</v>
      </c>
      <c r="D10" s="24" t="s">
        <v>77</v>
      </c>
      <c r="E10" s="57" t="s">
        <v>344</v>
      </c>
      <c r="F10" s="61">
        <v>0.91449999999999998</v>
      </c>
      <c r="G10" s="26">
        <f t="shared" si="0"/>
        <v>0.82872499999999993</v>
      </c>
      <c r="H10" s="26">
        <f t="shared" si="1"/>
        <v>0.89742</v>
      </c>
      <c r="I10" s="26">
        <v>0.6502</v>
      </c>
      <c r="J10" s="125" t="s">
        <v>732</v>
      </c>
      <c r="K10" s="140" t="s">
        <v>872</v>
      </c>
      <c r="L10" s="126" t="s">
        <v>929</v>
      </c>
      <c r="M10" s="126" t="s">
        <v>912</v>
      </c>
      <c r="N10" s="26"/>
      <c r="O10" s="26"/>
      <c r="P10" s="26"/>
      <c r="Q10" s="26"/>
      <c r="R10" s="26"/>
      <c r="AS10" s="63">
        <v>0.79849999999999999</v>
      </c>
      <c r="AT10" s="63">
        <v>0.7974</v>
      </c>
      <c r="AU10" s="63">
        <v>0.90969999999999995</v>
      </c>
      <c r="AV10" s="63">
        <v>0.80930000000000002</v>
      </c>
      <c r="AX10" s="63">
        <f t="shared" si="2"/>
        <v>0.82872499999999993</v>
      </c>
      <c r="BC10" s="63">
        <v>0.90390000000000004</v>
      </c>
      <c r="BD10" s="63">
        <v>0.88480000000000003</v>
      </c>
      <c r="BE10" s="63">
        <v>0.92410000000000003</v>
      </c>
      <c r="BF10" s="63">
        <v>0.91279999999999994</v>
      </c>
      <c r="BG10" s="63">
        <v>0.86150000000000004</v>
      </c>
      <c r="BI10" s="63">
        <f t="shared" si="3"/>
        <v>0.89742</v>
      </c>
      <c r="BP10" s="68">
        <v>0.84830000000000005</v>
      </c>
      <c r="BQ10" s="68">
        <v>0.70799999999999996</v>
      </c>
      <c r="BR10" s="68">
        <v>0.81820000000000004</v>
      </c>
      <c r="BS10" s="68">
        <v>0.92410000000000003</v>
      </c>
      <c r="BT10" s="68">
        <v>0.85740000000000005</v>
      </c>
      <c r="BU10" s="68">
        <v>0.38519999999999999</v>
      </c>
      <c r="BW10" s="27">
        <f t="shared" si="4"/>
        <v>0.81820000000000004</v>
      </c>
      <c r="BY10" s="27">
        <f t="shared" si="5"/>
        <v>0.6502</v>
      </c>
      <c r="CC10" s="63">
        <f t="shared" si="6"/>
        <v>0.6502</v>
      </c>
    </row>
    <row r="11" spans="1:81" ht="70">
      <c r="A11" s="24">
        <v>8</v>
      </c>
      <c r="B11" s="24" t="s">
        <v>345</v>
      </c>
      <c r="C11" s="25" t="s">
        <v>80</v>
      </c>
      <c r="D11" s="24" t="s">
        <v>81</v>
      </c>
      <c r="E11" s="57" t="s">
        <v>346</v>
      </c>
      <c r="F11" s="61">
        <v>0.37140000000000001</v>
      </c>
      <c r="G11" s="26">
        <f t="shared" si="0"/>
        <v>0.24655000000000002</v>
      </c>
      <c r="H11" s="26">
        <f t="shared" si="1"/>
        <v>0.37622000000000005</v>
      </c>
      <c r="I11" s="26">
        <v>0.32806666666666667</v>
      </c>
      <c r="J11" s="126" t="s">
        <v>733</v>
      </c>
      <c r="K11" s="140" t="s">
        <v>854</v>
      </c>
      <c r="L11" s="126" t="s">
        <v>938</v>
      </c>
      <c r="M11" s="126" t="s">
        <v>913</v>
      </c>
      <c r="N11" s="26"/>
      <c r="O11" s="26"/>
      <c r="P11" s="26"/>
      <c r="Q11" s="26"/>
      <c r="R11" s="26"/>
      <c r="AS11" s="63">
        <v>0.19159999999999999</v>
      </c>
      <c r="AT11" s="64">
        <v>0.1996</v>
      </c>
      <c r="AU11" s="63">
        <v>0.39250000000000002</v>
      </c>
      <c r="AV11" s="63">
        <v>0.20250000000000001</v>
      </c>
      <c r="AX11" s="63">
        <f t="shared" si="2"/>
        <v>0.24655000000000002</v>
      </c>
      <c r="BC11" s="63">
        <v>0.41820000000000002</v>
      </c>
      <c r="BD11" s="63">
        <v>0.2913</v>
      </c>
      <c r="BE11" s="63">
        <v>0.41449999999999998</v>
      </c>
      <c r="BF11" s="63">
        <v>0.3301</v>
      </c>
      <c r="BG11" s="63">
        <v>0.42699999999999999</v>
      </c>
      <c r="BI11" s="63">
        <f t="shared" si="3"/>
        <v>0.37622000000000005</v>
      </c>
      <c r="BP11" s="68">
        <v>0.221</v>
      </c>
      <c r="BQ11" s="68">
        <v>0.33329999999999999</v>
      </c>
      <c r="BR11" s="68">
        <v>0.30869999999999997</v>
      </c>
      <c r="BS11" s="68">
        <v>0.41449999999999998</v>
      </c>
      <c r="BT11" s="68">
        <v>0.47720000000000001</v>
      </c>
      <c r="BU11" s="68">
        <v>0.17369999999999999</v>
      </c>
      <c r="BW11" s="27">
        <f t="shared" si="4"/>
        <v>0.30869999999999997</v>
      </c>
      <c r="BY11" s="27">
        <f t="shared" si="5"/>
        <v>0.32806666666666667</v>
      </c>
      <c r="CC11" s="63">
        <f t="shared" si="6"/>
        <v>0.32806666666666667</v>
      </c>
    </row>
    <row r="12" spans="1:81" ht="70">
      <c r="A12" s="24">
        <v>9</v>
      </c>
      <c r="B12" s="24" t="s">
        <v>347</v>
      </c>
      <c r="C12" s="25" t="s">
        <v>85</v>
      </c>
      <c r="D12" s="24" t="s">
        <v>86</v>
      </c>
      <c r="E12" s="57" t="s">
        <v>348</v>
      </c>
      <c r="F12" s="61">
        <v>0.50290000000000001</v>
      </c>
      <c r="G12" s="26">
        <f t="shared" si="0"/>
        <v>0.53127500000000005</v>
      </c>
      <c r="H12" s="26">
        <f t="shared" si="1"/>
        <v>0.11998</v>
      </c>
      <c r="I12" s="26">
        <v>0.4456</v>
      </c>
      <c r="J12" s="126" t="s">
        <v>734</v>
      </c>
      <c r="K12" s="140" t="s">
        <v>860</v>
      </c>
      <c r="L12" s="126" t="s">
        <v>914</v>
      </c>
      <c r="M12" s="126" t="s">
        <v>926</v>
      </c>
      <c r="N12" s="26"/>
      <c r="O12" s="26"/>
      <c r="P12" s="26"/>
      <c r="Q12" s="26"/>
      <c r="R12" s="26"/>
      <c r="AS12" s="63">
        <v>0.81</v>
      </c>
      <c r="AT12" s="63">
        <v>0.503</v>
      </c>
      <c r="AU12" s="63">
        <v>0.1381</v>
      </c>
      <c r="AV12" s="63">
        <v>0.67400000000000004</v>
      </c>
      <c r="AX12" s="63">
        <f t="shared" si="2"/>
        <v>0.53127500000000005</v>
      </c>
      <c r="BC12" s="63">
        <v>0.18110000000000001</v>
      </c>
      <c r="BD12" s="63">
        <v>0.12470000000000001</v>
      </c>
      <c r="BE12" s="63">
        <v>5.8900000000000001E-2</v>
      </c>
      <c r="BF12" s="63">
        <v>0.11459999999999999</v>
      </c>
      <c r="BG12" s="63">
        <v>0.1206</v>
      </c>
      <c r="BI12" s="63">
        <f t="shared" si="3"/>
        <v>0.11998</v>
      </c>
      <c r="BP12" s="68">
        <v>8.0399999999999999E-2</v>
      </c>
      <c r="BQ12" s="68">
        <v>0.74260000000000004</v>
      </c>
      <c r="BR12" s="68">
        <v>5.67E-2</v>
      </c>
      <c r="BS12" s="68">
        <v>5.8900000000000001E-2</v>
      </c>
      <c r="BT12" s="68">
        <v>5.0700000000000002E-2</v>
      </c>
      <c r="BU12" s="68">
        <v>0.54349999999999998</v>
      </c>
      <c r="BW12" s="27">
        <f t="shared" si="4"/>
        <v>5.8900000000000001E-2</v>
      </c>
      <c r="BY12" s="27">
        <f t="shared" si="5"/>
        <v>0.4456</v>
      </c>
      <c r="CC12" s="63">
        <f t="shared" si="6"/>
        <v>0.4456</v>
      </c>
    </row>
    <row r="13" spans="1:81" ht="92" customHeight="1">
      <c r="A13" s="24">
        <v>10</v>
      </c>
      <c r="B13" s="24" t="s">
        <v>349</v>
      </c>
      <c r="C13" s="25" t="s">
        <v>90</v>
      </c>
      <c r="D13" s="24" t="s">
        <v>72</v>
      </c>
      <c r="E13" s="57" t="s">
        <v>350</v>
      </c>
      <c r="F13" s="61">
        <v>0.47960000000000003</v>
      </c>
      <c r="G13" s="26">
        <f t="shared" si="0"/>
        <v>0.5413</v>
      </c>
      <c r="H13" s="26">
        <f t="shared" si="1"/>
        <v>0.46084000000000003</v>
      </c>
      <c r="I13" s="26">
        <v>0.44343333333333335</v>
      </c>
      <c r="J13" s="126" t="s">
        <v>735</v>
      </c>
      <c r="K13" s="140" t="s">
        <v>872</v>
      </c>
      <c r="L13" s="126" t="s">
        <v>935</v>
      </c>
      <c r="M13" s="126" t="s">
        <v>915</v>
      </c>
      <c r="N13" s="26"/>
      <c r="O13" s="26"/>
      <c r="P13" s="26"/>
      <c r="Q13" s="26"/>
      <c r="R13" s="26"/>
      <c r="AS13" s="63">
        <v>0.57089999999999996</v>
      </c>
      <c r="AT13" s="63">
        <v>0.33160000000000001</v>
      </c>
      <c r="AU13" s="63">
        <v>0.7268</v>
      </c>
      <c r="AV13" s="63">
        <v>0.53590000000000004</v>
      </c>
      <c r="AX13" s="63">
        <f t="shared" si="2"/>
        <v>0.5413</v>
      </c>
      <c r="BC13" s="63">
        <v>0.3049</v>
      </c>
      <c r="BD13" s="63">
        <v>0.55349999999999999</v>
      </c>
      <c r="BE13" s="63">
        <v>0.62360000000000004</v>
      </c>
      <c r="BF13" s="63">
        <v>0.46500000000000002</v>
      </c>
      <c r="BG13" s="63">
        <v>0.35720000000000002</v>
      </c>
      <c r="BI13" s="63">
        <f t="shared" si="3"/>
        <v>0.46084000000000003</v>
      </c>
      <c r="BP13" s="68">
        <v>0.52829999999999999</v>
      </c>
      <c r="BQ13" s="68">
        <v>0</v>
      </c>
      <c r="BR13" s="68">
        <v>0.50319999999999998</v>
      </c>
      <c r="BS13" s="68">
        <v>0.62360000000000004</v>
      </c>
      <c r="BT13" s="68">
        <v>0.58930000000000005</v>
      </c>
      <c r="BU13" s="68">
        <v>0.74099999999999999</v>
      </c>
      <c r="BW13" s="27">
        <f t="shared" si="4"/>
        <v>0.52829999999999999</v>
      </c>
      <c r="BY13" s="27">
        <f t="shared" si="5"/>
        <v>0.44343333333333335</v>
      </c>
      <c r="CC13" s="63">
        <f t="shared" si="6"/>
        <v>0.44343333333333335</v>
      </c>
    </row>
    <row r="14" spans="1:81" ht="84">
      <c r="A14" s="24">
        <v>11</v>
      </c>
      <c r="B14" s="24" t="s">
        <v>351</v>
      </c>
      <c r="C14" s="25" t="s">
        <v>94</v>
      </c>
      <c r="D14" s="24" t="s">
        <v>81</v>
      </c>
      <c r="E14" s="57" t="s">
        <v>352</v>
      </c>
      <c r="F14" s="61">
        <v>0.64759999999999995</v>
      </c>
      <c r="G14" s="26">
        <f t="shared" si="0"/>
        <v>0.65297499999999997</v>
      </c>
      <c r="H14" s="26">
        <f t="shared" si="1"/>
        <v>0.34945999999999999</v>
      </c>
      <c r="I14" s="26">
        <v>0.55903333333333327</v>
      </c>
      <c r="J14" s="126" t="s">
        <v>736</v>
      </c>
      <c r="K14" s="140" t="s">
        <v>860</v>
      </c>
      <c r="L14" s="126" t="s">
        <v>927</v>
      </c>
      <c r="M14" s="126" t="s">
        <v>916</v>
      </c>
      <c r="N14" s="26"/>
      <c r="O14" s="26"/>
      <c r="P14" s="26"/>
      <c r="Q14" s="26"/>
      <c r="R14" s="26"/>
      <c r="AS14" s="63">
        <v>0.72240000000000004</v>
      </c>
      <c r="AT14" s="63">
        <v>0.6835</v>
      </c>
      <c r="AU14" s="63">
        <v>0.48730000000000001</v>
      </c>
      <c r="AV14" s="63">
        <v>0.71870000000000001</v>
      </c>
      <c r="AX14" s="63">
        <f t="shared" si="2"/>
        <v>0.65297499999999997</v>
      </c>
      <c r="BC14" s="63">
        <v>0.27150000000000002</v>
      </c>
      <c r="BD14" s="63">
        <v>0.22109999999999999</v>
      </c>
      <c r="BE14" s="63">
        <v>0.47349999999999998</v>
      </c>
      <c r="BF14" s="63">
        <v>0.28010000000000002</v>
      </c>
      <c r="BG14" s="63">
        <v>0.50109999999999999</v>
      </c>
      <c r="BI14" s="63">
        <f t="shared" si="3"/>
        <v>0.34945999999999999</v>
      </c>
      <c r="BP14" s="68">
        <v>0.31709999999999999</v>
      </c>
      <c r="BQ14" s="68">
        <v>0.46460000000000001</v>
      </c>
      <c r="BR14" s="68">
        <v>0.6734</v>
      </c>
      <c r="BS14" s="68">
        <v>0.47349999999999998</v>
      </c>
      <c r="BT14" s="68">
        <v>0.70979999999999999</v>
      </c>
      <c r="BU14" s="68">
        <v>0.50270000000000004</v>
      </c>
      <c r="BW14" s="27">
        <f t="shared" si="4"/>
        <v>0.47349999999999998</v>
      </c>
      <c r="BY14" s="27">
        <f t="shared" si="5"/>
        <v>0.55903333333333327</v>
      </c>
      <c r="CC14" s="63">
        <f t="shared" si="6"/>
        <v>0.55903333333333327</v>
      </c>
    </row>
    <row r="15" spans="1:81" ht="70">
      <c r="A15" s="24">
        <v>12</v>
      </c>
      <c r="B15" s="24" t="s">
        <v>353</v>
      </c>
      <c r="C15" s="25" t="s">
        <v>97</v>
      </c>
      <c r="D15" s="24" t="s">
        <v>86</v>
      </c>
      <c r="E15" s="57" t="s">
        <v>354</v>
      </c>
      <c r="F15" s="61">
        <v>0.28639999999999999</v>
      </c>
      <c r="G15" s="26">
        <f t="shared" si="0"/>
        <v>0.33102499999999996</v>
      </c>
      <c r="H15" s="26">
        <f t="shared" si="1"/>
        <v>0.37362000000000001</v>
      </c>
      <c r="I15" s="26">
        <v>0.47849999999999998</v>
      </c>
      <c r="J15" s="126" t="s">
        <v>737</v>
      </c>
      <c r="K15" s="140" t="s">
        <v>878</v>
      </c>
      <c r="L15" s="126" t="s">
        <v>917</v>
      </c>
      <c r="M15" s="126" t="s">
        <v>936</v>
      </c>
      <c r="N15" s="26"/>
      <c r="O15" s="26"/>
      <c r="P15" s="26"/>
      <c r="Q15" s="26"/>
      <c r="R15" s="26"/>
      <c r="AS15" s="63">
        <v>0.32119999999999999</v>
      </c>
      <c r="AT15" s="63">
        <v>0.33329999999999999</v>
      </c>
      <c r="AU15" s="63">
        <v>0.33629999999999999</v>
      </c>
      <c r="AV15" s="63">
        <v>0.33329999999999999</v>
      </c>
      <c r="AX15" s="63">
        <f t="shared" si="2"/>
        <v>0.33102499999999996</v>
      </c>
      <c r="BC15" s="63">
        <v>0.4234</v>
      </c>
      <c r="BD15" s="63">
        <v>0.43719999999999998</v>
      </c>
      <c r="BE15" s="63">
        <v>0.28220000000000001</v>
      </c>
      <c r="BF15" s="63">
        <v>0.4007</v>
      </c>
      <c r="BG15" s="63">
        <v>0.3246</v>
      </c>
      <c r="BI15" s="63">
        <f t="shared" si="3"/>
        <v>0.37362000000000001</v>
      </c>
      <c r="BP15" s="68">
        <v>0.33040000000000003</v>
      </c>
      <c r="BQ15" s="68">
        <v>0.3921</v>
      </c>
      <c r="BR15" s="68">
        <v>0.24809999999999999</v>
      </c>
      <c r="BS15" s="68">
        <v>0.28220000000000001</v>
      </c>
      <c r="BT15" s="68">
        <v>0.33329999999999999</v>
      </c>
      <c r="BU15" s="68">
        <v>0.71009999999999995</v>
      </c>
      <c r="BW15" s="27">
        <f t="shared" si="4"/>
        <v>0.33040000000000003</v>
      </c>
      <c r="BY15" s="27">
        <f t="shared" si="5"/>
        <v>0.47849999999999998</v>
      </c>
      <c r="CC15" s="63">
        <f t="shared" si="6"/>
        <v>0.47849999999999998</v>
      </c>
    </row>
    <row r="16" spans="1:81" ht="60" customHeight="1">
      <c r="A16" s="24">
        <v>13</v>
      </c>
      <c r="B16" s="24" t="s">
        <v>355</v>
      </c>
      <c r="C16" s="25" t="s">
        <v>100</v>
      </c>
      <c r="D16" s="24" t="s">
        <v>86</v>
      </c>
      <c r="E16" s="57" t="s">
        <v>356</v>
      </c>
      <c r="F16" s="61">
        <v>0.73860000000000003</v>
      </c>
      <c r="G16" s="26">
        <f t="shared" si="0"/>
        <v>0.79215000000000013</v>
      </c>
      <c r="H16" s="26">
        <f t="shared" si="1"/>
        <v>0.67754000000000003</v>
      </c>
      <c r="I16" s="26">
        <v>0.57783333333333331</v>
      </c>
      <c r="J16" s="126" t="s">
        <v>738</v>
      </c>
      <c r="K16" s="140" t="s">
        <v>878</v>
      </c>
      <c r="L16" s="126" t="s">
        <v>929</v>
      </c>
      <c r="M16" s="126" t="s">
        <v>918</v>
      </c>
      <c r="N16" s="26"/>
      <c r="O16" s="26"/>
      <c r="P16" s="26"/>
      <c r="Q16" s="26"/>
      <c r="R16" s="26"/>
      <c r="AS16" s="63">
        <v>0.7671</v>
      </c>
      <c r="AT16" s="63">
        <v>0.86299999999999999</v>
      </c>
      <c r="AU16" s="63">
        <v>0.76419999999999999</v>
      </c>
      <c r="AV16" s="63">
        <v>0.77429999999999999</v>
      </c>
      <c r="AX16" s="63">
        <f t="shared" si="2"/>
        <v>0.79215000000000013</v>
      </c>
      <c r="BC16" s="63">
        <v>0.61460000000000004</v>
      </c>
      <c r="BD16" s="63">
        <v>0.61509999999999998</v>
      </c>
      <c r="BE16" s="63">
        <v>0.64810000000000001</v>
      </c>
      <c r="BF16" s="63">
        <v>0.78539999999999999</v>
      </c>
      <c r="BG16" s="63">
        <v>0.72450000000000003</v>
      </c>
      <c r="BI16" s="63">
        <f t="shared" si="3"/>
        <v>0.67754000000000003</v>
      </c>
      <c r="BP16" s="68">
        <v>0.67459999999999998</v>
      </c>
      <c r="BQ16" s="68">
        <v>0.58809999999999996</v>
      </c>
      <c r="BR16" s="68">
        <v>0.84919999999999995</v>
      </c>
      <c r="BS16" s="68">
        <v>0.64810000000000001</v>
      </c>
      <c r="BT16" s="68">
        <v>0.84340000000000004</v>
      </c>
      <c r="BU16" s="68">
        <v>0.30199999999999999</v>
      </c>
      <c r="BW16" s="27">
        <f t="shared" si="4"/>
        <v>0.64810000000000001</v>
      </c>
      <c r="BY16" s="27">
        <f t="shared" si="5"/>
        <v>0.57783333333333331</v>
      </c>
      <c r="CC16" s="63">
        <f t="shared" si="6"/>
        <v>0.57783333333333331</v>
      </c>
    </row>
    <row r="17" spans="1:81" ht="56">
      <c r="A17" s="24">
        <v>14</v>
      </c>
      <c r="B17" s="24" t="s">
        <v>357</v>
      </c>
      <c r="C17" s="25" t="s">
        <v>102</v>
      </c>
      <c r="D17" s="24" t="s">
        <v>103</v>
      </c>
      <c r="E17" s="57" t="s">
        <v>358</v>
      </c>
      <c r="F17" s="61">
        <v>1.6899999999999998E-2</v>
      </c>
      <c r="G17" s="26">
        <f t="shared" si="0"/>
        <v>5.1749999999999997E-2</v>
      </c>
      <c r="H17" s="26">
        <f t="shared" si="1"/>
        <v>0.24620000000000003</v>
      </c>
      <c r="I17" s="26">
        <v>3.093333333333333E-2</v>
      </c>
      <c r="J17" s="126" t="s">
        <v>739</v>
      </c>
      <c r="K17" s="140" t="s">
        <v>878</v>
      </c>
      <c r="L17" s="126" t="s">
        <v>928</v>
      </c>
      <c r="M17" s="126" t="s">
        <v>919</v>
      </c>
      <c r="N17" s="26"/>
      <c r="O17" s="26"/>
      <c r="P17" s="26"/>
      <c r="Q17" s="26"/>
      <c r="R17" s="26"/>
      <c r="AS17" s="63">
        <v>0</v>
      </c>
      <c r="AT17" s="63">
        <v>0</v>
      </c>
      <c r="AU17" s="63">
        <v>0</v>
      </c>
      <c r="AV17" s="63">
        <v>0.20699999999999999</v>
      </c>
      <c r="AX17" s="63">
        <f t="shared" si="2"/>
        <v>5.1749999999999997E-2</v>
      </c>
      <c r="BC17" s="63">
        <v>0.61850000000000005</v>
      </c>
      <c r="BD17" s="63">
        <v>2.9000000000000001E-2</v>
      </c>
      <c r="BE17" s="63">
        <v>0.11169999999999999</v>
      </c>
      <c r="BF17" s="63">
        <v>1.4E-2</v>
      </c>
      <c r="BG17" s="63">
        <v>0.45779999999999998</v>
      </c>
      <c r="BI17" s="63">
        <f t="shared" si="3"/>
        <v>0.24620000000000003</v>
      </c>
      <c r="BP17" s="68">
        <v>0.21890000000000001</v>
      </c>
      <c r="BQ17" s="68">
        <v>9.2799999999999994E-2</v>
      </c>
      <c r="BR17" s="68">
        <v>1.6E-2</v>
      </c>
      <c r="BS17" s="68">
        <v>0.11169999999999999</v>
      </c>
      <c r="BT17" s="68">
        <v>0</v>
      </c>
      <c r="BU17" s="68">
        <v>0</v>
      </c>
      <c r="BW17" s="27">
        <f t="shared" si="4"/>
        <v>1.6E-2</v>
      </c>
      <c r="BY17" s="27">
        <f t="shared" si="5"/>
        <v>3.093333333333333E-2</v>
      </c>
      <c r="CC17" s="63">
        <f t="shared" si="6"/>
        <v>3.093333333333333E-2</v>
      </c>
    </row>
    <row r="18" spans="1:81" ht="77" customHeight="1">
      <c r="A18" s="24">
        <v>15</v>
      </c>
      <c r="B18" s="24" t="s">
        <v>359</v>
      </c>
      <c r="C18" s="25" t="s">
        <v>107</v>
      </c>
      <c r="D18" s="24" t="s">
        <v>108</v>
      </c>
      <c r="E18" s="57" t="s">
        <v>360</v>
      </c>
      <c r="F18" s="61">
        <v>0.17510000000000001</v>
      </c>
      <c r="G18" s="26">
        <f t="shared" si="0"/>
        <v>0.31912499999999999</v>
      </c>
      <c r="H18" s="26">
        <f t="shared" si="1"/>
        <v>0.32052000000000003</v>
      </c>
      <c r="I18" s="26">
        <v>0.39179999999999998</v>
      </c>
      <c r="J18" s="126" t="s">
        <v>740</v>
      </c>
      <c r="K18" s="140" t="s">
        <v>878</v>
      </c>
      <c r="L18" s="126" t="s">
        <v>920</v>
      </c>
      <c r="M18" s="126" t="s">
        <v>931</v>
      </c>
      <c r="N18" s="26"/>
      <c r="O18" s="26"/>
      <c r="P18" s="26"/>
      <c r="Q18" s="26"/>
      <c r="R18" s="26"/>
      <c r="AS18" s="63">
        <v>0.01</v>
      </c>
      <c r="AT18" s="63">
        <v>0.66700000000000004</v>
      </c>
      <c r="AU18" s="63">
        <v>0.4662</v>
      </c>
      <c r="AV18" s="63">
        <v>0.1333</v>
      </c>
      <c r="AX18" s="63">
        <f t="shared" si="2"/>
        <v>0.31912499999999999</v>
      </c>
      <c r="BC18" s="63">
        <v>0.47339999999999999</v>
      </c>
      <c r="BD18" s="63">
        <v>0.3473</v>
      </c>
      <c r="BE18" s="63">
        <v>0.22550000000000001</v>
      </c>
      <c r="BF18" s="63">
        <v>0.28849999999999998</v>
      </c>
      <c r="BG18" s="63">
        <v>0.26790000000000003</v>
      </c>
      <c r="BI18" s="63">
        <f t="shared" si="3"/>
        <v>0.32052000000000003</v>
      </c>
      <c r="BP18" s="68">
        <v>0.41199999999999998</v>
      </c>
      <c r="BQ18" s="68">
        <v>0.76970000000000005</v>
      </c>
      <c r="BR18" s="68">
        <v>0.2009</v>
      </c>
      <c r="BS18" s="68">
        <v>0.22550000000000001</v>
      </c>
      <c r="BT18" s="68">
        <v>6.6699999999999995E-2</v>
      </c>
      <c r="BU18" s="68">
        <v>0.33900000000000002</v>
      </c>
      <c r="BW18" s="27">
        <f t="shared" si="4"/>
        <v>0.22550000000000001</v>
      </c>
      <c r="BY18" s="27">
        <f t="shared" si="5"/>
        <v>0.39179999999999998</v>
      </c>
      <c r="CC18" s="63">
        <f t="shared" si="6"/>
        <v>0.39179999999999998</v>
      </c>
    </row>
    <row r="19" spans="1:81" ht="70">
      <c r="A19" s="24">
        <v>16</v>
      </c>
      <c r="B19" s="24" t="s">
        <v>361</v>
      </c>
      <c r="C19" s="25" t="s">
        <v>112</v>
      </c>
      <c r="D19" s="24" t="s">
        <v>81</v>
      </c>
      <c r="E19" s="57" t="s">
        <v>362</v>
      </c>
      <c r="F19" s="61">
        <v>0.27379999999999999</v>
      </c>
      <c r="G19" s="26">
        <f t="shared" si="0"/>
        <v>0.33415</v>
      </c>
      <c r="H19" s="26">
        <f t="shared" si="1"/>
        <v>0.36213999999999996</v>
      </c>
      <c r="I19" s="26">
        <v>0.38529999999999998</v>
      </c>
      <c r="J19" s="126" t="s">
        <v>741</v>
      </c>
      <c r="K19" s="140" t="s">
        <v>884</v>
      </c>
      <c r="L19" s="126" t="s">
        <v>921</v>
      </c>
      <c r="M19" s="126" t="s">
        <v>932</v>
      </c>
      <c r="N19" s="26"/>
      <c r="O19" s="26"/>
      <c r="P19" s="26"/>
      <c r="Q19" s="26"/>
      <c r="R19" s="26"/>
      <c r="AS19" s="63">
        <v>0.30159999999999998</v>
      </c>
      <c r="AT19" s="63">
        <v>0.32540000000000002</v>
      </c>
      <c r="AU19" s="63">
        <v>0.43680000000000002</v>
      </c>
      <c r="AV19" s="63">
        <v>0.27279999999999999</v>
      </c>
      <c r="AX19" s="63">
        <f t="shared" si="2"/>
        <v>0.33415</v>
      </c>
      <c r="BC19" s="63">
        <v>0.42059999999999997</v>
      </c>
      <c r="BD19" s="63">
        <v>0.43680000000000002</v>
      </c>
      <c r="BE19" s="63">
        <v>0.19439999999999999</v>
      </c>
      <c r="BF19" s="63">
        <v>0.34920000000000001</v>
      </c>
      <c r="BG19" s="63">
        <v>0.40970000000000001</v>
      </c>
      <c r="BI19" s="63">
        <f t="shared" si="3"/>
        <v>0.36213999999999996</v>
      </c>
      <c r="BP19" s="68">
        <v>0.31230000000000002</v>
      </c>
      <c r="BQ19" s="68">
        <v>0.39029999999999998</v>
      </c>
      <c r="BR19" s="68">
        <v>0.32540000000000002</v>
      </c>
      <c r="BS19" s="68">
        <v>0.19439999999999999</v>
      </c>
      <c r="BT19" s="68">
        <v>0.3448</v>
      </c>
      <c r="BU19" s="68">
        <v>0.42080000000000001</v>
      </c>
      <c r="BW19" s="27">
        <f t="shared" si="4"/>
        <v>0.32540000000000002</v>
      </c>
      <c r="BY19" s="27">
        <f t="shared" si="5"/>
        <v>0.38529999999999998</v>
      </c>
      <c r="CC19" s="63">
        <f t="shared" si="6"/>
        <v>0.38529999999999998</v>
      </c>
    </row>
    <row r="20" spans="1:81" ht="84">
      <c r="A20" s="24">
        <v>17</v>
      </c>
      <c r="B20" s="24" t="s">
        <v>363</v>
      </c>
      <c r="C20" s="25" t="s">
        <v>115</v>
      </c>
      <c r="D20" s="24" t="s">
        <v>72</v>
      </c>
      <c r="E20" s="57" t="s">
        <v>364</v>
      </c>
      <c r="F20" s="61">
        <v>0.1275</v>
      </c>
      <c r="G20" s="26">
        <f t="shared" si="0"/>
        <v>0.41562500000000002</v>
      </c>
      <c r="H20" s="26">
        <f t="shared" si="1"/>
        <v>0.28860000000000002</v>
      </c>
      <c r="I20" s="26">
        <v>0.13739999999999999</v>
      </c>
      <c r="J20" s="126" t="s">
        <v>742</v>
      </c>
      <c r="K20" s="140" t="s">
        <v>884</v>
      </c>
      <c r="L20" s="126" t="s">
        <v>933</v>
      </c>
      <c r="M20" s="126" t="s">
        <v>934</v>
      </c>
      <c r="N20" s="26"/>
      <c r="O20" s="26"/>
      <c r="P20" s="26"/>
      <c r="Q20" s="26"/>
      <c r="R20" s="26"/>
      <c r="AS20" s="63">
        <v>0.55200000000000005</v>
      </c>
      <c r="AT20" s="63">
        <v>0.54400000000000004</v>
      </c>
      <c r="AU20" s="63">
        <v>0.1085</v>
      </c>
      <c r="AV20" s="63">
        <v>0.45800000000000002</v>
      </c>
      <c r="AX20" s="63">
        <f t="shared" si="2"/>
        <v>0.41562500000000002</v>
      </c>
      <c r="BC20" s="63">
        <v>0.39479999999999998</v>
      </c>
      <c r="BD20" s="63">
        <v>0.2379</v>
      </c>
      <c r="BE20" s="63">
        <v>0.2631</v>
      </c>
      <c r="BF20" s="63">
        <v>0.31519999999999998</v>
      </c>
      <c r="BG20" s="63">
        <v>0.23200000000000001</v>
      </c>
      <c r="BI20" s="63">
        <f t="shared" si="3"/>
        <v>0.28860000000000002</v>
      </c>
      <c r="BP20" s="68">
        <v>0.1173</v>
      </c>
      <c r="BQ20" s="68">
        <v>0.13919999999999999</v>
      </c>
      <c r="BR20" s="68">
        <v>0.21729999999999999</v>
      </c>
      <c r="BS20" s="68">
        <v>0.2631</v>
      </c>
      <c r="BT20" s="68">
        <v>0.16070000000000001</v>
      </c>
      <c r="BU20" s="68">
        <v>0.1123</v>
      </c>
      <c r="BW20" s="27">
        <f t="shared" si="4"/>
        <v>0.13919999999999999</v>
      </c>
      <c r="BY20" s="27">
        <f t="shared" si="5"/>
        <v>0.13739999999999999</v>
      </c>
      <c r="CC20" s="63">
        <f t="shared" si="6"/>
        <v>0.13739999999999999</v>
      </c>
    </row>
    <row r="21" spans="1:81">
      <c r="B21" s="19" t="s">
        <v>898</v>
      </c>
      <c r="F21" s="19" t="s">
        <v>965</v>
      </c>
      <c r="AX21" s="63"/>
      <c r="BI21" s="63"/>
      <c r="BP21" s="25"/>
      <c r="BQ21" s="25"/>
      <c r="BR21" s="25"/>
      <c r="BS21" s="25"/>
      <c r="BT21" s="25"/>
      <c r="BU21" s="25"/>
      <c r="BW21" s="27"/>
      <c r="BY21" s="27"/>
    </row>
    <row r="22" spans="1:81">
      <c r="B22" s="19" t="s">
        <v>964</v>
      </c>
      <c r="F22" s="63">
        <v>0.4516</v>
      </c>
      <c r="G22" s="63">
        <v>0.39479999999999998</v>
      </c>
      <c r="H22" s="63">
        <v>0.44690000000000002</v>
      </c>
      <c r="I22" s="27">
        <v>0.4516</v>
      </c>
      <c r="AS22" s="63">
        <f t="shared" ref="AS22:AV22" si="7">SUM(AS4:AS20)/17</f>
        <v>0.43884117647058823</v>
      </c>
      <c r="AT22" s="63">
        <f t="shared" si="7"/>
        <v>0.46462941176470596</v>
      </c>
      <c r="AU22" s="63">
        <f t="shared" si="7"/>
        <v>0.45100588235294109</v>
      </c>
      <c r="AV22" s="63">
        <f t="shared" si="7"/>
        <v>0.4631058823529412</v>
      </c>
      <c r="AW22" s="63"/>
      <c r="AX22" s="63">
        <f>SUM(AX4:AX20)/17</f>
        <v>0.45439558823529419</v>
      </c>
      <c r="AY22" s="63"/>
      <c r="AZ22" s="63"/>
      <c r="BA22" s="63"/>
      <c r="BB22" s="63"/>
      <c r="BC22" s="63">
        <f t="shared" ref="BC22:CC22" si="8">SUM(BC4:BC20)/17</f>
        <v>0.48689411764705876</v>
      </c>
      <c r="BD22" s="63">
        <f t="shared" si="8"/>
        <v>0.42793529411764691</v>
      </c>
      <c r="BE22" s="63">
        <f t="shared" si="8"/>
        <v>0.42258235294117646</v>
      </c>
      <c r="BF22" s="63">
        <f t="shared" si="8"/>
        <v>0.41855882352941176</v>
      </c>
      <c r="BG22" s="63">
        <f t="shared" si="8"/>
        <v>0.47841764705882345</v>
      </c>
      <c r="BH22" s="63"/>
      <c r="BI22" s="63">
        <f t="shared" si="8"/>
        <v>0.44687764705882355</v>
      </c>
      <c r="BJ22" s="63"/>
      <c r="BK22" s="63"/>
      <c r="BL22" s="63"/>
      <c r="BM22" s="63"/>
      <c r="BN22" s="63"/>
      <c r="BO22" s="63"/>
      <c r="BP22" s="63">
        <f t="shared" si="8"/>
        <v>0.40754705882352943</v>
      </c>
      <c r="BQ22" s="63">
        <f t="shared" si="8"/>
        <v>0.44119411764705885</v>
      </c>
      <c r="BR22" s="63">
        <f t="shared" si="8"/>
        <v>0.43194117647058816</v>
      </c>
      <c r="BS22" s="63">
        <f t="shared" si="8"/>
        <v>0.42258235294117646</v>
      </c>
      <c r="BT22" s="63">
        <f t="shared" si="8"/>
        <v>0.46634705882352939</v>
      </c>
      <c r="BU22" s="63">
        <f t="shared" si="8"/>
        <v>0.44720588235294112</v>
      </c>
      <c r="BV22" s="63"/>
      <c r="BW22" s="63">
        <f t="shared" si="8"/>
        <v>0.40247058823529414</v>
      </c>
      <c r="BX22" s="63"/>
      <c r="BY22" s="63">
        <f t="shared" si="8"/>
        <v>0.45158235294117649</v>
      </c>
      <c r="BZ22" s="63"/>
      <c r="CA22" s="63"/>
      <c r="CB22" s="63"/>
      <c r="CC22" s="63">
        <f t="shared" si="8"/>
        <v>0.45158235294117649</v>
      </c>
    </row>
    <row r="23" spans="1:81">
      <c r="B23" s="19" t="s">
        <v>963</v>
      </c>
      <c r="C23" s="19">
        <v>3220</v>
      </c>
      <c r="F23" s="19" t="s">
        <v>966</v>
      </c>
      <c r="G23" s="19">
        <v>4623</v>
      </c>
      <c r="H23" s="19">
        <v>3361</v>
      </c>
      <c r="I23" s="19">
        <v>3225</v>
      </c>
      <c r="AS23" s="62">
        <v>0.3619</v>
      </c>
      <c r="AT23" s="62">
        <v>0.37390000000000001</v>
      </c>
      <c r="AU23" s="62">
        <v>0.45100000000000001</v>
      </c>
      <c r="AV23" s="62">
        <v>0.39250000000000002</v>
      </c>
      <c r="AX23" s="63">
        <f t="shared" si="2"/>
        <v>0.39482500000000004</v>
      </c>
      <c r="BC23" s="63">
        <v>0.4869</v>
      </c>
      <c r="BD23" s="63">
        <v>0.4279</v>
      </c>
      <c r="BE23" s="63">
        <v>0.42259999999999998</v>
      </c>
      <c r="BF23" s="63">
        <v>0.41860000000000003</v>
      </c>
      <c r="BG23" s="63">
        <v>0.47839999999999999</v>
      </c>
      <c r="BI23" s="63">
        <f t="shared" si="3"/>
        <v>0.44688000000000005</v>
      </c>
      <c r="BP23" s="68">
        <v>0.40749999999999997</v>
      </c>
      <c r="BQ23" s="68">
        <v>0.44119999999999998</v>
      </c>
      <c r="BR23" s="68">
        <v>0.43190000000000001</v>
      </c>
      <c r="BS23" s="68">
        <v>0.42259999999999998</v>
      </c>
      <c r="BT23" s="68">
        <v>0.46629999999999999</v>
      </c>
      <c r="BU23" s="68">
        <v>0.44719999999999999</v>
      </c>
      <c r="BW23" s="27">
        <f>MEDIAN(BP23,BQ23,BR23,BS23,BT23,BU23,)</f>
        <v>0.43190000000000001</v>
      </c>
      <c r="BY23" s="27">
        <f t="shared" si="5"/>
        <v>0.45156666666666667</v>
      </c>
    </row>
    <row r="24" spans="1:81">
      <c r="B24" s="19" t="s">
        <v>631</v>
      </c>
      <c r="AS24" s="62"/>
      <c r="AT24" s="62"/>
      <c r="AU24" s="62"/>
      <c r="AV24" s="62"/>
      <c r="AX24" s="63"/>
      <c r="BC24" s="63"/>
      <c r="BD24" s="63"/>
      <c r="BE24" s="63"/>
      <c r="BF24" s="63"/>
      <c r="BG24" s="63"/>
      <c r="BI24" s="63"/>
      <c r="BP24" s="68"/>
      <c r="BQ24" s="68"/>
      <c r="BR24" s="68"/>
      <c r="BS24" s="68"/>
      <c r="BT24" s="68"/>
      <c r="BU24" s="68"/>
      <c r="BW24" s="63">
        <f>SUM(BP23:BU23)/6</f>
        <v>0.43611666666666665</v>
      </c>
    </row>
    <row r="25" spans="1:81" ht="17">
      <c r="B25" s="23" t="s">
        <v>120</v>
      </c>
      <c r="C25" s="19" t="s">
        <v>365</v>
      </c>
      <c r="BC25" s="19" t="s">
        <v>623</v>
      </c>
      <c r="BD25" s="19" t="s">
        <v>623</v>
      </c>
      <c r="BG25" s="19" t="s">
        <v>623</v>
      </c>
      <c r="BO25" s="19" t="s">
        <v>630</v>
      </c>
    </row>
    <row r="26" spans="1:81" ht="17">
      <c r="B26" s="23"/>
    </row>
    <row r="27" spans="1:81">
      <c r="B27" s="28" t="s">
        <v>366</v>
      </c>
      <c r="C27" s="29" t="s">
        <v>367</v>
      </c>
    </row>
    <row r="28" spans="1:81">
      <c r="B28" s="30" t="s">
        <v>368</v>
      </c>
      <c r="C28" s="19" t="s">
        <v>369</v>
      </c>
      <c r="AS28" s="65"/>
      <c r="AT28" s="65"/>
      <c r="AU28" s="65"/>
      <c r="AV28" s="65"/>
    </row>
    <row r="29" spans="1:81">
      <c r="B29" s="28" t="s">
        <v>370</v>
      </c>
      <c r="C29" s="29" t="s">
        <v>371</v>
      </c>
      <c r="AS29" s="63"/>
      <c r="AT29" s="63"/>
      <c r="AU29" s="63"/>
      <c r="AV29" s="63"/>
    </row>
    <row r="32" spans="1:81" ht="17.5">
      <c r="D32" s="30" t="s">
        <v>372</v>
      </c>
      <c r="E32" s="31" t="s">
        <v>373</v>
      </c>
      <c r="F32" s="32" t="s">
        <v>374</v>
      </c>
      <c r="G32" s="33" t="s">
        <v>375</v>
      </c>
    </row>
    <row r="33" spans="2:38">
      <c r="G33" s="34" t="s">
        <v>376</v>
      </c>
      <c r="H33" s="39" t="s">
        <v>377</v>
      </c>
      <c r="I33" s="38" t="s">
        <v>378</v>
      </c>
    </row>
    <row r="34" spans="2:38" ht="84">
      <c r="B34" s="23" t="s">
        <v>82</v>
      </c>
      <c r="D34" s="27">
        <v>0.98809999999999998</v>
      </c>
      <c r="E34" s="20" t="s">
        <v>376</v>
      </c>
      <c r="F34" s="19" t="s">
        <v>379</v>
      </c>
      <c r="G34" s="41" t="s">
        <v>380</v>
      </c>
      <c r="H34" s="42" t="s">
        <v>381</v>
      </c>
      <c r="I34" s="25" t="s">
        <v>382</v>
      </c>
      <c r="M34" s="19" t="e">
        <f t="array" aca="1" ref="M34:M63" ca="1">_xlfn.UNIQUE(H34:H1002)</f>
        <v>#NAME?</v>
      </c>
      <c r="N34" s="19">
        <f ca="1">COUNTIF(H:H,M34)</f>
        <v>0</v>
      </c>
      <c r="AL34" s="19">
        <f ca="1">COUNTIF(N:N,S34)</f>
        <v>12</v>
      </c>
    </row>
    <row r="35" spans="2:38" ht="43.5" customHeight="1">
      <c r="B35" s="23"/>
      <c r="D35" s="27"/>
      <c r="E35" s="20"/>
      <c r="G35" s="37" t="s">
        <v>383</v>
      </c>
      <c r="H35" s="43" t="s">
        <v>381</v>
      </c>
      <c r="I35" s="36"/>
      <c r="M35" s="19" t="e">
        <f ca="1"/>
        <v>#NAME?</v>
      </c>
    </row>
    <row r="36" spans="2:38" ht="84">
      <c r="B36" s="19" t="s">
        <v>87</v>
      </c>
      <c r="F36" s="19" t="s">
        <v>384</v>
      </c>
      <c r="G36" s="44" t="s">
        <v>385</v>
      </c>
      <c r="H36" s="42" t="s">
        <v>381</v>
      </c>
      <c r="I36" s="25" t="s">
        <v>382</v>
      </c>
      <c r="M36" s="19" t="e">
        <f ca="1"/>
        <v>#NAME?</v>
      </c>
      <c r="N36" s="19">
        <f t="shared" ref="N36:N46" ca="1" si="9">COUNTIF(H:H,M36)</f>
        <v>0</v>
      </c>
      <c r="AL36" s="19">
        <f t="shared" ref="AL36:AL46" ca="1" si="10">COUNTIF(N:N,S36)</f>
        <v>12</v>
      </c>
    </row>
    <row r="37" spans="2:38" ht="42">
      <c r="B37" s="19" t="s">
        <v>91</v>
      </c>
      <c r="F37" s="19" t="s">
        <v>386</v>
      </c>
      <c r="G37" s="42" t="s">
        <v>387</v>
      </c>
      <c r="H37" s="42" t="s">
        <v>381</v>
      </c>
      <c r="I37" s="25" t="s">
        <v>382</v>
      </c>
      <c r="M37" s="19" t="e">
        <f ca="1"/>
        <v>#NAME?</v>
      </c>
      <c r="N37" s="19">
        <f t="shared" ca="1" si="9"/>
        <v>0</v>
      </c>
      <c r="AL37" s="19">
        <f t="shared" ca="1" si="10"/>
        <v>12</v>
      </c>
    </row>
    <row r="38" spans="2:38" ht="42">
      <c r="B38" s="19" t="s">
        <v>95</v>
      </c>
      <c r="F38" s="19" t="s">
        <v>388</v>
      </c>
      <c r="G38" s="42" t="s">
        <v>389</v>
      </c>
      <c r="H38" s="42" t="s">
        <v>390</v>
      </c>
      <c r="M38" s="19" t="e">
        <f ca="1"/>
        <v>#NAME?</v>
      </c>
      <c r="N38" s="19">
        <f t="shared" ca="1" si="9"/>
        <v>0</v>
      </c>
      <c r="AL38" s="19">
        <f t="shared" ca="1" si="10"/>
        <v>12</v>
      </c>
    </row>
    <row r="39" spans="2:38" ht="56">
      <c r="B39" s="19" t="s">
        <v>98</v>
      </c>
      <c r="G39" s="42" t="s">
        <v>391</v>
      </c>
      <c r="H39" s="42" t="s">
        <v>381</v>
      </c>
      <c r="I39" s="25" t="s">
        <v>392</v>
      </c>
      <c r="M39" s="19" t="e">
        <f ca="1"/>
        <v>#NAME?</v>
      </c>
      <c r="N39" s="19">
        <f t="shared" ca="1" si="9"/>
        <v>0</v>
      </c>
      <c r="AL39" s="19">
        <f t="shared" ca="1" si="10"/>
        <v>12</v>
      </c>
    </row>
    <row r="40" spans="2:38" ht="42">
      <c r="G40" s="42" t="s">
        <v>393</v>
      </c>
      <c r="H40" s="42" t="s">
        <v>381</v>
      </c>
      <c r="M40" s="19" t="e">
        <f ca="1"/>
        <v>#NAME?</v>
      </c>
      <c r="N40" s="19">
        <f t="shared" ca="1" si="9"/>
        <v>0</v>
      </c>
      <c r="AL40" s="19">
        <f t="shared" ca="1" si="10"/>
        <v>12</v>
      </c>
    </row>
    <row r="41" spans="2:38" ht="56">
      <c r="G41" s="42" t="s">
        <v>394</v>
      </c>
      <c r="H41" s="42" t="s">
        <v>390</v>
      </c>
      <c r="M41" s="19" t="e">
        <f ca="1"/>
        <v>#NAME?</v>
      </c>
      <c r="N41" s="19">
        <f t="shared" ca="1" si="9"/>
        <v>0</v>
      </c>
      <c r="AL41" s="19">
        <f t="shared" ca="1" si="10"/>
        <v>12</v>
      </c>
    </row>
    <row r="42" spans="2:38" ht="56">
      <c r="G42" s="42" t="s">
        <v>395</v>
      </c>
      <c r="H42" s="42" t="s">
        <v>396</v>
      </c>
      <c r="M42" s="19" t="e">
        <f ca="1"/>
        <v>#NAME?</v>
      </c>
      <c r="N42" s="19">
        <f t="shared" ca="1" si="9"/>
        <v>0</v>
      </c>
      <c r="AL42" s="19">
        <f t="shared" ca="1" si="10"/>
        <v>12</v>
      </c>
    </row>
    <row r="43" spans="2:38" ht="70">
      <c r="G43" s="42" t="s">
        <v>397</v>
      </c>
      <c r="H43" s="42" t="s">
        <v>396</v>
      </c>
      <c r="M43" s="19" t="e">
        <f ca="1"/>
        <v>#NAME?</v>
      </c>
      <c r="N43" s="19">
        <f t="shared" ca="1" si="9"/>
        <v>0</v>
      </c>
      <c r="AL43" s="19">
        <f t="shared" ca="1" si="10"/>
        <v>12</v>
      </c>
    </row>
    <row r="44" spans="2:38" ht="42">
      <c r="G44" s="42" t="s">
        <v>398</v>
      </c>
      <c r="H44" s="42" t="s">
        <v>396</v>
      </c>
      <c r="M44" s="19" t="e">
        <f ca="1"/>
        <v>#NAME?</v>
      </c>
      <c r="N44" s="19">
        <f t="shared" ca="1" si="9"/>
        <v>0</v>
      </c>
      <c r="AL44" s="19">
        <f t="shared" ca="1" si="10"/>
        <v>12</v>
      </c>
    </row>
    <row r="45" spans="2:38" ht="42">
      <c r="G45" s="42" t="s">
        <v>399</v>
      </c>
      <c r="H45" s="42" t="s">
        <v>390</v>
      </c>
      <c r="M45" s="19" t="e">
        <f ca="1"/>
        <v>#NAME?</v>
      </c>
      <c r="N45" s="19">
        <f t="shared" ca="1" si="9"/>
        <v>0</v>
      </c>
      <c r="AL45" s="19">
        <f t="shared" ca="1" si="10"/>
        <v>12</v>
      </c>
    </row>
    <row r="46" spans="2:38" ht="56">
      <c r="G46" s="42" t="s">
        <v>400</v>
      </c>
      <c r="H46" s="42" t="s">
        <v>401</v>
      </c>
      <c r="I46" s="36" t="s">
        <v>402</v>
      </c>
      <c r="M46" s="19" t="e">
        <f ca="1"/>
        <v>#NAME?</v>
      </c>
      <c r="N46" s="19">
        <f t="shared" ca="1" si="9"/>
        <v>0</v>
      </c>
      <c r="AL46" s="19">
        <f t="shared" ca="1" si="10"/>
        <v>12</v>
      </c>
    </row>
    <row r="47" spans="2:38" ht="56">
      <c r="G47" s="42" t="s">
        <v>403</v>
      </c>
      <c r="H47" s="42" t="s">
        <v>390</v>
      </c>
      <c r="M47" s="19" t="e">
        <f ca="1"/>
        <v>#NAME?</v>
      </c>
    </row>
    <row r="48" spans="2:38" ht="28">
      <c r="G48" s="42" t="s">
        <v>404</v>
      </c>
      <c r="H48" s="42" t="s">
        <v>390</v>
      </c>
      <c r="M48" s="19" t="e">
        <f ca="1"/>
        <v>#NAME?</v>
      </c>
    </row>
    <row r="49" spans="2:13" ht="42">
      <c r="G49" s="42" t="s">
        <v>405</v>
      </c>
      <c r="H49" s="42" t="s">
        <v>390</v>
      </c>
      <c r="M49" s="19" t="e">
        <f ca="1"/>
        <v>#NAME?</v>
      </c>
    </row>
    <row r="50" spans="2:13" ht="28">
      <c r="G50" s="42" t="s">
        <v>406</v>
      </c>
      <c r="H50" s="42" t="s">
        <v>390</v>
      </c>
      <c r="M50" s="19" t="e">
        <f ca="1"/>
        <v>#NAME?</v>
      </c>
    </row>
    <row r="51" spans="2:13" ht="42">
      <c r="G51" s="42" t="s">
        <v>407</v>
      </c>
      <c r="H51" s="42" t="s">
        <v>381</v>
      </c>
      <c r="M51" s="19" t="e">
        <f ca="1"/>
        <v>#NAME?</v>
      </c>
    </row>
    <row r="52" spans="2:13" ht="42">
      <c r="G52" s="42" t="s">
        <v>408</v>
      </c>
      <c r="H52" s="42" t="s">
        <v>409</v>
      </c>
      <c r="M52" s="19" t="e">
        <f ca="1"/>
        <v>#NAME?</v>
      </c>
    </row>
    <row r="53" spans="2:13" ht="28">
      <c r="G53" s="42" t="s">
        <v>410</v>
      </c>
      <c r="H53" s="42" t="s">
        <v>390</v>
      </c>
      <c r="M53" s="19" t="e">
        <f ca="1"/>
        <v>#NAME?</v>
      </c>
    </row>
    <row r="54" spans="2:13" ht="42">
      <c r="G54" s="42" t="s">
        <v>411</v>
      </c>
      <c r="H54" s="42" t="s">
        <v>390</v>
      </c>
      <c r="M54" s="19" t="e">
        <f ca="1"/>
        <v>#NAME?</v>
      </c>
    </row>
    <row r="55" spans="2:13" ht="42">
      <c r="G55" s="42" t="s">
        <v>412</v>
      </c>
      <c r="H55" s="45" t="s">
        <v>390</v>
      </c>
      <c r="M55" s="19" t="e">
        <f ca="1"/>
        <v>#NAME?</v>
      </c>
    </row>
    <row r="56" spans="2:13">
      <c r="G56" s="36"/>
      <c r="H56" s="36"/>
      <c r="M56" s="19" t="e">
        <f ca="1"/>
        <v>#NAME?</v>
      </c>
    </row>
    <row r="57" spans="2:13">
      <c r="G57" s="225" t="s">
        <v>413</v>
      </c>
      <c r="H57" s="225"/>
      <c r="M57" s="19" t="e">
        <f ca="1"/>
        <v>#NAME?</v>
      </c>
    </row>
    <row r="58" spans="2:13" ht="42">
      <c r="G58" s="57" t="s">
        <v>414</v>
      </c>
      <c r="H58" s="36"/>
      <c r="M58" s="19" t="e">
        <f ca="1"/>
        <v>#NAME?</v>
      </c>
    </row>
    <row r="59" spans="2:13" ht="28">
      <c r="B59" s="23" t="s">
        <v>104</v>
      </c>
      <c r="E59" s="20" t="s">
        <v>413</v>
      </c>
      <c r="F59" s="21" t="s">
        <v>415</v>
      </c>
      <c r="G59" s="45" t="s">
        <v>416</v>
      </c>
      <c r="H59" s="45" t="s">
        <v>381</v>
      </c>
      <c r="M59" s="19" t="e">
        <f ca="1"/>
        <v>#NAME?</v>
      </c>
    </row>
    <row r="60" spans="2:13" ht="42">
      <c r="B60" s="19" t="s">
        <v>109</v>
      </c>
      <c r="F60" s="21" t="s">
        <v>417</v>
      </c>
      <c r="G60" s="40" t="s">
        <v>418</v>
      </c>
      <c r="H60" s="45" t="s">
        <v>390</v>
      </c>
      <c r="M60" s="19" t="e">
        <f ca="1"/>
        <v>#NAME?</v>
      </c>
    </row>
    <row r="61" spans="2:13" ht="28">
      <c r="B61" s="19" t="s">
        <v>113</v>
      </c>
      <c r="F61" s="21" t="s">
        <v>419</v>
      </c>
      <c r="G61" s="40" t="s">
        <v>420</v>
      </c>
      <c r="H61" s="45" t="s">
        <v>390</v>
      </c>
      <c r="I61" s="19" t="s">
        <v>421</v>
      </c>
      <c r="M61" s="19" t="e">
        <f ca="1"/>
        <v>#NAME?</v>
      </c>
    </row>
    <row r="62" spans="2:13" ht="42">
      <c r="B62" s="19" t="s">
        <v>116</v>
      </c>
      <c r="F62" s="21" t="s">
        <v>422</v>
      </c>
      <c r="G62" s="45" t="s">
        <v>423</v>
      </c>
      <c r="H62" s="45" t="s">
        <v>381</v>
      </c>
      <c r="M62" s="19" t="e">
        <f ca="1"/>
        <v>#NAME?</v>
      </c>
    </row>
    <row r="63" spans="2:13" ht="28">
      <c r="B63" s="19" t="s">
        <v>117</v>
      </c>
      <c r="F63" s="21" t="s">
        <v>424</v>
      </c>
      <c r="G63" s="40" t="s">
        <v>425</v>
      </c>
      <c r="H63" s="45" t="s">
        <v>381</v>
      </c>
      <c r="M63" s="19" t="e">
        <f ca="1"/>
        <v>#NAME?</v>
      </c>
    </row>
    <row r="64" spans="2:13" ht="28">
      <c r="G64" s="40" t="s">
        <v>426</v>
      </c>
      <c r="H64" s="45" t="s">
        <v>390</v>
      </c>
    </row>
    <row r="65" spans="7:10" ht="56">
      <c r="G65" s="45" t="s">
        <v>427</v>
      </c>
      <c r="H65" s="45" t="s">
        <v>390</v>
      </c>
    </row>
    <row r="66" spans="7:10" ht="70">
      <c r="G66" s="45" t="s">
        <v>428</v>
      </c>
      <c r="H66" s="45" t="s">
        <v>390</v>
      </c>
    </row>
    <row r="67" spans="7:10" ht="56">
      <c r="G67" s="40" t="s">
        <v>429</v>
      </c>
      <c r="H67" s="45" t="s">
        <v>390</v>
      </c>
    </row>
    <row r="68" spans="7:10" ht="56">
      <c r="G68" s="40" t="s">
        <v>430</v>
      </c>
      <c r="H68" s="45" t="s">
        <v>390</v>
      </c>
    </row>
    <row r="69" spans="7:10" ht="42">
      <c r="G69" s="45" t="s">
        <v>431</v>
      </c>
      <c r="H69" s="45" t="s">
        <v>390</v>
      </c>
    </row>
    <row r="70" spans="7:10" ht="42">
      <c r="G70" s="40" t="s">
        <v>432</v>
      </c>
      <c r="H70" s="45" t="s">
        <v>390</v>
      </c>
      <c r="J70" s="19" t="s">
        <v>433</v>
      </c>
    </row>
    <row r="71" spans="7:10" ht="28">
      <c r="G71" s="45" t="s">
        <v>434</v>
      </c>
      <c r="H71" s="45" t="s">
        <v>390</v>
      </c>
    </row>
    <row r="72" spans="7:10" ht="28">
      <c r="G72" s="40" t="s">
        <v>435</v>
      </c>
      <c r="H72" s="45" t="s">
        <v>390</v>
      </c>
    </row>
    <row r="73" spans="7:10" ht="42">
      <c r="G73" s="45" t="s">
        <v>436</v>
      </c>
      <c r="H73" s="45" t="s">
        <v>390</v>
      </c>
    </row>
    <row r="74" spans="7:10" ht="28">
      <c r="G74" s="45" t="s">
        <v>437</v>
      </c>
      <c r="H74" s="45" t="s">
        <v>409</v>
      </c>
    </row>
    <row r="75" spans="7:10" ht="28">
      <c r="G75" s="45" t="s">
        <v>438</v>
      </c>
      <c r="H75" s="45" t="s">
        <v>409</v>
      </c>
    </row>
    <row r="76" spans="7:10" ht="42">
      <c r="G76" s="45" t="s">
        <v>439</v>
      </c>
      <c r="H76" s="45" t="s">
        <v>381</v>
      </c>
    </row>
    <row r="77" spans="7:10" ht="70">
      <c r="G77" s="40" t="s">
        <v>440</v>
      </c>
      <c r="H77" s="45" t="s">
        <v>381</v>
      </c>
    </row>
    <row r="78" spans="7:10" ht="28">
      <c r="G78" s="40" t="s">
        <v>441</v>
      </c>
      <c r="H78" s="45" t="s">
        <v>390</v>
      </c>
    </row>
    <row r="79" spans="7:10" ht="28">
      <c r="G79" s="40" t="s">
        <v>442</v>
      </c>
      <c r="H79" s="45" t="s">
        <v>409</v>
      </c>
    </row>
    <row r="80" spans="7:10">
      <c r="G80" s="36"/>
      <c r="H80" s="36"/>
    </row>
    <row r="81" spans="2:8" ht="17">
      <c r="B81" s="23" t="s">
        <v>118</v>
      </c>
      <c r="E81" s="20" t="s">
        <v>443</v>
      </c>
      <c r="F81" s="21" t="s">
        <v>444</v>
      </c>
      <c r="G81" s="222" t="s">
        <v>443</v>
      </c>
      <c r="H81" s="223"/>
    </row>
    <row r="82" spans="2:8" ht="42">
      <c r="B82" s="19" t="s">
        <v>121</v>
      </c>
      <c r="F82" s="21" t="s">
        <v>445</v>
      </c>
      <c r="G82" s="40" t="s">
        <v>446</v>
      </c>
      <c r="H82" s="45" t="s">
        <v>381</v>
      </c>
    </row>
    <row r="83" spans="2:8" ht="28">
      <c r="B83" s="19" t="s">
        <v>124</v>
      </c>
      <c r="F83" s="21" t="s">
        <v>447</v>
      </c>
      <c r="G83" s="40" t="s">
        <v>448</v>
      </c>
      <c r="H83" s="45" t="s">
        <v>409</v>
      </c>
    </row>
    <row r="84" spans="2:8" ht="28">
      <c r="B84" s="19" t="s">
        <v>127</v>
      </c>
      <c r="F84" s="21" t="s">
        <v>449</v>
      </c>
      <c r="G84" s="40" t="s">
        <v>450</v>
      </c>
      <c r="H84" s="45" t="s">
        <v>409</v>
      </c>
    </row>
    <row r="85" spans="2:8" ht="84">
      <c r="B85" s="19" t="s">
        <v>129</v>
      </c>
      <c r="F85" s="21" t="s">
        <v>451</v>
      </c>
      <c r="G85" s="40" t="s">
        <v>452</v>
      </c>
      <c r="H85" s="45" t="s">
        <v>390</v>
      </c>
    </row>
    <row r="86" spans="2:8" ht="56">
      <c r="F86" s="21"/>
      <c r="G86" s="40" t="s">
        <v>453</v>
      </c>
      <c r="H86" s="45" t="s">
        <v>390</v>
      </c>
    </row>
    <row r="87" spans="2:8" ht="56">
      <c r="F87" s="21"/>
      <c r="G87" s="45" t="s">
        <v>454</v>
      </c>
      <c r="H87" s="45" t="s">
        <v>390</v>
      </c>
    </row>
    <row r="88" spans="2:8" ht="84">
      <c r="G88" s="40" t="s">
        <v>455</v>
      </c>
      <c r="H88" s="45" t="s">
        <v>390</v>
      </c>
    </row>
    <row r="89" spans="2:8" ht="42">
      <c r="G89" s="45" t="s">
        <v>456</v>
      </c>
      <c r="H89" s="45" t="s">
        <v>390</v>
      </c>
    </row>
    <row r="90" spans="2:8" ht="28">
      <c r="G90" s="40" t="s">
        <v>457</v>
      </c>
      <c r="H90" s="45" t="s">
        <v>390</v>
      </c>
    </row>
    <row r="91" spans="2:8" ht="56">
      <c r="G91" s="40" t="s">
        <v>458</v>
      </c>
      <c r="H91" s="45" t="s">
        <v>390</v>
      </c>
    </row>
    <row r="92" spans="2:8" ht="28">
      <c r="G92" s="40" t="s">
        <v>459</v>
      </c>
      <c r="H92" s="45" t="s">
        <v>390</v>
      </c>
    </row>
    <row r="93" spans="2:8" ht="28">
      <c r="G93" s="40" t="s">
        <v>460</v>
      </c>
      <c r="H93" s="45" t="s">
        <v>390</v>
      </c>
    </row>
    <row r="94" spans="2:8">
      <c r="G94" s="36"/>
      <c r="H94" s="36"/>
    </row>
    <row r="95" spans="2:8" ht="17">
      <c r="B95" s="23" t="s">
        <v>131</v>
      </c>
      <c r="E95" s="20" t="s">
        <v>461</v>
      </c>
      <c r="F95" s="21" t="s">
        <v>462</v>
      </c>
      <c r="G95" s="222" t="s">
        <v>461</v>
      </c>
      <c r="H95" s="223"/>
    </row>
    <row r="96" spans="2:8" ht="42">
      <c r="B96" s="19" t="s">
        <v>133</v>
      </c>
      <c r="F96" s="21" t="s">
        <v>463</v>
      </c>
      <c r="G96" s="45" t="s">
        <v>464</v>
      </c>
      <c r="H96" s="45" t="s">
        <v>390</v>
      </c>
    </row>
    <row r="97" spans="2:9" ht="42">
      <c r="B97" s="19" t="s">
        <v>135</v>
      </c>
      <c r="F97" s="21" t="s">
        <v>465</v>
      </c>
      <c r="G97" s="40" t="s">
        <v>466</v>
      </c>
      <c r="H97" s="45" t="s">
        <v>390</v>
      </c>
      <c r="I97" s="36" t="s">
        <v>467</v>
      </c>
    </row>
    <row r="98" spans="2:9" ht="28">
      <c r="B98" s="19" t="s">
        <v>136</v>
      </c>
      <c r="F98" s="21" t="s">
        <v>468</v>
      </c>
      <c r="G98" s="45" t="s">
        <v>469</v>
      </c>
      <c r="H98" s="45" t="s">
        <v>390</v>
      </c>
      <c r="I98" s="36" t="s">
        <v>470</v>
      </c>
    </row>
    <row r="99" spans="2:9" ht="70">
      <c r="B99" s="19" t="s">
        <v>137</v>
      </c>
      <c r="F99" s="21" t="s">
        <v>471</v>
      </c>
      <c r="G99" s="40" t="s">
        <v>472</v>
      </c>
      <c r="H99" s="45" t="s">
        <v>390</v>
      </c>
    </row>
    <row r="100" spans="2:9" ht="42">
      <c r="F100" s="21" t="s">
        <v>473</v>
      </c>
      <c r="G100" s="40" t="s">
        <v>474</v>
      </c>
      <c r="H100" s="45" t="s">
        <v>390</v>
      </c>
    </row>
    <row r="101" spans="2:9" ht="42">
      <c r="G101" s="40" t="s">
        <v>475</v>
      </c>
      <c r="H101" s="45" t="s">
        <v>390</v>
      </c>
    </row>
    <row r="102" spans="2:9" ht="42">
      <c r="G102" s="40" t="s">
        <v>476</v>
      </c>
      <c r="H102" s="45" t="s">
        <v>390</v>
      </c>
    </row>
    <row r="103" spans="2:9" ht="42">
      <c r="G103" s="45" t="s">
        <v>477</v>
      </c>
      <c r="H103" s="45" t="s">
        <v>390</v>
      </c>
    </row>
    <row r="104" spans="2:9" ht="56">
      <c r="G104" s="45" t="s">
        <v>478</v>
      </c>
      <c r="H104" s="45" t="s">
        <v>381</v>
      </c>
    </row>
    <row r="105" spans="2:9" ht="28">
      <c r="G105" s="45" t="s">
        <v>479</v>
      </c>
      <c r="H105" s="45" t="s">
        <v>390</v>
      </c>
    </row>
    <row r="106" spans="2:9">
      <c r="G106" s="45"/>
      <c r="H106" s="45" t="s">
        <v>390</v>
      </c>
      <c r="I106" s="19" t="s">
        <v>480</v>
      </c>
    </row>
    <row r="107" spans="2:9" ht="28">
      <c r="G107" s="40" t="s">
        <v>481</v>
      </c>
      <c r="H107" s="45" t="s">
        <v>390</v>
      </c>
    </row>
    <row r="108" spans="2:9" ht="70">
      <c r="G108" s="40" t="s">
        <v>482</v>
      </c>
      <c r="H108" s="45" t="s">
        <v>409</v>
      </c>
    </row>
    <row r="109" spans="2:9" ht="28">
      <c r="G109" s="40" t="s">
        <v>483</v>
      </c>
      <c r="H109" s="45" t="s">
        <v>409</v>
      </c>
    </row>
    <row r="110" spans="2:9" ht="70">
      <c r="G110" s="40" t="s">
        <v>484</v>
      </c>
      <c r="H110" s="45" t="s">
        <v>409</v>
      </c>
    </row>
    <row r="111" spans="2:9" ht="56">
      <c r="G111" s="40" t="s">
        <v>485</v>
      </c>
      <c r="H111" s="45" t="s">
        <v>409</v>
      </c>
    </row>
    <row r="112" spans="2:9" ht="42">
      <c r="G112" s="45" t="s">
        <v>486</v>
      </c>
      <c r="H112" s="45" t="s">
        <v>409</v>
      </c>
    </row>
    <row r="113" spans="2:8" ht="28">
      <c r="G113" s="45" t="s">
        <v>487</v>
      </c>
      <c r="H113" s="45" t="s">
        <v>409</v>
      </c>
    </row>
    <row r="114" spans="2:8" ht="42">
      <c r="G114" s="45" t="s">
        <v>488</v>
      </c>
      <c r="H114" s="45" t="s">
        <v>390</v>
      </c>
    </row>
    <row r="115" spans="2:8">
      <c r="G115" s="36"/>
      <c r="H115" s="36"/>
    </row>
    <row r="116" spans="2:8">
      <c r="G116" s="40" t="s">
        <v>489</v>
      </c>
      <c r="H116" s="36"/>
    </row>
    <row r="117" spans="2:8" ht="70">
      <c r="G117" s="45" t="s">
        <v>490</v>
      </c>
      <c r="H117" s="36" t="s">
        <v>491</v>
      </c>
    </row>
    <row r="118" spans="2:8" ht="70">
      <c r="B118" s="23" t="s">
        <v>138</v>
      </c>
      <c r="E118" s="20" t="s">
        <v>492</v>
      </c>
      <c r="F118" s="51" t="s">
        <v>493</v>
      </c>
      <c r="G118" s="45" t="s">
        <v>494</v>
      </c>
      <c r="H118" s="36" t="s">
        <v>495</v>
      </c>
    </row>
    <row r="119" spans="2:8" ht="56">
      <c r="B119" s="19" t="s">
        <v>139</v>
      </c>
      <c r="F119" s="21" t="s">
        <v>496</v>
      </c>
      <c r="G119" s="45" t="s">
        <v>497</v>
      </c>
      <c r="H119" s="36" t="s">
        <v>495</v>
      </c>
    </row>
    <row r="120" spans="2:8" ht="70">
      <c r="B120" s="19" t="s">
        <v>140</v>
      </c>
      <c r="F120" s="21" t="s">
        <v>498</v>
      </c>
      <c r="G120" s="45" t="s">
        <v>499</v>
      </c>
      <c r="H120" s="36" t="s">
        <v>500</v>
      </c>
    </row>
    <row r="121" spans="2:8" ht="70">
      <c r="B121" s="19" t="s">
        <v>141</v>
      </c>
      <c r="F121" s="21" t="s">
        <v>501</v>
      </c>
      <c r="G121" s="45" t="s">
        <v>502</v>
      </c>
      <c r="H121" s="36" t="s">
        <v>500</v>
      </c>
    </row>
    <row r="122" spans="2:8" ht="42">
      <c r="B122" s="19" t="s">
        <v>142</v>
      </c>
      <c r="F122" s="21" t="s">
        <v>503</v>
      </c>
      <c r="G122" s="36" t="s">
        <v>504</v>
      </c>
      <c r="H122" s="36" t="s">
        <v>500</v>
      </c>
    </row>
    <row r="123" spans="2:8" ht="28">
      <c r="F123" s="21" t="s">
        <v>505</v>
      </c>
      <c r="G123" s="45" t="s">
        <v>506</v>
      </c>
      <c r="H123" s="36"/>
    </row>
    <row r="124" spans="2:8">
      <c r="F124" s="21" t="s">
        <v>507</v>
      </c>
      <c r="H124" s="36"/>
    </row>
    <row r="125" spans="2:8">
      <c r="G125" s="36"/>
      <c r="H125" s="36"/>
    </row>
    <row r="126" spans="2:8">
      <c r="G126" s="40" t="s">
        <v>508</v>
      </c>
      <c r="H126" s="45"/>
    </row>
    <row r="127" spans="2:8" ht="56">
      <c r="B127" s="23" t="s">
        <v>143</v>
      </c>
      <c r="E127" s="20" t="s">
        <v>508</v>
      </c>
      <c r="F127" s="21" t="s">
        <v>509</v>
      </c>
      <c r="G127" s="40" t="s">
        <v>510</v>
      </c>
      <c r="H127" s="45" t="s">
        <v>495</v>
      </c>
    </row>
    <row r="128" spans="2:8" ht="28">
      <c r="B128" s="19" t="s">
        <v>145</v>
      </c>
      <c r="F128" s="21" t="s">
        <v>511</v>
      </c>
      <c r="G128" s="40" t="s">
        <v>512</v>
      </c>
      <c r="H128" s="45" t="s">
        <v>500</v>
      </c>
    </row>
    <row r="129" spans="2:9" ht="28">
      <c r="B129" s="19" t="s">
        <v>147</v>
      </c>
      <c r="F129" s="21" t="s">
        <v>513</v>
      </c>
      <c r="G129" s="45" t="s">
        <v>514</v>
      </c>
      <c r="H129" s="45" t="s">
        <v>495</v>
      </c>
    </row>
    <row r="130" spans="2:9" ht="56">
      <c r="B130" s="19" t="s">
        <v>149</v>
      </c>
      <c r="F130" s="21" t="s">
        <v>515</v>
      </c>
      <c r="G130" s="45" t="s">
        <v>516</v>
      </c>
      <c r="H130" s="45" t="s">
        <v>491</v>
      </c>
    </row>
    <row r="131" spans="2:9" ht="56">
      <c r="B131" s="19" t="s">
        <v>151</v>
      </c>
      <c r="F131" s="21" t="s">
        <v>517</v>
      </c>
      <c r="G131" s="45" t="s">
        <v>518</v>
      </c>
      <c r="H131" s="45" t="s">
        <v>519</v>
      </c>
    </row>
    <row r="132" spans="2:9" ht="28">
      <c r="F132" s="21" t="s">
        <v>520</v>
      </c>
      <c r="G132" s="45" t="s">
        <v>521</v>
      </c>
      <c r="H132" s="45" t="s">
        <v>500</v>
      </c>
    </row>
    <row r="133" spans="2:9" ht="70">
      <c r="F133" s="21" t="s">
        <v>522</v>
      </c>
      <c r="G133" s="46" t="s">
        <v>517</v>
      </c>
      <c r="H133" s="45" t="s">
        <v>500</v>
      </c>
    </row>
    <row r="134" spans="2:9" ht="56">
      <c r="F134" s="21" t="s">
        <v>523</v>
      </c>
      <c r="G134" s="46" t="s">
        <v>520</v>
      </c>
      <c r="H134" s="45" t="s">
        <v>491</v>
      </c>
    </row>
    <row r="135" spans="2:9" ht="56">
      <c r="F135" s="21" t="s">
        <v>524</v>
      </c>
      <c r="G135" s="46" t="s">
        <v>522</v>
      </c>
      <c r="H135" s="45" t="s">
        <v>491</v>
      </c>
    </row>
    <row r="136" spans="2:9" ht="56">
      <c r="F136" s="21" t="s">
        <v>525</v>
      </c>
      <c r="G136" s="46" t="s">
        <v>523</v>
      </c>
      <c r="H136" s="45" t="s">
        <v>491</v>
      </c>
    </row>
    <row r="137" spans="2:9" ht="70">
      <c r="G137" s="46" t="s">
        <v>525</v>
      </c>
      <c r="H137" s="45" t="s">
        <v>491</v>
      </c>
    </row>
    <row r="138" spans="2:9" ht="70">
      <c r="G138" s="46" t="s">
        <v>524</v>
      </c>
      <c r="H138" s="45" t="s">
        <v>491</v>
      </c>
    </row>
    <row r="139" spans="2:9" ht="126">
      <c r="G139" s="40" t="s">
        <v>526</v>
      </c>
      <c r="H139" s="45" t="s">
        <v>495</v>
      </c>
    </row>
    <row r="140" spans="2:9">
      <c r="G140" s="40" t="s">
        <v>527</v>
      </c>
      <c r="H140" s="45" t="s">
        <v>495</v>
      </c>
    </row>
    <row r="141" spans="2:9" ht="56">
      <c r="G141" s="45" t="s">
        <v>528</v>
      </c>
      <c r="H141" s="45" t="s">
        <v>495</v>
      </c>
    </row>
    <row r="142" spans="2:9" ht="70">
      <c r="G142" s="40" t="s">
        <v>529</v>
      </c>
      <c r="H142" s="45" t="s">
        <v>495</v>
      </c>
    </row>
    <row r="143" spans="2:9" ht="42">
      <c r="G143" s="40" t="s">
        <v>530</v>
      </c>
      <c r="H143" s="45" t="s">
        <v>495</v>
      </c>
      <c r="I143" s="19" t="s">
        <v>531</v>
      </c>
    </row>
    <row r="144" spans="2:9" ht="42">
      <c r="G144" s="45" t="s">
        <v>532</v>
      </c>
      <c r="H144" s="45" t="s">
        <v>533</v>
      </c>
    </row>
    <row r="145" spans="7:8" ht="42">
      <c r="G145" s="40" t="s">
        <v>534</v>
      </c>
      <c r="H145" s="45" t="s">
        <v>535</v>
      </c>
    </row>
    <row r="146" spans="7:8" ht="56">
      <c r="G146" s="50" t="s">
        <v>536</v>
      </c>
      <c r="H146" s="48" t="s">
        <v>500</v>
      </c>
    </row>
    <row r="147" spans="7:8" ht="28">
      <c r="G147" s="49" t="s">
        <v>537</v>
      </c>
      <c r="H147" s="47" t="s">
        <v>533</v>
      </c>
    </row>
    <row r="148" spans="7:8" ht="56">
      <c r="G148" s="49" t="s">
        <v>538</v>
      </c>
      <c r="H148" s="47" t="s">
        <v>539</v>
      </c>
    </row>
    <row r="172" spans="2:49" ht="28">
      <c r="B172" s="57" t="s">
        <v>329</v>
      </c>
      <c r="C172" s="57" t="s">
        <v>49</v>
      </c>
      <c r="D172" s="14" t="s">
        <v>540</v>
      </c>
      <c r="E172" s="14" t="s">
        <v>541</v>
      </c>
      <c r="F172" s="14"/>
      <c r="G172" s="14"/>
      <c r="H172" s="14"/>
      <c r="I172" s="14"/>
      <c r="J172" s="14"/>
      <c r="K172" s="14"/>
      <c r="L172" s="14"/>
      <c r="M172" s="58"/>
      <c r="N172" s="58"/>
      <c r="O172" s="58"/>
      <c r="P172" s="58"/>
      <c r="Q172" s="58"/>
      <c r="R172" s="58"/>
      <c r="S172" s="58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  <c r="AP172" s="60"/>
      <c r="AQ172" s="60"/>
      <c r="AR172" s="58"/>
      <c r="AS172" s="58"/>
      <c r="AT172" s="58"/>
      <c r="AU172" s="58"/>
      <c r="AV172" s="58"/>
      <c r="AW172"/>
    </row>
    <row r="173" spans="2:49">
      <c r="B173" s="24">
        <v>1</v>
      </c>
      <c r="C173" s="24" t="s">
        <v>331</v>
      </c>
      <c r="D173" s="25">
        <v>106</v>
      </c>
      <c r="E173"/>
      <c r="F173"/>
      <c r="G173"/>
      <c r="H173" t="str">
        <f t="shared" ref="H173:H189" si="11">_xlfn.CONCAT("ODS ",B173," - ",C173)</f>
        <v>ODS 1 - Erradicação da Pobreza</v>
      </c>
      <c r="I173"/>
      <c r="J173"/>
      <c r="K173"/>
      <c r="L173"/>
      <c r="M173"/>
      <c r="N173"/>
      <c r="O173"/>
      <c r="P173"/>
      <c r="Q173"/>
      <c r="R173" t="s">
        <v>542</v>
      </c>
      <c r="S173" t="s">
        <v>543</v>
      </c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 t="s">
        <v>542</v>
      </c>
      <c r="AQ173" t="s">
        <v>543</v>
      </c>
      <c r="AR173"/>
      <c r="AS173"/>
      <c r="AT173"/>
      <c r="AU173"/>
      <c r="AV173"/>
      <c r="AW173"/>
    </row>
    <row r="174" spans="2:49">
      <c r="B174" s="24">
        <v>2</v>
      </c>
      <c r="C174" s="24" t="s">
        <v>333</v>
      </c>
      <c r="D174" s="25">
        <v>172</v>
      </c>
      <c r="E174"/>
      <c r="F174"/>
      <c r="G174"/>
      <c r="H174" t="str">
        <f t="shared" si="11"/>
        <v>ODS 2 - Fome Zero e Agricultura Sustentável</v>
      </c>
      <c r="I174"/>
      <c r="J174"/>
      <c r="K174"/>
      <c r="L174"/>
      <c r="M174"/>
      <c r="N174"/>
      <c r="O174"/>
      <c r="P174"/>
      <c r="Q174"/>
      <c r="R174" t="s">
        <v>544</v>
      </c>
      <c r="S174" t="s">
        <v>545</v>
      </c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 t="s">
        <v>544</v>
      </c>
      <c r="AQ174" t="s">
        <v>545</v>
      </c>
      <c r="AR174"/>
      <c r="AS174"/>
      <c r="AT174"/>
      <c r="AU174"/>
      <c r="AV174"/>
      <c r="AW174"/>
    </row>
    <row r="175" spans="2:49">
      <c r="B175" s="24">
        <v>3</v>
      </c>
      <c r="C175" s="24" t="s">
        <v>335</v>
      </c>
      <c r="D175" s="25">
        <v>213</v>
      </c>
      <c r="E175"/>
      <c r="F175"/>
      <c r="G175"/>
      <c r="H175" t="str">
        <f t="shared" si="11"/>
        <v>ODS 3 - Saúde e Bem-Estar</v>
      </c>
      <c r="I175"/>
      <c r="J175"/>
      <c r="K175"/>
      <c r="L175"/>
      <c r="M175"/>
      <c r="N175"/>
      <c r="O175"/>
      <c r="P175"/>
      <c r="Q175"/>
      <c r="R175" t="s">
        <v>546</v>
      </c>
      <c r="S175" t="s">
        <v>547</v>
      </c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 t="s">
        <v>546</v>
      </c>
      <c r="AQ175" t="s">
        <v>547</v>
      </c>
      <c r="AR175"/>
      <c r="AS175"/>
      <c r="AT175"/>
      <c r="AU175"/>
      <c r="AV175"/>
      <c r="AW175"/>
    </row>
    <row r="176" spans="2:49">
      <c r="B176" s="24">
        <v>4</v>
      </c>
      <c r="C176" s="24" t="s">
        <v>337</v>
      </c>
      <c r="D176" s="25">
        <v>158</v>
      </c>
      <c r="E176"/>
      <c r="F176"/>
      <c r="G176"/>
      <c r="H176" t="str">
        <f t="shared" si="11"/>
        <v>ODS 4 - Educação de Qualidade</v>
      </c>
      <c r="I176"/>
      <c r="J176"/>
      <c r="K176"/>
      <c r="L176"/>
      <c r="M176"/>
      <c r="N176"/>
      <c r="O176"/>
      <c r="P176"/>
      <c r="Q176"/>
      <c r="R176" t="s">
        <v>548</v>
      </c>
      <c r="S176" t="s">
        <v>549</v>
      </c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 t="s">
        <v>548</v>
      </c>
      <c r="AQ176" t="s">
        <v>549</v>
      </c>
      <c r="AR176"/>
      <c r="AS176"/>
      <c r="AT176"/>
      <c r="AU176"/>
      <c r="AV176"/>
      <c r="AW176"/>
    </row>
    <row r="177" spans="2:49">
      <c r="B177" s="24">
        <v>5</v>
      </c>
      <c r="C177" s="24" t="s">
        <v>339</v>
      </c>
      <c r="D177" s="25">
        <v>111</v>
      </c>
      <c r="E177"/>
      <c r="F177"/>
      <c r="G177"/>
      <c r="H177" t="str">
        <f t="shared" si="11"/>
        <v>ODS 5 - Igualdade de Gênero</v>
      </c>
      <c r="I177"/>
      <c r="J177"/>
      <c r="K177"/>
      <c r="L177"/>
      <c r="M177"/>
      <c r="N177"/>
      <c r="O177"/>
      <c r="P177"/>
      <c r="Q177"/>
      <c r="R177" t="s">
        <v>550</v>
      </c>
      <c r="S177" t="s">
        <v>406</v>
      </c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 t="s">
        <v>550</v>
      </c>
      <c r="AQ177" t="s">
        <v>406</v>
      </c>
      <c r="AR177"/>
      <c r="AS177"/>
      <c r="AT177"/>
      <c r="AU177"/>
      <c r="AV177"/>
      <c r="AW177"/>
    </row>
    <row r="178" spans="2:49">
      <c r="B178" s="24">
        <v>6</v>
      </c>
      <c r="C178" s="24" t="s">
        <v>341</v>
      </c>
      <c r="D178" s="25">
        <v>111</v>
      </c>
      <c r="E178"/>
      <c r="F178"/>
      <c r="G178"/>
      <c r="H178" t="str">
        <f t="shared" si="11"/>
        <v>ODS 6 - Água Limpa e Saneamento</v>
      </c>
      <c r="I178"/>
      <c r="J178"/>
      <c r="K178"/>
      <c r="L178"/>
      <c r="M178"/>
      <c r="N178"/>
      <c r="O178"/>
      <c r="P178"/>
      <c r="Q178"/>
      <c r="R178" t="s">
        <v>551</v>
      </c>
      <c r="S178" t="s">
        <v>552</v>
      </c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 t="s">
        <v>551</v>
      </c>
      <c r="AQ178" t="s">
        <v>552</v>
      </c>
      <c r="AR178"/>
      <c r="AS178"/>
      <c r="AT178"/>
      <c r="AU178"/>
      <c r="AV178"/>
      <c r="AW178"/>
    </row>
    <row r="179" spans="2:49">
      <c r="B179" s="24">
        <v>7</v>
      </c>
      <c r="C179" s="24" t="s">
        <v>343</v>
      </c>
      <c r="D179" s="25">
        <v>19</v>
      </c>
      <c r="E179"/>
      <c r="F179"/>
      <c r="G179"/>
      <c r="H179" t="str">
        <f t="shared" si="11"/>
        <v>ODS 7 - Energia Limpa e Acessível</v>
      </c>
      <c r="I179"/>
      <c r="J179"/>
      <c r="K179"/>
      <c r="L179"/>
      <c r="M179"/>
      <c r="N179"/>
      <c r="O179"/>
      <c r="P179"/>
      <c r="Q179"/>
      <c r="R179" t="s">
        <v>553</v>
      </c>
      <c r="S179" t="s">
        <v>554</v>
      </c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 t="s">
        <v>553</v>
      </c>
      <c r="AQ179" t="s">
        <v>554</v>
      </c>
      <c r="AR179"/>
      <c r="AS179"/>
      <c r="AT179"/>
      <c r="AU179"/>
      <c r="AV179"/>
      <c r="AW179"/>
    </row>
    <row r="180" spans="2:49">
      <c r="B180" s="24">
        <v>8</v>
      </c>
      <c r="C180" s="24" t="s">
        <v>345</v>
      </c>
      <c r="D180" s="25">
        <v>5</v>
      </c>
      <c r="E180"/>
      <c r="F180"/>
      <c r="G180"/>
      <c r="H180" t="str">
        <f t="shared" si="11"/>
        <v>ODS 8 - Trabalho Decente e Crescimento Econômico</v>
      </c>
      <c r="I180"/>
      <c r="J180"/>
      <c r="K180"/>
      <c r="L180"/>
      <c r="M180"/>
      <c r="N180"/>
      <c r="O180"/>
      <c r="P180"/>
      <c r="Q180"/>
      <c r="R180" t="s">
        <v>555</v>
      </c>
      <c r="S180" t="s">
        <v>556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 t="s">
        <v>555</v>
      </c>
      <c r="AQ180" t="s">
        <v>556</v>
      </c>
      <c r="AR180"/>
      <c r="AS180"/>
      <c r="AT180"/>
      <c r="AU180"/>
      <c r="AV180"/>
      <c r="AW180"/>
    </row>
    <row r="181" spans="2:49">
      <c r="B181" s="24">
        <v>9</v>
      </c>
      <c r="C181" s="24" t="s">
        <v>347</v>
      </c>
      <c r="D181" s="25">
        <v>82</v>
      </c>
      <c r="E181"/>
      <c r="F181"/>
      <c r="G181"/>
      <c r="H181" t="str">
        <f t="shared" si="11"/>
        <v>ODS 9 - Indústria, Inovação e Infraestrutura</v>
      </c>
      <c r="I181"/>
      <c r="J181"/>
      <c r="K181"/>
      <c r="L181"/>
      <c r="M181"/>
      <c r="N181"/>
      <c r="O181"/>
      <c r="P181"/>
      <c r="Q181"/>
      <c r="R181" t="s">
        <v>557</v>
      </c>
      <c r="S181" t="s">
        <v>558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 t="s">
        <v>557</v>
      </c>
      <c r="AQ181" t="s">
        <v>558</v>
      </c>
      <c r="AR181"/>
      <c r="AS181"/>
      <c r="AT181"/>
      <c r="AU181"/>
      <c r="AV181"/>
      <c r="AW181"/>
    </row>
    <row r="182" spans="2:49">
      <c r="B182" s="24">
        <v>10</v>
      </c>
      <c r="C182" s="24" t="s">
        <v>349</v>
      </c>
      <c r="D182" s="25">
        <v>141</v>
      </c>
      <c r="E182"/>
      <c r="F182"/>
      <c r="G182"/>
      <c r="H182" t="str">
        <f t="shared" si="11"/>
        <v>ODS 10 - Redução das Desigualdades</v>
      </c>
      <c r="I182"/>
      <c r="J182"/>
      <c r="K182"/>
      <c r="L182"/>
      <c r="M182"/>
      <c r="N182"/>
      <c r="O182"/>
      <c r="P182"/>
      <c r="Q182"/>
      <c r="R182" t="s">
        <v>559</v>
      </c>
      <c r="S182" t="s">
        <v>560</v>
      </c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 t="s">
        <v>559</v>
      </c>
      <c r="AQ182" t="s">
        <v>560</v>
      </c>
      <c r="AR182"/>
      <c r="AS182"/>
      <c r="AT182"/>
      <c r="AU182"/>
      <c r="AV182"/>
      <c r="AW182"/>
    </row>
    <row r="183" spans="2:49">
      <c r="B183" s="24">
        <v>11</v>
      </c>
      <c r="C183" s="24" t="s">
        <v>351</v>
      </c>
      <c r="D183" s="25">
        <v>170</v>
      </c>
      <c r="E183"/>
      <c r="F183"/>
      <c r="G183"/>
      <c r="H183" t="str">
        <f t="shared" si="11"/>
        <v>ODS 11 - Cidades e Comunidades Sustentáveis</v>
      </c>
      <c r="I183"/>
      <c r="J183"/>
      <c r="K183"/>
      <c r="L183"/>
      <c r="M183"/>
      <c r="N183"/>
      <c r="O183"/>
      <c r="P183"/>
      <c r="Q183"/>
      <c r="R183" t="s">
        <v>543</v>
      </c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 t="s">
        <v>543</v>
      </c>
      <c r="AQ183"/>
      <c r="AR183"/>
      <c r="AS183"/>
      <c r="AT183"/>
      <c r="AU183"/>
      <c r="AV183"/>
      <c r="AW183"/>
    </row>
    <row r="184" spans="2:49">
      <c r="B184" s="24">
        <v>12</v>
      </c>
      <c r="C184" s="24" t="s">
        <v>353</v>
      </c>
      <c r="D184" s="25">
        <v>69</v>
      </c>
      <c r="E184"/>
      <c r="F184"/>
      <c r="G184"/>
      <c r="H184" t="str">
        <f t="shared" si="11"/>
        <v>ODS 12 - Consumo e Produção Responsáveis</v>
      </c>
      <c r="I184"/>
      <c r="J184"/>
      <c r="K184"/>
      <c r="L184"/>
      <c r="M184"/>
      <c r="N184"/>
      <c r="O184"/>
      <c r="P184"/>
      <c r="Q184"/>
      <c r="R184" t="s">
        <v>545</v>
      </c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 t="s">
        <v>545</v>
      </c>
      <c r="AQ184"/>
      <c r="AR184"/>
      <c r="AS184"/>
      <c r="AT184"/>
      <c r="AU184"/>
      <c r="AV184"/>
      <c r="AW184"/>
    </row>
    <row r="185" spans="2:49">
      <c r="B185" s="24">
        <v>13</v>
      </c>
      <c r="C185" s="24" t="s">
        <v>355</v>
      </c>
      <c r="D185" s="25">
        <v>90</v>
      </c>
      <c r="E185"/>
      <c r="F185"/>
      <c r="G185"/>
      <c r="H185" t="str">
        <f t="shared" si="11"/>
        <v>ODS 13 - Ação Contra a Mudança Global do Clima</v>
      </c>
      <c r="I185"/>
      <c r="J185"/>
      <c r="K185"/>
      <c r="L185"/>
      <c r="M185"/>
      <c r="N185"/>
      <c r="O185"/>
      <c r="P185"/>
      <c r="Q185"/>
      <c r="R185" t="s">
        <v>547</v>
      </c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 t="s">
        <v>547</v>
      </c>
      <c r="AQ185"/>
      <c r="AR185"/>
      <c r="AS185"/>
      <c r="AT185"/>
      <c r="AU185"/>
      <c r="AV185"/>
      <c r="AW185"/>
    </row>
    <row r="186" spans="2:49">
      <c r="B186" s="24">
        <v>14</v>
      </c>
      <c r="C186" s="24" t="s">
        <v>357</v>
      </c>
      <c r="D186" s="25">
        <v>105</v>
      </c>
      <c r="E186"/>
      <c r="F186"/>
      <c r="G186"/>
      <c r="H186" t="str">
        <f t="shared" si="11"/>
        <v>ODS 14 - Vida na Água</v>
      </c>
      <c r="I186"/>
      <c r="J186"/>
      <c r="K186"/>
      <c r="L186"/>
      <c r="M186"/>
      <c r="N186"/>
      <c r="O186"/>
      <c r="P186"/>
      <c r="Q186"/>
      <c r="R186" t="s">
        <v>549</v>
      </c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 t="s">
        <v>549</v>
      </c>
      <c r="AQ186"/>
      <c r="AR186"/>
      <c r="AS186"/>
      <c r="AT186"/>
      <c r="AU186"/>
      <c r="AV186"/>
      <c r="AW186"/>
    </row>
    <row r="187" spans="2:49">
      <c r="B187" s="24">
        <v>15</v>
      </c>
      <c r="C187" s="24" t="s">
        <v>359</v>
      </c>
      <c r="D187" s="25">
        <v>40</v>
      </c>
      <c r="E187"/>
      <c r="F187"/>
      <c r="G187"/>
      <c r="H187" t="str">
        <f t="shared" si="11"/>
        <v>ODS 15 - Vida Terrestre</v>
      </c>
      <c r="I187"/>
      <c r="J187"/>
      <c r="K187"/>
      <c r="L187"/>
      <c r="M187"/>
      <c r="N187"/>
      <c r="O187"/>
      <c r="P187"/>
      <c r="Q187"/>
      <c r="R187" t="s">
        <v>406</v>
      </c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 t="s">
        <v>406</v>
      </c>
      <c r="AQ187"/>
      <c r="AR187"/>
      <c r="AS187"/>
      <c r="AT187"/>
      <c r="AU187"/>
      <c r="AV187"/>
      <c r="AW187"/>
    </row>
    <row r="188" spans="2:49">
      <c r="B188" s="24">
        <v>16</v>
      </c>
      <c r="C188" s="24" t="s">
        <v>361</v>
      </c>
      <c r="D188" s="25">
        <v>69</v>
      </c>
      <c r="E188"/>
      <c r="F188"/>
      <c r="G188"/>
      <c r="H188" t="str">
        <f t="shared" si="11"/>
        <v>ODS 16 - Paz, Justiça e Instituições Eficazes</v>
      </c>
      <c r="I188"/>
      <c r="J188"/>
      <c r="K188"/>
      <c r="L188"/>
      <c r="M188"/>
      <c r="N188"/>
      <c r="O188"/>
      <c r="P188"/>
      <c r="Q188"/>
      <c r="R188" t="s">
        <v>552</v>
      </c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 t="s">
        <v>552</v>
      </c>
      <c r="AQ188"/>
      <c r="AR188"/>
      <c r="AS188"/>
      <c r="AT188"/>
      <c r="AU188"/>
      <c r="AV188"/>
      <c r="AW188"/>
    </row>
    <row r="189" spans="2:49">
      <c r="B189" s="24">
        <v>17</v>
      </c>
      <c r="C189" s="24" t="s">
        <v>363</v>
      </c>
      <c r="D189" s="25">
        <v>73</v>
      </c>
      <c r="E189"/>
      <c r="F189"/>
      <c r="G189"/>
      <c r="H189" t="str">
        <f t="shared" si="11"/>
        <v>ODS 17 - Parcerias e Meios de Implementação</v>
      </c>
      <c r="I189"/>
      <c r="J189"/>
      <c r="K189"/>
      <c r="L189"/>
      <c r="M189"/>
      <c r="N189"/>
      <c r="O189"/>
      <c r="P189"/>
      <c r="Q189"/>
      <c r="R189" t="s">
        <v>554</v>
      </c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 t="s">
        <v>554</v>
      </c>
      <c r="AQ189"/>
      <c r="AR189"/>
      <c r="AS189"/>
      <c r="AT189"/>
      <c r="AU189"/>
      <c r="AV189"/>
      <c r="AW189"/>
    </row>
    <row r="190" spans="2:49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 t="s">
        <v>556</v>
      </c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 t="s">
        <v>556</v>
      </c>
      <c r="AQ190"/>
      <c r="AR190"/>
      <c r="AS190"/>
      <c r="AT190"/>
      <c r="AU190"/>
      <c r="AV190"/>
      <c r="AW190"/>
    </row>
    <row r="191" spans="2:49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 t="s">
        <v>558</v>
      </c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 t="s">
        <v>558</v>
      </c>
      <c r="AQ191"/>
      <c r="AR191"/>
      <c r="AS191"/>
      <c r="AT191"/>
      <c r="AU191"/>
      <c r="AV191"/>
      <c r="AW191"/>
    </row>
    <row r="192" spans="2:49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 t="s">
        <v>560</v>
      </c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 t="s">
        <v>560</v>
      </c>
      <c r="AQ192"/>
      <c r="AR192"/>
      <c r="AS192"/>
      <c r="AT192"/>
      <c r="AU192"/>
      <c r="AV192"/>
      <c r="AW192"/>
    </row>
    <row r="193" spans="1:49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</row>
    <row r="194" spans="1:49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</row>
    <row r="195" spans="1:49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</row>
    <row r="196" spans="1:49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</row>
    <row r="197" spans="1:49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</row>
    <row r="198" spans="1:49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</row>
    <row r="199" spans="1:49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</row>
    <row r="200" spans="1:49">
      <c r="A200"/>
      <c r="B200" s="226" t="s">
        <v>845</v>
      </c>
      <c r="C200" s="226"/>
      <c r="D200" s="226"/>
      <c r="E200" s="226"/>
      <c r="F200" s="226"/>
      <c r="G200" s="226"/>
      <c r="H200" s="226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</row>
    <row r="201" spans="1:49">
      <c r="A201" s="19" t="s">
        <v>846</v>
      </c>
      <c r="B201" t="s">
        <v>847</v>
      </c>
      <c r="C201" t="s">
        <v>848</v>
      </c>
      <c r="D201" t="s">
        <v>849</v>
      </c>
      <c r="E201" t="s">
        <v>850</v>
      </c>
      <c r="F201" t="s">
        <v>851</v>
      </c>
      <c r="G201" t="s">
        <v>850</v>
      </c>
      <c r="H201" t="s">
        <v>852</v>
      </c>
      <c r="I201" t="s">
        <v>853</v>
      </c>
      <c r="J201" t="s">
        <v>960</v>
      </c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</row>
    <row r="202" spans="1:49" ht="98">
      <c r="A202" s="19">
        <v>1</v>
      </c>
      <c r="B202" s="132" t="s">
        <v>854</v>
      </c>
      <c r="C202" s="133" t="s">
        <v>855</v>
      </c>
      <c r="D202" s="134">
        <v>8</v>
      </c>
      <c r="E202" s="132" t="s">
        <v>856</v>
      </c>
      <c r="F202" s="134">
        <v>1</v>
      </c>
      <c r="G202" s="132" t="s">
        <v>857</v>
      </c>
      <c r="H202" s="133" t="s">
        <v>858</v>
      </c>
      <c r="I202" s="133" t="s">
        <v>859</v>
      </c>
      <c r="J202" s="14" t="str">
        <f>VLOOKUP(D202,TabelaGeral[[#All],[Nº ODS]:[Vantagem 2 ]],12,FALSE)</f>
        <v>Atração de linhas do BNDES para financiar grandes projetos de infraestrutura que melhoram a produtividade da cidade.</v>
      </c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</row>
    <row r="203" spans="1:49" ht="112">
      <c r="A203" s="19">
        <v>2</v>
      </c>
      <c r="B203" s="132" t="s">
        <v>860</v>
      </c>
      <c r="C203" s="135" t="s">
        <v>861</v>
      </c>
      <c r="D203" s="14">
        <v>9</v>
      </c>
      <c r="E203" s="132" t="s">
        <v>862</v>
      </c>
      <c r="F203" s="14">
        <v>11</v>
      </c>
      <c r="G203" s="132" t="s">
        <v>863</v>
      </c>
      <c r="H203" s="132" t="s">
        <v>864</v>
      </c>
      <c r="I203" s="132" t="s">
        <v>865</v>
      </c>
      <c r="J203" s="14" t="str">
        <f>VLOOKUP(D203,TabelaGeral[[#All],[Nº ODS]:[Vantagem 2 ]],12,FALSE)</f>
        <v>Acesso a linhas de crédito do BNDES para modernização da infraestrutura urbana, como pavimentação de vias, e para a criação de polos tecnológicos e de inovação.</v>
      </c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</row>
    <row r="204" spans="1:49" ht="126">
      <c r="A204" s="19">
        <v>3</v>
      </c>
      <c r="B204" s="132" t="s">
        <v>866</v>
      </c>
      <c r="C204" s="132" t="s">
        <v>867</v>
      </c>
      <c r="D204" s="14">
        <v>4</v>
      </c>
      <c r="E204" s="132" t="s">
        <v>868</v>
      </c>
      <c r="F204" s="14">
        <v>8</v>
      </c>
      <c r="G204" s="132" t="s">
        <v>869</v>
      </c>
      <c r="H204" s="132" t="s">
        <v>870</v>
      </c>
      <c r="I204" s="132" t="s">
        <v>871</v>
      </c>
      <c r="J204" s="14" t="str">
        <f>VLOOKUP(D204,TabelaGeral[[#All],[Nº ODS]:[Vantagem 2 ]],12,FALSE)</f>
        <v>Financiamento para renovar e ampliar Frota escolar.</v>
      </c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</row>
    <row r="205" spans="1:49" ht="140">
      <c r="A205" s="19">
        <v>4</v>
      </c>
      <c r="B205" s="132" t="s">
        <v>872</v>
      </c>
      <c r="C205" s="132" t="s">
        <v>873</v>
      </c>
      <c r="D205" s="14">
        <v>3</v>
      </c>
      <c r="E205" s="132" t="s">
        <v>874</v>
      </c>
      <c r="F205" s="14">
        <v>10</v>
      </c>
      <c r="G205" s="14" t="s">
        <v>875</v>
      </c>
      <c r="H205" s="132" t="s">
        <v>876</v>
      </c>
      <c r="I205" s="132" t="s">
        <v>877</v>
      </c>
      <c r="J205" s="14" t="str">
        <f>VLOOKUP(D205,TabelaGeral[[#All],[Nº ODS]:[Vantagem 2 ]],12,FALSE)</f>
        <v>Facilidade para receber recursos do Ministério da Saúde para construção e reforma de postos de saúde, hospitais e para a implementação de programas de saúde preventiva.</v>
      </c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</row>
    <row r="206" spans="1:49" ht="140" customHeight="1">
      <c r="A206" s="19">
        <v>5</v>
      </c>
      <c r="B206" s="132" t="s">
        <v>878</v>
      </c>
      <c r="C206" s="132" t="s">
        <v>879</v>
      </c>
      <c r="D206" s="14">
        <v>11</v>
      </c>
      <c r="E206" s="132" t="s">
        <v>880</v>
      </c>
      <c r="F206" s="14">
        <v>12</v>
      </c>
      <c r="G206" s="132" t="s">
        <v>881</v>
      </c>
      <c r="H206" s="132" t="s">
        <v>882</v>
      </c>
      <c r="I206" s="132" t="s">
        <v>883</v>
      </c>
      <c r="J206" s="14" t="str">
        <f>VLOOKUP(D206,TabelaGeral[[#All],[Nº ODS]:[Vantagem 2 ]],12,FALSE)</f>
        <v>Acesso a fundos de desenvolvimento urbano para financiar a criação de um "Plano Diretor Cicloviário", com apoio técnico de ONGs especializadas em mobilidade ativa.</v>
      </c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</row>
    <row r="207" spans="1:49" ht="112">
      <c r="A207" s="19">
        <v>6</v>
      </c>
      <c r="B207" s="132" t="s">
        <v>884</v>
      </c>
      <c r="C207" s="132" t="s">
        <v>885</v>
      </c>
      <c r="D207" s="14">
        <v>16</v>
      </c>
      <c r="E207" s="132" t="s">
        <v>886</v>
      </c>
      <c r="F207" s="14">
        <v>17</v>
      </c>
      <c r="G207" s="132" t="s">
        <v>887</v>
      </c>
      <c r="H207" s="132" t="s">
        <v>888</v>
      </c>
      <c r="I207" s="132" t="s">
        <v>889</v>
      </c>
      <c r="J207" s="14" t="str">
        <f>VLOOKUP(D207,TabelaGeral[[#All],[Nº ODS]:[Vantagem 2 ]],12,FALSE)</f>
        <v>Fortalecimento da imagem institucional do município, o que aumenta a confiança de investidores e agências de fomento. Acesso a programas de modernização da gestão pública e de transparência.</v>
      </c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</row>
    <row r="208" spans="1:49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</row>
    <row r="209" spans="2:49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</row>
    <row r="210" spans="2:49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</row>
    <row r="211" spans="2:49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</row>
    <row r="212" spans="2:49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</row>
  </sheetData>
  <mergeCells count="5">
    <mergeCell ref="G95:H95"/>
    <mergeCell ref="A2:K2"/>
    <mergeCell ref="G57:H57"/>
    <mergeCell ref="G81:H81"/>
    <mergeCell ref="B200:H200"/>
  </mergeCells>
  <phoneticPr fontId="30" type="noConversion"/>
  <dataValidations count="1">
    <dataValidation type="list" allowBlank="1" showInputMessage="1" showErrorMessage="1" sqref="K4:K20" xr:uid="{7B012939-403C-43E2-A32D-A83D03DEEA08}">
      <formula1>$B$202:$B$207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C1916-7F9F-47E8-BC09-2F5614526B66}">
  <dimension ref="A1:AD46"/>
  <sheetViews>
    <sheetView topLeftCell="A7" workbookViewId="0">
      <selection activeCell="B9" sqref="B9"/>
    </sheetView>
  </sheetViews>
  <sheetFormatPr defaultRowHeight="14"/>
  <cols>
    <col min="1" max="1" width="17.83203125" customWidth="1"/>
    <col min="2" max="2" width="26.5" customWidth="1"/>
    <col min="3" max="3" width="19" bestFit="1" customWidth="1"/>
    <col min="4" max="4" width="19" customWidth="1"/>
    <col min="9" max="9" width="20.25" customWidth="1"/>
    <col min="10" max="10" width="19" bestFit="1" customWidth="1"/>
    <col min="11" max="11" width="16.33203125" bestFit="1" customWidth="1"/>
    <col min="12" max="12" width="19" bestFit="1" customWidth="1"/>
    <col min="13" max="13" width="18" bestFit="1" customWidth="1"/>
    <col min="14" max="18" width="16.33203125" bestFit="1" customWidth="1"/>
    <col min="28" max="28" width="12.9140625" customWidth="1"/>
    <col min="29" max="29" width="14.83203125" customWidth="1"/>
  </cols>
  <sheetData>
    <row r="1" spans="1:30" ht="17.5">
      <c r="C1" s="144" t="str">
        <f>C2</f>
        <v>Goiana 1</v>
      </c>
      <c r="D1" s="144" t="str">
        <f>D2</f>
        <v>Goiana 2</v>
      </c>
      <c r="E1" s="144" t="str">
        <f t="shared" ref="E1:H1" si="0">E2</f>
        <v xml:space="preserve">Itaquitinga </v>
      </c>
      <c r="F1" s="144" t="str">
        <f t="shared" si="0"/>
        <v>Condado</v>
      </c>
      <c r="G1" s="144" t="str">
        <f t="shared" si="0"/>
        <v>Itapissuma</v>
      </c>
      <c r="H1" s="144" t="str">
        <f t="shared" si="0"/>
        <v>Itambé</v>
      </c>
      <c r="I1" s="144" t="str">
        <f>I2</f>
        <v>Recife</v>
      </c>
      <c r="J1" s="144" t="str">
        <f t="shared" ref="J1:R1" si="1">J2</f>
        <v>Jaboatão</v>
      </c>
      <c r="K1" s="144" t="str">
        <f t="shared" si="1"/>
        <v>Ipojuca</v>
      </c>
      <c r="L1" s="144" t="str">
        <f t="shared" si="1"/>
        <v>Cabo St Ag</v>
      </c>
      <c r="M1" s="144" t="str">
        <f t="shared" si="1"/>
        <v>Caruaru</v>
      </c>
      <c r="N1" s="144" t="str">
        <f t="shared" si="1"/>
        <v>Abreu e Lima</v>
      </c>
      <c r="O1" s="144" t="str">
        <f t="shared" si="1"/>
        <v>Araripina</v>
      </c>
      <c r="P1" s="144" t="str">
        <f t="shared" si="1"/>
        <v>Gravatá</v>
      </c>
      <c r="Q1" s="144" t="str">
        <f t="shared" si="1"/>
        <v>St Cruz do Capibaripe</v>
      </c>
      <c r="R1" s="144" t="str">
        <f t="shared" si="1"/>
        <v>Serra Talhada</v>
      </c>
      <c r="V1" s="89">
        <f t="shared" ref="V1:AA1" si="2">SUM(V3:V19)/17</f>
        <v>0.45157058823529411</v>
      </c>
      <c r="W1" s="89">
        <f t="shared" si="2"/>
        <v>0.500235294117647</v>
      </c>
      <c r="X1" s="89">
        <f t="shared" si="2"/>
        <v>0.52510588235294109</v>
      </c>
      <c r="Y1" s="89">
        <f t="shared" si="2"/>
        <v>0.54392941176470588</v>
      </c>
      <c r="Z1" s="89">
        <f t="shared" si="2"/>
        <v>0</v>
      </c>
      <c r="AA1" s="89">
        <f t="shared" si="2"/>
        <v>0</v>
      </c>
      <c r="AB1" s="89">
        <f>SUM(AB3:AB19)/17</f>
        <v>0.45439558823529419</v>
      </c>
    </row>
    <row r="2" spans="1:30" ht="28">
      <c r="A2" s="60" t="s">
        <v>49</v>
      </c>
      <c r="B2" s="60" t="s">
        <v>639</v>
      </c>
      <c r="C2" s="84" t="s">
        <v>978</v>
      </c>
      <c r="D2" s="84" t="s">
        <v>979</v>
      </c>
      <c r="E2" s="36" t="s">
        <v>638</v>
      </c>
      <c r="F2" s="36" t="s">
        <v>637</v>
      </c>
      <c r="G2" s="36" t="s">
        <v>636</v>
      </c>
      <c r="H2" s="36" t="s">
        <v>635</v>
      </c>
      <c r="I2" s="75" t="s">
        <v>618</v>
      </c>
      <c r="J2" s="75" t="s">
        <v>619</v>
      </c>
      <c r="K2" s="75" t="s">
        <v>620</v>
      </c>
      <c r="L2" s="74" t="s">
        <v>621</v>
      </c>
      <c r="M2" s="75" t="s">
        <v>622</v>
      </c>
      <c r="N2" s="74" t="s">
        <v>625</v>
      </c>
      <c r="O2" s="74" t="s">
        <v>626</v>
      </c>
      <c r="P2" s="74" t="s">
        <v>627</v>
      </c>
      <c r="Q2" s="74" t="s">
        <v>628</v>
      </c>
      <c r="R2" s="74" t="s">
        <v>629</v>
      </c>
      <c r="S2" s="22"/>
      <c r="V2" t="s">
        <v>974</v>
      </c>
      <c r="W2" t="s">
        <v>971</v>
      </c>
      <c r="X2" t="s">
        <v>972</v>
      </c>
      <c r="Y2" t="s">
        <v>973</v>
      </c>
      <c r="AB2" t="s">
        <v>54</v>
      </c>
      <c r="AC2" t="s">
        <v>976</v>
      </c>
      <c r="AD2" t="s">
        <v>977</v>
      </c>
    </row>
    <row r="3" spans="1:30">
      <c r="A3" s="60">
        <f>'Dados Tabela Din'!A4</f>
        <v>1</v>
      </c>
      <c r="B3" s="14" t="str">
        <f>'Dados Tabela Din'!B4</f>
        <v>Erradicação da Pobreza</v>
      </c>
      <c r="C3" s="85">
        <v>0.52410000000000001</v>
      </c>
      <c r="D3" s="85">
        <v>0.52290000000000003</v>
      </c>
      <c r="E3" s="82">
        <v>0.4929</v>
      </c>
      <c r="F3" s="82">
        <v>0.42559999999999998</v>
      </c>
      <c r="G3" s="82">
        <v>0.44090000000000001</v>
      </c>
      <c r="H3" s="82">
        <v>0.48320000000000002</v>
      </c>
      <c r="I3" s="82">
        <v>0.68049999999999999</v>
      </c>
      <c r="J3" s="82">
        <v>0.64029999999999998</v>
      </c>
      <c r="K3" s="82">
        <v>0.59589999999999999</v>
      </c>
      <c r="L3" s="82">
        <v>0.62439999999999996</v>
      </c>
      <c r="M3" s="82">
        <v>0.6331</v>
      </c>
      <c r="N3" s="82">
        <v>0.5282</v>
      </c>
      <c r="O3" s="82">
        <v>0.43630000000000002</v>
      </c>
      <c r="P3" s="82">
        <v>0.48270000000000002</v>
      </c>
      <c r="Q3" s="82">
        <v>0.74960000000000004</v>
      </c>
      <c r="R3" s="82">
        <v>0.43030000000000002</v>
      </c>
      <c r="V3" s="85">
        <v>0.52410000000000001</v>
      </c>
      <c r="W3" s="85">
        <v>0.52410000000000001</v>
      </c>
      <c r="X3" s="85">
        <v>0.64</v>
      </c>
      <c r="Y3" s="85">
        <v>0.64</v>
      </c>
      <c r="Z3" s="85"/>
      <c r="AB3" s="218">
        <f>SUM(E3:H3)/4</f>
        <v>0.46065</v>
      </c>
      <c r="AC3" s="218">
        <f>SUM(I3:M3)/5</f>
        <v>0.63483999999999996</v>
      </c>
      <c r="AD3" s="27">
        <v>0.5387333333333334</v>
      </c>
    </row>
    <row r="4" spans="1:30" ht="28">
      <c r="A4" s="60">
        <f>'Dados Tabela Din'!A5</f>
        <v>2</v>
      </c>
      <c r="B4" s="14" t="str">
        <f>'Dados Tabela Din'!B5</f>
        <v>Fome Zero e Agricultura Sustentável</v>
      </c>
      <c r="C4" s="85">
        <v>0.52769999999999995</v>
      </c>
      <c r="D4" s="85">
        <v>0.55559999999999998</v>
      </c>
      <c r="E4" s="82">
        <v>0.49480000000000002</v>
      </c>
      <c r="F4" s="82">
        <v>0.54239999999999999</v>
      </c>
      <c r="G4" s="82">
        <v>0.48930000000000001</v>
      </c>
      <c r="H4" s="82">
        <v>0.48530000000000001</v>
      </c>
      <c r="I4" s="82">
        <v>0.44929999999999998</v>
      </c>
      <c r="J4" s="82">
        <v>0.44119999999999998</v>
      </c>
      <c r="K4" s="82">
        <v>0.38619999999999999</v>
      </c>
      <c r="L4" s="82">
        <v>0.33779999999999999</v>
      </c>
      <c r="M4" s="82">
        <v>0.4874</v>
      </c>
      <c r="N4" s="82">
        <v>0.4012</v>
      </c>
      <c r="O4" s="82">
        <v>0.57399999999999995</v>
      </c>
      <c r="P4" s="82">
        <v>0.46360000000000001</v>
      </c>
      <c r="Q4" s="82">
        <v>0.47820000000000001</v>
      </c>
      <c r="R4" s="82">
        <v>0.36580000000000001</v>
      </c>
      <c r="V4" s="85">
        <v>0.52769999999999995</v>
      </c>
      <c r="W4" s="85">
        <v>0.52769999999999995</v>
      </c>
      <c r="X4" s="85">
        <v>0.52769999999999995</v>
      </c>
      <c r="Y4" s="85">
        <v>0.52769999999999995</v>
      </c>
      <c r="Z4" s="85"/>
      <c r="AB4" s="218">
        <f t="shared" ref="AB4:AB19" si="3">SUM(E4:H4)/4</f>
        <v>0.50295000000000001</v>
      </c>
      <c r="AC4" s="218">
        <f t="shared" ref="AC4:AC19" si="4">SUM(I4:M4)/5</f>
        <v>0.42038000000000003</v>
      </c>
      <c r="AD4" s="27">
        <v>0.47266666666666673</v>
      </c>
    </row>
    <row r="5" spans="1:30">
      <c r="A5" s="60">
        <f>'Dados Tabela Din'!A6</f>
        <v>3</v>
      </c>
      <c r="B5" s="14" t="str">
        <f>'Dados Tabela Din'!B6</f>
        <v>Saúde e Bem-Estar</v>
      </c>
      <c r="C5" s="85">
        <v>0.69489999999999996</v>
      </c>
      <c r="D5" s="85">
        <v>0.67610000000000003</v>
      </c>
      <c r="E5" s="82">
        <v>0.4884</v>
      </c>
      <c r="F5" s="82">
        <v>0.68530000000000002</v>
      </c>
      <c r="G5" s="82">
        <v>0.67300000000000004</v>
      </c>
      <c r="H5" s="82">
        <v>0.71579999999999999</v>
      </c>
      <c r="I5" s="82">
        <v>0.58720000000000006</v>
      </c>
      <c r="J5" s="82">
        <v>0.57550000000000001</v>
      </c>
      <c r="K5" s="82">
        <v>0.64929999999999999</v>
      </c>
      <c r="L5" s="82">
        <v>0.62619999999999998</v>
      </c>
      <c r="M5" s="82">
        <v>0.67159999999999997</v>
      </c>
      <c r="N5" s="82">
        <v>0.59050000000000002</v>
      </c>
      <c r="O5" s="82">
        <v>0.71509999999999996</v>
      </c>
      <c r="P5" s="82">
        <v>0.70269999999999999</v>
      </c>
      <c r="Q5" s="82">
        <v>0.68979999999999997</v>
      </c>
      <c r="R5" s="82">
        <v>0.72289999999999999</v>
      </c>
      <c r="V5" s="85">
        <v>0.69489999999999996</v>
      </c>
      <c r="W5" s="85">
        <v>0.69489999999999996</v>
      </c>
      <c r="X5" s="85">
        <v>0.69489999999999996</v>
      </c>
      <c r="Y5" s="85">
        <v>0.69489999999999996</v>
      </c>
      <c r="Z5" s="85"/>
      <c r="AB5" s="218">
        <f t="shared" si="3"/>
        <v>0.640625</v>
      </c>
      <c r="AC5" s="218">
        <f t="shared" si="4"/>
        <v>0.62195999999999996</v>
      </c>
      <c r="AD5" s="27">
        <v>0.70926666666666671</v>
      </c>
    </row>
    <row r="6" spans="1:30">
      <c r="A6" s="60">
        <f>'Dados Tabela Din'!A7</f>
        <v>4</v>
      </c>
      <c r="B6" s="14" t="str">
        <f>'Dados Tabela Din'!B7</f>
        <v>Educação de Qualidade</v>
      </c>
      <c r="C6" s="85">
        <v>0.39169999999999999</v>
      </c>
      <c r="D6" s="85">
        <v>0.44519999999999998</v>
      </c>
      <c r="E6" s="82">
        <v>0.1943</v>
      </c>
      <c r="F6" s="82">
        <v>0.35160000000000002</v>
      </c>
      <c r="G6" s="82">
        <v>0.4168</v>
      </c>
      <c r="H6" s="82">
        <v>0.31859999999999999</v>
      </c>
      <c r="I6" s="82">
        <v>0.4511</v>
      </c>
      <c r="J6" s="82">
        <v>0.43469999999999998</v>
      </c>
      <c r="K6" s="82">
        <v>0.49059999999999998</v>
      </c>
      <c r="L6" s="82">
        <v>0.44390000000000002</v>
      </c>
      <c r="M6" s="82">
        <v>0.42349999999999999</v>
      </c>
      <c r="N6" s="82">
        <v>0.38350000000000001</v>
      </c>
      <c r="O6" s="82">
        <v>0.40200000000000002</v>
      </c>
      <c r="P6" s="82">
        <v>0.35620000000000002</v>
      </c>
      <c r="Q6" s="82">
        <v>0.39119999999999999</v>
      </c>
      <c r="R6" s="82">
        <v>0.39829999999999999</v>
      </c>
      <c r="V6" s="85">
        <v>0.39169999999999999</v>
      </c>
      <c r="W6" s="85">
        <v>0.39169999999999999</v>
      </c>
      <c r="X6" s="85">
        <v>0.45</v>
      </c>
      <c r="Y6" s="85">
        <v>0.45</v>
      </c>
      <c r="Z6" s="85"/>
      <c r="AB6" s="218">
        <f t="shared" si="3"/>
        <v>0.32032500000000003</v>
      </c>
      <c r="AC6" s="218">
        <f t="shared" si="4"/>
        <v>0.44875999999999994</v>
      </c>
      <c r="AD6" s="27">
        <v>0.39716666666666667</v>
      </c>
    </row>
    <row r="7" spans="1:30">
      <c r="A7" s="60">
        <f>'Dados Tabela Din'!A8</f>
        <v>5</v>
      </c>
      <c r="B7" s="14" t="str">
        <f>'Dados Tabela Din'!B8</f>
        <v>Igualdade de Gênero</v>
      </c>
      <c r="C7" s="85">
        <v>0.2843</v>
      </c>
      <c r="D7" s="85">
        <v>0.2671</v>
      </c>
      <c r="E7" s="82">
        <v>0.34599999999999997</v>
      </c>
      <c r="F7" s="82">
        <v>0.27279999999999999</v>
      </c>
      <c r="G7" s="82">
        <v>0.30370000000000003</v>
      </c>
      <c r="H7" s="82">
        <v>0.3508</v>
      </c>
      <c r="I7" s="82">
        <v>0.39550000000000002</v>
      </c>
      <c r="J7" s="82">
        <v>0.3871</v>
      </c>
      <c r="K7" s="82">
        <v>0.13550000000000001</v>
      </c>
      <c r="L7" s="82">
        <v>0.19739999999999999</v>
      </c>
      <c r="M7" s="82">
        <v>0.40329999999999999</v>
      </c>
      <c r="N7" s="82">
        <v>0.29060000000000002</v>
      </c>
      <c r="O7" s="82">
        <v>0.30470000000000003</v>
      </c>
      <c r="P7" s="82">
        <v>0.35099999999999998</v>
      </c>
      <c r="Q7" s="82">
        <v>0.48559999999999998</v>
      </c>
      <c r="R7" s="82">
        <v>0.63019999999999998</v>
      </c>
      <c r="V7" s="85">
        <v>0.2843</v>
      </c>
      <c r="W7" s="85">
        <v>0.32</v>
      </c>
      <c r="X7" s="85">
        <v>0.32</v>
      </c>
      <c r="Y7" s="85">
        <v>0.47</v>
      </c>
      <c r="Z7" s="85"/>
      <c r="AB7" s="218">
        <f t="shared" si="3"/>
        <v>0.31832500000000002</v>
      </c>
      <c r="AC7" s="218">
        <f t="shared" si="4"/>
        <v>0.30375999999999997</v>
      </c>
      <c r="AD7" s="27">
        <v>0.47350000000000003</v>
      </c>
    </row>
    <row r="8" spans="1:30">
      <c r="A8" s="60">
        <f>'Dados Tabela Din'!A9</f>
        <v>6</v>
      </c>
      <c r="B8" s="14" t="str">
        <f>'Dados Tabela Din'!B9</f>
        <v>Água Limpa e Saneamento</v>
      </c>
      <c r="C8" s="85">
        <v>0.71970000000000001</v>
      </c>
      <c r="D8" s="85">
        <v>0.65629999999999999</v>
      </c>
      <c r="E8" s="82">
        <v>0.39860000000000001</v>
      </c>
      <c r="F8" s="82">
        <v>0.37319999999999998</v>
      </c>
      <c r="G8" s="82">
        <v>0.57699999999999996</v>
      </c>
      <c r="H8" s="82">
        <v>0.4</v>
      </c>
      <c r="I8" s="82">
        <v>0.68869999999999998</v>
      </c>
      <c r="J8" s="82">
        <v>0.61739999999999995</v>
      </c>
      <c r="K8" s="82">
        <v>0.70679999999999998</v>
      </c>
      <c r="L8" s="82">
        <v>0.63019999999999998</v>
      </c>
      <c r="M8" s="82">
        <v>0.83030000000000004</v>
      </c>
      <c r="N8" s="82">
        <v>0.67369999999999997</v>
      </c>
      <c r="O8" s="82">
        <v>0.44750000000000001</v>
      </c>
      <c r="P8" s="82">
        <v>0.76970000000000005</v>
      </c>
      <c r="Q8" s="82">
        <v>0.70020000000000004</v>
      </c>
      <c r="R8" s="82">
        <v>0.82469999999999999</v>
      </c>
      <c r="V8" s="85">
        <v>0.71970000000000001</v>
      </c>
      <c r="W8" s="85">
        <v>0.71970000000000001</v>
      </c>
      <c r="X8" s="85">
        <v>0.71970000000000001</v>
      </c>
      <c r="Y8" s="85">
        <v>0.71970000000000001</v>
      </c>
      <c r="Z8" s="85"/>
      <c r="AB8" s="218">
        <f t="shared" si="3"/>
        <v>0.43720000000000003</v>
      </c>
      <c r="AC8" s="218">
        <f t="shared" si="4"/>
        <v>0.69467999999999996</v>
      </c>
      <c r="AD8" s="27">
        <v>0.65746666666666664</v>
      </c>
    </row>
    <row r="9" spans="1:30">
      <c r="A9" s="60">
        <f>'Dados Tabela Din'!A10</f>
        <v>7</v>
      </c>
      <c r="B9" s="14" t="str">
        <f>'Dados Tabela Din'!B10</f>
        <v>Energia Limpa e Acessível</v>
      </c>
      <c r="C9" s="85">
        <v>0.91449999999999998</v>
      </c>
      <c r="D9" s="85">
        <v>0.91449999999999998</v>
      </c>
      <c r="E9" s="82">
        <v>0.79849999999999999</v>
      </c>
      <c r="F9" s="82">
        <v>0.7974</v>
      </c>
      <c r="G9" s="82">
        <v>0.90969999999999995</v>
      </c>
      <c r="H9" s="82">
        <v>0.80930000000000002</v>
      </c>
      <c r="I9" s="82">
        <v>0.90390000000000004</v>
      </c>
      <c r="J9" s="82">
        <v>0.88480000000000003</v>
      </c>
      <c r="K9" s="82">
        <v>0.92410000000000003</v>
      </c>
      <c r="L9" s="82">
        <v>0.91279999999999994</v>
      </c>
      <c r="M9" s="82">
        <v>0.86150000000000004</v>
      </c>
      <c r="N9" s="82">
        <v>0.84830000000000005</v>
      </c>
      <c r="O9" s="82">
        <v>0.70799999999999996</v>
      </c>
      <c r="P9" s="82">
        <v>0.81820000000000004</v>
      </c>
      <c r="Q9" s="82">
        <v>0.85740000000000005</v>
      </c>
      <c r="R9" s="82">
        <v>0.38519999999999999</v>
      </c>
      <c r="V9" s="85">
        <v>0.91449999999999998</v>
      </c>
      <c r="W9" s="85">
        <v>0.91449999999999998</v>
      </c>
      <c r="X9" s="85">
        <v>0.91449999999999998</v>
      </c>
      <c r="Y9" s="85">
        <v>0.91449999999999998</v>
      </c>
      <c r="Z9" s="85"/>
      <c r="AB9" s="218">
        <f t="shared" si="3"/>
        <v>0.82872499999999993</v>
      </c>
      <c r="AC9" s="218">
        <f t="shared" si="4"/>
        <v>0.89742</v>
      </c>
      <c r="AD9" s="27">
        <v>0.6502</v>
      </c>
    </row>
    <row r="10" spans="1:30" ht="28">
      <c r="A10" s="60">
        <f>'Dados Tabela Din'!A11</f>
        <v>8</v>
      </c>
      <c r="B10" s="14" t="str">
        <f>'Dados Tabela Din'!B11</f>
        <v>Trabalho Decente e Crescimento Econômico</v>
      </c>
      <c r="C10" s="85">
        <v>0.37140000000000001</v>
      </c>
      <c r="D10" s="85">
        <v>0.35439999999999999</v>
      </c>
      <c r="E10" s="82">
        <v>0.19159999999999999</v>
      </c>
      <c r="F10" s="82">
        <v>0.1996</v>
      </c>
      <c r="G10" s="82">
        <v>0.39250000000000002</v>
      </c>
      <c r="H10" s="82">
        <v>0.20250000000000001</v>
      </c>
      <c r="I10" s="82">
        <v>0.41820000000000002</v>
      </c>
      <c r="J10" s="82">
        <v>0.2913</v>
      </c>
      <c r="K10" s="82">
        <v>0.41449999999999998</v>
      </c>
      <c r="L10" s="82">
        <v>0.3301</v>
      </c>
      <c r="M10" s="82">
        <v>0.42699999999999999</v>
      </c>
      <c r="N10" s="82">
        <v>0.221</v>
      </c>
      <c r="O10" s="82">
        <v>0.33329999999999999</v>
      </c>
      <c r="P10" s="82">
        <v>0.30869999999999997</v>
      </c>
      <c r="Q10" s="82">
        <v>0.47720000000000001</v>
      </c>
      <c r="R10" s="82">
        <v>0.17369999999999999</v>
      </c>
      <c r="V10" s="85">
        <v>0.37140000000000001</v>
      </c>
      <c r="W10" s="85">
        <v>0.37140000000000001</v>
      </c>
      <c r="X10" s="85">
        <v>0.38</v>
      </c>
      <c r="Y10" s="85">
        <v>0.38</v>
      </c>
      <c r="Z10" s="85"/>
      <c r="AB10" s="218">
        <f t="shared" si="3"/>
        <v>0.24655000000000002</v>
      </c>
      <c r="AC10" s="218">
        <f t="shared" si="4"/>
        <v>0.37622000000000005</v>
      </c>
      <c r="AD10" s="27">
        <v>0.32806666666666667</v>
      </c>
    </row>
    <row r="11" spans="1:30" ht="28">
      <c r="A11" s="60">
        <f>'Dados Tabela Din'!A12</f>
        <v>9</v>
      </c>
      <c r="B11" s="14" t="str">
        <f>'Dados Tabela Din'!B12</f>
        <v>Indústria, Inovação e Infraestrutura</v>
      </c>
      <c r="C11" s="85">
        <v>0.50290000000000001</v>
      </c>
      <c r="D11" s="85">
        <v>0.52790000000000004</v>
      </c>
      <c r="E11" s="82">
        <v>0.81</v>
      </c>
      <c r="F11" s="82">
        <v>0.503</v>
      </c>
      <c r="G11" s="82">
        <v>0.1381</v>
      </c>
      <c r="H11" s="82">
        <v>0.67400000000000004</v>
      </c>
      <c r="I11" s="82">
        <v>0.18110000000000001</v>
      </c>
      <c r="J11" s="82">
        <v>0.12470000000000001</v>
      </c>
      <c r="K11" s="82">
        <v>5.8900000000000001E-2</v>
      </c>
      <c r="L11" s="82">
        <v>0.11459999999999999</v>
      </c>
      <c r="M11" s="82">
        <v>0.1206</v>
      </c>
      <c r="N11" s="82">
        <v>8.0399999999999999E-2</v>
      </c>
      <c r="O11" s="82">
        <v>0.74260000000000004</v>
      </c>
      <c r="P11" s="82">
        <v>5.67E-2</v>
      </c>
      <c r="Q11" s="82">
        <v>5.0700000000000002E-2</v>
      </c>
      <c r="R11" s="82">
        <v>0.54349999999999998</v>
      </c>
      <c r="V11" s="85">
        <v>0.50290000000000001</v>
      </c>
      <c r="W11" s="85">
        <v>0.54</v>
      </c>
      <c r="X11" s="85">
        <v>0.54</v>
      </c>
      <c r="Y11" s="85">
        <v>0.54</v>
      </c>
      <c r="Z11" s="85"/>
      <c r="AB11" s="218">
        <f t="shared" si="3"/>
        <v>0.53127500000000005</v>
      </c>
      <c r="AC11" s="218">
        <f t="shared" si="4"/>
        <v>0.11998</v>
      </c>
      <c r="AD11" s="27">
        <v>0.4456</v>
      </c>
    </row>
    <row r="12" spans="1:30">
      <c r="A12" s="60">
        <f>'Dados Tabela Din'!A13</f>
        <v>10</v>
      </c>
      <c r="B12" s="14" t="str">
        <f>'Dados Tabela Din'!B13</f>
        <v>Redução das Desigualdades</v>
      </c>
      <c r="C12" s="85">
        <v>0.47960000000000003</v>
      </c>
      <c r="D12" s="85">
        <v>0.54169999999999996</v>
      </c>
      <c r="E12" s="82">
        <v>0.57089999999999996</v>
      </c>
      <c r="F12" s="82">
        <v>0.33160000000000001</v>
      </c>
      <c r="G12" s="82">
        <v>0.7268</v>
      </c>
      <c r="H12" s="82">
        <v>0.53590000000000004</v>
      </c>
      <c r="I12" s="82">
        <v>0.3049</v>
      </c>
      <c r="J12" s="82">
        <v>0.55349999999999999</v>
      </c>
      <c r="K12" s="82">
        <v>0.62360000000000004</v>
      </c>
      <c r="L12" s="82">
        <v>0.46500000000000002</v>
      </c>
      <c r="M12" s="82">
        <v>0.35720000000000002</v>
      </c>
      <c r="N12" s="82">
        <v>0.52829999999999999</v>
      </c>
      <c r="O12" s="82">
        <v>0</v>
      </c>
      <c r="P12" s="82">
        <v>0.50319999999999998</v>
      </c>
      <c r="Q12" s="82">
        <v>0.58930000000000005</v>
      </c>
      <c r="R12" s="82">
        <v>0.74099999999999999</v>
      </c>
      <c r="V12" s="85">
        <v>0.47960000000000003</v>
      </c>
      <c r="W12" s="85">
        <v>0.55000000000000004</v>
      </c>
      <c r="X12" s="85">
        <v>0.55000000000000004</v>
      </c>
      <c r="Y12" s="85">
        <v>0.55000000000000004</v>
      </c>
      <c r="Z12" s="85"/>
      <c r="AB12" s="218">
        <f t="shared" si="3"/>
        <v>0.5413</v>
      </c>
      <c r="AC12" s="218">
        <f t="shared" si="4"/>
        <v>0.46084000000000003</v>
      </c>
      <c r="AD12" s="27">
        <v>0.44343333333333335</v>
      </c>
    </row>
    <row r="13" spans="1:30" ht="28">
      <c r="A13" s="60">
        <f>'Dados Tabela Din'!A14</f>
        <v>11</v>
      </c>
      <c r="B13" s="14" t="str">
        <f>'Dados Tabela Din'!B14</f>
        <v>Cidades e Comunidades Sustentáveis</v>
      </c>
      <c r="C13" s="85">
        <v>0.64759999999999995</v>
      </c>
      <c r="D13" s="85">
        <v>0.49059999999999998</v>
      </c>
      <c r="E13" s="82">
        <v>0.72240000000000004</v>
      </c>
      <c r="F13" s="82">
        <v>0.6835</v>
      </c>
      <c r="G13" s="82">
        <v>0.48730000000000001</v>
      </c>
      <c r="H13" s="82">
        <v>0.71870000000000001</v>
      </c>
      <c r="I13" s="82">
        <v>0.27150000000000002</v>
      </c>
      <c r="J13" s="82">
        <v>0.22109999999999999</v>
      </c>
      <c r="K13" s="82">
        <v>0.47349999999999998</v>
      </c>
      <c r="L13" s="82">
        <v>0.28010000000000002</v>
      </c>
      <c r="M13" s="82">
        <v>0.50109999999999999</v>
      </c>
      <c r="N13" s="82">
        <v>0.31709999999999999</v>
      </c>
      <c r="O13" s="82">
        <v>0.46460000000000001</v>
      </c>
      <c r="P13" s="82">
        <v>0.6734</v>
      </c>
      <c r="Q13" s="82">
        <v>0.70979999999999999</v>
      </c>
      <c r="R13" s="82">
        <v>0.50270000000000004</v>
      </c>
      <c r="V13" s="85">
        <v>0.64759999999999995</v>
      </c>
      <c r="W13" s="85">
        <v>0.65</v>
      </c>
      <c r="X13" s="85">
        <v>0.65</v>
      </c>
      <c r="Y13" s="85">
        <v>0.65</v>
      </c>
      <c r="Z13" s="85"/>
      <c r="AB13" s="218">
        <f t="shared" si="3"/>
        <v>0.65297499999999997</v>
      </c>
      <c r="AC13" s="218">
        <f t="shared" si="4"/>
        <v>0.34945999999999999</v>
      </c>
      <c r="AD13" s="27">
        <v>0.55903333333333327</v>
      </c>
    </row>
    <row r="14" spans="1:30" ht="28">
      <c r="A14" s="60">
        <f>'Dados Tabela Din'!A15</f>
        <v>12</v>
      </c>
      <c r="B14" s="14" t="str">
        <f>'Dados Tabela Din'!B15</f>
        <v>Consumo e Produção Responsáveis</v>
      </c>
      <c r="C14" s="85">
        <v>0.28639999999999999</v>
      </c>
      <c r="D14" s="85">
        <v>0.41959999999999997</v>
      </c>
      <c r="E14" s="82">
        <v>0.32119999999999999</v>
      </c>
      <c r="F14" s="82">
        <v>0.33329999999999999</v>
      </c>
      <c r="G14" s="82">
        <v>0.33629999999999999</v>
      </c>
      <c r="H14" s="82">
        <v>0.33329999999999999</v>
      </c>
      <c r="I14" s="82">
        <v>0.4234</v>
      </c>
      <c r="J14" s="82">
        <v>0.43719999999999998</v>
      </c>
      <c r="K14" s="82">
        <v>0.28220000000000001</v>
      </c>
      <c r="L14" s="82">
        <v>0.4007</v>
      </c>
      <c r="M14" s="82">
        <v>0.3246</v>
      </c>
      <c r="N14" s="82">
        <v>0.33040000000000003</v>
      </c>
      <c r="O14" s="82">
        <v>0.3921</v>
      </c>
      <c r="P14" s="82">
        <v>0.24809999999999999</v>
      </c>
      <c r="Q14" s="82">
        <v>0.33329999999999999</v>
      </c>
      <c r="R14" s="82">
        <v>0.71009999999999995</v>
      </c>
      <c r="V14" s="85">
        <v>0.28639999999999999</v>
      </c>
      <c r="W14" s="85">
        <v>0.35</v>
      </c>
      <c r="X14" s="85">
        <v>0.38</v>
      </c>
      <c r="Y14" s="85">
        <v>0.47</v>
      </c>
      <c r="Z14" s="85"/>
      <c r="AB14" s="218">
        <f t="shared" si="3"/>
        <v>0.33102499999999996</v>
      </c>
      <c r="AC14" s="218">
        <f t="shared" si="4"/>
        <v>0.37362000000000001</v>
      </c>
      <c r="AD14" s="27">
        <v>0.47849999999999998</v>
      </c>
    </row>
    <row r="15" spans="1:30" ht="28">
      <c r="A15" s="60">
        <f>'Dados Tabela Din'!A16</f>
        <v>13</v>
      </c>
      <c r="B15" s="14" t="str">
        <f>'Dados Tabela Din'!B16</f>
        <v>Ação Contra a Mudança Global do Clima</v>
      </c>
      <c r="C15" s="85">
        <v>0.73860000000000003</v>
      </c>
      <c r="D15" s="85">
        <v>0.76100000000000001</v>
      </c>
      <c r="E15" s="82">
        <v>0.7671</v>
      </c>
      <c r="F15" s="82">
        <v>0.86299999999999999</v>
      </c>
      <c r="G15" s="82">
        <v>0.76419999999999999</v>
      </c>
      <c r="H15" s="82">
        <v>0.77429999999999999</v>
      </c>
      <c r="I15" s="82">
        <v>0.61460000000000004</v>
      </c>
      <c r="J15" s="82">
        <v>0.61509999999999998</v>
      </c>
      <c r="K15" s="82">
        <v>0.64810000000000001</v>
      </c>
      <c r="L15" s="82">
        <v>0.78539999999999999</v>
      </c>
      <c r="M15" s="82">
        <v>0.72450000000000003</v>
      </c>
      <c r="N15" s="82">
        <v>0.67459999999999998</v>
      </c>
      <c r="O15" s="82">
        <v>0.58809999999999996</v>
      </c>
      <c r="P15" s="82">
        <v>0.84919999999999995</v>
      </c>
      <c r="Q15" s="82">
        <v>0.84340000000000004</v>
      </c>
      <c r="R15" s="82">
        <v>0.30199999999999999</v>
      </c>
      <c r="V15" s="85">
        <v>0.73860000000000003</v>
      </c>
      <c r="W15" s="85">
        <v>0.8</v>
      </c>
      <c r="X15" s="85">
        <v>0.8</v>
      </c>
      <c r="Y15" s="85">
        <v>0.8</v>
      </c>
      <c r="Z15" s="85"/>
      <c r="AB15" s="218">
        <f t="shared" si="3"/>
        <v>0.79215000000000013</v>
      </c>
      <c r="AC15" s="218">
        <f t="shared" si="4"/>
        <v>0.67754000000000003</v>
      </c>
      <c r="AD15" s="27">
        <v>0.57783333333333331</v>
      </c>
    </row>
    <row r="16" spans="1:30">
      <c r="A16" s="60">
        <f>'Dados Tabela Din'!A17</f>
        <v>14</v>
      </c>
      <c r="B16" s="14" t="str">
        <f>'Dados Tabela Din'!B17</f>
        <v>Vida na Água</v>
      </c>
      <c r="C16" s="85">
        <v>1.6899999999999998E-2</v>
      </c>
      <c r="D16" s="85">
        <v>1.6899999999999998E-2</v>
      </c>
      <c r="E16" s="82">
        <v>0</v>
      </c>
      <c r="F16" s="82">
        <v>0</v>
      </c>
      <c r="G16" s="82">
        <v>0</v>
      </c>
      <c r="H16" s="82">
        <v>0.20699999999999999</v>
      </c>
      <c r="I16" s="82">
        <v>0.61850000000000005</v>
      </c>
      <c r="J16" s="82">
        <v>2.9000000000000001E-2</v>
      </c>
      <c r="K16" s="82">
        <v>0.11169999999999999</v>
      </c>
      <c r="L16" s="82">
        <v>1.4E-2</v>
      </c>
      <c r="M16" s="82">
        <v>0.45779999999999998</v>
      </c>
      <c r="N16" s="82">
        <v>0.21890000000000001</v>
      </c>
      <c r="O16" s="82">
        <v>9.2799999999999994E-2</v>
      </c>
      <c r="P16" s="82">
        <v>1.6E-2</v>
      </c>
      <c r="Q16" s="82">
        <v>0</v>
      </c>
      <c r="R16" s="82">
        <v>0</v>
      </c>
      <c r="V16" s="85">
        <v>1.6899999999999998E-2</v>
      </c>
      <c r="W16" s="85">
        <v>0.06</v>
      </c>
      <c r="X16" s="85">
        <v>0.25</v>
      </c>
      <c r="Y16" s="85">
        <v>0.25</v>
      </c>
      <c r="Z16" s="85"/>
      <c r="AB16" s="218">
        <f t="shared" si="3"/>
        <v>5.1749999999999997E-2</v>
      </c>
      <c r="AC16" s="218">
        <f t="shared" si="4"/>
        <v>0.24620000000000003</v>
      </c>
      <c r="AD16" s="27">
        <v>3.093333333333333E-2</v>
      </c>
    </row>
    <row r="17" spans="1:30">
      <c r="A17" s="60">
        <f>'Dados Tabela Din'!A18</f>
        <v>15</v>
      </c>
      <c r="B17" s="14" t="str">
        <f>'Dados Tabela Din'!B18</f>
        <v>Vida Terrestre</v>
      </c>
      <c r="C17" s="85">
        <v>0.17510000000000001</v>
      </c>
      <c r="D17" s="85">
        <v>0.17449999999999999</v>
      </c>
      <c r="E17" s="82">
        <v>0.01</v>
      </c>
      <c r="F17" s="82">
        <v>0.66700000000000004</v>
      </c>
      <c r="G17" s="82">
        <v>0.4662</v>
      </c>
      <c r="H17" s="82">
        <v>0.1333</v>
      </c>
      <c r="I17" s="82">
        <v>0.47339999999999999</v>
      </c>
      <c r="J17" s="82">
        <v>0.3473</v>
      </c>
      <c r="K17" s="82">
        <v>0.22550000000000001</v>
      </c>
      <c r="L17" s="82">
        <v>0.28849999999999998</v>
      </c>
      <c r="M17" s="82">
        <v>0.26790000000000003</v>
      </c>
      <c r="N17" s="82">
        <v>0.41199999999999998</v>
      </c>
      <c r="O17" s="82">
        <v>0.76970000000000005</v>
      </c>
      <c r="P17" s="82">
        <v>0.2009</v>
      </c>
      <c r="Q17" s="82">
        <v>6.6699999999999995E-2</v>
      </c>
      <c r="R17" s="82">
        <v>0.33900000000000002</v>
      </c>
      <c r="V17" s="85">
        <v>0.17510000000000001</v>
      </c>
      <c r="W17" s="85">
        <v>0.32</v>
      </c>
      <c r="X17" s="85">
        <v>0.32</v>
      </c>
      <c r="Y17" s="85">
        <v>0.39</v>
      </c>
      <c r="Z17" s="85"/>
      <c r="AB17" s="218">
        <f t="shared" si="3"/>
        <v>0.31912499999999999</v>
      </c>
      <c r="AC17" s="218">
        <f t="shared" si="4"/>
        <v>0.32052000000000003</v>
      </c>
      <c r="AD17" s="27">
        <v>0.39179999999999998</v>
      </c>
    </row>
    <row r="18" spans="1:30" ht="28">
      <c r="A18" s="60">
        <f>'Dados Tabela Din'!A19</f>
        <v>16</v>
      </c>
      <c r="B18" s="14" t="str">
        <f>'Dados Tabela Din'!B19</f>
        <v>Paz, Justiça e Instituições Eficazes</v>
      </c>
      <c r="C18" s="85">
        <v>0.27379999999999999</v>
      </c>
      <c r="D18" s="85">
        <v>0.27379999999999999</v>
      </c>
      <c r="E18" s="82">
        <v>0.30159999999999998</v>
      </c>
      <c r="F18" s="82">
        <v>0.32540000000000002</v>
      </c>
      <c r="G18" s="82">
        <v>0.43680000000000002</v>
      </c>
      <c r="H18" s="82">
        <v>0.27279999999999999</v>
      </c>
      <c r="I18" s="82">
        <v>0.42059999999999997</v>
      </c>
      <c r="J18" s="82">
        <v>0.43680000000000002</v>
      </c>
      <c r="K18" s="82">
        <v>0.19439999999999999</v>
      </c>
      <c r="L18" s="82">
        <v>0.34920000000000001</v>
      </c>
      <c r="M18" s="82">
        <v>0.40970000000000001</v>
      </c>
      <c r="N18" s="82">
        <v>0.31230000000000002</v>
      </c>
      <c r="O18" s="82">
        <v>0.39029999999999998</v>
      </c>
      <c r="P18" s="82">
        <v>0.32540000000000002</v>
      </c>
      <c r="Q18" s="82">
        <v>0.3448</v>
      </c>
      <c r="R18" s="82">
        <v>0.42080000000000001</v>
      </c>
      <c r="V18" s="85">
        <v>0.27379999999999999</v>
      </c>
      <c r="W18" s="85">
        <v>0.35</v>
      </c>
      <c r="X18" s="85">
        <v>0.37</v>
      </c>
      <c r="Y18" s="85">
        <v>0.38</v>
      </c>
      <c r="Z18" s="85"/>
      <c r="AB18" s="218">
        <f t="shared" si="3"/>
        <v>0.33415</v>
      </c>
      <c r="AC18" s="218">
        <f t="shared" si="4"/>
        <v>0.36213999999999996</v>
      </c>
      <c r="AD18" s="27">
        <v>0.38529999999999998</v>
      </c>
    </row>
    <row r="19" spans="1:30" ht="28">
      <c r="A19" s="60">
        <f>'Dados Tabela Din'!A20</f>
        <v>17</v>
      </c>
      <c r="B19" s="14" t="str">
        <f>'Dados Tabela Din'!B20</f>
        <v>Parcerias e Meios de Implementação</v>
      </c>
      <c r="C19" s="85">
        <v>0.1275</v>
      </c>
      <c r="D19" s="85">
        <v>0.18140000000000001</v>
      </c>
      <c r="E19" s="82">
        <v>0.55200000000000005</v>
      </c>
      <c r="F19" s="82">
        <v>0.54400000000000004</v>
      </c>
      <c r="G19" s="82">
        <v>0.1085</v>
      </c>
      <c r="H19" s="82">
        <v>0.45800000000000002</v>
      </c>
      <c r="I19" s="82">
        <v>0.39479999999999998</v>
      </c>
      <c r="J19" s="82">
        <v>0.2379</v>
      </c>
      <c r="K19" s="82">
        <v>0.2631</v>
      </c>
      <c r="L19" s="82">
        <v>0.31519999999999998</v>
      </c>
      <c r="M19" s="82">
        <v>0.23200000000000001</v>
      </c>
      <c r="N19" s="82">
        <v>0.1173</v>
      </c>
      <c r="O19" s="82">
        <v>0.13919999999999999</v>
      </c>
      <c r="P19" s="82">
        <v>0.21729999999999999</v>
      </c>
      <c r="Q19" s="82">
        <v>0.16070000000000001</v>
      </c>
      <c r="R19" s="82">
        <v>0.1123</v>
      </c>
      <c r="V19" s="85">
        <v>0.1275</v>
      </c>
      <c r="W19" s="85">
        <v>0.42</v>
      </c>
      <c r="X19" s="85">
        <v>0.42</v>
      </c>
      <c r="Y19" s="85">
        <v>0.42</v>
      </c>
      <c r="Z19" s="85"/>
      <c r="AB19" s="218">
        <f t="shared" si="3"/>
        <v>0.41562500000000002</v>
      </c>
      <c r="AC19" s="218">
        <f t="shared" si="4"/>
        <v>0.28860000000000002</v>
      </c>
      <c r="AD19" s="27">
        <v>0.13739999999999999</v>
      </c>
    </row>
    <row r="20" spans="1:30">
      <c r="A20" s="14" t="s">
        <v>652</v>
      </c>
      <c r="B20" s="81" t="s">
        <v>670</v>
      </c>
      <c r="C20" s="86">
        <v>81055</v>
      </c>
      <c r="D20" s="86">
        <v>81055</v>
      </c>
      <c r="I20" s="90">
        <v>1488920</v>
      </c>
      <c r="J20" s="90">
        <v>644037</v>
      </c>
      <c r="K20" s="90">
        <v>98932</v>
      </c>
      <c r="L20" s="90">
        <v>203440</v>
      </c>
      <c r="M20" s="90">
        <v>378048</v>
      </c>
      <c r="N20" s="90">
        <v>98462</v>
      </c>
      <c r="O20" s="90">
        <v>85088</v>
      </c>
      <c r="P20" s="90">
        <v>86516</v>
      </c>
      <c r="Q20" s="90">
        <v>98254</v>
      </c>
      <c r="R20" s="90">
        <v>92228</v>
      </c>
    </row>
    <row r="21" spans="1:30" ht="28">
      <c r="A21" s="14" t="s">
        <v>653</v>
      </c>
      <c r="B21" s="81" t="s">
        <v>670</v>
      </c>
      <c r="C21" s="14" t="s">
        <v>663</v>
      </c>
      <c r="D21" s="14" t="s">
        <v>980</v>
      </c>
      <c r="I21" s="14" t="s">
        <v>668</v>
      </c>
      <c r="J21" s="14" t="s">
        <v>669</v>
      </c>
      <c r="K21" s="14" t="s">
        <v>663</v>
      </c>
      <c r="L21" s="14" t="s">
        <v>667</v>
      </c>
      <c r="M21" s="14" t="s">
        <v>667</v>
      </c>
      <c r="N21" s="14" t="s">
        <v>663</v>
      </c>
      <c r="O21" s="14" t="s">
        <v>663</v>
      </c>
      <c r="P21" s="14" t="s">
        <v>663</v>
      </c>
      <c r="Q21" s="14" t="s">
        <v>663</v>
      </c>
      <c r="R21" s="14" t="s">
        <v>663</v>
      </c>
    </row>
    <row r="22" spans="1:30">
      <c r="A22" s="14" t="s">
        <v>654</v>
      </c>
      <c r="B22" s="81" t="s">
        <v>670</v>
      </c>
      <c r="C22" s="86">
        <v>17619</v>
      </c>
      <c r="D22" s="86">
        <v>17619</v>
      </c>
      <c r="I22" s="81" t="s">
        <v>670</v>
      </c>
      <c r="J22" s="90">
        <v>14025</v>
      </c>
      <c r="K22" s="90">
        <v>20918</v>
      </c>
      <c r="L22" s="90">
        <v>17242</v>
      </c>
      <c r="M22" s="90">
        <v>35323</v>
      </c>
      <c r="N22" s="90">
        <v>7804</v>
      </c>
      <c r="O22" s="90">
        <v>30394</v>
      </c>
      <c r="P22" s="90">
        <v>8073</v>
      </c>
      <c r="Q22" s="90">
        <v>1988</v>
      </c>
      <c r="R22" s="90">
        <v>17957</v>
      </c>
    </row>
    <row r="23" spans="1:30" ht="28">
      <c r="A23" s="14" t="s">
        <v>655</v>
      </c>
      <c r="B23" s="81" t="s">
        <v>670</v>
      </c>
      <c r="C23" s="14" t="s">
        <v>664</v>
      </c>
      <c r="D23" s="14" t="s">
        <v>664</v>
      </c>
      <c r="E23" s="81"/>
      <c r="F23" s="81"/>
      <c r="G23" s="81"/>
      <c r="H23" s="81"/>
      <c r="I23" s="81" t="s">
        <v>665</v>
      </c>
      <c r="J23" s="81" t="s">
        <v>665</v>
      </c>
      <c r="K23" s="81" t="s">
        <v>664</v>
      </c>
      <c r="L23" s="81" t="s">
        <v>665</v>
      </c>
      <c r="M23" s="81" t="s">
        <v>665</v>
      </c>
      <c r="N23" s="81" t="s">
        <v>665</v>
      </c>
      <c r="O23" s="81" t="s">
        <v>665</v>
      </c>
      <c r="P23" s="81" t="s">
        <v>665</v>
      </c>
      <c r="Q23" s="81" t="s">
        <v>665</v>
      </c>
      <c r="R23" s="81" t="s">
        <v>665</v>
      </c>
    </row>
    <row r="24" spans="1:30">
      <c r="A24" s="14" t="s">
        <v>658</v>
      </c>
      <c r="B24" s="81" t="s">
        <v>670</v>
      </c>
      <c r="C24" s="87">
        <v>132714.70000000001</v>
      </c>
      <c r="D24" s="87">
        <v>132714.70000000001</v>
      </c>
      <c r="E24" s="5"/>
      <c r="F24" s="5"/>
      <c r="G24" s="5"/>
      <c r="H24" s="5"/>
      <c r="I24" s="5">
        <v>33094.370000000003</v>
      </c>
      <c r="J24" s="5">
        <v>22680.83</v>
      </c>
      <c r="K24" s="5">
        <v>3685.2</v>
      </c>
      <c r="L24" s="5">
        <v>65022.05</v>
      </c>
      <c r="M24" s="5">
        <v>23456.58</v>
      </c>
      <c r="N24" s="5">
        <v>2331.2800000000002</v>
      </c>
      <c r="O24" s="5">
        <v>5334.28</v>
      </c>
      <c r="P24" s="5">
        <v>3991.96</v>
      </c>
      <c r="Q24" s="5">
        <v>7875.91</v>
      </c>
      <c r="R24" s="5">
        <v>5890.35</v>
      </c>
    </row>
    <row r="25" spans="1:30" ht="12.65" customHeight="1">
      <c r="A25" s="14" t="s">
        <v>656</v>
      </c>
      <c r="B25" s="81" t="s">
        <v>670</v>
      </c>
      <c r="C25" s="88">
        <v>0.77059999999999995</v>
      </c>
      <c r="D25" s="88">
        <v>0.77059999999999995</v>
      </c>
      <c r="E25" s="89"/>
      <c r="F25" s="89"/>
      <c r="G25" s="89"/>
      <c r="H25" s="89"/>
      <c r="I25" s="89">
        <v>0.49149999999999999</v>
      </c>
      <c r="J25" s="89">
        <v>0.64610000000000001</v>
      </c>
      <c r="K25" s="89">
        <v>0.67930000000000001</v>
      </c>
      <c r="L25" s="89">
        <v>0.70930000000000004</v>
      </c>
      <c r="M25" s="89">
        <v>0.70079999999999998</v>
      </c>
      <c r="N25" s="89">
        <v>0.85199999999999998</v>
      </c>
      <c r="O25" s="89">
        <v>0.83009999999999995</v>
      </c>
      <c r="P25" s="89">
        <v>0.66449999999999998</v>
      </c>
      <c r="Q25" s="89">
        <v>0.71840000000000004</v>
      </c>
      <c r="R25" s="89">
        <v>0.82969999999999999</v>
      </c>
    </row>
    <row r="26" spans="1:30" ht="28">
      <c r="A26" s="14" t="s">
        <v>657</v>
      </c>
      <c r="B26" s="81" t="s">
        <v>670</v>
      </c>
      <c r="C26" s="88">
        <v>6.7000000000000004E-2</v>
      </c>
      <c r="D26" s="88">
        <v>6.7000000000000004E-2</v>
      </c>
      <c r="E26" s="89"/>
      <c r="F26" s="89"/>
      <c r="G26" s="89"/>
      <c r="H26" s="89"/>
      <c r="I26" s="89">
        <v>0.12659999999999999</v>
      </c>
      <c r="J26" s="89">
        <v>5.8099999999999999E-2</v>
      </c>
      <c r="K26" s="89">
        <v>5.2900000000000003E-2</v>
      </c>
      <c r="L26" s="89">
        <v>0.1019</v>
      </c>
      <c r="M26" s="89">
        <v>0.11459999999999999</v>
      </c>
      <c r="N26" s="89">
        <v>0.2429</v>
      </c>
      <c r="O26" s="89">
        <v>0.1135</v>
      </c>
      <c r="P26" s="89">
        <v>5.0799999999999998E-2</v>
      </c>
      <c r="Q26" s="89">
        <v>7.4499999999999997E-2</v>
      </c>
      <c r="R26" s="89">
        <v>8.8599999999999998E-2</v>
      </c>
    </row>
    <row r="27" spans="1:30" ht="28">
      <c r="A27" s="14" t="s">
        <v>659</v>
      </c>
      <c r="B27" s="81" t="s">
        <v>670</v>
      </c>
      <c r="C27" s="92">
        <v>5.6</v>
      </c>
      <c r="D27" s="92">
        <v>5.6</v>
      </c>
      <c r="E27" s="93"/>
      <c r="F27" s="93"/>
      <c r="G27" s="93"/>
      <c r="H27" s="93"/>
      <c r="I27" s="93">
        <v>10</v>
      </c>
      <c r="J27" s="93">
        <v>9.39</v>
      </c>
      <c r="K27" s="93">
        <v>5.85</v>
      </c>
      <c r="L27" s="93">
        <v>6.83</v>
      </c>
      <c r="M27" s="93">
        <v>9.14</v>
      </c>
      <c r="N27" s="93">
        <v>9.23</v>
      </c>
      <c r="O27" s="93">
        <v>8.64</v>
      </c>
      <c r="P27" s="93">
        <v>9.34</v>
      </c>
      <c r="Q27" s="93">
        <v>5.75</v>
      </c>
      <c r="R27" s="93">
        <v>9.36</v>
      </c>
    </row>
    <row r="28" spans="1:30">
      <c r="A28" s="14" t="s">
        <v>666</v>
      </c>
      <c r="B28" s="81" t="s">
        <v>670</v>
      </c>
      <c r="C28" s="91">
        <f>C20*C24</f>
        <v>10757190008.5</v>
      </c>
      <c r="D28" s="91">
        <f>D20*D24</f>
        <v>10757190008.5</v>
      </c>
      <c r="E28" s="91">
        <f t="shared" ref="E28:R28" si="5">E20*E24</f>
        <v>0</v>
      </c>
      <c r="F28" s="91">
        <f t="shared" si="5"/>
        <v>0</v>
      </c>
      <c r="G28" s="91">
        <f t="shared" si="5"/>
        <v>0</v>
      </c>
      <c r="H28" s="91">
        <f t="shared" si="5"/>
        <v>0</v>
      </c>
      <c r="I28" s="91">
        <f t="shared" si="5"/>
        <v>49274869380.400002</v>
      </c>
      <c r="J28" s="91">
        <f t="shared" si="5"/>
        <v>14607293710.710001</v>
      </c>
      <c r="K28" s="91">
        <f t="shared" si="5"/>
        <v>364584206.39999998</v>
      </c>
      <c r="L28" s="91">
        <f t="shared" si="5"/>
        <v>13228085852</v>
      </c>
      <c r="M28" s="91">
        <f t="shared" si="5"/>
        <v>8867713155.8400002</v>
      </c>
      <c r="N28" s="91">
        <f t="shared" si="5"/>
        <v>229542491.36000001</v>
      </c>
      <c r="O28" s="91">
        <f t="shared" si="5"/>
        <v>453883216.63999999</v>
      </c>
      <c r="P28" s="91">
        <f t="shared" si="5"/>
        <v>345368411.36000001</v>
      </c>
      <c r="Q28" s="91">
        <f t="shared" si="5"/>
        <v>773839661.13999999</v>
      </c>
      <c r="R28" s="91">
        <f t="shared" si="5"/>
        <v>543255199.80000007</v>
      </c>
    </row>
    <row r="29" spans="1:30" ht="28">
      <c r="I29" s="75" t="s">
        <v>618</v>
      </c>
      <c r="J29" s="75" t="s">
        <v>619</v>
      </c>
      <c r="K29" s="75" t="s">
        <v>620</v>
      </c>
      <c r="L29" s="74" t="s">
        <v>621</v>
      </c>
      <c r="M29" s="75" t="s">
        <v>622</v>
      </c>
      <c r="N29" s="74" t="s">
        <v>625</v>
      </c>
      <c r="O29" s="74" t="s">
        <v>626</v>
      </c>
      <c r="P29" s="74" t="s">
        <v>627</v>
      </c>
      <c r="Q29" s="74" t="s">
        <v>628</v>
      </c>
      <c r="R29" s="74" t="s">
        <v>629</v>
      </c>
    </row>
    <row r="34" spans="3:10">
      <c r="C34" s="7">
        <f>SUM(C3:C19)/17</f>
        <v>0.45157058823529411</v>
      </c>
      <c r="D34" s="7"/>
    </row>
    <row r="37" spans="3:10">
      <c r="C37">
        <v>94</v>
      </c>
      <c r="D37">
        <v>23</v>
      </c>
    </row>
    <row r="40" spans="3:10">
      <c r="I40">
        <v>1.69</v>
      </c>
    </row>
    <row r="43" spans="3:10">
      <c r="I43" t="s">
        <v>970</v>
      </c>
      <c r="J43">
        <v>12.75</v>
      </c>
    </row>
    <row r="44" spans="3:10">
      <c r="I44" t="s">
        <v>969</v>
      </c>
      <c r="J44">
        <v>52.41</v>
      </c>
    </row>
    <row r="45" spans="3:10">
      <c r="I45" t="s">
        <v>968</v>
      </c>
      <c r="J45">
        <v>28.43</v>
      </c>
    </row>
    <row r="46" spans="3:10">
      <c r="I46" t="s">
        <v>967</v>
      </c>
      <c r="J46">
        <v>37.14</v>
      </c>
    </row>
  </sheetData>
  <phoneticPr fontId="30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7" operator="greaterThan" id="{FCB56A66-2317-4CA8-B1DB-A0DE9E65089A}">
            <xm:f>'Dados Tabela Din'!$F$4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E3:R3</xm:sqref>
        </x14:conditionalFormatting>
        <x14:conditionalFormatting xmlns:xm="http://schemas.microsoft.com/office/excel/2006/main">
          <x14:cfRule type="cellIs" priority="16" operator="greaterThan" id="{2B1EE80E-F899-440A-84AD-72ACF257775D}">
            <xm:f>'Dados Tabela Din'!$F$5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E4:R4</xm:sqref>
        </x14:conditionalFormatting>
        <x14:conditionalFormatting xmlns:xm="http://schemas.microsoft.com/office/excel/2006/main">
          <x14:cfRule type="cellIs" priority="15" operator="greaterThan" id="{D942A280-90D5-41A0-9D4B-38A4AF50FC45}">
            <xm:f>'Dados Tabela Din'!$F$6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E5:R5</xm:sqref>
        </x14:conditionalFormatting>
        <x14:conditionalFormatting xmlns:xm="http://schemas.microsoft.com/office/excel/2006/main">
          <x14:cfRule type="cellIs" priority="14" operator="greaterThan" id="{F9EF2F6F-66C1-47BB-A00F-1DC77D67422C}">
            <xm:f>'Dados Tabela Din'!$F$7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E6:R6</xm:sqref>
        </x14:conditionalFormatting>
        <x14:conditionalFormatting xmlns:xm="http://schemas.microsoft.com/office/excel/2006/main">
          <x14:cfRule type="cellIs" priority="13" operator="greaterThan" id="{E8EB07C4-69EF-498F-B8D1-B024FFDB77B4}">
            <xm:f>'Dados Tabela Din'!$F$8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E7:R7</xm:sqref>
        </x14:conditionalFormatting>
        <x14:conditionalFormatting xmlns:xm="http://schemas.microsoft.com/office/excel/2006/main">
          <x14:cfRule type="cellIs" priority="12" operator="greaterThan" id="{9A94C69B-EE7F-44AB-BDD0-8EC4BF379D98}">
            <xm:f>'Dados Tabela Din'!$F$9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E8:R8</xm:sqref>
        </x14:conditionalFormatting>
        <x14:conditionalFormatting xmlns:xm="http://schemas.microsoft.com/office/excel/2006/main">
          <x14:cfRule type="cellIs" priority="11" operator="greaterThan" id="{726C4874-7B5E-4796-AA28-947F26D2533B}">
            <xm:f>'Dados Tabela Din'!$F$10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E9:R9</xm:sqref>
        </x14:conditionalFormatting>
        <x14:conditionalFormatting xmlns:xm="http://schemas.microsoft.com/office/excel/2006/main">
          <x14:cfRule type="cellIs" priority="10" operator="greaterThan" id="{9A67C94E-3312-4FAD-9499-C6C9D863A906}">
            <xm:f>'Dados Tabela Din'!$F$11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E10:R10</xm:sqref>
        </x14:conditionalFormatting>
        <x14:conditionalFormatting xmlns:xm="http://schemas.microsoft.com/office/excel/2006/main">
          <x14:cfRule type="cellIs" priority="9" operator="greaterThan" id="{7A97CF97-1201-45B7-A381-6981DBB12230}">
            <xm:f>'Dados Tabela Din'!$F$12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E11:R11</xm:sqref>
        </x14:conditionalFormatting>
        <x14:conditionalFormatting xmlns:xm="http://schemas.microsoft.com/office/excel/2006/main">
          <x14:cfRule type="cellIs" priority="8" operator="greaterThan" id="{69FC873A-4B93-4C82-B157-BB512B39AB48}">
            <xm:f>'Dados Tabela Din'!$F$13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E12:R12</xm:sqref>
        </x14:conditionalFormatting>
        <x14:conditionalFormatting xmlns:xm="http://schemas.microsoft.com/office/excel/2006/main">
          <x14:cfRule type="cellIs" priority="7" operator="greaterThan" id="{2E80AD8D-8AFE-4628-A453-8C92BBA0AC28}">
            <xm:f>'Dados Tabela Din'!$F$14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E13:R13</xm:sqref>
        </x14:conditionalFormatting>
        <x14:conditionalFormatting xmlns:xm="http://schemas.microsoft.com/office/excel/2006/main">
          <x14:cfRule type="cellIs" priority="6" operator="greaterThan" id="{0E4E38F5-FDB8-4D70-A5FD-84DD84FF551F}">
            <xm:f>'Dados Tabela Din'!$F$15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E14:R14</xm:sqref>
        </x14:conditionalFormatting>
        <x14:conditionalFormatting xmlns:xm="http://schemas.microsoft.com/office/excel/2006/main">
          <x14:cfRule type="cellIs" priority="5" operator="greaterThan" id="{49856404-D2BC-498F-B5D9-494950A5B8EE}">
            <xm:f>'Dados Tabela Din'!$F$16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E15:R15</xm:sqref>
        </x14:conditionalFormatting>
        <x14:conditionalFormatting xmlns:xm="http://schemas.microsoft.com/office/excel/2006/main">
          <x14:cfRule type="cellIs" priority="4" operator="greaterThan" id="{E9B89F26-45E7-4CFC-A8CC-87C4F271C5DD}">
            <xm:f>'Dados Tabela Din'!$F$17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E16:R16</xm:sqref>
        </x14:conditionalFormatting>
        <x14:conditionalFormatting xmlns:xm="http://schemas.microsoft.com/office/excel/2006/main">
          <x14:cfRule type="cellIs" priority="3" operator="greaterThan" id="{5670D3DD-2E3D-4F17-BCE8-B9BC8B04B6D5}">
            <xm:f>'Dados Tabela Din'!$F$18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E17:R17</xm:sqref>
        </x14:conditionalFormatting>
        <x14:conditionalFormatting xmlns:xm="http://schemas.microsoft.com/office/excel/2006/main">
          <x14:cfRule type="cellIs" priority="2" operator="greaterThan" id="{AAA14A49-AFF5-4CCB-A356-446BF5279EF8}">
            <xm:f>'Dados Tabela Din'!$F$19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E18:R18</xm:sqref>
        </x14:conditionalFormatting>
        <x14:conditionalFormatting xmlns:xm="http://schemas.microsoft.com/office/excel/2006/main">
          <x14:cfRule type="cellIs" priority="1" operator="greaterThan" id="{D17C7BF7-ABBF-45E6-904E-12DB44413DB4}">
            <xm:f>'Dados Tabela Din'!$F$20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E19:R19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95C8-A6CD-48B2-B118-3F2738129F51}">
  <dimension ref="B3:M56"/>
  <sheetViews>
    <sheetView topLeftCell="A38" workbookViewId="0">
      <selection activeCell="F56" sqref="F56"/>
    </sheetView>
  </sheetViews>
  <sheetFormatPr defaultRowHeight="14"/>
  <cols>
    <col min="4" max="4" width="13.83203125" bestFit="1" customWidth="1"/>
    <col min="5" max="5" width="11.75" bestFit="1" customWidth="1"/>
    <col min="6" max="6" width="13.83203125" bestFit="1" customWidth="1"/>
    <col min="7" max="7" width="11.75" bestFit="1" customWidth="1"/>
    <col min="8" max="8" width="12.83203125" bestFit="1" customWidth="1"/>
    <col min="9" max="9" width="13.83203125" bestFit="1" customWidth="1"/>
    <col min="10" max="10" width="13.9140625" customWidth="1"/>
    <col min="11" max="13" width="13.83203125" bestFit="1" customWidth="1"/>
  </cols>
  <sheetData>
    <row r="3" spans="2:13">
      <c r="B3" t="s">
        <v>652</v>
      </c>
      <c r="D3" t="s">
        <v>941</v>
      </c>
      <c r="F3" t="s">
        <v>942</v>
      </c>
      <c r="H3" t="s">
        <v>943</v>
      </c>
      <c r="J3" t="s">
        <v>942</v>
      </c>
      <c r="K3" t="s">
        <v>944</v>
      </c>
      <c r="M3" t="s">
        <v>943</v>
      </c>
    </row>
    <row r="5" spans="2:13">
      <c r="B5">
        <v>81055</v>
      </c>
      <c r="D5" s="186">
        <v>1.5</v>
      </c>
      <c r="F5" s="185">
        <v>0.15</v>
      </c>
      <c r="H5" s="185">
        <v>0.3</v>
      </c>
      <c r="I5" s="186">
        <f>B5*D5</f>
        <v>121582.5</v>
      </c>
      <c r="J5" s="187">
        <f>I5*F5</f>
        <v>18237.375</v>
      </c>
      <c r="K5" s="187">
        <f>I5-J5</f>
        <v>103345.125</v>
      </c>
      <c r="M5" s="187">
        <f>K5*H5</f>
        <v>31003.537499999999</v>
      </c>
    </row>
    <row r="9" spans="2:13">
      <c r="K9" t="s">
        <v>945</v>
      </c>
    </row>
    <row r="11" spans="2:13">
      <c r="D11" t="s">
        <v>950</v>
      </c>
      <c r="K11" s="187">
        <f>K5-M5</f>
        <v>72341.587499999994</v>
      </c>
    </row>
    <row r="12" spans="2:13">
      <c r="D12" s="187">
        <f>10*M25</f>
        <v>326533.71899999998</v>
      </c>
    </row>
    <row r="14" spans="2:13">
      <c r="J14" t="s">
        <v>946</v>
      </c>
      <c r="K14" s="187">
        <f>K11*20%</f>
        <v>14468.317499999999</v>
      </c>
    </row>
    <row r="15" spans="2:13">
      <c r="F15" s="187">
        <f>G15/10</f>
        <v>160</v>
      </c>
      <c r="G15" s="186">
        <v>1600</v>
      </c>
      <c r="J15" t="s">
        <v>947</v>
      </c>
      <c r="K15" s="186">
        <v>20000</v>
      </c>
      <c r="M15" s="187">
        <f>K11-K14</f>
        <v>57873.27</v>
      </c>
    </row>
    <row r="16" spans="2:13">
      <c r="F16" s="187">
        <f t="shared" ref="F16:F21" si="0">G16/10</f>
        <v>40</v>
      </c>
      <c r="G16" s="186">
        <v>400</v>
      </c>
      <c r="J16" t="s">
        <v>948</v>
      </c>
      <c r="M16" s="187">
        <f>M15-K15</f>
        <v>37873.269999999997</v>
      </c>
    </row>
    <row r="17" spans="6:13">
      <c r="F17" s="187">
        <f t="shared" si="0"/>
        <v>63</v>
      </c>
      <c r="G17" s="186">
        <v>630</v>
      </c>
    </row>
    <row r="18" spans="6:13">
      <c r="F18" s="187">
        <f t="shared" si="0"/>
        <v>40</v>
      </c>
      <c r="G18" s="186">
        <v>400</v>
      </c>
    </row>
    <row r="19" spans="6:13">
      <c r="F19" s="187">
        <f t="shared" si="0"/>
        <v>18</v>
      </c>
      <c r="G19" s="186">
        <v>180</v>
      </c>
    </row>
    <row r="20" spans="6:13">
      <c r="F20" s="187">
        <f t="shared" si="0"/>
        <v>100</v>
      </c>
      <c r="G20" s="186">
        <v>1000</v>
      </c>
    </row>
    <row r="21" spans="6:13">
      <c r="F21" s="187">
        <f t="shared" si="0"/>
        <v>421</v>
      </c>
      <c r="G21" s="187">
        <f>SUM(G15:G20)</f>
        <v>4210</v>
      </c>
      <c r="M21" t="s">
        <v>949</v>
      </c>
    </row>
    <row r="22" spans="6:13">
      <c r="M22" s="187">
        <f>M16-G21</f>
        <v>33663.269999999997</v>
      </c>
    </row>
    <row r="25" spans="6:13">
      <c r="F25" s="187">
        <f>G21-F21</f>
        <v>3789</v>
      </c>
      <c r="M25" s="187">
        <f>M22-J27</f>
        <v>32653.371899999998</v>
      </c>
    </row>
    <row r="26" spans="6:13">
      <c r="J26" s="185">
        <v>0.03</v>
      </c>
    </row>
    <row r="27" spans="6:13">
      <c r="J27" s="187">
        <f>M22*J26</f>
        <v>1009.8980999999999</v>
      </c>
    </row>
    <row r="32" spans="6:13">
      <c r="F32" s="186">
        <v>8000</v>
      </c>
      <c r="H32" s="187">
        <f>H37*H38</f>
        <v>40000</v>
      </c>
      <c r="J32" s="187">
        <f>J37*J38</f>
        <v>131200</v>
      </c>
      <c r="L32" s="187">
        <f>L37*L38</f>
        <v>160000</v>
      </c>
    </row>
    <row r="36" spans="3:12">
      <c r="F36" t="s">
        <v>953</v>
      </c>
      <c r="H36" t="s">
        <v>954</v>
      </c>
      <c r="J36" t="s">
        <v>955</v>
      </c>
      <c r="L36" t="s">
        <v>956</v>
      </c>
    </row>
    <row r="37" spans="3:12">
      <c r="D37" s="184" t="s">
        <v>951</v>
      </c>
      <c r="F37">
        <v>5000</v>
      </c>
      <c r="H37">
        <v>25000</v>
      </c>
      <c r="J37">
        <v>82000</v>
      </c>
      <c r="L37">
        <v>100000</v>
      </c>
    </row>
    <row r="38" spans="3:12">
      <c r="C38" t="s">
        <v>952</v>
      </c>
      <c r="D38">
        <v>36</v>
      </c>
      <c r="E38" s="187">
        <f>F38/D38</f>
        <v>4.4444444444444446E-2</v>
      </c>
      <c r="F38" s="186">
        <f>F32/F37</f>
        <v>1.6</v>
      </c>
      <c r="H38" s="186">
        <v>1.6</v>
      </c>
      <c r="J38" s="186">
        <v>1.6</v>
      </c>
      <c r="L38" s="186">
        <v>1.6</v>
      </c>
    </row>
    <row r="39" spans="3:12">
      <c r="D39">
        <v>50</v>
      </c>
      <c r="E39" s="187">
        <v>0.04</v>
      </c>
    </row>
    <row r="40" spans="3:12">
      <c r="E40" s="187"/>
    </row>
    <row r="41" spans="3:12">
      <c r="F41" s="187">
        <f>D39*E39</f>
        <v>2</v>
      </c>
    </row>
    <row r="51" spans="5:7">
      <c r="E51">
        <v>25</v>
      </c>
      <c r="F51">
        <v>15000</v>
      </c>
    </row>
    <row r="53" spans="5:7">
      <c r="F53">
        <v>375000</v>
      </c>
      <c r="G53">
        <v>15</v>
      </c>
    </row>
    <row r="54" spans="5:7">
      <c r="F54" s="186">
        <f>F53*G53/100</f>
        <v>56250</v>
      </c>
    </row>
    <row r="56" spans="5:7">
      <c r="F56" s="187">
        <f>F53-F54</f>
        <v>318750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BBD44-2505-4633-9892-51D7FE2D4081}">
  <dimension ref="A1:N513"/>
  <sheetViews>
    <sheetView topLeftCell="F1" workbookViewId="0"/>
  </sheetViews>
  <sheetFormatPr defaultRowHeight="14"/>
  <cols>
    <col min="2" max="2" width="55.33203125" customWidth="1"/>
    <col min="3" max="3" width="80.58203125" bestFit="1" customWidth="1"/>
    <col min="4" max="4" width="110.83203125" bestFit="1" customWidth="1"/>
    <col min="5" max="5" width="58.33203125" customWidth="1"/>
    <col min="6" max="6" width="74.25" customWidth="1"/>
    <col min="9" max="9" width="18.33203125" bestFit="1" customWidth="1"/>
    <col min="10" max="12" width="13.83203125" customWidth="1"/>
    <col min="14" max="14" width="17.33203125" customWidth="1"/>
  </cols>
  <sheetData>
    <row r="1" spans="2:14">
      <c r="B1" t="s">
        <v>44</v>
      </c>
    </row>
    <row r="3" spans="2:14" ht="17.5">
      <c r="B3" t="s">
        <v>45</v>
      </c>
      <c r="E3" s="10" t="s">
        <v>46</v>
      </c>
    </row>
    <row r="4" spans="2:14">
      <c r="B4" t="s">
        <v>47</v>
      </c>
      <c r="C4" s="1" t="s">
        <v>48</v>
      </c>
      <c r="E4" s="11" t="s">
        <v>49</v>
      </c>
      <c r="F4" s="11" t="s">
        <v>50</v>
      </c>
      <c r="G4" s="11" t="s">
        <v>51</v>
      </c>
      <c r="I4" s="11" t="s">
        <v>52</v>
      </c>
      <c r="J4" s="11" t="s">
        <v>53</v>
      </c>
      <c r="K4" s="11" t="s">
        <v>54</v>
      </c>
      <c r="L4" s="11" t="s">
        <v>55</v>
      </c>
      <c r="M4" s="11" t="s">
        <v>56</v>
      </c>
      <c r="N4" s="11" t="s">
        <v>57</v>
      </c>
    </row>
    <row r="5" spans="2:14">
      <c r="C5" s="1"/>
      <c r="E5" s="11" t="s">
        <v>58</v>
      </c>
      <c r="F5" t="s">
        <v>59</v>
      </c>
      <c r="G5" s="11" t="s">
        <v>60</v>
      </c>
      <c r="I5" s="13">
        <v>0.65029999999999999</v>
      </c>
      <c r="J5" s="13">
        <v>0.73829999999999996</v>
      </c>
      <c r="K5" s="7">
        <v>0.67049999999999998</v>
      </c>
      <c r="N5">
        <v>106</v>
      </c>
    </row>
    <row r="6" spans="2:14">
      <c r="B6" s="11" t="s">
        <v>61</v>
      </c>
      <c r="C6" s="1"/>
      <c r="E6" s="11" t="s">
        <v>62</v>
      </c>
      <c r="F6" t="s">
        <v>63</v>
      </c>
      <c r="G6" s="11" t="s">
        <v>64</v>
      </c>
      <c r="I6" s="13">
        <v>0.45590000000000003</v>
      </c>
      <c r="J6" s="13">
        <v>0.68279999999999996</v>
      </c>
      <c r="K6" s="7">
        <v>0.50339999999999996</v>
      </c>
      <c r="N6">
        <v>172</v>
      </c>
    </row>
    <row r="7" spans="2:14">
      <c r="B7" s="11"/>
      <c r="C7" s="1"/>
      <c r="E7" s="11" t="s">
        <v>65</v>
      </c>
      <c r="F7" t="s">
        <v>66</v>
      </c>
      <c r="G7" s="11" t="s">
        <v>60</v>
      </c>
      <c r="I7" s="13">
        <v>0.61209999999999998</v>
      </c>
      <c r="J7" s="13">
        <v>0.59370000000000001</v>
      </c>
      <c r="K7" s="7">
        <v>0.65349999999999997</v>
      </c>
      <c r="N7">
        <v>213</v>
      </c>
    </row>
    <row r="8" spans="2:14">
      <c r="B8" s="11" t="s">
        <v>67</v>
      </c>
      <c r="C8" s="1"/>
      <c r="E8" s="11" t="s">
        <v>68</v>
      </c>
      <c r="F8" t="s">
        <v>69</v>
      </c>
      <c r="G8" s="11" t="s">
        <v>60</v>
      </c>
      <c r="I8" s="13">
        <v>0.52100000000000002</v>
      </c>
      <c r="J8" s="13">
        <v>0.60450000000000004</v>
      </c>
      <c r="K8" s="7">
        <v>0.62849999999999995</v>
      </c>
      <c r="N8">
        <v>158</v>
      </c>
    </row>
    <row r="9" spans="2:14">
      <c r="C9" s="1"/>
      <c r="E9" s="11" t="s">
        <v>70</v>
      </c>
      <c r="F9" t="s">
        <v>71</v>
      </c>
      <c r="G9" s="11" t="s">
        <v>72</v>
      </c>
      <c r="I9" s="13">
        <v>0.71209999999999996</v>
      </c>
      <c r="J9" s="13">
        <v>0.28289999999999998</v>
      </c>
      <c r="K9" s="7">
        <v>0.40479999999999999</v>
      </c>
      <c r="N9">
        <v>111</v>
      </c>
    </row>
    <row r="10" spans="2:14">
      <c r="C10" s="1"/>
      <c r="E10" s="11" t="s">
        <v>73</v>
      </c>
      <c r="F10" t="s">
        <v>74</v>
      </c>
      <c r="G10" s="11" t="s">
        <v>60</v>
      </c>
      <c r="I10" s="13">
        <v>0.12640000000000001</v>
      </c>
      <c r="J10" s="13">
        <v>0.41560000000000002</v>
      </c>
      <c r="K10" s="7">
        <v>0.49730000000000002</v>
      </c>
      <c r="N10">
        <v>111</v>
      </c>
    </row>
    <row r="11" spans="2:14">
      <c r="C11" s="1"/>
      <c r="E11" s="11" t="s">
        <v>75</v>
      </c>
      <c r="F11" t="s">
        <v>76</v>
      </c>
      <c r="G11" s="11" t="s">
        <v>77</v>
      </c>
      <c r="I11" s="13">
        <v>0.12640000000000001</v>
      </c>
      <c r="J11" s="13">
        <v>0.67459999999999998</v>
      </c>
      <c r="K11" s="7">
        <v>0.15240000000000001</v>
      </c>
      <c r="N11">
        <v>19</v>
      </c>
    </row>
    <row r="12" spans="2:14">
      <c r="D12" s="11" t="s">
        <v>78</v>
      </c>
      <c r="E12" s="11" t="s">
        <v>79</v>
      </c>
      <c r="F12" t="s">
        <v>80</v>
      </c>
      <c r="G12" s="11" t="s">
        <v>81</v>
      </c>
      <c r="I12" s="13">
        <v>0.98809999999999998</v>
      </c>
      <c r="J12" s="13">
        <v>0.91830000000000001</v>
      </c>
      <c r="K12" s="7">
        <v>1</v>
      </c>
      <c r="N12">
        <v>5</v>
      </c>
    </row>
    <row r="13" spans="2:14" ht="17.5">
      <c r="B13" s="10" t="s">
        <v>82</v>
      </c>
      <c r="D13" t="s">
        <v>83</v>
      </c>
      <c r="E13" s="11" t="s">
        <v>84</v>
      </c>
      <c r="F13" t="s">
        <v>85</v>
      </c>
      <c r="G13" s="11" t="s">
        <v>86</v>
      </c>
      <c r="I13" s="13">
        <v>0.69910000000000005</v>
      </c>
      <c r="J13" s="13">
        <v>0.65310000000000001</v>
      </c>
      <c r="K13" s="7">
        <v>0.53610000000000002</v>
      </c>
      <c r="N13">
        <v>82</v>
      </c>
    </row>
    <row r="14" spans="2:14">
      <c r="B14" t="s">
        <v>87</v>
      </c>
      <c r="D14" t="s">
        <v>88</v>
      </c>
      <c r="E14" s="11" t="s">
        <v>89</v>
      </c>
      <c r="F14" t="s">
        <v>90</v>
      </c>
      <c r="G14" s="11" t="s">
        <v>72</v>
      </c>
      <c r="I14" s="13">
        <v>0.60780000000000001</v>
      </c>
      <c r="J14" s="13">
        <v>0.62090000000000001</v>
      </c>
      <c r="K14" s="7">
        <v>0.62429999999999997</v>
      </c>
      <c r="N14">
        <v>141</v>
      </c>
    </row>
    <row r="15" spans="2:14">
      <c r="B15" t="s">
        <v>91</v>
      </c>
      <c r="D15" t="s">
        <v>92</v>
      </c>
      <c r="E15" s="11" t="s">
        <v>93</v>
      </c>
      <c r="F15" t="s">
        <v>94</v>
      </c>
      <c r="G15" s="11" t="s">
        <v>81</v>
      </c>
      <c r="I15" s="13">
        <v>0.36280000000000001</v>
      </c>
      <c r="J15" s="13">
        <v>0.47349999999999998</v>
      </c>
      <c r="K15" s="7">
        <v>0.41139999999999999</v>
      </c>
      <c r="N15">
        <v>170</v>
      </c>
    </row>
    <row r="16" spans="2:14">
      <c r="B16" t="s">
        <v>95</v>
      </c>
      <c r="E16" s="11" t="s">
        <v>96</v>
      </c>
      <c r="F16" t="s">
        <v>97</v>
      </c>
      <c r="G16" s="11" t="s">
        <v>86</v>
      </c>
      <c r="I16" s="13">
        <v>0.36280000000000001</v>
      </c>
      <c r="J16" s="13">
        <v>0.47899999999999998</v>
      </c>
      <c r="K16" s="7">
        <v>0.53359999999999996</v>
      </c>
      <c r="N16">
        <v>69</v>
      </c>
    </row>
    <row r="17" spans="2:14">
      <c r="B17" t="s">
        <v>98</v>
      </c>
      <c r="E17" s="11" t="s">
        <v>99</v>
      </c>
      <c r="F17" t="s">
        <v>100</v>
      </c>
      <c r="G17" s="11" t="s">
        <v>86</v>
      </c>
      <c r="I17" s="13">
        <v>0.42609999999999998</v>
      </c>
      <c r="J17" s="13">
        <v>0.21640000000000001</v>
      </c>
      <c r="K17" s="7">
        <v>0.1812</v>
      </c>
      <c r="N17">
        <v>90</v>
      </c>
    </row>
    <row r="18" spans="2:14">
      <c r="E18" s="11" t="s">
        <v>101</v>
      </c>
      <c r="F18" t="s">
        <v>102</v>
      </c>
      <c r="G18" s="11" t="s">
        <v>103</v>
      </c>
      <c r="I18" s="13">
        <v>0.82150000000000001</v>
      </c>
      <c r="J18" s="13">
        <v>0.64639999999999997</v>
      </c>
      <c r="K18" s="7">
        <v>0.69530000000000003</v>
      </c>
      <c r="N18">
        <v>105</v>
      </c>
    </row>
    <row r="19" spans="2:14" ht="17.5">
      <c r="B19" s="10" t="s">
        <v>104</v>
      </c>
      <c r="D19" t="s">
        <v>105</v>
      </c>
      <c r="E19" s="11" t="s">
        <v>106</v>
      </c>
      <c r="F19" t="s">
        <v>107</v>
      </c>
      <c r="G19" s="11" t="s">
        <v>108</v>
      </c>
      <c r="I19" s="13">
        <v>0.59309999999999996</v>
      </c>
      <c r="J19" s="13">
        <v>0.26400000000000001</v>
      </c>
      <c r="K19" s="7">
        <v>0.39550000000000002</v>
      </c>
      <c r="N19">
        <v>40</v>
      </c>
    </row>
    <row r="20" spans="2:14">
      <c r="B20" t="s">
        <v>109</v>
      </c>
      <c r="D20" t="s">
        <v>110</v>
      </c>
      <c r="E20" s="11" t="s">
        <v>111</v>
      </c>
      <c r="F20" t="s">
        <v>112</v>
      </c>
      <c r="G20" s="11" t="s">
        <v>81</v>
      </c>
      <c r="I20" s="13">
        <v>0.88670000000000004</v>
      </c>
      <c r="J20" s="13">
        <v>0.18690000000000001</v>
      </c>
      <c r="K20" s="7">
        <v>0.35160000000000002</v>
      </c>
      <c r="N20">
        <v>69</v>
      </c>
    </row>
    <row r="21" spans="2:14">
      <c r="B21" t="s">
        <v>113</v>
      </c>
      <c r="E21" s="11" t="s">
        <v>114</v>
      </c>
      <c r="F21" t="s">
        <v>115</v>
      </c>
      <c r="G21" s="11" t="s">
        <v>72</v>
      </c>
      <c r="I21" s="13">
        <v>0.51170000000000004</v>
      </c>
      <c r="J21" s="13">
        <v>0.89039999999999997</v>
      </c>
      <c r="K21" s="7">
        <v>0.79520000000000002</v>
      </c>
      <c r="N21">
        <v>73</v>
      </c>
    </row>
    <row r="22" spans="2:14">
      <c r="B22" t="s">
        <v>116</v>
      </c>
    </row>
    <row r="23" spans="2:14">
      <c r="B23" t="s">
        <v>117</v>
      </c>
    </row>
    <row r="25" spans="2:14" ht="17.5">
      <c r="B25" s="10" t="s">
        <v>118</v>
      </c>
      <c r="D25" t="s">
        <v>119</v>
      </c>
      <c r="E25" s="10" t="s">
        <v>120</v>
      </c>
    </row>
    <row r="26" spans="2:14">
      <c r="B26" t="s">
        <v>121</v>
      </c>
      <c r="D26" t="s">
        <v>122</v>
      </c>
      <c r="E26" s="11" t="s">
        <v>123</v>
      </c>
    </row>
    <row r="27" spans="2:14">
      <c r="B27" t="s">
        <v>124</v>
      </c>
      <c r="D27" t="s">
        <v>125</v>
      </c>
      <c r="E27" s="11" t="s">
        <v>126</v>
      </c>
    </row>
    <row r="28" spans="2:14">
      <c r="B28" t="s">
        <v>127</v>
      </c>
      <c r="E28" s="11" t="s">
        <v>128</v>
      </c>
    </row>
    <row r="29" spans="2:14">
      <c r="B29" t="s">
        <v>129</v>
      </c>
      <c r="E29" t="s">
        <v>130</v>
      </c>
    </row>
    <row r="31" spans="2:14" ht="17.5">
      <c r="B31" s="10" t="s">
        <v>131</v>
      </c>
      <c r="D31" t="s">
        <v>132</v>
      </c>
    </row>
    <row r="32" spans="2:14">
      <c r="B32" t="s">
        <v>133</v>
      </c>
      <c r="D32" t="s">
        <v>134</v>
      </c>
    </row>
    <row r="33" spans="2:4">
      <c r="B33" t="s">
        <v>135</v>
      </c>
    </row>
    <row r="34" spans="2:4">
      <c r="B34" t="s">
        <v>136</v>
      </c>
    </row>
    <row r="35" spans="2:4">
      <c r="B35" t="s">
        <v>137</v>
      </c>
    </row>
    <row r="37" spans="2:4" ht="17.5">
      <c r="B37" s="10" t="s">
        <v>138</v>
      </c>
    </row>
    <row r="38" spans="2:4">
      <c r="B38" t="s">
        <v>139</v>
      </c>
    </row>
    <row r="39" spans="2:4">
      <c r="B39" t="s">
        <v>140</v>
      </c>
    </row>
    <row r="40" spans="2:4">
      <c r="B40" t="s">
        <v>141</v>
      </c>
    </row>
    <row r="41" spans="2:4">
      <c r="B41" t="s">
        <v>142</v>
      </c>
    </row>
    <row r="43" spans="2:4" ht="17.5">
      <c r="B43" s="10" t="s">
        <v>143</v>
      </c>
      <c r="D43" t="s">
        <v>144</v>
      </c>
    </row>
    <row r="44" spans="2:4">
      <c r="B44" t="s">
        <v>145</v>
      </c>
      <c r="D44" t="s">
        <v>146</v>
      </c>
    </row>
    <row r="45" spans="2:4">
      <c r="B45" t="s">
        <v>147</v>
      </c>
      <c r="D45" t="s">
        <v>148</v>
      </c>
    </row>
    <row r="46" spans="2:4">
      <c r="B46" t="s">
        <v>149</v>
      </c>
      <c r="D46" t="s">
        <v>150</v>
      </c>
    </row>
    <row r="47" spans="2:4">
      <c r="B47" t="s">
        <v>151</v>
      </c>
      <c r="D47" t="s">
        <v>152</v>
      </c>
    </row>
    <row r="48" spans="2:4">
      <c r="D48" t="s">
        <v>153</v>
      </c>
    </row>
    <row r="52" spans="1:2" ht="17.5">
      <c r="A52">
        <v>1</v>
      </c>
      <c r="B52" s="10" t="s">
        <v>154</v>
      </c>
    </row>
    <row r="53" spans="1:2">
      <c r="B53" s="11" t="s">
        <v>155</v>
      </c>
    </row>
    <row r="54" spans="1:2">
      <c r="B54" s="11" t="s">
        <v>156</v>
      </c>
    </row>
    <row r="55" spans="1:2">
      <c r="B55" s="11"/>
    </row>
    <row r="56" spans="1:2" ht="17.5">
      <c r="A56">
        <v>2</v>
      </c>
      <c r="B56" s="10" t="s">
        <v>157</v>
      </c>
    </row>
    <row r="57" spans="1:2">
      <c r="B57" s="11" t="s">
        <v>158</v>
      </c>
    </row>
    <row r="58" spans="1:2">
      <c r="B58" s="11" t="s">
        <v>159</v>
      </c>
    </row>
    <row r="59" spans="1:2">
      <c r="B59" s="11"/>
    </row>
    <row r="60" spans="1:2" ht="17.5">
      <c r="A60">
        <v>3</v>
      </c>
      <c r="B60" s="10" t="s">
        <v>160</v>
      </c>
    </row>
    <row r="61" spans="1:2">
      <c r="B61" s="11" t="s">
        <v>161</v>
      </c>
    </row>
    <row r="62" spans="1:2">
      <c r="B62" s="11" t="s">
        <v>162</v>
      </c>
    </row>
    <row r="63" spans="1:2">
      <c r="B63" s="11"/>
    </row>
    <row r="64" spans="1:2" ht="17.5">
      <c r="A64">
        <v>4</v>
      </c>
      <c r="B64" s="10" t="s">
        <v>163</v>
      </c>
    </row>
    <row r="65" spans="1:2">
      <c r="B65" s="11" t="s">
        <v>164</v>
      </c>
    </row>
    <row r="66" spans="1:2">
      <c r="B66" s="11" t="s">
        <v>165</v>
      </c>
    </row>
    <row r="67" spans="1:2">
      <c r="B67" s="11"/>
    </row>
    <row r="68" spans="1:2" ht="17.5">
      <c r="A68">
        <v>5</v>
      </c>
      <c r="B68" s="10" t="s">
        <v>166</v>
      </c>
    </row>
    <row r="69" spans="1:2">
      <c r="B69" s="11" t="s">
        <v>167</v>
      </c>
    </row>
    <row r="70" spans="1:2">
      <c r="B70" s="11" t="s">
        <v>168</v>
      </c>
    </row>
    <row r="71" spans="1:2">
      <c r="B71" s="11"/>
    </row>
    <row r="72" spans="1:2" ht="17.5">
      <c r="A72">
        <v>6</v>
      </c>
      <c r="B72" s="10" t="s">
        <v>169</v>
      </c>
    </row>
    <row r="73" spans="1:2">
      <c r="B73" s="11" t="s">
        <v>170</v>
      </c>
    </row>
    <row r="74" spans="1:2">
      <c r="B74" s="11" t="s">
        <v>171</v>
      </c>
    </row>
    <row r="75" spans="1:2">
      <c r="B75" s="11"/>
    </row>
    <row r="76" spans="1:2" ht="17.5">
      <c r="A76">
        <v>7</v>
      </c>
      <c r="B76" s="10" t="s">
        <v>172</v>
      </c>
    </row>
    <row r="77" spans="1:2">
      <c r="B77" s="11" t="s">
        <v>173</v>
      </c>
    </row>
    <row r="78" spans="1:2">
      <c r="B78" s="11" t="s">
        <v>174</v>
      </c>
    </row>
    <row r="79" spans="1:2">
      <c r="B79" s="11"/>
    </row>
    <row r="80" spans="1:2" ht="17.5">
      <c r="A80">
        <v>8</v>
      </c>
      <c r="B80" s="10" t="s">
        <v>175</v>
      </c>
    </row>
    <row r="81" spans="1:2">
      <c r="B81" s="11" t="s">
        <v>176</v>
      </c>
    </row>
    <row r="82" spans="1:2">
      <c r="B82" s="11" t="s">
        <v>177</v>
      </c>
    </row>
    <row r="83" spans="1:2">
      <c r="B83" s="11"/>
    </row>
    <row r="84" spans="1:2" ht="17.5">
      <c r="A84">
        <v>9</v>
      </c>
      <c r="B84" s="10" t="s">
        <v>178</v>
      </c>
    </row>
    <row r="85" spans="1:2">
      <c r="B85" s="11" t="s">
        <v>179</v>
      </c>
    </row>
    <row r="86" spans="1:2">
      <c r="B86" s="11" t="s">
        <v>180</v>
      </c>
    </row>
    <row r="87" spans="1:2">
      <c r="B87" s="11"/>
    </row>
    <row r="88" spans="1:2" ht="17.5">
      <c r="A88">
        <v>10</v>
      </c>
      <c r="B88" s="10" t="s">
        <v>181</v>
      </c>
    </row>
    <row r="89" spans="1:2">
      <c r="B89" s="11" t="s">
        <v>182</v>
      </c>
    </row>
    <row r="90" spans="1:2">
      <c r="B90" s="11" t="s">
        <v>183</v>
      </c>
    </row>
    <row r="94" spans="1:2" ht="17.5">
      <c r="B94" s="10" t="s">
        <v>184</v>
      </c>
    </row>
    <row r="95" spans="1:2">
      <c r="B95" t="s">
        <v>185</v>
      </c>
    </row>
    <row r="96" spans="1:2">
      <c r="B96" t="s">
        <v>186</v>
      </c>
    </row>
    <row r="97" spans="2:2">
      <c r="B97" t="s">
        <v>187</v>
      </c>
    </row>
    <row r="98" spans="2:2">
      <c r="B98" t="s">
        <v>188</v>
      </c>
    </row>
    <row r="100" spans="2:2" ht="17.5">
      <c r="B100" s="10" t="s">
        <v>189</v>
      </c>
    </row>
    <row r="101" spans="2:2">
      <c r="B101" t="s">
        <v>190</v>
      </c>
    </row>
    <row r="102" spans="2:2">
      <c r="B102" t="s">
        <v>191</v>
      </c>
    </row>
    <row r="103" spans="2:2">
      <c r="B103" t="s">
        <v>192</v>
      </c>
    </row>
    <row r="104" spans="2:2">
      <c r="B104" t="s">
        <v>193</v>
      </c>
    </row>
    <row r="106" spans="2:2" ht="17.5">
      <c r="B106" s="10" t="s">
        <v>194</v>
      </c>
    </row>
    <row r="107" spans="2:2">
      <c r="B107" t="s">
        <v>195</v>
      </c>
    </row>
    <row r="109" spans="2:2" ht="15.5">
      <c r="B109" s="12" t="s">
        <v>196</v>
      </c>
    </row>
    <row r="110" spans="2:2">
      <c r="B110" s="11" t="s">
        <v>197</v>
      </c>
    </row>
    <row r="111" spans="2:2">
      <c r="B111" s="11" t="s">
        <v>198</v>
      </c>
    </row>
    <row r="112" spans="2:2">
      <c r="B112" s="11" t="s">
        <v>199</v>
      </c>
    </row>
    <row r="113" spans="2:2">
      <c r="B113" s="11"/>
    </row>
    <row r="114" spans="2:2" ht="15.5">
      <c r="B114" s="12" t="s">
        <v>200</v>
      </c>
    </row>
    <row r="115" spans="2:2">
      <c r="B115" s="11" t="s">
        <v>201</v>
      </c>
    </row>
    <row r="116" spans="2:2">
      <c r="B116" s="11" t="s">
        <v>202</v>
      </c>
    </row>
    <row r="117" spans="2:2">
      <c r="B117" s="11" t="s">
        <v>203</v>
      </c>
    </row>
    <row r="118" spans="2:2">
      <c r="B118" s="11"/>
    </row>
    <row r="119" spans="2:2" ht="15.5">
      <c r="B119" s="12" t="s">
        <v>204</v>
      </c>
    </row>
    <row r="120" spans="2:2">
      <c r="B120" s="11" t="s">
        <v>205</v>
      </c>
    </row>
    <row r="121" spans="2:2">
      <c r="B121" s="11" t="s">
        <v>206</v>
      </c>
    </row>
    <row r="122" spans="2:2">
      <c r="B122" s="11" t="s">
        <v>207</v>
      </c>
    </row>
    <row r="123" spans="2:2">
      <c r="B123" s="11"/>
    </row>
    <row r="124" spans="2:2" ht="15.5">
      <c r="B124" s="12" t="s">
        <v>208</v>
      </c>
    </row>
    <row r="125" spans="2:2">
      <c r="B125" s="11" t="s">
        <v>209</v>
      </c>
    </row>
    <row r="126" spans="2:2">
      <c r="B126" s="11" t="s">
        <v>210</v>
      </c>
    </row>
    <row r="127" spans="2:2">
      <c r="B127" s="11" t="s">
        <v>211</v>
      </c>
    </row>
    <row r="128" spans="2:2">
      <c r="B128" s="11"/>
    </row>
    <row r="129" spans="2:2" ht="15.5">
      <c r="B129" s="12" t="s">
        <v>212</v>
      </c>
    </row>
    <row r="130" spans="2:2">
      <c r="B130" s="11" t="s">
        <v>213</v>
      </c>
    </row>
    <row r="131" spans="2:2">
      <c r="B131" s="11" t="s">
        <v>214</v>
      </c>
    </row>
    <row r="132" spans="2:2">
      <c r="B132" s="11" t="s">
        <v>215</v>
      </c>
    </row>
    <row r="133" spans="2:2">
      <c r="B133" s="11"/>
    </row>
    <row r="134" spans="2:2" ht="15.5">
      <c r="B134" s="12" t="s">
        <v>216</v>
      </c>
    </row>
    <row r="135" spans="2:2">
      <c r="B135" s="11" t="s">
        <v>217</v>
      </c>
    </row>
    <row r="136" spans="2:2">
      <c r="B136" s="11" t="s">
        <v>218</v>
      </c>
    </row>
    <row r="137" spans="2:2">
      <c r="B137" s="11" t="s">
        <v>219</v>
      </c>
    </row>
    <row r="138" spans="2:2">
      <c r="B138" s="11"/>
    </row>
    <row r="139" spans="2:2" ht="15.5">
      <c r="B139" s="12" t="s">
        <v>220</v>
      </c>
    </row>
    <row r="140" spans="2:2">
      <c r="B140" s="11" t="s">
        <v>221</v>
      </c>
    </row>
    <row r="141" spans="2:2">
      <c r="B141" s="11" t="s">
        <v>222</v>
      </c>
    </row>
    <row r="142" spans="2:2">
      <c r="B142" s="11" t="s">
        <v>223</v>
      </c>
    </row>
    <row r="143" spans="2:2">
      <c r="B143" s="11"/>
    </row>
    <row r="144" spans="2:2" ht="15.5">
      <c r="B144" s="12" t="s">
        <v>224</v>
      </c>
    </row>
    <row r="145" spans="2:2">
      <c r="B145" s="11" t="s">
        <v>225</v>
      </c>
    </row>
    <row r="146" spans="2:2">
      <c r="B146" s="11" t="s">
        <v>226</v>
      </c>
    </row>
    <row r="147" spans="2:2">
      <c r="B147" s="11" t="s">
        <v>227</v>
      </c>
    </row>
    <row r="148" spans="2:2">
      <c r="B148" s="11"/>
    </row>
    <row r="149" spans="2:2" ht="17.5">
      <c r="B149" s="10" t="s">
        <v>228</v>
      </c>
    </row>
    <row r="150" spans="2:2">
      <c r="B150" t="s">
        <v>229</v>
      </c>
    </row>
    <row r="152" spans="2:2" ht="17.5">
      <c r="B152" s="10" t="s">
        <v>230</v>
      </c>
    </row>
    <row r="153" spans="2:2">
      <c r="B153" t="s">
        <v>231</v>
      </c>
    </row>
    <row r="154" spans="2:2">
      <c r="B154" s="11" t="s">
        <v>232</v>
      </c>
    </row>
    <row r="155" spans="2:2">
      <c r="B155" s="11" t="s">
        <v>233</v>
      </c>
    </row>
    <row r="156" spans="2:2">
      <c r="B156" s="11" t="s">
        <v>234</v>
      </c>
    </row>
    <row r="157" spans="2:2">
      <c r="B157" s="11"/>
    </row>
    <row r="158" spans="2:2" ht="17.5">
      <c r="B158" s="10" t="s">
        <v>235</v>
      </c>
    </row>
    <row r="159" spans="2:2">
      <c r="B159" t="s">
        <v>236</v>
      </c>
    </row>
    <row r="160" spans="2:2">
      <c r="B160" s="11" t="s">
        <v>237</v>
      </c>
    </row>
    <row r="161" spans="2:2">
      <c r="B161" s="11" t="s">
        <v>238</v>
      </c>
    </row>
    <row r="162" spans="2:2">
      <c r="B162" s="11" t="s">
        <v>239</v>
      </c>
    </row>
    <row r="163" spans="2:2">
      <c r="B163" s="11"/>
    </row>
    <row r="164" spans="2:2" ht="17.5">
      <c r="B164" s="10" t="s">
        <v>240</v>
      </c>
    </row>
    <row r="165" spans="2:2">
      <c r="B165" t="s">
        <v>241</v>
      </c>
    </row>
    <row r="166" spans="2:2">
      <c r="B166" s="11" t="s">
        <v>242</v>
      </c>
    </row>
    <row r="167" spans="2:2">
      <c r="B167" s="11" t="s">
        <v>243</v>
      </c>
    </row>
    <row r="168" spans="2:2">
      <c r="B168" s="11" t="s">
        <v>244</v>
      </c>
    </row>
    <row r="169" spans="2:2">
      <c r="B169" s="11"/>
    </row>
    <row r="170" spans="2:2" ht="17.5">
      <c r="B170" s="10" t="s">
        <v>245</v>
      </c>
    </row>
    <row r="171" spans="2:2">
      <c r="B171" t="s">
        <v>246</v>
      </c>
    </row>
    <row r="172" spans="2:2">
      <c r="B172" s="11" t="s">
        <v>247</v>
      </c>
    </row>
    <row r="173" spans="2:2">
      <c r="B173" s="11" t="s">
        <v>248</v>
      </c>
    </row>
    <row r="174" spans="2:2" ht="17.5">
      <c r="B174" s="10" t="s">
        <v>249</v>
      </c>
    </row>
    <row r="175" spans="2:2">
      <c r="B175" t="s">
        <v>250</v>
      </c>
    </row>
    <row r="176" spans="2:2">
      <c r="B176" s="11" t="s">
        <v>251</v>
      </c>
    </row>
    <row r="177" spans="2:4">
      <c r="B177" s="11" t="s">
        <v>252</v>
      </c>
    </row>
    <row r="178" spans="2:4">
      <c r="B178" s="11" t="s">
        <v>253</v>
      </c>
    </row>
    <row r="179" spans="2:4">
      <c r="B179" s="11"/>
    </row>
    <row r="180" spans="2:4" ht="17.5">
      <c r="B180" s="10" t="s">
        <v>254</v>
      </c>
    </row>
    <row r="181" spans="2:4">
      <c r="B181" s="11" t="s">
        <v>255</v>
      </c>
    </row>
    <row r="182" spans="2:4">
      <c r="B182" s="11" t="s">
        <v>256</v>
      </c>
    </row>
    <row r="183" spans="2:4">
      <c r="B183" s="11" t="s">
        <v>257</v>
      </c>
    </row>
    <row r="184" spans="2:4">
      <c r="B184" s="11" t="s">
        <v>258</v>
      </c>
    </row>
    <row r="190" spans="2:4">
      <c r="B190" s="11" t="s">
        <v>49</v>
      </c>
      <c r="C190" s="11" t="s">
        <v>50</v>
      </c>
      <c r="D190" s="11" t="s">
        <v>259</v>
      </c>
    </row>
    <row r="191" spans="2:4">
      <c r="B191" s="11" t="s">
        <v>58</v>
      </c>
      <c r="C191" t="s">
        <v>260</v>
      </c>
      <c r="D191" s="11" t="s">
        <v>261</v>
      </c>
    </row>
    <row r="192" spans="2:4">
      <c r="B192" s="11" t="s">
        <v>62</v>
      </c>
      <c r="C192" t="s">
        <v>262</v>
      </c>
      <c r="D192" s="11" t="s">
        <v>263</v>
      </c>
    </row>
    <row r="193" spans="2:4">
      <c r="B193" s="11" t="s">
        <v>65</v>
      </c>
      <c r="C193" t="s">
        <v>66</v>
      </c>
      <c r="D193" s="11" t="s">
        <v>264</v>
      </c>
    </row>
    <row r="194" spans="2:4">
      <c r="B194" s="11" t="s">
        <v>68</v>
      </c>
      <c r="C194" t="s">
        <v>265</v>
      </c>
      <c r="D194" s="11" t="s">
        <v>266</v>
      </c>
    </row>
    <row r="195" spans="2:4">
      <c r="B195" s="11" t="s">
        <v>70</v>
      </c>
      <c r="C195" t="s">
        <v>267</v>
      </c>
      <c r="D195" s="11" t="s">
        <v>268</v>
      </c>
    </row>
    <row r="196" spans="2:4">
      <c r="B196" s="11" t="s">
        <v>73</v>
      </c>
      <c r="C196" t="s">
        <v>269</v>
      </c>
      <c r="D196" s="11" t="s">
        <v>270</v>
      </c>
    </row>
    <row r="197" spans="2:4">
      <c r="B197" s="11" t="s">
        <v>75</v>
      </c>
      <c r="C197" t="s">
        <v>271</v>
      </c>
      <c r="D197" s="11" t="s">
        <v>272</v>
      </c>
    </row>
    <row r="198" spans="2:4">
      <c r="B198" s="11" t="s">
        <v>79</v>
      </c>
      <c r="C198" t="s">
        <v>273</v>
      </c>
      <c r="D198" s="11" t="s">
        <v>274</v>
      </c>
    </row>
    <row r="199" spans="2:4">
      <c r="B199" s="11" t="s">
        <v>84</v>
      </c>
      <c r="C199" t="s">
        <v>275</v>
      </c>
      <c r="D199" s="11" t="s">
        <v>276</v>
      </c>
    </row>
    <row r="200" spans="2:4">
      <c r="B200" s="11" t="s">
        <v>89</v>
      </c>
      <c r="C200" t="s">
        <v>277</v>
      </c>
      <c r="D200" s="11" t="s">
        <v>278</v>
      </c>
    </row>
    <row r="201" spans="2:4">
      <c r="B201" s="11" t="s">
        <v>93</v>
      </c>
      <c r="C201" t="s">
        <v>279</v>
      </c>
      <c r="D201" s="11" t="s">
        <v>280</v>
      </c>
    </row>
    <row r="202" spans="2:4">
      <c r="B202" s="11" t="s">
        <v>96</v>
      </c>
      <c r="C202" t="s">
        <v>281</v>
      </c>
      <c r="D202" s="11" t="s">
        <v>282</v>
      </c>
    </row>
    <row r="203" spans="2:4">
      <c r="B203" s="11" t="s">
        <v>99</v>
      </c>
      <c r="C203" t="s">
        <v>283</v>
      </c>
      <c r="D203" s="11" t="s">
        <v>284</v>
      </c>
    </row>
    <row r="204" spans="2:4">
      <c r="B204" s="11" t="s">
        <v>101</v>
      </c>
      <c r="C204" t="s">
        <v>285</v>
      </c>
      <c r="D204" s="11" t="s">
        <v>286</v>
      </c>
    </row>
    <row r="205" spans="2:4">
      <c r="B205" s="11" t="s">
        <v>106</v>
      </c>
      <c r="C205" t="s">
        <v>287</v>
      </c>
      <c r="D205" s="11" t="s">
        <v>288</v>
      </c>
    </row>
    <row r="206" spans="2:4">
      <c r="B206" s="11" t="s">
        <v>111</v>
      </c>
      <c r="C206" t="s">
        <v>289</v>
      </c>
      <c r="D206" s="11" t="s">
        <v>290</v>
      </c>
    </row>
    <row r="207" spans="2:4">
      <c r="B207" s="11" t="s">
        <v>114</v>
      </c>
      <c r="C207" t="s">
        <v>291</v>
      </c>
      <c r="D207" s="11" t="s">
        <v>292</v>
      </c>
    </row>
    <row r="211" spans="2:4" ht="17.5">
      <c r="B211" s="10" t="s">
        <v>293</v>
      </c>
    </row>
    <row r="212" spans="2:4">
      <c r="B212" s="11" t="s">
        <v>294</v>
      </c>
      <c r="C212" s="11" t="s">
        <v>295</v>
      </c>
      <c r="D212" s="11" t="s">
        <v>296</v>
      </c>
    </row>
    <row r="213" spans="2:4">
      <c r="B213" s="11" t="s">
        <v>297</v>
      </c>
      <c r="C213" s="11" t="s">
        <v>298</v>
      </c>
      <c r="D213" t="s">
        <v>299</v>
      </c>
    </row>
    <row r="214" spans="2:4">
      <c r="B214" s="11" t="s">
        <v>300</v>
      </c>
      <c r="C214" s="11" t="s">
        <v>301</v>
      </c>
      <c r="D214" t="s">
        <v>302</v>
      </c>
    </row>
    <row r="215" spans="2:4">
      <c r="B215" s="11" t="s">
        <v>303</v>
      </c>
      <c r="C215" s="11" t="s">
        <v>304</v>
      </c>
      <c r="D215" t="s">
        <v>305</v>
      </c>
    </row>
    <row r="216" spans="2:4">
      <c r="B216" s="11" t="s">
        <v>306</v>
      </c>
      <c r="C216" s="11" t="s">
        <v>307</v>
      </c>
      <c r="D216" t="s">
        <v>308</v>
      </c>
    </row>
    <row r="217" spans="2:4">
      <c r="B217" s="11" t="s">
        <v>309</v>
      </c>
      <c r="C217" s="11" t="s">
        <v>310</v>
      </c>
      <c r="D217" t="s">
        <v>311</v>
      </c>
    </row>
    <row r="218" spans="2:4">
      <c r="B218" s="11" t="s">
        <v>312</v>
      </c>
      <c r="C218" s="11" t="s">
        <v>313</v>
      </c>
      <c r="D218" t="s">
        <v>314</v>
      </c>
    </row>
    <row r="219" spans="2:4">
      <c r="B219" s="11"/>
      <c r="C219" s="11"/>
    </row>
    <row r="220" spans="2:4" ht="17.5">
      <c r="B220" s="10" t="s">
        <v>315</v>
      </c>
    </row>
    <row r="221" spans="2:4">
      <c r="B221" s="11" t="s">
        <v>316</v>
      </c>
    </row>
    <row r="222" spans="2:4">
      <c r="B222" s="11" t="s">
        <v>317</v>
      </c>
    </row>
    <row r="223" spans="2:4">
      <c r="B223" s="11" t="s">
        <v>318</v>
      </c>
    </row>
    <row r="224" spans="2:4">
      <c r="B224" s="11" t="s">
        <v>319</v>
      </c>
    </row>
    <row r="225" spans="2:2">
      <c r="B225" s="11" t="s">
        <v>320</v>
      </c>
    </row>
    <row r="226" spans="2:2">
      <c r="B226" s="11" t="s">
        <v>321</v>
      </c>
    </row>
    <row r="227" spans="2:2">
      <c r="B227" s="11"/>
    </row>
    <row r="228" spans="2:2" ht="17.5">
      <c r="B228" s="10" t="s">
        <v>322</v>
      </c>
    </row>
    <row r="229" spans="2:2">
      <c r="B229" t="s">
        <v>323</v>
      </c>
    </row>
    <row r="230" spans="2:2">
      <c r="B230" s="11" t="s">
        <v>324</v>
      </c>
    </row>
    <row r="231" spans="2:2">
      <c r="B231" s="11" t="s">
        <v>325</v>
      </c>
    </row>
    <row r="232" spans="2:2">
      <c r="B232" s="11" t="s">
        <v>326</v>
      </c>
    </row>
    <row r="233" spans="2:2">
      <c r="B233" s="11" t="s">
        <v>327</v>
      </c>
    </row>
    <row r="234" spans="2:2">
      <c r="B234" s="11" t="s">
        <v>328</v>
      </c>
    </row>
    <row r="236" spans="2:2">
      <c r="B236" s="11" t="s">
        <v>801</v>
      </c>
    </row>
    <row r="243" spans="2:2">
      <c r="B243" t="s">
        <v>802</v>
      </c>
    </row>
    <row r="245" spans="2:2">
      <c r="B245" t="s">
        <v>803</v>
      </c>
    </row>
    <row r="249" spans="2:2" ht="17.5">
      <c r="B249" s="116" t="s">
        <v>743</v>
      </c>
    </row>
    <row r="250" spans="2:2">
      <c r="B250" s="117"/>
    </row>
    <row r="251" spans="2:2">
      <c r="B251" s="118" t="s">
        <v>804</v>
      </c>
    </row>
    <row r="252" spans="2:2">
      <c r="B252" s="117"/>
    </row>
    <row r="253" spans="2:2">
      <c r="B253" s="118" t="s">
        <v>805</v>
      </c>
    </row>
    <row r="254" spans="2:2">
      <c r="B254" s="117"/>
    </row>
    <row r="255" spans="2:2">
      <c r="B255" s="117"/>
    </row>
    <row r="256" spans="2:2">
      <c r="B256" s="127"/>
    </row>
    <row r="257" spans="2:2">
      <c r="B257" s="128" t="s">
        <v>806</v>
      </c>
    </row>
    <row r="258" spans="2:2">
      <c r="B258" s="127"/>
    </row>
    <row r="259" spans="2:2">
      <c r="B259" s="128" t="s">
        <v>807</v>
      </c>
    </row>
    <row r="260" spans="2:2">
      <c r="B260" s="117"/>
    </row>
    <row r="261" spans="2:2">
      <c r="B261" s="118" t="s">
        <v>808</v>
      </c>
    </row>
    <row r="262" spans="2:2">
      <c r="B262" s="117"/>
    </row>
    <row r="263" spans="2:2">
      <c r="B263" s="118" t="s">
        <v>809</v>
      </c>
    </row>
    <row r="267" spans="2:2" ht="17.5">
      <c r="B267" s="116" t="s">
        <v>104</v>
      </c>
    </row>
    <row r="268" spans="2:2">
      <c r="B268" s="117"/>
    </row>
    <row r="269" spans="2:2">
      <c r="B269" s="118" t="s">
        <v>810</v>
      </c>
    </row>
    <row r="270" spans="2:2">
      <c r="B270" s="117"/>
    </row>
    <row r="271" spans="2:2">
      <c r="B271" s="118" t="s">
        <v>805</v>
      </c>
    </row>
    <row r="272" spans="2:2">
      <c r="B272" s="117"/>
    </row>
    <row r="273" spans="2:2">
      <c r="B273" s="117"/>
    </row>
    <row r="274" spans="2:2">
      <c r="B274" s="127"/>
    </row>
    <row r="275" spans="2:2">
      <c r="B275" s="128" t="s">
        <v>811</v>
      </c>
    </row>
    <row r="276" spans="2:2">
      <c r="B276" s="127"/>
    </row>
    <row r="277" spans="2:2">
      <c r="B277" s="128" t="s">
        <v>812</v>
      </c>
    </row>
    <row r="278" spans="2:2">
      <c r="B278" s="117"/>
    </row>
    <row r="279" spans="2:2">
      <c r="B279" s="118" t="s">
        <v>813</v>
      </c>
    </row>
    <row r="280" spans="2:2">
      <c r="B280" s="117"/>
    </row>
    <row r="281" spans="2:2">
      <c r="B281" s="118" t="s">
        <v>814</v>
      </c>
    </row>
    <row r="285" spans="2:2" ht="17.5">
      <c r="B285" s="116" t="s">
        <v>118</v>
      </c>
    </row>
    <row r="286" spans="2:2">
      <c r="B286" s="117"/>
    </row>
    <row r="287" spans="2:2">
      <c r="B287" s="118" t="s">
        <v>815</v>
      </c>
    </row>
    <row r="288" spans="2:2">
      <c r="B288" s="117"/>
    </row>
    <row r="289" spans="2:2">
      <c r="B289" s="118" t="s">
        <v>805</v>
      </c>
    </row>
    <row r="290" spans="2:2">
      <c r="B290" s="117"/>
    </row>
    <row r="291" spans="2:2">
      <c r="B291" s="117"/>
    </row>
    <row r="292" spans="2:2">
      <c r="B292" s="127"/>
    </row>
    <row r="293" spans="2:2">
      <c r="B293" s="128" t="s">
        <v>816</v>
      </c>
    </row>
    <row r="294" spans="2:2">
      <c r="B294" s="127"/>
    </row>
    <row r="295" spans="2:2">
      <c r="B295" s="128" t="s">
        <v>817</v>
      </c>
    </row>
    <row r="296" spans="2:2">
      <c r="B296" s="117"/>
    </row>
    <row r="297" spans="2:2">
      <c r="B297" s="118" t="s">
        <v>818</v>
      </c>
    </row>
    <row r="298" spans="2:2">
      <c r="B298" s="117"/>
    </row>
    <row r="299" spans="2:2">
      <c r="B299" s="118" t="s">
        <v>819</v>
      </c>
    </row>
    <row r="303" spans="2:2" ht="17.5">
      <c r="B303" s="116" t="s">
        <v>131</v>
      </c>
    </row>
    <row r="304" spans="2:2">
      <c r="B304" s="117"/>
    </row>
    <row r="305" spans="2:2">
      <c r="B305" s="118" t="s">
        <v>820</v>
      </c>
    </row>
    <row r="306" spans="2:2">
      <c r="B306" s="117"/>
    </row>
    <row r="307" spans="2:2">
      <c r="B307" s="118" t="s">
        <v>805</v>
      </c>
    </row>
    <row r="308" spans="2:2">
      <c r="B308" s="117"/>
    </row>
    <row r="309" spans="2:2">
      <c r="B309" s="117"/>
    </row>
    <row r="310" spans="2:2">
      <c r="B310" s="127"/>
    </row>
    <row r="311" spans="2:2">
      <c r="B311" s="128" t="s">
        <v>821</v>
      </c>
    </row>
    <row r="312" spans="2:2">
      <c r="B312" s="127"/>
    </row>
    <row r="313" spans="2:2">
      <c r="B313" s="128" t="s">
        <v>822</v>
      </c>
    </row>
    <row r="314" spans="2:2">
      <c r="B314" s="117"/>
    </row>
    <row r="315" spans="2:2">
      <c r="B315" s="118" t="s">
        <v>823</v>
      </c>
    </row>
    <row r="316" spans="2:2">
      <c r="B316" s="117"/>
    </row>
    <row r="317" spans="2:2">
      <c r="B317" s="118" t="s">
        <v>824</v>
      </c>
    </row>
    <row r="321" spans="2:2" ht="17.5">
      <c r="B321" s="116" t="s">
        <v>138</v>
      </c>
    </row>
    <row r="322" spans="2:2">
      <c r="B322" s="117"/>
    </row>
    <row r="323" spans="2:2">
      <c r="B323" s="118" t="s">
        <v>825</v>
      </c>
    </row>
    <row r="324" spans="2:2">
      <c r="B324" s="117"/>
    </row>
    <row r="325" spans="2:2">
      <c r="B325" s="118" t="s">
        <v>805</v>
      </c>
    </row>
    <row r="326" spans="2:2">
      <c r="B326" s="117"/>
    </row>
    <row r="327" spans="2:2">
      <c r="B327" s="117"/>
    </row>
    <row r="328" spans="2:2">
      <c r="B328" s="127"/>
    </row>
    <row r="329" spans="2:2">
      <c r="B329" s="128" t="s">
        <v>826</v>
      </c>
    </row>
    <row r="330" spans="2:2">
      <c r="B330" s="127"/>
    </row>
    <row r="331" spans="2:2">
      <c r="B331" s="128" t="s">
        <v>827</v>
      </c>
    </row>
    <row r="332" spans="2:2">
      <c r="B332" s="117"/>
    </row>
    <row r="333" spans="2:2">
      <c r="B333" s="118" t="s">
        <v>828</v>
      </c>
    </row>
    <row r="334" spans="2:2">
      <c r="B334" s="117"/>
    </row>
    <row r="335" spans="2:2">
      <c r="B335" s="118" t="s">
        <v>829</v>
      </c>
    </row>
    <row r="339" spans="2:2" ht="17.5">
      <c r="B339" s="116" t="s">
        <v>143</v>
      </c>
    </row>
    <row r="340" spans="2:2">
      <c r="B340" s="117"/>
    </row>
    <row r="341" spans="2:2">
      <c r="B341" s="118" t="s">
        <v>830</v>
      </c>
    </row>
    <row r="342" spans="2:2">
      <c r="B342" s="117"/>
    </row>
    <row r="343" spans="2:2">
      <c r="B343" s="118" t="s">
        <v>805</v>
      </c>
    </row>
    <row r="344" spans="2:2">
      <c r="B344" s="117"/>
    </row>
    <row r="345" spans="2:2">
      <c r="B345" s="117"/>
    </row>
    <row r="346" spans="2:2">
      <c r="B346" s="127"/>
    </row>
    <row r="347" spans="2:2">
      <c r="B347" s="128" t="s">
        <v>831</v>
      </c>
    </row>
    <row r="348" spans="2:2">
      <c r="B348" s="127"/>
    </row>
    <row r="349" spans="2:2">
      <c r="B349" s="128" t="s">
        <v>832</v>
      </c>
    </row>
    <row r="350" spans="2:2">
      <c r="B350" s="117"/>
    </row>
    <row r="351" spans="2:2">
      <c r="B351" s="118" t="s">
        <v>833</v>
      </c>
    </row>
    <row r="352" spans="2:2">
      <c r="B352" s="117"/>
    </row>
    <row r="353" spans="2:2">
      <c r="B353" s="118" t="s">
        <v>834</v>
      </c>
    </row>
    <row r="354" spans="2:2">
      <c r="B354" s="127"/>
    </row>
    <row r="355" spans="2:2">
      <c r="B355" s="128" t="s">
        <v>747</v>
      </c>
    </row>
    <row r="356" spans="2:2">
      <c r="B356" s="127"/>
    </row>
    <row r="357" spans="2:2">
      <c r="B357" s="128" t="s">
        <v>748</v>
      </c>
    </row>
    <row r="358" spans="2:2">
      <c r="B358" s="127"/>
    </row>
    <row r="359" spans="2:2">
      <c r="B359" s="128" t="s">
        <v>749</v>
      </c>
    </row>
    <row r="360" spans="2:2">
      <c r="B360" s="117"/>
    </row>
    <row r="361" spans="2:2">
      <c r="B361" s="118" t="s">
        <v>746</v>
      </c>
    </row>
    <row r="362" spans="2:2">
      <c r="B362" s="117"/>
    </row>
    <row r="363" spans="2:2">
      <c r="B363" s="117"/>
    </row>
    <row r="364" spans="2:2">
      <c r="B364" s="127"/>
    </row>
    <row r="365" spans="2:2">
      <c r="B365" s="127" t="s">
        <v>750</v>
      </c>
    </row>
    <row r="366" spans="2:2">
      <c r="B366" s="127"/>
    </row>
    <row r="367" spans="2:2">
      <c r="B367" s="127" t="s">
        <v>751</v>
      </c>
    </row>
    <row r="368" spans="2:2">
      <c r="B368" s="127"/>
    </row>
    <row r="369" spans="2:2">
      <c r="B369" s="127" t="s">
        <v>752</v>
      </c>
    </row>
    <row r="370" spans="2:2">
      <c r="B370" s="127"/>
    </row>
    <row r="371" spans="2:2">
      <c r="B371" s="127" t="s">
        <v>753</v>
      </c>
    </row>
    <row r="372" spans="2:2">
      <c r="B372" s="127"/>
    </row>
    <row r="373" spans="2:2">
      <c r="B373" s="127" t="s">
        <v>754</v>
      </c>
    </row>
    <row r="374" spans="2:2">
      <c r="B374" s="117"/>
    </row>
    <row r="375" spans="2:2">
      <c r="B375" s="118" t="s">
        <v>755</v>
      </c>
    </row>
    <row r="379" spans="2:2" ht="17.5">
      <c r="B379" s="116" t="s">
        <v>131</v>
      </c>
    </row>
    <row r="380" spans="2:2">
      <c r="B380" s="117"/>
    </row>
    <row r="381" spans="2:2">
      <c r="B381" s="118" t="s">
        <v>744</v>
      </c>
    </row>
    <row r="382" spans="2:2">
      <c r="B382" s="117"/>
    </row>
    <row r="383" spans="2:2">
      <c r="B383" s="117"/>
    </row>
    <row r="384" spans="2:2">
      <c r="B384" s="127"/>
    </row>
    <row r="385" spans="2:2">
      <c r="B385" s="128" t="s">
        <v>756</v>
      </c>
    </row>
    <row r="386" spans="2:2">
      <c r="B386" s="127"/>
    </row>
    <row r="387" spans="2:2">
      <c r="B387" s="128" t="s">
        <v>757</v>
      </c>
    </row>
    <row r="388" spans="2:2">
      <c r="B388" s="127"/>
    </row>
    <row r="389" spans="2:2">
      <c r="B389" s="128" t="s">
        <v>758</v>
      </c>
    </row>
    <row r="390" spans="2:2">
      <c r="B390" s="127"/>
    </row>
    <row r="391" spans="2:2">
      <c r="B391" s="128" t="s">
        <v>759</v>
      </c>
    </row>
    <row r="392" spans="2:2">
      <c r="B392" s="117"/>
    </row>
    <row r="393" spans="2:2">
      <c r="B393" s="118" t="s">
        <v>745</v>
      </c>
    </row>
    <row r="394" spans="2:2">
      <c r="B394" s="117"/>
    </row>
    <row r="395" spans="2:2">
      <c r="B395" s="117"/>
    </row>
    <row r="396" spans="2:2">
      <c r="B396" s="127"/>
    </row>
    <row r="397" spans="2:2">
      <c r="B397" s="128" t="s">
        <v>760</v>
      </c>
    </row>
    <row r="398" spans="2:2">
      <c r="B398" s="127"/>
    </row>
    <row r="399" spans="2:2">
      <c r="B399" s="128" t="s">
        <v>761</v>
      </c>
    </row>
    <row r="400" spans="2:2">
      <c r="B400" s="127"/>
    </row>
    <row r="401" spans="2:2">
      <c r="B401" s="128" t="s">
        <v>762</v>
      </c>
    </row>
    <row r="402" spans="2:2">
      <c r="B402" s="127"/>
    </row>
    <row r="403" spans="2:2">
      <c r="B403" s="128" t="s">
        <v>763</v>
      </c>
    </row>
    <row r="404" spans="2:2">
      <c r="B404" s="127"/>
    </row>
    <row r="405" spans="2:2">
      <c r="B405" s="128" t="s">
        <v>764</v>
      </c>
    </row>
    <row r="406" spans="2:2">
      <c r="B406" s="117"/>
    </row>
    <row r="407" spans="2:2">
      <c r="B407" s="118" t="s">
        <v>746</v>
      </c>
    </row>
    <row r="408" spans="2:2">
      <c r="B408" s="117"/>
    </row>
    <row r="409" spans="2:2">
      <c r="B409" s="117"/>
    </row>
    <row r="410" spans="2:2">
      <c r="B410" s="127"/>
    </row>
    <row r="411" spans="2:2">
      <c r="B411" s="127" t="s">
        <v>765</v>
      </c>
    </row>
    <row r="412" spans="2:2">
      <c r="B412" s="127"/>
    </row>
    <row r="413" spans="2:2">
      <c r="B413" s="127" t="s">
        <v>766</v>
      </c>
    </row>
    <row r="414" spans="2:2">
      <c r="B414" s="127"/>
    </row>
    <row r="415" spans="2:2">
      <c r="B415" s="127" t="s">
        <v>767</v>
      </c>
    </row>
    <row r="416" spans="2:2">
      <c r="B416" s="127"/>
    </row>
    <row r="417" spans="2:2">
      <c r="B417" s="127" t="s">
        <v>768</v>
      </c>
    </row>
    <row r="418" spans="2:2">
      <c r="B418" s="127"/>
    </row>
    <row r="419" spans="2:2">
      <c r="B419" s="127" t="s">
        <v>769</v>
      </c>
    </row>
    <row r="420" spans="2:2">
      <c r="B420" s="117"/>
    </row>
    <row r="421" spans="2:2">
      <c r="B421" s="118" t="s">
        <v>770</v>
      </c>
    </row>
    <row r="425" spans="2:2" ht="17.5">
      <c r="B425" s="116" t="s">
        <v>138</v>
      </c>
    </row>
    <row r="426" spans="2:2">
      <c r="B426" s="117"/>
    </row>
    <row r="427" spans="2:2">
      <c r="B427" s="118" t="s">
        <v>744</v>
      </c>
    </row>
    <row r="428" spans="2:2">
      <c r="B428" s="117"/>
    </row>
    <row r="429" spans="2:2">
      <c r="B429" s="117"/>
    </row>
    <row r="430" spans="2:2">
      <c r="B430" s="127"/>
    </row>
    <row r="431" spans="2:2">
      <c r="B431" s="128" t="s">
        <v>771</v>
      </c>
    </row>
    <row r="432" spans="2:2">
      <c r="B432" s="127"/>
    </row>
    <row r="433" spans="2:2">
      <c r="B433" s="128" t="s">
        <v>772</v>
      </c>
    </row>
    <row r="434" spans="2:2">
      <c r="B434" s="127"/>
    </row>
    <row r="435" spans="2:2">
      <c r="B435" s="128" t="s">
        <v>773</v>
      </c>
    </row>
    <row r="436" spans="2:2">
      <c r="B436" s="127"/>
    </row>
    <row r="437" spans="2:2">
      <c r="B437" s="128" t="s">
        <v>774</v>
      </c>
    </row>
    <row r="438" spans="2:2">
      <c r="B438" s="117"/>
    </row>
    <row r="439" spans="2:2">
      <c r="B439" s="118" t="s">
        <v>745</v>
      </c>
    </row>
    <row r="440" spans="2:2">
      <c r="B440" s="117"/>
    </row>
    <row r="441" spans="2:2">
      <c r="B441" s="117"/>
    </row>
    <row r="442" spans="2:2">
      <c r="B442" s="127"/>
    </row>
    <row r="443" spans="2:2">
      <c r="B443" s="128" t="s">
        <v>775</v>
      </c>
    </row>
    <row r="444" spans="2:2">
      <c r="B444" s="127"/>
    </row>
    <row r="445" spans="2:2">
      <c r="B445" s="128" t="s">
        <v>776</v>
      </c>
    </row>
    <row r="446" spans="2:2">
      <c r="B446" s="127"/>
    </row>
    <row r="447" spans="2:2">
      <c r="B447" s="128" t="s">
        <v>777</v>
      </c>
    </row>
    <row r="448" spans="2:2">
      <c r="B448" s="127"/>
    </row>
    <row r="449" spans="2:2">
      <c r="B449" s="128" t="s">
        <v>778</v>
      </c>
    </row>
    <row r="450" spans="2:2">
      <c r="B450" s="127"/>
    </row>
    <row r="451" spans="2:2">
      <c r="B451" s="128" t="s">
        <v>779</v>
      </c>
    </row>
    <row r="452" spans="2:2">
      <c r="B452" s="127"/>
    </row>
    <row r="453" spans="2:2">
      <c r="B453" s="128" t="s">
        <v>780</v>
      </c>
    </row>
    <row r="454" spans="2:2">
      <c r="B454" s="117"/>
    </row>
    <row r="455" spans="2:2">
      <c r="B455" s="118" t="s">
        <v>746</v>
      </c>
    </row>
    <row r="456" spans="2:2">
      <c r="B456" s="117"/>
    </row>
    <row r="457" spans="2:2">
      <c r="B457" s="117"/>
    </row>
    <row r="458" spans="2:2">
      <c r="B458" s="127"/>
    </row>
    <row r="459" spans="2:2">
      <c r="B459" s="127" t="s">
        <v>781</v>
      </c>
    </row>
    <row r="460" spans="2:2">
      <c r="B460" s="127"/>
    </row>
    <row r="461" spans="2:2">
      <c r="B461" s="127" t="s">
        <v>782</v>
      </c>
    </row>
    <row r="462" spans="2:2">
      <c r="B462" s="127"/>
    </row>
    <row r="463" spans="2:2">
      <c r="B463" s="127" t="s">
        <v>783</v>
      </c>
    </row>
    <row r="464" spans="2:2">
      <c r="B464" s="127"/>
    </row>
    <row r="465" spans="2:2">
      <c r="B465" s="127" t="s">
        <v>784</v>
      </c>
    </row>
    <row r="466" spans="2:2">
      <c r="B466" s="127"/>
    </row>
    <row r="467" spans="2:2">
      <c r="B467" s="127" t="s">
        <v>785</v>
      </c>
    </row>
    <row r="468" spans="2:2">
      <c r="B468" s="117"/>
    </row>
    <row r="469" spans="2:2">
      <c r="B469" s="118" t="s">
        <v>786</v>
      </c>
    </row>
    <row r="473" spans="2:2" ht="17.5">
      <c r="B473" s="116" t="s">
        <v>143</v>
      </c>
    </row>
    <row r="474" spans="2:2">
      <c r="B474" s="117"/>
    </row>
    <row r="475" spans="2:2">
      <c r="B475" s="118" t="s">
        <v>744</v>
      </c>
    </row>
    <row r="476" spans="2:2">
      <c r="B476" s="117"/>
    </row>
    <row r="477" spans="2:2">
      <c r="B477" s="117"/>
    </row>
    <row r="478" spans="2:2">
      <c r="B478" s="127"/>
    </row>
    <row r="479" spans="2:2">
      <c r="B479" s="128" t="s">
        <v>787</v>
      </c>
    </row>
    <row r="480" spans="2:2">
      <c r="B480" s="127"/>
    </row>
    <row r="481" spans="2:2">
      <c r="B481" s="128" t="s">
        <v>788</v>
      </c>
    </row>
    <row r="482" spans="2:2">
      <c r="B482" s="127"/>
    </row>
    <row r="483" spans="2:2">
      <c r="B483" s="128" t="s">
        <v>789</v>
      </c>
    </row>
    <row r="484" spans="2:2">
      <c r="B484" s="127"/>
    </row>
    <row r="485" spans="2:2">
      <c r="B485" s="128" t="s">
        <v>790</v>
      </c>
    </row>
    <row r="486" spans="2:2">
      <c r="B486" s="127"/>
    </row>
    <row r="487" spans="2:2">
      <c r="B487" s="128" t="s">
        <v>791</v>
      </c>
    </row>
    <row r="488" spans="2:2">
      <c r="B488" s="117"/>
    </row>
    <row r="489" spans="2:2">
      <c r="B489" s="118" t="s">
        <v>745</v>
      </c>
    </row>
    <row r="490" spans="2:2">
      <c r="B490" s="117"/>
    </row>
    <row r="491" spans="2:2">
      <c r="B491" s="117"/>
    </row>
    <row r="492" spans="2:2">
      <c r="B492" s="127"/>
    </row>
    <row r="493" spans="2:2">
      <c r="B493" s="128" t="s">
        <v>792</v>
      </c>
    </row>
    <row r="494" spans="2:2">
      <c r="B494" s="127"/>
    </row>
    <row r="495" spans="2:2">
      <c r="B495" s="128" t="s">
        <v>793</v>
      </c>
    </row>
    <row r="496" spans="2:2">
      <c r="B496" s="127"/>
    </row>
    <row r="497" spans="2:2">
      <c r="B497" s="128" t="s">
        <v>794</v>
      </c>
    </row>
    <row r="498" spans="2:2">
      <c r="B498" s="117"/>
    </row>
    <row r="499" spans="2:2">
      <c r="B499" s="118" t="s">
        <v>746</v>
      </c>
    </row>
    <row r="500" spans="2:2">
      <c r="B500" s="117"/>
    </row>
    <row r="501" spans="2:2">
      <c r="B501" s="117"/>
    </row>
    <row r="502" spans="2:2">
      <c r="B502" s="127"/>
    </row>
    <row r="503" spans="2:2">
      <c r="B503" s="127" t="s">
        <v>795</v>
      </c>
    </row>
    <row r="504" spans="2:2">
      <c r="B504" s="127"/>
    </row>
    <row r="505" spans="2:2">
      <c r="B505" s="127" t="s">
        <v>796</v>
      </c>
    </row>
    <row r="506" spans="2:2">
      <c r="B506" s="127"/>
    </row>
    <row r="507" spans="2:2">
      <c r="B507" s="127" t="s">
        <v>797</v>
      </c>
    </row>
    <row r="508" spans="2:2">
      <c r="B508" s="127"/>
    </row>
    <row r="509" spans="2:2">
      <c r="B509" s="127" t="s">
        <v>798</v>
      </c>
    </row>
    <row r="510" spans="2:2">
      <c r="B510" s="127"/>
    </row>
    <row r="511" spans="2:2">
      <c r="B511" s="127" t="s">
        <v>799</v>
      </c>
    </row>
    <row r="512" spans="2:2">
      <c r="B512" s="117"/>
    </row>
    <row r="513" spans="2:2">
      <c r="B513" s="118" t="s">
        <v>800</v>
      </c>
    </row>
  </sheetData>
  <hyperlinks>
    <hyperlink ref="C4" r:id="rId1" xr:uid="{8F69461A-3A91-417F-ACDC-67C2A7D879CA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F9A43-A4DF-4F04-BBAB-EEA69BFFE208}">
  <dimension ref="A2:I19"/>
  <sheetViews>
    <sheetView topLeftCell="A15" workbookViewId="0">
      <selection activeCell="G18" sqref="G18"/>
    </sheetView>
  </sheetViews>
  <sheetFormatPr defaultRowHeight="14"/>
  <cols>
    <col min="1" max="1" width="7.08203125" customWidth="1"/>
    <col min="2" max="2" width="8.58203125" customWidth="1"/>
    <col min="7" max="7" width="11.58203125" customWidth="1"/>
    <col min="8" max="8" width="12.75" customWidth="1"/>
  </cols>
  <sheetData>
    <row r="2" spans="1:9" ht="16" customHeight="1"/>
    <row r="3" spans="1:9" ht="44.15" customHeight="1">
      <c r="A3" s="67">
        <v>1</v>
      </c>
    </row>
    <row r="4" spans="1:9" ht="44.15" customHeight="1">
      <c r="A4" s="67">
        <v>2</v>
      </c>
    </row>
    <row r="5" spans="1:9" ht="44.15" customHeight="1">
      <c r="A5" s="67">
        <v>3</v>
      </c>
    </row>
    <row r="6" spans="1:9" ht="44.15" customHeight="1">
      <c r="A6" s="67">
        <v>4</v>
      </c>
    </row>
    <row r="7" spans="1:9" ht="44.15" customHeight="1">
      <c r="A7" s="67">
        <v>5</v>
      </c>
    </row>
    <row r="8" spans="1:9" ht="44.15" customHeight="1">
      <c r="A8" s="67">
        <v>6</v>
      </c>
      <c r="I8">
        <f>H4</f>
        <v>0</v>
      </c>
    </row>
    <row r="9" spans="1:9" ht="44.15" customHeight="1">
      <c r="A9" s="67">
        <v>7</v>
      </c>
    </row>
    <row r="10" spans="1:9" ht="44.15" customHeight="1">
      <c r="A10" s="67">
        <v>8</v>
      </c>
    </row>
    <row r="11" spans="1:9" ht="38.15" customHeight="1">
      <c r="A11" s="67">
        <v>9</v>
      </c>
    </row>
    <row r="12" spans="1:9" ht="42" customHeight="1">
      <c r="A12" s="67">
        <v>10</v>
      </c>
    </row>
    <row r="13" spans="1:9" ht="41.15" customHeight="1">
      <c r="A13" s="67">
        <v>11</v>
      </c>
    </row>
    <row r="14" spans="1:9" ht="42.65" customHeight="1">
      <c r="A14" s="67">
        <v>12</v>
      </c>
    </row>
    <row r="15" spans="1:9" ht="44.15" customHeight="1">
      <c r="A15" s="67">
        <v>13</v>
      </c>
    </row>
    <row r="16" spans="1:9" ht="40" customHeight="1">
      <c r="A16" s="67">
        <v>14</v>
      </c>
    </row>
    <row r="17" spans="1:1" ht="42.65" customHeight="1">
      <c r="A17" s="67">
        <v>15</v>
      </c>
    </row>
    <row r="18" spans="1:1" ht="44.15" customHeight="1">
      <c r="A18" s="67">
        <v>16</v>
      </c>
    </row>
    <row r="19" spans="1:1" ht="42.65" customHeight="1">
      <c r="A19" s="67">
        <v>17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64DA-E414-4382-9A1C-4599C0D4273F}">
  <dimension ref="A1:M100"/>
  <sheetViews>
    <sheetView workbookViewId="0">
      <selection activeCell="M2" sqref="M2"/>
    </sheetView>
  </sheetViews>
  <sheetFormatPr defaultRowHeight="14"/>
  <cols>
    <col min="1" max="1" width="9.25" customWidth="1"/>
    <col min="2" max="2" width="37.25" customWidth="1"/>
    <col min="3" max="3" width="64.75" customWidth="1"/>
    <col min="4" max="4" width="33" customWidth="1"/>
    <col min="5" max="5" width="12.25" customWidth="1"/>
    <col min="6" max="6" width="27.75" customWidth="1"/>
    <col min="9" max="9" width="11.83203125" customWidth="1"/>
    <col min="10" max="10" width="14.08203125" customWidth="1"/>
    <col min="11" max="11" width="16.08203125" customWidth="1"/>
    <col min="12" max="12" width="14" customWidth="1"/>
    <col min="13" max="13" width="31.83203125" customWidth="1"/>
    <col min="15" max="15" width="12.58203125" customWidth="1"/>
  </cols>
  <sheetData>
    <row r="1" spans="1:13" ht="36">
      <c r="A1" s="17" t="s">
        <v>561</v>
      </c>
      <c r="B1" s="17" t="s">
        <v>639</v>
      </c>
      <c r="C1" s="17" t="s">
        <v>562</v>
      </c>
      <c r="D1" s="17" t="s">
        <v>563</v>
      </c>
      <c r="E1" s="17" t="s">
        <v>615</v>
      </c>
      <c r="F1" s="17" t="s">
        <v>616</v>
      </c>
      <c r="G1" s="17" t="s">
        <v>617</v>
      </c>
      <c r="H1" s="17" t="s">
        <v>564</v>
      </c>
      <c r="I1" s="17" t="s">
        <v>565</v>
      </c>
      <c r="J1" s="17" t="s">
        <v>566</v>
      </c>
      <c r="K1" s="17" t="s">
        <v>567</v>
      </c>
      <c r="L1" s="17" t="s">
        <v>568</v>
      </c>
      <c r="M1" s="18" t="s">
        <v>50</v>
      </c>
    </row>
    <row r="2" spans="1:13" ht="42">
      <c r="A2" s="14">
        <v>1</v>
      </c>
      <c r="B2" s="14" t="str">
        <f>IFERROR(VLOOKUP(A2,'Dados Tabela Din'!$A$4:$K$20,2,FALSE),"")</f>
        <v>Erradicação da Pobreza</v>
      </c>
      <c r="C2" s="14"/>
      <c r="D2" s="14" t="str">
        <f>IFERROR(VLOOKUP(A2,'Dados Tabela Din'!$A$4:$K$20,5,FALSE),"")</f>
        <v>Menos de 3% de pobreza extrema, com 100% da população acessando serviços essenciais.</v>
      </c>
      <c r="E2" s="15">
        <f>IFERROR(VLOOKUP($A2,'Dados Tabela Din'!$A$3:$K$20,9,FALSE),"")</f>
        <v>0.5387333333333334</v>
      </c>
      <c r="F2" s="16">
        <f>IFERROR(VLOOKUP($A2,'Dados Tabela Din'!$A$3:$K$20,6,FALSE),"")</f>
        <v>0.52410000000000001</v>
      </c>
      <c r="G2" s="16">
        <f>IFERROR(VLOOKUP($A2,'Dados Tabela Din'!$A$3:$K$20,7,FALSE),"")</f>
        <v>0.46065</v>
      </c>
      <c r="H2" s="16">
        <f>IFERROR(VLOOKUP($A2,'Dados Tabela Din'!$A$3:$K$20,8,FALSE),"")</f>
        <v>0.63483999999999996</v>
      </c>
      <c r="I2" s="15" t="str">
        <f>IFERROR(VLOOKUP($A2,'Dados Tabela Din'!$A$3:$K$20,4,FALSE),"")</f>
        <v>95% a 100%</v>
      </c>
      <c r="J2" s="14" t="s">
        <v>569</v>
      </c>
      <c r="K2" s="58" t="str">
        <f>IF(F2="","",IF(F2&gt;=90%,"Muito Alto",IF(F2&gt;=80%,"Alto",IF(F2&gt;=70%,"Moderado-Alto",IF(F2&gt;=60%,"Moderado",IF(F2&gt;=50%,"Baixo-Médio","Muito Baixo"))))))</f>
        <v>Baixo-Médio</v>
      </c>
      <c r="M2" s="14" t="str">
        <f>IFERROR(VLOOKUP(A2,'Dados Tabela Din'!$A$4:$K$20,3,FALSE),"")</f>
        <v>Erradicar a pobreza extrema.</v>
      </c>
    </row>
    <row r="3" spans="1:13" ht="65.25" customHeight="1">
      <c r="A3" s="14">
        <v>5</v>
      </c>
      <c r="B3" s="14" t="str">
        <f>IFERROR(VLOOKUP(A3,'Dados Tabela Din'!$A$4:$K$20,2,FALSE),"")</f>
        <v>Igualdade de Gênero</v>
      </c>
      <c r="C3" s="14"/>
      <c r="D3" s="14" t="str">
        <f>IFERROR(VLOOKUP(A3,'Dados Tabela Din'!$A$4:$K$20,5,FALSE),"")</f>
        <v>Taxa de representação feminina na política local de 30% e políticas de igualdade salarial entre homens e mulheres.</v>
      </c>
      <c r="E3" s="15">
        <f>IFERROR(VLOOKUP($A3,'Dados Tabela Din'!$A$3:$K$20,9,FALSE),"")</f>
        <v>0.47350000000000003</v>
      </c>
      <c r="F3" s="16">
        <f>IFERROR(VLOOKUP($A3,'Dados Tabela Din'!$A$3:$K$20,6,FALSE),"")</f>
        <v>0.2843</v>
      </c>
      <c r="G3" s="16">
        <f>IFERROR(VLOOKUP($A3,'Dados Tabela Din'!$A$3:$K$20,7,FALSE),"")</f>
        <v>0.31832500000000002</v>
      </c>
      <c r="H3" s="16">
        <f>IFERROR(VLOOKUP($A3,'Dados Tabela Din'!$A$3:$K$20,8,FALSE),"")</f>
        <v>0.30375999999999997</v>
      </c>
      <c r="I3" s="15" t="str">
        <f>IFERROR(VLOOKUP($A3,'Dados Tabela Din'!$A$3:$K$20,4,FALSE),"")</f>
        <v>80% a 90%</v>
      </c>
      <c r="J3" s="58"/>
      <c r="K3" s="14" t="str">
        <f>IF(F3="","",IF(F3&gt;=90%,"Muito Alto",IF(F3&gt;=80%,"Alto",IF(F3&gt;=70%,"Moderado-Alto",IF(F3&gt;=60%,"Moderado",IF(F3&gt;=50%,"Baixo-Médio","Muito Baixo"))))))</f>
        <v>Muito Baixo</v>
      </c>
      <c r="L3" s="54"/>
      <c r="M3" s="14" t="str">
        <f>IFERROR(VLOOKUP(A3,'Dados Tabela Din'!$A$4:$K$20,3,FALSE),"")</f>
        <v>Eliminar desigualdade de gênero.</v>
      </c>
    </row>
    <row r="4" spans="1:13" ht="42">
      <c r="A4" s="14">
        <v>1</v>
      </c>
      <c r="B4" s="14" t="str">
        <f>IFERROR(VLOOKUP(A4,'Dados Tabela Din'!$A$4:$K$20,2,FALSE),"")</f>
        <v>Erradicação da Pobreza</v>
      </c>
      <c r="C4" s="14"/>
      <c r="D4" s="14" t="str">
        <f>IFERROR(VLOOKUP(A4,'Dados Tabela Din'!$A$4:$K$20,5,FALSE),"")</f>
        <v>Menos de 3% de pobreza extrema, com 100% da população acessando serviços essenciais.</v>
      </c>
      <c r="E4" s="15">
        <f>IFERROR(VLOOKUP($A4,'Dados Tabela Din'!$A$3:$K$20,9,FALSE),"")</f>
        <v>0.5387333333333334</v>
      </c>
      <c r="F4" s="16">
        <f>IFERROR(VLOOKUP($A4,'Dados Tabela Din'!$A$3:$K$20,6,FALSE),"")</f>
        <v>0.52410000000000001</v>
      </c>
      <c r="G4" s="16">
        <f>IFERROR(VLOOKUP($A4,'Dados Tabela Din'!$A$3:$K$20,7,FALSE),"")</f>
        <v>0.46065</v>
      </c>
      <c r="H4" s="16">
        <f>IFERROR(VLOOKUP($A4,'Dados Tabela Din'!$A$3:$K$20,8,FALSE),"")</f>
        <v>0.63483999999999996</v>
      </c>
      <c r="I4" s="15" t="str">
        <f>IFERROR(VLOOKUP($A4,'Dados Tabela Din'!$A$3:$K$20,4,FALSE),"")</f>
        <v>95% a 100%</v>
      </c>
      <c r="J4" s="14"/>
      <c r="K4" s="58" t="str">
        <f>IF(F4="","",IF(F4&gt;=90%,"Muito Alto",IF(F4&gt;=80%,"Alto",IF(F4&gt;=70%,"Moderado-Alto",IF(F4&gt;=60%,"Moderado",IF(F4&gt;=50%,"Baixo-Médio","Muito Baixo"))))))</f>
        <v>Baixo-Médio</v>
      </c>
      <c r="M4" s="14" t="str">
        <f>IFERROR(VLOOKUP(A4,'Dados Tabela Din'!$A$4:$K$20,3,FALSE),"")</f>
        <v>Erradicar a pobreza extrema.</v>
      </c>
    </row>
    <row r="5" spans="1:13">
      <c r="A5" s="14"/>
      <c r="B5" s="14" t="str">
        <f>IFERROR(VLOOKUP(A5,'Dados Tabela Din'!$A$4:$K$20,2,FALSE),"")</f>
        <v/>
      </c>
      <c r="C5" s="14"/>
      <c r="D5" s="14" t="str">
        <f>IFERROR(VLOOKUP(A5,'Dados Tabela Din'!$A$4:$K$20,5,FALSE),"")</f>
        <v/>
      </c>
      <c r="E5" s="15" t="str">
        <f>IFERROR(VLOOKUP($A5,'Dados Tabela Din'!$A$3:$K$20,9,FALSE),"")</f>
        <v/>
      </c>
      <c r="F5" s="16" t="str">
        <f>IFERROR(VLOOKUP($A5,'Dados Tabela Din'!$A$3:$K$20,6,FALSE),"")</f>
        <v/>
      </c>
      <c r="G5" s="16" t="str">
        <f>IFERROR(VLOOKUP($A5,'Dados Tabela Din'!$A$3:$K$20,7,FALSE),"")</f>
        <v/>
      </c>
      <c r="H5" s="16" t="str">
        <f>IFERROR(VLOOKUP($A5,'Dados Tabela Din'!$A$3:$K$20,8,FALSE),"")</f>
        <v/>
      </c>
      <c r="I5" s="15" t="str">
        <f>IFERROR(VLOOKUP($A5,'Dados Tabela Din'!$A$3:$K$20,4,FALSE),"")</f>
        <v/>
      </c>
      <c r="J5" s="14"/>
      <c r="K5" s="58" t="str">
        <f t="shared" ref="K5:K68" si="0">IF(F5="","",IF(F5&gt;=90%,"Muito Alto",IF(F5&gt;=80%,"Alto",IF(F5&gt;=70%,"Moderado-Alto",IF(F5&gt;=60%,"Moderado",IF(F5&gt;=50%,"Baixo-Médio","Muito Baixo"))))))</f>
        <v/>
      </c>
      <c r="M5" s="14" t="str">
        <f>IFERROR(VLOOKUP(A5,'Dados Tabela Din'!$A$4:$K$20,3,FALSE),"")</f>
        <v/>
      </c>
    </row>
    <row r="6" spans="1:13">
      <c r="A6" s="14"/>
      <c r="B6" s="14" t="str">
        <f>IFERROR(VLOOKUP(A6,'Dados Tabela Din'!$A$4:$K$20,2,FALSE),"")</f>
        <v/>
      </c>
      <c r="C6" s="14"/>
      <c r="D6" s="14" t="str">
        <f>IFERROR(VLOOKUP(A6,'Dados Tabela Din'!$A$4:$K$20,5,FALSE),"")</f>
        <v/>
      </c>
      <c r="E6" s="15" t="str">
        <f>IFERROR(VLOOKUP($A6,'Dados Tabela Din'!$A$3:$K$20,9,FALSE),"")</f>
        <v/>
      </c>
      <c r="F6" s="16" t="str">
        <f>IFERROR(VLOOKUP($A6,'Dados Tabela Din'!$A$3:$K$20,6,FALSE),"")</f>
        <v/>
      </c>
      <c r="G6" s="16" t="str">
        <f>IFERROR(VLOOKUP($A6,'Dados Tabela Din'!$A$3:$K$20,7,FALSE),"")</f>
        <v/>
      </c>
      <c r="H6" s="16" t="str">
        <f>IFERROR(VLOOKUP($A6,'Dados Tabela Din'!$A$3:$K$20,8,FALSE),"")</f>
        <v/>
      </c>
      <c r="I6" s="15" t="str">
        <f>IFERROR(VLOOKUP($A6,'Dados Tabela Din'!$A$3:$K$20,4,FALSE),"")</f>
        <v/>
      </c>
      <c r="J6" s="14"/>
      <c r="K6" s="58" t="str">
        <f t="shared" si="0"/>
        <v/>
      </c>
      <c r="M6" s="14" t="str">
        <f>IFERROR(VLOOKUP(A6,'Dados Tabela Din'!$A$4:$K$20,3,FALSE),"")</f>
        <v/>
      </c>
    </row>
    <row r="7" spans="1:13">
      <c r="A7" s="14"/>
      <c r="B7" s="14" t="str">
        <f>IFERROR(VLOOKUP(A7,'Dados Tabela Din'!$A$4:$K$20,2,FALSE),"")</f>
        <v/>
      </c>
      <c r="C7" s="14"/>
      <c r="D7" s="14" t="str">
        <f>IFERROR(VLOOKUP(A7,'Dados Tabela Din'!$A$4:$K$20,5,FALSE),"")</f>
        <v/>
      </c>
      <c r="E7" s="15" t="str">
        <f>IFERROR(VLOOKUP($A7,'Dados Tabela Din'!$A$3:$K$20,9,FALSE),"")</f>
        <v/>
      </c>
      <c r="F7" s="16" t="str">
        <f>IFERROR(VLOOKUP($A7,'Dados Tabela Din'!$A$3:$K$20,6,FALSE),"")</f>
        <v/>
      </c>
      <c r="G7" s="16" t="str">
        <f>IFERROR(VLOOKUP($A7,'Dados Tabela Din'!$A$3:$K$20,7,FALSE),"")</f>
        <v/>
      </c>
      <c r="H7" s="16" t="str">
        <f>IFERROR(VLOOKUP($A7,'Dados Tabela Din'!$A$3:$K$20,8,FALSE),"")</f>
        <v/>
      </c>
      <c r="I7" s="15" t="str">
        <f>IFERROR(VLOOKUP($A7,'Dados Tabela Din'!$A$3:$K$20,4,FALSE),"")</f>
        <v/>
      </c>
      <c r="J7" s="14"/>
      <c r="K7" s="58" t="str">
        <f t="shared" si="0"/>
        <v/>
      </c>
      <c r="M7" s="14" t="str">
        <f>IFERROR(VLOOKUP(A7,'Dados Tabela Din'!$A$4:$K$20,3,FALSE),"")</f>
        <v/>
      </c>
    </row>
    <row r="8" spans="1:13">
      <c r="A8" s="14"/>
      <c r="B8" s="14" t="str">
        <f>IFERROR(VLOOKUP(A8,'Dados Tabela Din'!$A$4:$K$20,2,FALSE),"")</f>
        <v/>
      </c>
      <c r="C8" s="14"/>
      <c r="D8" s="14" t="str">
        <f>IFERROR(VLOOKUP(A8,'Dados Tabela Din'!$A$4:$K$20,5,FALSE),"")</f>
        <v/>
      </c>
      <c r="E8" s="15" t="str">
        <f>IFERROR(VLOOKUP($A8,'Dados Tabela Din'!$A$3:$K$20,9,FALSE),"")</f>
        <v/>
      </c>
      <c r="F8" s="16" t="str">
        <f>IFERROR(VLOOKUP($A8,'Dados Tabela Din'!$A$3:$K$20,6,FALSE),"")</f>
        <v/>
      </c>
      <c r="G8" s="16" t="str">
        <f>IFERROR(VLOOKUP($A8,'Dados Tabela Din'!$A$3:$K$20,7,FALSE),"")</f>
        <v/>
      </c>
      <c r="H8" s="16" t="str">
        <f>IFERROR(VLOOKUP($A8,'Dados Tabela Din'!$A$3:$K$20,8,FALSE),"")</f>
        <v/>
      </c>
      <c r="I8" s="15" t="str">
        <f>IFERROR(VLOOKUP($A8,'Dados Tabela Din'!$A$3:$K$20,4,FALSE),"")</f>
        <v/>
      </c>
      <c r="J8" s="14"/>
      <c r="K8" s="58" t="str">
        <f t="shared" si="0"/>
        <v/>
      </c>
      <c r="M8" s="14" t="str">
        <f>IFERROR(VLOOKUP(A8,'Dados Tabela Din'!$A$4:$K$20,3,FALSE),"")</f>
        <v/>
      </c>
    </row>
    <row r="9" spans="1:13">
      <c r="A9" s="14"/>
      <c r="B9" s="14" t="str">
        <f>IFERROR(VLOOKUP(A9,'Dados Tabela Din'!$A$4:$K$20,2,FALSE),"")</f>
        <v/>
      </c>
      <c r="C9" s="14"/>
      <c r="D9" s="14" t="str">
        <f>IFERROR(VLOOKUP(A9,'Dados Tabela Din'!$A$4:$K$20,5,FALSE),"")</f>
        <v/>
      </c>
      <c r="E9" s="15" t="str">
        <f>IFERROR(VLOOKUP($A9,'Dados Tabela Din'!$A$3:$K$20,9,FALSE),"")</f>
        <v/>
      </c>
      <c r="F9" s="16" t="str">
        <f>IFERROR(VLOOKUP($A9,'Dados Tabela Din'!$A$3:$K$20,6,FALSE),"")</f>
        <v/>
      </c>
      <c r="G9" s="16" t="str">
        <f>IFERROR(VLOOKUP($A9,'Dados Tabela Din'!$A$3:$K$20,7,FALSE),"")</f>
        <v/>
      </c>
      <c r="H9" s="16" t="str">
        <f>IFERROR(VLOOKUP($A9,'Dados Tabela Din'!$A$3:$K$20,8,FALSE),"")</f>
        <v/>
      </c>
      <c r="I9" s="15" t="str">
        <f>IFERROR(VLOOKUP($A9,'Dados Tabela Din'!$A$3:$K$20,4,FALSE),"")</f>
        <v/>
      </c>
      <c r="J9" s="14"/>
      <c r="K9" s="58" t="str">
        <f t="shared" si="0"/>
        <v/>
      </c>
      <c r="M9" s="14" t="str">
        <f>IFERROR(VLOOKUP(A9,'Dados Tabela Din'!$A$4:$K$20,3,FALSE),"")</f>
        <v/>
      </c>
    </row>
    <row r="10" spans="1:13">
      <c r="A10" s="14"/>
      <c r="B10" s="14" t="str">
        <f>IFERROR(VLOOKUP(A10,'Dados Tabela Din'!$A$4:$K$20,2,FALSE),"")</f>
        <v/>
      </c>
      <c r="C10" s="14"/>
      <c r="D10" s="14" t="str">
        <f>IFERROR(VLOOKUP(A10,'Dados Tabela Din'!$A$4:$K$20,5,FALSE),"")</f>
        <v/>
      </c>
      <c r="E10" s="15" t="str">
        <f>IFERROR(VLOOKUP($A10,'Dados Tabela Din'!$A$3:$K$20,9,FALSE),"")</f>
        <v/>
      </c>
      <c r="F10" s="16" t="str">
        <f>IFERROR(VLOOKUP($A10,'Dados Tabela Din'!$A$3:$K$20,6,FALSE),"")</f>
        <v/>
      </c>
      <c r="G10" s="16" t="str">
        <f>IFERROR(VLOOKUP($A10,'Dados Tabela Din'!$A$3:$K$20,7,FALSE),"")</f>
        <v/>
      </c>
      <c r="H10" s="16" t="str">
        <f>IFERROR(VLOOKUP($A10,'Dados Tabela Din'!$A$3:$K$20,8,FALSE),"")</f>
        <v/>
      </c>
      <c r="I10" s="15" t="str">
        <f>IFERROR(VLOOKUP($A10,'Dados Tabela Din'!$A$3:$K$20,4,FALSE),"")</f>
        <v/>
      </c>
      <c r="J10" s="14"/>
      <c r="K10" s="58" t="str">
        <f t="shared" si="0"/>
        <v/>
      </c>
      <c r="M10" s="14" t="str">
        <f>IFERROR(VLOOKUP(A10,'Dados Tabela Din'!$A$4:$K$20,3,FALSE),"")</f>
        <v/>
      </c>
    </row>
    <row r="11" spans="1:13">
      <c r="A11" s="14"/>
      <c r="B11" s="14" t="str">
        <f>IFERROR(VLOOKUP(A11,'Dados Tabela Din'!$A$4:$K$20,2,FALSE),"")</f>
        <v/>
      </c>
      <c r="C11" s="14"/>
      <c r="D11" s="14" t="str">
        <f>IFERROR(VLOOKUP(A11,'Dados Tabela Din'!$A$4:$K$20,5,FALSE),"")</f>
        <v/>
      </c>
      <c r="E11" s="15" t="str">
        <f>IFERROR(VLOOKUP($A11,'Dados Tabela Din'!$A$3:$K$20,9,FALSE),"")</f>
        <v/>
      </c>
      <c r="F11" s="16" t="str">
        <f>IFERROR(VLOOKUP($A11,'Dados Tabela Din'!$A$3:$K$20,6,FALSE),"")</f>
        <v/>
      </c>
      <c r="G11" s="16" t="str">
        <f>IFERROR(VLOOKUP($A11,'Dados Tabela Din'!$A$3:$K$20,7,FALSE),"")</f>
        <v/>
      </c>
      <c r="H11" s="16" t="str">
        <f>IFERROR(VLOOKUP($A11,'Dados Tabela Din'!$A$3:$K$20,8,FALSE),"")</f>
        <v/>
      </c>
      <c r="I11" s="15" t="str">
        <f>IFERROR(VLOOKUP($A11,'Dados Tabela Din'!$A$3:$K$20,4,FALSE),"")</f>
        <v/>
      </c>
      <c r="J11" s="14"/>
      <c r="K11" s="58" t="str">
        <f t="shared" si="0"/>
        <v/>
      </c>
      <c r="M11" s="14" t="str">
        <f>IFERROR(VLOOKUP(A11,'Dados Tabela Din'!$A$4:$K$20,3,FALSE),"")</f>
        <v/>
      </c>
    </row>
    <row r="12" spans="1:13">
      <c r="A12" s="14"/>
      <c r="B12" s="14" t="str">
        <f>IFERROR(VLOOKUP(A12,'Dados Tabela Din'!$A$4:$K$20,2,FALSE),"")</f>
        <v/>
      </c>
      <c r="C12" s="14"/>
      <c r="D12" s="14" t="str">
        <f>IFERROR(VLOOKUP(A12,'Dados Tabela Din'!$A$4:$K$20,5,FALSE),"")</f>
        <v/>
      </c>
      <c r="E12" s="15" t="str">
        <f>IFERROR(VLOOKUP($A12,'Dados Tabela Din'!$A$3:$K$20,9,FALSE),"")</f>
        <v/>
      </c>
      <c r="F12" s="16" t="str">
        <f>IFERROR(VLOOKUP($A12,'Dados Tabela Din'!$A$3:$K$20,6,FALSE),"")</f>
        <v/>
      </c>
      <c r="G12" s="16" t="str">
        <f>IFERROR(VLOOKUP($A12,'Dados Tabela Din'!$A$3:$K$20,7,FALSE),"")</f>
        <v/>
      </c>
      <c r="H12" s="16" t="str">
        <f>IFERROR(VLOOKUP($A12,'Dados Tabela Din'!$A$3:$K$20,8,FALSE),"")</f>
        <v/>
      </c>
      <c r="I12" s="15" t="str">
        <f>IFERROR(VLOOKUP($A12,'Dados Tabela Din'!$A$3:$K$20,4,FALSE),"")</f>
        <v/>
      </c>
      <c r="J12" s="14"/>
      <c r="K12" s="58" t="str">
        <f t="shared" si="0"/>
        <v/>
      </c>
      <c r="M12" s="14" t="str">
        <f>IFERROR(VLOOKUP(A12,'Dados Tabela Din'!$A$4:$K$20,3,FALSE),"")</f>
        <v/>
      </c>
    </row>
    <row r="13" spans="1:13">
      <c r="A13" s="14"/>
      <c r="B13" s="14" t="str">
        <f>IFERROR(VLOOKUP(A13,'Dados Tabela Din'!$A$4:$K$20,2,FALSE),"")</f>
        <v/>
      </c>
      <c r="C13" s="14"/>
      <c r="D13" s="14" t="str">
        <f>IFERROR(VLOOKUP(A13,'Dados Tabela Din'!$A$4:$K$20,5,FALSE),"")</f>
        <v/>
      </c>
      <c r="E13" s="15" t="str">
        <f>IFERROR(VLOOKUP($A13,'Dados Tabela Din'!$A$3:$K$20,9,FALSE),"")</f>
        <v/>
      </c>
      <c r="F13" s="16" t="str">
        <f>IFERROR(VLOOKUP($A13,'Dados Tabela Din'!$A$3:$K$20,6,FALSE),"")</f>
        <v/>
      </c>
      <c r="G13" s="16" t="str">
        <f>IFERROR(VLOOKUP($A13,'Dados Tabela Din'!$A$3:$K$20,7,FALSE),"")</f>
        <v/>
      </c>
      <c r="H13" s="16" t="str">
        <f>IFERROR(VLOOKUP($A13,'Dados Tabela Din'!$A$3:$K$20,8,FALSE),"")</f>
        <v/>
      </c>
      <c r="I13" s="15" t="str">
        <f>IFERROR(VLOOKUP($A13,'Dados Tabela Din'!$A$3:$K$20,4,FALSE),"")</f>
        <v/>
      </c>
      <c r="J13" s="14"/>
      <c r="K13" s="58" t="str">
        <f t="shared" si="0"/>
        <v/>
      </c>
      <c r="M13" s="14" t="str">
        <f>IFERROR(VLOOKUP(A13,'Dados Tabela Din'!$A$4:$K$20,3,FALSE),"")</f>
        <v/>
      </c>
    </row>
    <row r="14" spans="1:13">
      <c r="A14" s="14"/>
      <c r="B14" s="14" t="str">
        <f>IFERROR(VLOOKUP(A14,'Dados Tabela Din'!$A$4:$K$20,2,FALSE),"")</f>
        <v/>
      </c>
      <c r="C14" s="14"/>
      <c r="D14" s="14" t="str">
        <f>IFERROR(VLOOKUP(A14,'Dados Tabela Din'!$A$4:$K$20,5,FALSE),"")</f>
        <v/>
      </c>
      <c r="E14" s="15" t="str">
        <f>IFERROR(VLOOKUP($A14,'Dados Tabela Din'!$A$3:$K$20,9,FALSE),"")</f>
        <v/>
      </c>
      <c r="F14" s="16" t="str">
        <f>IFERROR(VLOOKUP($A14,'Dados Tabela Din'!$A$3:$K$20,6,FALSE),"")</f>
        <v/>
      </c>
      <c r="G14" s="16" t="str">
        <f>IFERROR(VLOOKUP($A14,'Dados Tabela Din'!$A$3:$K$20,7,FALSE),"")</f>
        <v/>
      </c>
      <c r="H14" s="16" t="str">
        <f>IFERROR(VLOOKUP($A14,'Dados Tabela Din'!$A$3:$K$20,8,FALSE),"")</f>
        <v/>
      </c>
      <c r="I14" s="15" t="str">
        <f>IFERROR(VLOOKUP($A14,'Dados Tabela Din'!$A$3:$K$20,4,FALSE),"")</f>
        <v/>
      </c>
      <c r="J14" s="14"/>
      <c r="K14" s="58" t="str">
        <f t="shared" si="0"/>
        <v/>
      </c>
      <c r="M14" s="14" t="str">
        <f>IFERROR(VLOOKUP(A14,'Dados Tabela Din'!$A$4:$K$20,3,FALSE),"")</f>
        <v/>
      </c>
    </row>
    <row r="15" spans="1:13">
      <c r="A15" s="14"/>
      <c r="B15" s="14" t="str">
        <f>IFERROR(VLOOKUP(A15,'Dados Tabela Din'!$A$4:$K$20,2,FALSE),"")</f>
        <v/>
      </c>
      <c r="C15" s="14"/>
      <c r="D15" s="14" t="str">
        <f>IFERROR(VLOOKUP(A15,'Dados Tabela Din'!$A$4:$K$20,5,FALSE),"")</f>
        <v/>
      </c>
      <c r="E15" s="15" t="str">
        <f>IFERROR(VLOOKUP($A15,'Dados Tabela Din'!$A$3:$K$20,9,FALSE),"")</f>
        <v/>
      </c>
      <c r="F15" s="16" t="str">
        <f>IFERROR(VLOOKUP($A15,'Dados Tabela Din'!$A$3:$K$20,6,FALSE),"")</f>
        <v/>
      </c>
      <c r="G15" s="16" t="str">
        <f>IFERROR(VLOOKUP($A15,'Dados Tabela Din'!$A$3:$K$20,7,FALSE),"")</f>
        <v/>
      </c>
      <c r="H15" s="16" t="str">
        <f>IFERROR(VLOOKUP($A15,'Dados Tabela Din'!$A$3:$K$20,8,FALSE),"")</f>
        <v/>
      </c>
      <c r="I15" s="15" t="str">
        <f>IFERROR(VLOOKUP($A15,'Dados Tabela Din'!$A$3:$K$20,4,FALSE),"")</f>
        <v/>
      </c>
      <c r="J15" s="14"/>
      <c r="K15" s="58" t="str">
        <f t="shared" si="0"/>
        <v/>
      </c>
      <c r="M15" s="14" t="str">
        <f>IFERROR(VLOOKUP(A15,'Dados Tabela Din'!$A$4:$K$20,3,FALSE),"")</f>
        <v/>
      </c>
    </row>
    <row r="16" spans="1:13">
      <c r="A16" s="14"/>
      <c r="B16" s="14" t="str">
        <f>IFERROR(VLOOKUP(A16,'Dados Tabela Din'!$A$4:$K$20,2,FALSE),"")</f>
        <v/>
      </c>
      <c r="C16" s="14"/>
      <c r="D16" s="14" t="str">
        <f>IFERROR(VLOOKUP(A16,'Dados Tabela Din'!$A$4:$K$20,5,FALSE),"")</f>
        <v/>
      </c>
      <c r="E16" s="15" t="str">
        <f>IFERROR(VLOOKUP($A16,'Dados Tabela Din'!$A$3:$K$20,9,FALSE),"")</f>
        <v/>
      </c>
      <c r="F16" s="16" t="str">
        <f>IFERROR(VLOOKUP($A16,'Dados Tabela Din'!$A$3:$K$20,6,FALSE),"")</f>
        <v/>
      </c>
      <c r="G16" s="16" t="str">
        <f>IFERROR(VLOOKUP($A16,'Dados Tabela Din'!$A$3:$K$20,7,FALSE),"")</f>
        <v/>
      </c>
      <c r="H16" s="16" t="str">
        <f>IFERROR(VLOOKUP($A16,'Dados Tabela Din'!$A$3:$K$20,8,FALSE),"")</f>
        <v/>
      </c>
      <c r="I16" s="15" t="str">
        <f>IFERROR(VLOOKUP($A16,'Dados Tabela Din'!$A$3:$K$20,4,FALSE),"")</f>
        <v/>
      </c>
      <c r="J16" s="14"/>
      <c r="K16" s="58" t="str">
        <f t="shared" si="0"/>
        <v/>
      </c>
      <c r="M16" s="14" t="str">
        <f>IFERROR(VLOOKUP(A16,'Dados Tabela Din'!$A$4:$K$20,3,FALSE),"")</f>
        <v/>
      </c>
    </row>
    <row r="17" spans="1:13">
      <c r="A17" s="14"/>
      <c r="B17" s="14" t="str">
        <f>IFERROR(VLOOKUP(A17,'Dados Tabela Din'!$A$4:$K$20,2,FALSE),"")</f>
        <v/>
      </c>
      <c r="C17" s="14"/>
      <c r="D17" s="14" t="str">
        <f>IFERROR(VLOOKUP(A17,'Dados Tabela Din'!$A$4:$K$20,5,FALSE),"")</f>
        <v/>
      </c>
      <c r="E17" s="15" t="str">
        <f>IFERROR(VLOOKUP($A17,'Dados Tabela Din'!$A$3:$K$20,9,FALSE),"")</f>
        <v/>
      </c>
      <c r="F17" s="16" t="str">
        <f>IFERROR(VLOOKUP($A17,'Dados Tabela Din'!$A$3:$K$20,6,FALSE),"")</f>
        <v/>
      </c>
      <c r="G17" s="16" t="str">
        <f>IFERROR(VLOOKUP($A17,'Dados Tabela Din'!$A$3:$K$20,7,FALSE),"")</f>
        <v/>
      </c>
      <c r="H17" s="16" t="str">
        <f>IFERROR(VLOOKUP($A17,'Dados Tabela Din'!$A$3:$K$20,8,FALSE),"")</f>
        <v/>
      </c>
      <c r="I17" s="15" t="str">
        <f>IFERROR(VLOOKUP($A17,'Dados Tabela Din'!$A$3:$K$20,4,FALSE),"")</f>
        <v/>
      </c>
      <c r="J17" s="14"/>
      <c r="K17" s="58" t="str">
        <f t="shared" si="0"/>
        <v/>
      </c>
      <c r="M17" s="14" t="str">
        <f>IFERROR(VLOOKUP(A17,'Dados Tabela Din'!$A$4:$K$20,3,FALSE),"")</f>
        <v/>
      </c>
    </row>
    <row r="18" spans="1:13">
      <c r="A18" s="14"/>
      <c r="B18" s="14" t="str">
        <f>IFERROR(VLOOKUP(A18,'Dados Tabela Din'!$A$4:$K$20,2,FALSE),"")</f>
        <v/>
      </c>
      <c r="C18" s="14"/>
      <c r="D18" s="14" t="str">
        <f>IFERROR(VLOOKUP(A18,'Dados Tabela Din'!$A$4:$K$20,5,FALSE),"")</f>
        <v/>
      </c>
      <c r="E18" s="15" t="str">
        <f>IFERROR(VLOOKUP($A18,'Dados Tabela Din'!$A$3:$K$20,9,FALSE),"")</f>
        <v/>
      </c>
      <c r="F18" s="16" t="str">
        <f>IFERROR(VLOOKUP($A18,'Dados Tabela Din'!$A$3:$K$20,6,FALSE),"")</f>
        <v/>
      </c>
      <c r="G18" s="16" t="str">
        <f>IFERROR(VLOOKUP($A18,'Dados Tabela Din'!$A$3:$K$20,7,FALSE),"")</f>
        <v/>
      </c>
      <c r="H18" s="16" t="str">
        <f>IFERROR(VLOOKUP($A18,'Dados Tabela Din'!$A$3:$K$20,8,FALSE),"")</f>
        <v/>
      </c>
      <c r="I18" s="15" t="str">
        <f>IFERROR(VLOOKUP($A18,'Dados Tabela Din'!$A$3:$K$20,4,FALSE),"")</f>
        <v/>
      </c>
      <c r="J18" s="14"/>
      <c r="K18" s="58" t="str">
        <f t="shared" si="0"/>
        <v/>
      </c>
      <c r="M18" s="14" t="str">
        <f>IFERROR(VLOOKUP(A18,'Dados Tabela Din'!$A$4:$K$20,3,FALSE),"")</f>
        <v/>
      </c>
    </row>
    <row r="19" spans="1:13">
      <c r="A19" s="14"/>
      <c r="B19" s="14" t="str">
        <f>IFERROR(VLOOKUP(A19,'Dados Tabela Din'!$A$4:$K$20,2,FALSE),"")</f>
        <v/>
      </c>
      <c r="C19" s="14"/>
      <c r="D19" s="14" t="str">
        <f>IFERROR(VLOOKUP(A19,'Dados Tabela Din'!$A$4:$K$20,5,FALSE),"")</f>
        <v/>
      </c>
      <c r="E19" s="15" t="str">
        <f>IFERROR(VLOOKUP($A19,'Dados Tabela Din'!$A$3:$K$20,9,FALSE),"")</f>
        <v/>
      </c>
      <c r="F19" s="16" t="str">
        <f>IFERROR(VLOOKUP($A19,'Dados Tabela Din'!$A$3:$K$20,6,FALSE),"")</f>
        <v/>
      </c>
      <c r="G19" s="16" t="str">
        <f>IFERROR(VLOOKUP($A19,'Dados Tabela Din'!$A$3:$K$20,7,FALSE),"")</f>
        <v/>
      </c>
      <c r="H19" s="16" t="str">
        <f>IFERROR(VLOOKUP($A19,'Dados Tabela Din'!$A$3:$K$20,8,FALSE),"")</f>
        <v/>
      </c>
      <c r="I19" s="15" t="str">
        <f>IFERROR(VLOOKUP($A19,'Dados Tabela Din'!$A$3:$K$20,4,FALSE),"")</f>
        <v/>
      </c>
      <c r="J19" s="14"/>
      <c r="K19" s="58" t="str">
        <f t="shared" si="0"/>
        <v/>
      </c>
      <c r="M19" s="14" t="str">
        <f>IFERROR(VLOOKUP(A19,'Dados Tabela Din'!$A$4:$K$20,3,FALSE),"")</f>
        <v/>
      </c>
    </row>
    <row r="20" spans="1:13">
      <c r="A20" s="14"/>
      <c r="B20" s="14" t="str">
        <f>IFERROR(VLOOKUP(A20,'Dados Tabela Din'!$A$4:$K$20,2,FALSE),"")</f>
        <v/>
      </c>
      <c r="C20" s="14"/>
      <c r="D20" s="14" t="str">
        <f>IFERROR(VLOOKUP(A20,'Dados Tabela Din'!$A$4:$K$20,5,FALSE),"")</f>
        <v/>
      </c>
      <c r="E20" s="15" t="str">
        <f>IFERROR(VLOOKUP($A20,'Dados Tabela Din'!$A$3:$K$20,9,FALSE),"")</f>
        <v/>
      </c>
      <c r="F20" s="16" t="str">
        <f>IFERROR(VLOOKUP($A20,'Dados Tabela Din'!$A$3:$K$20,6,FALSE),"")</f>
        <v/>
      </c>
      <c r="G20" s="16" t="str">
        <f>IFERROR(VLOOKUP($A20,'Dados Tabela Din'!$A$3:$K$20,7,FALSE),"")</f>
        <v/>
      </c>
      <c r="H20" s="16" t="str">
        <f>IFERROR(VLOOKUP($A20,'Dados Tabela Din'!$A$3:$K$20,8,FALSE),"")</f>
        <v/>
      </c>
      <c r="I20" s="15" t="str">
        <f>IFERROR(VLOOKUP($A20,'Dados Tabela Din'!$A$3:$K$20,4,FALSE),"")</f>
        <v/>
      </c>
      <c r="J20" s="14"/>
      <c r="K20" s="58" t="str">
        <f t="shared" si="0"/>
        <v/>
      </c>
      <c r="M20" s="14" t="str">
        <f>IFERROR(VLOOKUP(A20,'Dados Tabela Din'!$A$4:$K$20,3,FALSE),"")</f>
        <v/>
      </c>
    </row>
    <row r="21" spans="1:13">
      <c r="A21" s="14"/>
      <c r="B21" s="14" t="str">
        <f>IFERROR(VLOOKUP(A21,'Dados Tabela Din'!$A$4:$K$20,2,FALSE),"")</f>
        <v/>
      </c>
      <c r="C21" s="14"/>
      <c r="D21" s="14" t="str">
        <f>IFERROR(VLOOKUP(A21,'Dados Tabela Din'!$A$4:$K$20,5,FALSE),"")</f>
        <v/>
      </c>
      <c r="E21" s="15" t="str">
        <f>IFERROR(VLOOKUP($A21,'Dados Tabela Din'!$A$3:$K$20,9,FALSE),"")</f>
        <v/>
      </c>
      <c r="F21" s="16" t="str">
        <f>IFERROR(VLOOKUP($A21,'Dados Tabela Din'!$A$3:$K$20,6,FALSE),"")</f>
        <v/>
      </c>
      <c r="G21" s="16" t="str">
        <f>IFERROR(VLOOKUP($A21,'Dados Tabela Din'!$A$3:$K$20,7,FALSE),"")</f>
        <v/>
      </c>
      <c r="H21" s="16" t="str">
        <f>IFERROR(VLOOKUP($A21,'Dados Tabela Din'!$A$3:$K$20,8,FALSE),"")</f>
        <v/>
      </c>
      <c r="I21" s="15" t="str">
        <f>IFERROR(VLOOKUP($A21,'Dados Tabela Din'!$A$3:$K$20,4,FALSE),"")</f>
        <v/>
      </c>
      <c r="J21" s="14"/>
      <c r="K21" s="58" t="str">
        <f t="shared" si="0"/>
        <v/>
      </c>
      <c r="M21" s="14" t="str">
        <f>IFERROR(VLOOKUP(A21,'Dados Tabela Din'!$A$4:$K$20,3,FALSE),"")</f>
        <v/>
      </c>
    </row>
    <row r="22" spans="1:13">
      <c r="A22" s="14"/>
      <c r="B22" s="14" t="str">
        <f>IFERROR(VLOOKUP(A22,'Dados Tabela Din'!$A$4:$K$20,2,FALSE),"")</f>
        <v/>
      </c>
      <c r="C22" s="14"/>
      <c r="D22" s="14" t="str">
        <f>IFERROR(VLOOKUP(A22,'Dados Tabela Din'!$A$4:$K$20,5,FALSE),"")</f>
        <v/>
      </c>
      <c r="E22" s="15" t="str">
        <f>IFERROR(VLOOKUP($A22,'Dados Tabela Din'!$A$3:$K$20,9,FALSE),"")</f>
        <v/>
      </c>
      <c r="F22" s="16" t="str">
        <f>IFERROR(VLOOKUP($A22,'Dados Tabela Din'!$A$3:$K$20,6,FALSE),"")</f>
        <v/>
      </c>
      <c r="G22" s="16" t="str">
        <f>IFERROR(VLOOKUP($A22,'Dados Tabela Din'!$A$3:$K$20,7,FALSE),"")</f>
        <v/>
      </c>
      <c r="H22" s="16" t="str">
        <f>IFERROR(VLOOKUP($A22,'Dados Tabela Din'!$A$3:$K$20,8,FALSE),"")</f>
        <v/>
      </c>
      <c r="I22" s="15" t="str">
        <f>IFERROR(VLOOKUP($A22,'Dados Tabela Din'!$A$3:$K$20,4,FALSE),"")</f>
        <v/>
      </c>
      <c r="J22" s="14"/>
      <c r="K22" s="58" t="str">
        <f t="shared" si="0"/>
        <v/>
      </c>
      <c r="M22" s="14" t="str">
        <f>IFERROR(VLOOKUP(A22,'Dados Tabela Din'!$A$4:$K$20,3,FALSE),"")</f>
        <v/>
      </c>
    </row>
    <row r="23" spans="1:13">
      <c r="A23" s="14"/>
      <c r="B23" s="14" t="str">
        <f>IFERROR(VLOOKUP(A23,'Dados Tabela Din'!$A$4:$K$20,2,FALSE),"")</f>
        <v/>
      </c>
      <c r="C23" s="14"/>
      <c r="D23" s="14" t="str">
        <f>IFERROR(VLOOKUP(A23,'Dados Tabela Din'!$A$4:$K$20,5,FALSE),"")</f>
        <v/>
      </c>
      <c r="E23" s="15" t="str">
        <f>IFERROR(VLOOKUP($A23,'Dados Tabela Din'!$A$3:$K$20,9,FALSE),"")</f>
        <v/>
      </c>
      <c r="F23" s="16" t="str">
        <f>IFERROR(VLOOKUP($A23,'Dados Tabela Din'!$A$3:$K$20,6,FALSE),"")</f>
        <v/>
      </c>
      <c r="G23" s="16" t="str">
        <f>IFERROR(VLOOKUP($A23,'Dados Tabela Din'!$A$3:$K$20,7,FALSE),"")</f>
        <v/>
      </c>
      <c r="H23" s="16" t="str">
        <f>IFERROR(VLOOKUP($A23,'Dados Tabela Din'!$A$3:$K$20,8,FALSE),"")</f>
        <v/>
      </c>
      <c r="I23" s="15" t="str">
        <f>IFERROR(VLOOKUP($A23,'Dados Tabela Din'!$A$3:$K$20,4,FALSE),"")</f>
        <v/>
      </c>
      <c r="J23" s="14"/>
      <c r="K23" s="58" t="str">
        <f t="shared" si="0"/>
        <v/>
      </c>
      <c r="M23" s="14" t="str">
        <f>IFERROR(VLOOKUP(A23,'Dados Tabela Din'!$A$4:$K$20,3,FALSE),"")</f>
        <v/>
      </c>
    </row>
    <row r="24" spans="1:13">
      <c r="A24" s="14"/>
      <c r="B24" s="14" t="str">
        <f>IFERROR(VLOOKUP(A24,'Dados Tabela Din'!$A$4:$K$20,2,FALSE),"")</f>
        <v/>
      </c>
      <c r="C24" s="14"/>
      <c r="D24" s="14" t="str">
        <f>IFERROR(VLOOKUP(A24,'Dados Tabela Din'!$A$4:$K$20,5,FALSE),"")</f>
        <v/>
      </c>
      <c r="E24" s="15" t="str">
        <f>IFERROR(VLOOKUP($A24,'Dados Tabela Din'!$A$3:$K$20,9,FALSE),"")</f>
        <v/>
      </c>
      <c r="F24" s="16" t="str">
        <f>IFERROR(VLOOKUP($A24,'Dados Tabela Din'!$A$3:$K$20,6,FALSE),"")</f>
        <v/>
      </c>
      <c r="G24" s="16" t="str">
        <f>IFERROR(VLOOKUP($A24,'Dados Tabela Din'!$A$3:$K$20,7,FALSE),"")</f>
        <v/>
      </c>
      <c r="H24" s="16" t="str">
        <f>IFERROR(VLOOKUP($A24,'Dados Tabela Din'!$A$3:$K$20,8,FALSE),"")</f>
        <v/>
      </c>
      <c r="I24" s="15" t="str">
        <f>IFERROR(VLOOKUP($A24,'Dados Tabela Din'!$A$3:$K$20,4,FALSE),"")</f>
        <v/>
      </c>
      <c r="J24" s="14"/>
      <c r="K24" s="58" t="str">
        <f t="shared" si="0"/>
        <v/>
      </c>
      <c r="M24" s="14" t="str">
        <f>IFERROR(VLOOKUP(A24,'Dados Tabela Din'!$A$4:$K$20,3,FALSE),"")</f>
        <v/>
      </c>
    </row>
    <row r="25" spans="1:13">
      <c r="A25" s="14"/>
      <c r="B25" s="14" t="str">
        <f>IFERROR(VLOOKUP(A25,'Dados Tabela Din'!$A$4:$K$20,2,FALSE),"")</f>
        <v/>
      </c>
      <c r="C25" s="14"/>
      <c r="D25" s="14" t="str">
        <f>IFERROR(VLOOKUP(A25,'Dados Tabela Din'!$A$4:$K$20,5,FALSE),"")</f>
        <v/>
      </c>
      <c r="E25" s="15" t="str">
        <f>IFERROR(VLOOKUP($A25,'Dados Tabela Din'!$A$3:$K$20,9,FALSE),"")</f>
        <v/>
      </c>
      <c r="F25" s="16" t="str">
        <f>IFERROR(VLOOKUP($A25,'Dados Tabela Din'!$A$3:$K$20,6,FALSE),"")</f>
        <v/>
      </c>
      <c r="G25" s="16" t="str">
        <f>IFERROR(VLOOKUP($A25,'Dados Tabela Din'!$A$3:$K$20,7,FALSE),"")</f>
        <v/>
      </c>
      <c r="H25" s="16" t="str">
        <f>IFERROR(VLOOKUP($A25,'Dados Tabela Din'!$A$3:$K$20,8,FALSE),"")</f>
        <v/>
      </c>
      <c r="I25" s="15" t="str">
        <f>IFERROR(VLOOKUP($A25,'Dados Tabela Din'!$A$3:$K$20,4,FALSE),"")</f>
        <v/>
      </c>
      <c r="J25" s="14"/>
      <c r="K25" s="58" t="str">
        <f t="shared" si="0"/>
        <v/>
      </c>
      <c r="M25" s="14" t="str">
        <f>IFERROR(VLOOKUP(A25,'Dados Tabela Din'!$A$4:$K$20,3,FALSE),"")</f>
        <v/>
      </c>
    </row>
    <row r="26" spans="1:13">
      <c r="A26" s="14"/>
      <c r="B26" s="14" t="str">
        <f>IFERROR(VLOOKUP(A26,'Dados Tabela Din'!$A$4:$K$20,2,FALSE),"")</f>
        <v/>
      </c>
      <c r="C26" s="14"/>
      <c r="D26" s="14" t="str">
        <f>IFERROR(VLOOKUP(A26,'Dados Tabela Din'!$A$4:$K$20,5,FALSE),"")</f>
        <v/>
      </c>
      <c r="E26" s="15" t="str">
        <f>IFERROR(VLOOKUP($A26,'Dados Tabela Din'!$A$3:$K$20,9,FALSE),"")</f>
        <v/>
      </c>
      <c r="F26" s="16" t="str">
        <f>IFERROR(VLOOKUP($A26,'Dados Tabela Din'!$A$3:$K$20,6,FALSE),"")</f>
        <v/>
      </c>
      <c r="G26" s="16" t="str">
        <f>IFERROR(VLOOKUP($A26,'Dados Tabela Din'!$A$3:$K$20,7,FALSE),"")</f>
        <v/>
      </c>
      <c r="H26" s="16" t="str">
        <f>IFERROR(VLOOKUP($A26,'Dados Tabela Din'!$A$3:$K$20,8,FALSE),"")</f>
        <v/>
      </c>
      <c r="I26" s="15" t="str">
        <f>IFERROR(VLOOKUP($A26,'Dados Tabela Din'!$A$3:$K$20,4,FALSE),"")</f>
        <v/>
      </c>
      <c r="J26" s="14"/>
      <c r="K26" s="58" t="str">
        <f t="shared" si="0"/>
        <v/>
      </c>
      <c r="M26" s="14" t="str">
        <f>IFERROR(VLOOKUP(A26,'Dados Tabela Din'!$A$4:$K$20,3,FALSE),"")</f>
        <v/>
      </c>
    </row>
    <row r="27" spans="1:13">
      <c r="A27" s="14"/>
      <c r="B27" s="14" t="str">
        <f>IFERROR(VLOOKUP(A27,'Dados Tabela Din'!$A$4:$K$20,2,FALSE),"")</f>
        <v/>
      </c>
      <c r="C27" s="14"/>
      <c r="D27" s="14" t="str">
        <f>IFERROR(VLOOKUP(A27,'Dados Tabela Din'!$A$4:$K$20,5,FALSE),"")</f>
        <v/>
      </c>
      <c r="E27" s="15" t="str">
        <f>IFERROR(VLOOKUP($A27,'Dados Tabela Din'!$A$3:$K$20,9,FALSE),"")</f>
        <v/>
      </c>
      <c r="F27" s="16" t="str">
        <f>IFERROR(VLOOKUP($A27,'Dados Tabela Din'!$A$3:$K$20,6,FALSE),"")</f>
        <v/>
      </c>
      <c r="G27" s="16" t="str">
        <f>IFERROR(VLOOKUP($A27,'Dados Tabela Din'!$A$3:$K$20,7,FALSE),"")</f>
        <v/>
      </c>
      <c r="H27" s="16" t="str">
        <f>IFERROR(VLOOKUP($A27,'Dados Tabela Din'!$A$3:$K$20,8,FALSE),"")</f>
        <v/>
      </c>
      <c r="I27" s="15" t="str">
        <f>IFERROR(VLOOKUP($A27,'Dados Tabela Din'!$A$3:$K$20,4,FALSE),"")</f>
        <v/>
      </c>
      <c r="J27" s="14"/>
      <c r="K27" s="58" t="str">
        <f t="shared" si="0"/>
        <v/>
      </c>
      <c r="M27" s="14" t="str">
        <f>IFERROR(VLOOKUP(A27,'Dados Tabela Din'!$A$4:$K$20,3,FALSE),"")</f>
        <v/>
      </c>
    </row>
    <row r="28" spans="1:13">
      <c r="A28" s="14"/>
      <c r="B28" s="14" t="str">
        <f>IFERROR(VLOOKUP(A28,'Dados Tabela Din'!$A$4:$K$20,2,FALSE),"")</f>
        <v/>
      </c>
      <c r="C28" s="14"/>
      <c r="D28" s="14" t="str">
        <f>IFERROR(VLOOKUP(A28,'Dados Tabela Din'!$A$4:$K$20,5,FALSE),"")</f>
        <v/>
      </c>
      <c r="E28" s="15" t="str">
        <f>IFERROR(VLOOKUP($A28,'Dados Tabela Din'!$A$3:$K$20,9,FALSE),"")</f>
        <v/>
      </c>
      <c r="F28" s="16" t="str">
        <f>IFERROR(VLOOKUP($A28,'Dados Tabela Din'!$A$3:$K$20,6,FALSE),"")</f>
        <v/>
      </c>
      <c r="G28" s="16" t="str">
        <f>IFERROR(VLOOKUP($A28,'Dados Tabela Din'!$A$3:$K$20,7,FALSE),"")</f>
        <v/>
      </c>
      <c r="H28" s="16" t="str">
        <f>IFERROR(VLOOKUP($A28,'Dados Tabela Din'!$A$3:$K$20,8,FALSE),"")</f>
        <v/>
      </c>
      <c r="I28" s="15" t="str">
        <f>IFERROR(VLOOKUP($A28,'Dados Tabela Din'!$A$3:$K$20,4,FALSE),"")</f>
        <v/>
      </c>
      <c r="J28" s="14"/>
      <c r="K28" s="58" t="str">
        <f t="shared" si="0"/>
        <v/>
      </c>
      <c r="M28" s="14" t="str">
        <f>IFERROR(VLOOKUP(A28,'Dados Tabela Din'!$A$4:$K$20,3,FALSE),"")</f>
        <v/>
      </c>
    </row>
    <row r="29" spans="1:13">
      <c r="A29" s="14"/>
      <c r="B29" s="14" t="str">
        <f>IFERROR(VLOOKUP(A29,'Dados Tabela Din'!$A$4:$K$20,2,FALSE),"")</f>
        <v/>
      </c>
      <c r="C29" s="14"/>
      <c r="D29" s="14" t="str">
        <f>IFERROR(VLOOKUP(A29,'Dados Tabela Din'!$A$4:$K$20,5,FALSE),"")</f>
        <v/>
      </c>
      <c r="E29" s="15" t="str">
        <f>IFERROR(VLOOKUP($A29,'Dados Tabela Din'!$A$3:$K$20,9,FALSE),"")</f>
        <v/>
      </c>
      <c r="F29" s="16" t="str">
        <f>IFERROR(VLOOKUP($A29,'Dados Tabela Din'!$A$3:$K$20,6,FALSE),"")</f>
        <v/>
      </c>
      <c r="G29" s="16" t="str">
        <f>IFERROR(VLOOKUP($A29,'Dados Tabela Din'!$A$3:$K$20,7,FALSE),"")</f>
        <v/>
      </c>
      <c r="H29" s="16" t="str">
        <f>IFERROR(VLOOKUP($A29,'Dados Tabela Din'!$A$3:$K$20,8,FALSE),"")</f>
        <v/>
      </c>
      <c r="I29" s="15" t="str">
        <f>IFERROR(VLOOKUP($A29,'Dados Tabela Din'!$A$3:$K$20,4,FALSE),"")</f>
        <v/>
      </c>
      <c r="J29" s="14"/>
      <c r="K29" s="58" t="str">
        <f t="shared" si="0"/>
        <v/>
      </c>
      <c r="M29" s="14" t="str">
        <f>IFERROR(VLOOKUP(A29,'Dados Tabela Din'!$A$4:$K$20,3,FALSE),"")</f>
        <v/>
      </c>
    </row>
    <row r="30" spans="1:13">
      <c r="A30" s="14"/>
      <c r="B30" s="14" t="str">
        <f>IFERROR(VLOOKUP(A30,'Dados Tabela Din'!$A$4:$K$20,2,FALSE),"")</f>
        <v/>
      </c>
      <c r="C30" s="14"/>
      <c r="D30" s="14" t="str">
        <f>IFERROR(VLOOKUP(A30,'Dados Tabela Din'!$A$4:$K$20,5,FALSE),"")</f>
        <v/>
      </c>
      <c r="E30" s="15" t="str">
        <f>IFERROR(VLOOKUP($A30,'Dados Tabela Din'!$A$3:$K$20,9,FALSE),"")</f>
        <v/>
      </c>
      <c r="F30" s="16" t="str">
        <f>IFERROR(VLOOKUP($A30,'Dados Tabela Din'!$A$3:$K$20,6,FALSE),"")</f>
        <v/>
      </c>
      <c r="G30" s="16" t="str">
        <f>IFERROR(VLOOKUP($A30,'Dados Tabela Din'!$A$3:$K$20,7,FALSE),"")</f>
        <v/>
      </c>
      <c r="H30" s="16" t="str">
        <f>IFERROR(VLOOKUP($A30,'Dados Tabela Din'!$A$3:$K$20,8,FALSE),"")</f>
        <v/>
      </c>
      <c r="I30" s="15" t="str">
        <f>IFERROR(VLOOKUP($A30,'Dados Tabela Din'!$A$3:$K$20,4,FALSE),"")</f>
        <v/>
      </c>
      <c r="J30" s="14"/>
      <c r="K30" s="58" t="str">
        <f t="shared" si="0"/>
        <v/>
      </c>
      <c r="M30" s="14" t="str">
        <f>IFERROR(VLOOKUP(A30,'Dados Tabela Din'!$A$4:$K$20,3,FALSE),"")</f>
        <v/>
      </c>
    </row>
    <row r="31" spans="1:13">
      <c r="A31" s="14"/>
      <c r="B31" s="14" t="str">
        <f>IFERROR(VLOOKUP(A31,'Dados Tabela Din'!$A$4:$K$20,2,FALSE),"")</f>
        <v/>
      </c>
      <c r="C31" s="14"/>
      <c r="D31" s="14" t="str">
        <f>IFERROR(VLOOKUP(A31,'Dados Tabela Din'!$A$4:$K$20,5,FALSE),"")</f>
        <v/>
      </c>
      <c r="E31" s="15" t="str">
        <f>IFERROR(VLOOKUP($A31,'Dados Tabela Din'!$A$3:$K$20,9,FALSE),"")</f>
        <v/>
      </c>
      <c r="F31" s="16" t="str">
        <f>IFERROR(VLOOKUP($A31,'Dados Tabela Din'!$A$3:$K$20,6,FALSE),"")</f>
        <v/>
      </c>
      <c r="G31" s="16" t="str">
        <f>IFERROR(VLOOKUP($A31,'Dados Tabela Din'!$A$3:$K$20,7,FALSE),"")</f>
        <v/>
      </c>
      <c r="H31" s="16" t="str">
        <f>IFERROR(VLOOKUP($A31,'Dados Tabela Din'!$A$3:$K$20,8,FALSE),"")</f>
        <v/>
      </c>
      <c r="I31" s="15" t="str">
        <f>IFERROR(VLOOKUP($A31,'Dados Tabela Din'!$A$3:$K$20,4,FALSE),"")</f>
        <v/>
      </c>
      <c r="J31" s="14"/>
      <c r="K31" s="58" t="str">
        <f t="shared" si="0"/>
        <v/>
      </c>
      <c r="M31" s="14" t="str">
        <f>IFERROR(VLOOKUP(A31,'Dados Tabela Din'!$A$4:$K$20,3,FALSE),"")</f>
        <v/>
      </c>
    </row>
    <row r="32" spans="1:13">
      <c r="A32" s="14"/>
      <c r="B32" s="14" t="str">
        <f>IFERROR(VLOOKUP(A32,'Dados Tabela Din'!$A$4:$K$20,2,FALSE),"")</f>
        <v/>
      </c>
      <c r="C32" s="14"/>
      <c r="D32" s="14" t="str">
        <f>IFERROR(VLOOKUP(A32,'Dados Tabela Din'!$A$4:$K$20,5,FALSE),"")</f>
        <v/>
      </c>
      <c r="E32" s="15" t="str">
        <f>IFERROR(VLOOKUP($A32,'Dados Tabela Din'!$A$3:$K$20,9,FALSE),"")</f>
        <v/>
      </c>
      <c r="F32" s="16" t="str">
        <f>IFERROR(VLOOKUP($A32,'Dados Tabela Din'!$A$3:$K$20,6,FALSE),"")</f>
        <v/>
      </c>
      <c r="G32" s="16" t="str">
        <f>IFERROR(VLOOKUP($A32,'Dados Tabela Din'!$A$3:$K$20,7,FALSE),"")</f>
        <v/>
      </c>
      <c r="H32" s="16" t="str">
        <f>IFERROR(VLOOKUP($A32,'Dados Tabela Din'!$A$3:$K$20,8,FALSE),"")</f>
        <v/>
      </c>
      <c r="I32" s="15" t="str">
        <f>IFERROR(VLOOKUP($A32,'Dados Tabela Din'!$A$3:$K$20,4,FALSE),"")</f>
        <v/>
      </c>
      <c r="J32" s="14"/>
      <c r="K32" s="58" t="str">
        <f t="shared" si="0"/>
        <v/>
      </c>
      <c r="M32" s="14" t="str">
        <f>IFERROR(VLOOKUP(A32,'Dados Tabela Din'!$A$4:$K$20,3,FALSE),"")</f>
        <v/>
      </c>
    </row>
    <row r="33" spans="1:13">
      <c r="A33" s="14"/>
      <c r="B33" s="14" t="str">
        <f>IFERROR(VLOOKUP(A33,'Dados Tabela Din'!$A$4:$K$20,2,FALSE),"")</f>
        <v/>
      </c>
      <c r="C33" s="14"/>
      <c r="D33" s="14" t="str">
        <f>IFERROR(VLOOKUP(A33,'Dados Tabela Din'!$A$4:$K$20,5,FALSE),"")</f>
        <v/>
      </c>
      <c r="E33" s="15" t="str">
        <f>IFERROR(VLOOKUP($A33,'Dados Tabela Din'!$A$3:$K$20,9,FALSE),"")</f>
        <v/>
      </c>
      <c r="F33" s="16" t="str">
        <f>IFERROR(VLOOKUP($A33,'Dados Tabela Din'!$A$3:$K$20,6,FALSE),"")</f>
        <v/>
      </c>
      <c r="G33" s="16" t="str">
        <f>IFERROR(VLOOKUP($A33,'Dados Tabela Din'!$A$3:$K$20,7,FALSE),"")</f>
        <v/>
      </c>
      <c r="H33" s="16" t="str">
        <f>IFERROR(VLOOKUP($A33,'Dados Tabela Din'!$A$3:$K$20,8,FALSE),"")</f>
        <v/>
      </c>
      <c r="I33" s="15" t="str">
        <f>IFERROR(VLOOKUP($A33,'Dados Tabela Din'!$A$3:$K$20,4,FALSE),"")</f>
        <v/>
      </c>
      <c r="J33" s="14"/>
      <c r="K33" s="58" t="str">
        <f t="shared" si="0"/>
        <v/>
      </c>
      <c r="M33" s="14" t="str">
        <f>IFERROR(VLOOKUP(A33,'Dados Tabela Din'!$A$4:$K$20,3,FALSE),"")</f>
        <v/>
      </c>
    </row>
    <row r="34" spans="1:13">
      <c r="A34" s="14"/>
      <c r="B34" s="14" t="str">
        <f>IFERROR(VLOOKUP(A34,'Dados Tabela Din'!$A$4:$K$20,2,FALSE),"")</f>
        <v/>
      </c>
      <c r="C34" s="14"/>
      <c r="D34" s="14" t="str">
        <f>IFERROR(VLOOKUP(A34,'Dados Tabela Din'!$A$4:$K$20,5,FALSE),"")</f>
        <v/>
      </c>
      <c r="E34" s="15" t="str">
        <f>IFERROR(VLOOKUP($A34,'Dados Tabela Din'!$A$3:$K$20,9,FALSE),"")</f>
        <v/>
      </c>
      <c r="F34" s="16" t="str">
        <f>IFERROR(VLOOKUP($A34,'Dados Tabela Din'!$A$3:$K$20,6,FALSE),"")</f>
        <v/>
      </c>
      <c r="G34" s="16" t="str">
        <f>IFERROR(VLOOKUP($A34,'Dados Tabela Din'!$A$3:$K$20,7,FALSE),"")</f>
        <v/>
      </c>
      <c r="H34" s="16" t="str">
        <f>IFERROR(VLOOKUP($A34,'Dados Tabela Din'!$A$3:$K$20,8,FALSE),"")</f>
        <v/>
      </c>
      <c r="I34" s="15" t="str">
        <f>IFERROR(VLOOKUP($A34,'Dados Tabela Din'!$A$3:$K$20,4,FALSE),"")</f>
        <v/>
      </c>
      <c r="J34" s="14"/>
      <c r="K34" s="58" t="str">
        <f t="shared" si="0"/>
        <v/>
      </c>
      <c r="M34" s="14" t="str">
        <f>IFERROR(VLOOKUP(A34,'Dados Tabela Din'!$A$4:$K$20,3,FALSE),"")</f>
        <v/>
      </c>
    </row>
    <row r="35" spans="1:13">
      <c r="A35" s="14"/>
      <c r="B35" s="14" t="str">
        <f>IFERROR(VLOOKUP(A35,'Dados Tabela Din'!$A$4:$K$20,2,FALSE),"")</f>
        <v/>
      </c>
      <c r="C35" s="14"/>
      <c r="D35" s="14" t="str">
        <f>IFERROR(VLOOKUP(A35,'Dados Tabela Din'!$A$4:$K$20,5,FALSE),"")</f>
        <v/>
      </c>
      <c r="E35" s="15" t="str">
        <f>IFERROR(VLOOKUP($A35,'Dados Tabela Din'!$A$3:$K$20,9,FALSE),"")</f>
        <v/>
      </c>
      <c r="F35" s="16" t="str">
        <f>IFERROR(VLOOKUP($A35,'Dados Tabela Din'!$A$3:$K$20,6,FALSE),"")</f>
        <v/>
      </c>
      <c r="G35" s="16" t="str">
        <f>IFERROR(VLOOKUP($A35,'Dados Tabela Din'!$A$3:$K$20,7,FALSE),"")</f>
        <v/>
      </c>
      <c r="H35" s="16" t="str">
        <f>IFERROR(VLOOKUP($A35,'Dados Tabela Din'!$A$3:$K$20,8,FALSE),"")</f>
        <v/>
      </c>
      <c r="I35" s="15" t="str">
        <f>IFERROR(VLOOKUP($A35,'Dados Tabela Din'!$A$3:$K$20,4,FALSE),"")</f>
        <v/>
      </c>
      <c r="J35" s="14"/>
      <c r="K35" s="58" t="str">
        <f t="shared" si="0"/>
        <v/>
      </c>
      <c r="M35" s="14" t="str">
        <f>IFERROR(VLOOKUP(A35,'Dados Tabela Din'!$A$4:$K$20,3,FALSE),"")</f>
        <v/>
      </c>
    </row>
    <row r="36" spans="1:13">
      <c r="A36" s="14"/>
      <c r="B36" s="14" t="str">
        <f>IFERROR(VLOOKUP(A36,'Dados Tabela Din'!$A$4:$K$20,2,FALSE),"")</f>
        <v/>
      </c>
      <c r="C36" s="14"/>
      <c r="D36" s="14" t="str">
        <f>IFERROR(VLOOKUP(A36,'Dados Tabela Din'!$A$4:$K$20,5,FALSE),"")</f>
        <v/>
      </c>
      <c r="E36" s="15" t="str">
        <f>IFERROR(VLOOKUP($A36,'Dados Tabela Din'!$A$3:$K$20,9,FALSE),"")</f>
        <v/>
      </c>
      <c r="F36" s="16" t="str">
        <f>IFERROR(VLOOKUP($A36,'Dados Tabela Din'!$A$3:$K$20,6,FALSE),"")</f>
        <v/>
      </c>
      <c r="G36" s="16" t="str">
        <f>IFERROR(VLOOKUP($A36,'Dados Tabela Din'!$A$3:$K$20,7,FALSE),"")</f>
        <v/>
      </c>
      <c r="H36" s="16" t="str">
        <f>IFERROR(VLOOKUP($A36,'Dados Tabela Din'!$A$3:$K$20,8,FALSE),"")</f>
        <v/>
      </c>
      <c r="I36" s="15" t="str">
        <f>IFERROR(VLOOKUP($A36,'Dados Tabela Din'!$A$3:$K$20,4,FALSE),"")</f>
        <v/>
      </c>
      <c r="J36" s="14"/>
      <c r="K36" s="58" t="str">
        <f t="shared" si="0"/>
        <v/>
      </c>
      <c r="M36" s="14" t="str">
        <f>IFERROR(VLOOKUP(A36,'Dados Tabela Din'!$A$4:$K$20,3,FALSE),"")</f>
        <v/>
      </c>
    </row>
    <row r="37" spans="1:13">
      <c r="A37" s="14"/>
      <c r="B37" s="14" t="str">
        <f>IFERROR(VLOOKUP(A37,'Dados Tabela Din'!$A$4:$K$20,2,FALSE),"")</f>
        <v/>
      </c>
      <c r="C37" s="14"/>
      <c r="D37" s="14" t="str">
        <f>IFERROR(VLOOKUP(A37,'Dados Tabela Din'!$A$4:$K$20,5,FALSE),"")</f>
        <v/>
      </c>
      <c r="E37" s="15" t="str">
        <f>IFERROR(VLOOKUP($A37,'Dados Tabela Din'!$A$3:$K$20,9,FALSE),"")</f>
        <v/>
      </c>
      <c r="F37" s="16" t="str">
        <f>IFERROR(VLOOKUP($A37,'Dados Tabela Din'!$A$3:$K$20,6,FALSE),"")</f>
        <v/>
      </c>
      <c r="G37" s="16" t="str">
        <f>IFERROR(VLOOKUP($A37,'Dados Tabela Din'!$A$3:$K$20,7,FALSE),"")</f>
        <v/>
      </c>
      <c r="H37" s="16" t="str">
        <f>IFERROR(VLOOKUP($A37,'Dados Tabela Din'!$A$3:$K$20,8,FALSE),"")</f>
        <v/>
      </c>
      <c r="I37" s="15" t="str">
        <f>IFERROR(VLOOKUP($A37,'Dados Tabela Din'!$A$3:$K$20,4,FALSE),"")</f>
        <v/>
      </c>
      <c r="J37" s="14"/>
      <c r="K37" s="58" t="str">
        <f t="shared" si="0"/>
        <v/>
      </c>
      <c r="M37" s="14" t="str">
        <f>IFERROR(VLOOKUP(A37,'Dados Tabela Din'!$A$4:$K$20,3,FALSE),"")</f>
        <v/>
      </c>
    </row>
    <row r="38" spans="1:13">
      <c r="A38" s="14"/>
      <c r="B38" s="14" t="str">
        <f>IFERROR(VLOOKUP(A38,'Dados Tabela Din'!$A$4:$K$20,2,FALSE),"")</f>
        <v/>
      </c>
      <c r="C38" s="14"/>
      <c r="D38" s="14" t="str">
        <f>IFERROR(VLOOKUP(A38,'Dados Tabela Din'!$A$4:$K$20,5,FALSE),"")</f>
        <v/>
      </c>
      <c r="E38" s="15" t="str">
        <f>IFERROR(VLOOKUP($A38,'Dados Tabela Din'!$A$3:$K$20,9,FALSE),"")</f>
        <v/>
      </c>
      <c r="F38" s="16" t="str">
        <f>IFERROR(VLOOKUP($A38,'Dados Tabela Din'!$A$3:$K$20,6,FALSE),"")</f>
        <v/>
      </c>
      <c r="G38" s="16" t="str">
        <f>IFERROR(VLOOKUP($A38,'Dados Tabela Din'!$A$3:$K$20,7,FALSE),"")</f>
        <v/>
      </c>
      <c r="H38" s="16" t="str">
        <f>IFERROR(VLOOKUP($A38,'Dados Tabela Din'!$A$3:$K$20,8,FALSE),"")</f>
        <v/>
      </c>
      <c r="I38" s="15" t="str">
        <f>IFERROR(VLOOKUP($A38,'Dados Tabela Din'!$A$3:$K$20,4,FALSE),"")</f>
        <v/>
      </c>
      <c r="J38" s="14"/>
      <c r="K38" s="58" t="str">
        <f t="shared" si="0"/>
        <v/>
      </c>
      <c r="M38" s="14" t="str">
        <f>IFERROR(VLOOKUP(A38,'Dados Tabela Din'!$A$4:$K$20,3,FALSE),"")</f>
        <v/>
      </c>
    </row>
    <row r="39" spans="1:13">
      <c r="A39" s="14"/>
      <c r="B39" s="14" t="str">
        <f>IFERROR(VLOOKUP(A39,'Dados Tabela Din'!$A$4:$K$20,2,FALSE),"")</f>
        <v/>
      </c>
      <c r="C39" s="14"/>
      <c r="D39" s="14" t="str">
        <f>IFERROR(VLOOKUP(A39,'Dados Tabela Din'!$A$4:$K$20,5,FALSE),"")</f>
        <v/>
      </c>
      <c r="E39" s="15" t="str">
        <f>IFERROR(VLOOKUP($A39,'Dados Tabela Din'!$A$3:$K$20,9,FALSE),"")</f>
        <v/>
      </c>
      <c r="F39" s="16" t="str">
        <f>IFERROR(VLOOKUP($A39,'Dados Tabela Din'!$A$3:$K$20,6,FALSE),"")</f>
        <v/>
      </c>
      <c r="G39" s="16" t="str">
        <f>IFERROR(VLOOKUP($A39,'Dados Tabela Din'!$A$3:$K$20,7,FALSE),"")</f>
        <v/>
      </c>
      <c r="H39" s="16" t="str">
        <f>IFERROR(VLOOKUP($A39,'Dados Tabela Din'!$A$3:$K$20,8,FALSE),"")</f>
        <v/>
      </c>
      <c r="I39" s="15" t="str">
        <f>IFERROR(VLOOKUP($A39,'Dados Tabela Din'!$A$3:$K$20,4,FALSE),"")</f>
        <v/>
      </c>
      <c r="J39" s="14"/>
      <c r="K39" s="58" t="str">
        <f t="shared" si="0"/>
        <v/>
      </c>
      <c r="M39" s="14" t="str">
        <f>IFERROR(VLOOKUP(A39,'Dados Tabela Din'!$A$4:$K$20,3,FALSE),"")</f>
        <v/>
      </c>
    </row>
    <row r="40" spans="1:13">
      <c r="A40" s="14"/>
      <c r="B40" s="14" t="str">
        <f>IFERROR(VLOOKUP(A40,'Dados Tabela Din'!$A$4:$K$20,2,FALSE),"")</f>
        <v/>
      </c>
      <c r="C40" s="14"/>
      <c r="D40" s="14" t="str">
        <f>IFERROR(VLOOKUP(A40,'Dados Tabela Din'!$A$4:$K$20,5,FALSE),"")</f>
        <v/>
      </c>
      <c r="E40" s="15" t="str">
        <f>IFERROR(VLOOKUP($A40,'Dados Tabela Din'!$A$3:$K$20,9,FALSE),"")</f>
        <v/>
      </c>
      <c r="F40" s="16" t="str">
        <f>IFERROR(VLOOKUP($A40,'Dados Tabela Din'!$A$3:$K$20,6,FALSE),"")</f>
        <v/>
      </c>
      <c r="G40" s="16" t="str">
        <f>IFERROR(VLOOKUP($A40,'Dados Tabela Din'!$A$3:$K$20,7,FALSE),"")</f>
        <v/>
      </c>
      <c r="H40" s="16" t="str">
        <f>IFERROR(VLOOKUP($A40,'Dados Tabela Din'!$A$3:$K$20,8,FALSE),"")</f>
        <v/>
      </c>
      <c r="I40" s="15" t="str">
        <f>IFERROR(VLOOKUP($A40,'Dados Tabela Din'!$A$3:$K$20,4,FALSE),"")</f>
        <v/>
      </c>
      <c r="J40" s="14"/>
      <c r="K40" s="58" t="str">
        <f t="shared" si="0"/>
        <v/>
      </c>
      <c r="M40" s="14" t="str">
        <f>IFERROR(VLOOKUP(A40,'Dados Tabela Din'!$A$4:$K$20,3,FALSE),"")</f>
        <v/>
      </c>
    </row>
    <row r="41" spans="1:13">
      <c r="A41" s="14"/>
      <c r="B41" s="14" t="str">
        <f>IFERROR(VLOOKUP(A41,'Dados Tabela Din'!$A$4:$K$20,2,FALSE),"")</f>
        <v/>
      </c>
      <c r="C41" s="14"/>
      <c r="D41" s="14" t="str">
        <f>IFERROR(VLOOKUP(A41,'Dados Tabela Din'!$A$4:$K$20,5,FALSE),"")</f>
        <v/>
      </c>
      <c r="E41" s="15" t="str">
        <f>IFERROR(VLOOKUP($A41,'Dados Tabela Din'!$A$3:$K$20,9,FALSE),"")</f>
        <v/>
      </c>
      <c r="F41" s="16" t="str">
        <f>IFERROR(VLOOKUP($A41,'Dados Tabela Din'!$A$3:$K$20,6,FALSE),"")</f>
        <v/>
      </c>
      <c r="G41" s="16" t="str">
        <f>IFERROR(VLOOKUP($A41,'Dados Tabela Din'!$A$3:$K$20,7,FALSE),"")</f>
        <v/>
      </c>
      <c r="H41" s="16" t="str">
        <f>IFERROR(VLOOKUP($A41,'Dados Tabela Din'!$A$3:$K$20,8,FALSE),"")</f>
        <v/>
      </c>
      <c r="I41" s="15" t="str">
        <f>IFERROR(VLOOKUP($A41,'Dados Tabela Din'!$A$3:$K$20,4,FALSE),"")</f>
        <v/>
      </c>
      <c r="J41" s="14"/>
      <c r="K41" s="58" t="str">
        <f t="shared" si="0"/>
        <v/>
      </c>
      <c r="M41" s="14" t="str">
        <f>IFERROR(VLOOKUP(A41,'Dados Tabela Din'!$A$4:$K$20,3,FALSE),"")</f>
        <v/>
      </c>
    </row>
    <row r="42" spans="1:13">
      <c r="A42" s="14"/>
      <c r="B42" s="14" t="str">
        <f>IFERROR(VLOOKUP(A42,'Dados Tabela Din'!$A$4:$K$20,2,FALSE),"")</f>
        <v/>
      </c>
      <c r="C42" s="14"/>
      <c r="D42" s="14" t="str">
        <f>IFERROR(VLOOKUP(A42,'Dados Tabela Din'!$A$4:$K$20,5,FALSE),"")</f>
        <v/>
      </c>
      <c r="E42" s="15" t="str">
        <f>IFERROR(VLOOKUP($A42,'Dados Tabela Din'!$A$3:$K$20,9,FALSE),"")</f>
        <v/>
      </c>
      <c r="F42" s="16" t="str">
        <f>IFERROR(VLOOKUP($A42,'Dados Tabela Din'!$A$3:$K$20,6,FALSE),"")</f>
        <v/>
      </c>
      <c r="G42" s="16" t="str">
        <f>IFERROR(VLOOKUP($A42,'Dados Tabela Din'!$A$3:$K$20,7,FALSE),"")</f>
        <v/>
      </c>
      <c r="H42" s="16" t="str">
        <f>IFERROR(VLOOKUP($A42,'Dados Tabela Din'!$A$3:$K$20,8,FALSE),"")</f>
        <v/>
      </c>
      <c r="I42" s="15" t="str">
        <f>IFERROR(VLOOKUP($A42,'Dados Tabela Din'!$A$3:$K$20,4,FALSE),"")</f>
        <v/>
      </c>
      <c r="J42" s="14"/>
      <c r="K42" s="58" t="str">
        <f t="shared" si="0"/>
        <v/>
      </c>
      <c r="M42" s="14" t="str">
        <f>IFERROR(VLOOKUP(A42,'Dados Tabela Din'!$A$4:$K$20,3,FALSE),"")</f>
        <v/>
      </c>
    </row>
    <row r="43" spans="1:13">
      <c r="A43" s="14"/>
      <c r="B43" s="14" t="str">
        <f>IFERROR(VLOOKUP(A43,'Dados Tabela Din'!$A$4:$K$20,2,FALSE),"")</f>
        <v/>
      </c>
      <c r="C43" s="14"/>
      <c r="D43" s="14" t="str">
        <f>IFERROR(VLOOKUP(A43,'Dados Tabela Din'!$A$4:$K$20,5,FALSE),"")</f>
        <v/>
      </c>
      <c r="E43" s="15" t="str">
        <f>IFERROR(VLOOKUP($A43,'Dados Tabela Din'!$A$3:$K$20,9,FALSE),"")</f>
        <v/>
      </c>
      <c r="F43" s="16" t="str">
        <f>IFERROR(VLOOKUP($A43,'Dados Tabela Din'!$A$3:$K$20,6,FALSE),"")</f>
        <v/>
      </c>
      <c r="G43" s="16" t="str">
        <f>IFERROR(VLOOKUP($A43,'Dados Tabela Din'!$A$3:$K$20,7,FALSE),"")</f>
        <v/>
      </c>
      <c r="H43" s="16" t="str">
        <f>IFERROR(VLOOKUP($A43,'Dados Tabela Din'!$A$3:$K$20,8,FALSE),"")</f>
        <v/>
      </c>
      <c r="I43" s="15" t="str">
        <f>IFERROR(VLOOKUP($A43,'Dados Tabela Din'!$A$3:$K$20,4,FALSE),"")</f>
        <v/>
      </c>
      <c r="J43" s="14"/>
      <c r="K43" s="58" t="str">
        <f t="shared" si="0"/>
        <v/>
      </c>
      <c r="M43" s="14" t="str">
        <f>IFERROR(VLOOKUP(A43,'Dados Tabela Din'!$A$4:$K$20,3,FALSE),"")</f>
        <v/>
      </c>
    </row>
    <row r="44" spans="1:13">
      <c r="A44" s="14"/>
      <c r="B44" s="14" t="str">
        <f>IFERROR(VLOOKUP(A44,'Dados Tabela Din'!$A$4:$K$20,2,FALSE),"")</f>
        <v/>
      </c>
      <c r="C44" s="14"/>
      <c r="D44" s="14" t="str">
        <f>IFERROR(VLOOKUP(A44,'Dados Tabela Din'!$A$4:$K$20,5,FALSE),"")</f>
        <v/>
      </c>
      <c r="E44" s="15" t="str">
        <f>IFERROR(VLOOKUP($A44,'Dados Tabela Din'!$A$3:$K$20,9,FALSE),"")</f>
        <v/>
      </c>
      <c r="F44" s="16" t="str">
        <f>IFERROR(VLOOKUP($A44,'Dados Tabela Din'!$A$3:$K$20,6,FALSE),"")</f>
        <v/>
      </c>
      <c r="G44" s="16" t="str">
        <f>IFERROR(VLOOKUP($A44,'Dados Tabela Din'!$A$3:$K$20,7,FALSE),"")</f>
        <v/>
      </c>
      <c r="H44" s="16" t="str">
        <f>IFERROR(VLOOKUP($A44,'Dados Tabela Din'!$A$3:$K$20,8,FALSE),"")</f>
        <v/>
      </c>
      <c r="I44" s="15" t="str">
        <f>IFERROR(VLOOKUP($A44,'Dados Tabela Din'!$A$3:$K$20,4,FALSE),"")</f>
        <v/>
      </c>
      <c r="J44" s="14"/>
      <c r="K44" s="58" t="str">
        <f t="shared" si="0"/>
        <v/>
      </c>
      <c r="M44" s="14" t="str">
        <f>IFERROR(VLOOKUP(A44,'Dados Tabela Din'!$A$4:$K$20,3,FALSE),"")</f>
        <v/>
      </c>
    </row>
    <row r="45" spans="1:13">
      <c r="A45" s="14"/>
      <c r="B45" s="14" t="str">
        <f>IFERROR(VLOOKUP(A45,'Dados Tabela Din'!$A$4:$K$20,2,FALSE),"")</f>
        <v/>
      </c>
      <c r="C45" s="14"/>
      <c r="D45" s="14" t="str">
        <f>IFERROR(VLOOKUP(A45,'Dados Tabela Din'!$A$4:$K$20,5,FALSE),"")</f>
        <v/>
      </c>
      <c r="E45" s="15" t="str">
        <f>IFERROR(VLOOKUP($A45,'Dados Tabela Din'!$A$3:$K$20,9,FALSE),"")</f>
        <v/>
      </c>
      <c r="F45" s="16" t="str">
        <f>IFERROR(VLOOKUP($A45,'Dados Tabela Din'!$A$3:$K$20,6,FALSE),"")</f>
        <v/>
      </c>
      <c r="G45" s="16" t="str">
        <f>IFERROR(VLOOKUP($A45,'Dados Tabela Din'!$A$3:$K$20,7,FALSE),"")</f>
        <v/>
      </c>
      <c r="H45" s="16" t="str">
        <f>IFERROR(VLOOKUP($A45,'Dados Tabela Din'!$A$3:$K$20,8,FALSE),"")</f>
        <v/>
      </c>
      <c r="I45" s="15" t="str">
        <f>IFERROR(VLOOKUP($A45,'Dados Tabela Din'!$A$3:$K$20,4,FALSE),"")</f>
        <v/>
      </c>
      <c r="J45" s="14"/>
      <c r="K45" s="58" t="str">
        <f t="shared" si="0"/>
        <v/>
      </c>
      <c r="M45" s="14" t="str">
        <f>IFERROR(VLOOKUP(A45,'Dados Tabela Din'!$A$4:$K$20,3,FALSE),"")</f>
        <v/>
      </c>
    </row>
    <row r="46" spans="1:13">
      <c r="A46" s="14"/>
      <c r="B46" s="14" t="str">
        <f>IFERROR(VLOOKUP(A46,'Dados Tabela Din'!$A$4:$K$20,2,FALSE),"")</f>
        <v/>
      </c>
      <c r="C46" s="14"/>
      <c r="D46" s="14" t="str">
        <f>IFERROR(VLOOKUP(A46,'Dados Tabela Din'!$A$4:$K$20,5,FALSE),"")</f>
        <v/>
      </c>
      <c r="E46" s="15" t="str">
        <f>IFERROR(VLOOKUP($A46,'Dados Tabela Din'!$A$3:$K$20,9,FALSE),"")</f>
        <v/>
      </c>
      <c r="F46" s="16" t="str">
        <f>IFERROR(VLOOKUP($A46,'Dados Tabela Din'!$A$3:$K$20,6,FALSE),"")</f>
        <v/>
      </c>
      <c r="G46" s="16" t="str">
        <f>IFERROR(VLOOKUP($A46,'Dados Tabela Din'!$A$3:$K$20,7,FALSE),"")</f>
        <v/>
      </c>
      <c r="H46" s="16" t="str">
        <f>IFERROR(VLOOKUP($A46,'Dados Tabela Din'!$A$3:$K$20,8,FALSE),"")</f>
        <v/>
      </c>
      <c r="I46" s="15" t="str">
        <f>IFERROR(VLOOKUP($A46,'Dados Tabela Din'!$A$3:$K$20,4,FALSE),"")</f>
        <v/>
      </c>
      <c r="J46" s="14"/>
      <c r="K46" s="58" t="str">
        <f t="shared" si="0"/>
        <v/>
      </c>
      <c r="M46" s="14" t="str">
        <f>IFERROR(VLOOKUP(A46,'Dados Tabela Din'!$A$4:$K$20,3,FALSE),"")</f>
        <v/>
      </c>
    </row>
    <row r="47" spans="1:13">
      <c r="A47" s="14"/>
      <c r="B47" s="14" t="str">
        <f>IFERROR(VLOOKUP(A47,'Dados Tabela Din'!$A$4:$K$20,2,FALSE),"")</f>
        <v/>
      </c>
      <c r="C47" s="14"/>
      <c r="D47" s="14" t="str">
        <f>IFERROR(VLOOKUP(A47,'Dados Tabela Din'!$A$4:$K$20,5,FALSE),"")</f>
        <v/>
      </c>
      <c r="E47" s="15" t="str">
        <f>IFERROR(VLOOKUP($A47,'Dados Tabela Din'!$A$3:$K$20,9,FALSE),"")</f>
        <v/>
      </c>
      <c r="F47" s="16" t="str">
        <f>IFERROR(VLOOKUP($A47,'Dados Tabela Din'!$A$3:$K$20,6,FALSE),"")</f>
        <v/>
      </c>
      <c r="G47" s="16" t="str">
        <f>IFERROR(VLOOKUP($A47,'Dados Tabela Din'!$A$3:$K$20,7,FALSE),"")</f>
        <v/>
      </c>
      <c r="H47" s="16" t="str">
        <f>IFERROR(VLOOKUP($A47,'Dados Tabela Din'!$A$3:$K$20,8,FALSE),"")</f>
        <v/>
      </c>
      <c r="I47" s="15" t="str">
        <f>IFERROR(VLOOKUP($A47,'Dados Tabela Din'!$A$3:$K$20,4,FALSE),"")</f>
        <v/>
      </c>
      <c r="J47" s="14"/>
      <c r="K47" s="58" t="str">
        <f t="shared" si="0"/>
        <v/>
      </c>
      <c r="M47" s="14" t="str">
        <f>IFERROR(VLOOKUP(A47,'Dados Tabela Din'!$A$4:$K$20,3,FALSE),"")</f>
        <v/>
      </c>
    </row>
    <row r="48" spans="1:13">
      <c r="A48" s="14"/>
      <c r="B48" s="14" t="str">
        <f>IFERROR(VLOOKUP(A48,'Dados Tabela Din'!$A$4:$K$20,2,FALSE),"")</f>
        <v/>
      </c>
      <c r="C48" s="14"/>
      <c r="D48" s="14" t="str">
        <f>IFERROR(VLOOKUP(A48,'Dados Tabela Din'!$A$4:$K$20,5,FALSE),"")</f>
        <v/>
      </c>
      <c r="E48" s="15" t="str">
        <f>IFERROR(VLOOKUP($A48,'Dados Tabela Din'!$A$3:$K$20,9,FALSE),"")</f>
        <v/>
      </c>
      <c r="F48" s="16" t="str">
        <f>IFERROR(VLOOKUP($A48,'Dados Tabela Din'!$A$3:$K$20,6,FALSE),"")</f>
        <v/>
      </c>
      <c r="G48" s="16" t="str">
        <f>IFERROR(VLOOKUP($A48,'Dados Tabela Din'!$A$3:$K$20,7,FALSE),"")</f>
        <v/>
      </c>
      <c r="H48" s="16" t="str">
        <f>IFERROR(VLOOKUP($A48,'Dados Tabela Din'!$A$3:$K$20,8,FALSE),"")</f>
        <v/>
      </c>
      <c r="I48" s="15" t="str">
        <f>IFERROR(VLOOKUP($A48,'Dados Tabela Din'!$A$3:$K$20,4,FALSE),"")</f>
        <v/>
      </c>
      <c r="J48" s="14"/>
      <c r="K48" s="58" t="str">
        <f t="shared" si="0"/>
        <v/>
      </c>
      <c r="M48" s="14" t="str">
        <f>IFERROR(VLOOKUP(A48,'Dados Tabela Din'!$A$4:$K$20,3,FALSE),"")</f>
        <v/>
      </c>
    </row>
    <row r="49" spans="1:13">
      <c r="A49" s="14"/>
      <c r="B49" s="14" t="str">
        <f>IFERROR(VLOOKUP(A49,'Dados Tabela Din'!$A$4:$K$20,2,FALSE),"")</f>
        <v/>
      </c>
      <c r="C49" s="14"/>
      <c r="D49" s="14" t="str">
        <f>IFERROR(VLOOKUP(A49,'Dados Tabela Din'!$A$4:$K$20,5,FALSE),"")</f>
        <v/>
      </c>
      <c r="E49" s="15" t="str">
        <f>IFERROR(VLOOKUP($A49,'Dados Tabela Din'!$A$3:$K$20,9,FALSE),"")</f>
        <v/>
      </c>
      <c r="F49" s="16" t="str">
        <f>IFERROR(VLOOKUP($A49,'Dados Tabela Din'!$A$3:$K$20,6,FALSE),"")</f>
        <v/>
      </c>
      <c r="G49" s="16" t="str">
        <f>IFERROR(VLOOKUP($A49,'Dados Tabela Din'!$A$3:$K$20,7,FALSE),"")</f>
        <v/>
      </c>
      <c r="H49" s="16" t="str">
        <f>IFERROR(VLOOKUP($A49,'Dados Tabela Din'!$A$3:$K$20,8,FALSE),"")</f>
        <v/>
      </c>
      <c r="I49" s="15" t="str">
        <f>IFERROR(VLOOKUP($A49,'Dados Tabela Din'!$A$3:$K$20,4,FALSE),"")</f>
        <v/>
      </c>
      <c r="J49" s="14"/>
      <c r="K49" s="58" t="str">
        <f t="shared" si="0"/>
        <v/>
      </c>
      <c r="M49" s="14" t="str">
        <f>IFERROR(VLOOKUP(A49,'Dados Tabela Din'!$A$4:$K$20,3,FALSE),"")</f>
        <v/>
      </c>
    </row>
    <row r="50" spans="1:13">
      <c r="A50" s="14"/>
      <c r="B50" s="14" t="str">
        <f>IFERROR(VLOOKUP(A50,'Dados Tabela Din'!$A$4:$K$20,2,FALSE),"")</f>
        <v/>
      </c>
      <c r="C50" s="14"/>
      <c r="D50" s="14" t="str">
        <f>IFERROR(VLOOKUP(A50,'Dados Tabela Din'!$A$4:$K$20,5,FALSE),"")</f>
        <v/>
      </c>
      <c r="E50" s="15" t="str">
        <f>IFERROR(VLOOKUP($A50,'Dados Tabela Din'!$A$3:$K$20,9,FALSE),"")</f>
        <v/>
      </c>
      <c r="F50" s="16" t="str">
        <f>IFERROR(VLOOKUP($A50,'Dados Tabela Din'!$A$3:$K$20,6,FALSE),"")</f>
        <v/>
      </c>
      <c r="G50" s="16" t="str">
        <f>IFERROR(VLOOKUP($A50,'Dados Tabela Din'!$A$3:$K$20,7,FALSE),"")</f>
        <v/>
      </c>
      <c r="H50" s="16" t="str">
        <f>IFERROR(VLOOKUP($A50,'Dados Tabela Din'!$A$3:$K$20,8,FALSE),"")</f>
        <v/>
      </c>
      <c r="I50" s="15" t="str">
        <f>IFERROR(VLOOKUP($A50,'Dados Tabela Din'!$A$3:$K$20,4,FALSE),"")</f>
        <v/>
      </c>
      <c r="J50" s="14"/>
      <c r="K50" s="58" t="str">
        <f t="shared" si="0"/>
        <v/>
      </c>
      <c r="M50" s="14" t="str">
        <f>IFERROR(VLOOKUP(A50,'Dados Tabela Din'!$A$4:$K$20,3,FALSE),"")</f>
        <v/>
      </c>
    </row>
    <row r="51" spans="1:13">
      <c r="A51" s="14"/>
      <c r="B51" s="14" t="str">
        <f>IFERROR(VLOOKUP(A51,'Dados Tabela Din'!$A$4:$K$20,2,FALSE),"")</f>
        <v/>
      </c>
      <c r="C51" s="14"/>
      <c r="D51" s="14" t="str">
        <f>IFERROR(VLOOKUP(A51,'Dados Tabela Din'!$A$4:$K$20,5,FALSE),"")</f>
        <v/>
      </c>
      <c r="E51" s="15" t="str">
        <f>IFERROR(VLOOKUP($A51,'Dados Tabela Din'!$A$3:$K$20,9,FALSE),"")</f>
        <v/>
      </c>
      <c r="F51" s="16" t="str">
        <f>IFERROR(VLOOKUP($A51,'Dados Tabela Din'!$A$3:$K$20,6,FALSE),"")</f>
        <v/>
      </c>
      <c r="G51" s="16" t="str">
        <f>IFERROR(VLOOKUP($A51,'Dados Tabela Din'!$A$3:$K$20,7,FALSE),"")</f>
        <v/>
      </c>
      <c r="H51" s="16" t="str">
        <f>IFERROR(VLOOKUP($A51,'Dados Tabela Din'!$A$3:$K$20,8,FALSE),"")</f>
        <v/>
      </c>
      <c r="I51" s="15" t="str">
        <f>IFERROR(VLOOKUP($A51,'Dados Tabela Din'!$A$3:$K$20,4,FALSE),"")</f>
        <v/>
      </c>
      <c r="J51" s="14"/>
      <c r="K51" s="58" t="str">
        <f t="shared" si="0"/>
        <v/>
      </c>
      <c r="M51" s="14" t="str">
        <f>IFERROR(VLOOKUP(A51,'Dados Tabela Din'!$A$4:$K$20,3,FALSE),"")</f>
        <v/>
      </c>
    </row>
    <row r="52" spans="1:13">
      <c r="A52" s="14"/>
      <c r="B52" s="14" t="str">
        <f>IFERROR(VLOOKUP(A52,'Dados Tabela Din'!$A$4:$K$20,2,FALSE),"")</f>
        <v/>
      </c>
      <c r="C52" s="14"/>
      <c r="D52" s="14" t="str">
        <f>IFERROR(VLOOKUP(A52,'Dados Tabela Din'!$A$4:$K$20,5,FALSE),"")</f>
        <v/>
      </c>
      <c r="E52" s="15" t="str">
        <f>IFERROR(VLOOKUP($A52,'Dados Tabela Din'!$A$3:$K$20,9,FALSE),"")</f>
        <v/>
      </c>
      <c r="F52" s="16" t="str">
        <f>IFERROR(VLOOKUP($A52,'Dados Tabela Din'!$A$3:$K$20,6,FALSE),"")</f>
        <v/>
      </c>
      <c r="G52" s="16" t="str">
        <f>IFERROR(VLOOKUP($A52,'Dados Tabela Din'!$A$3:$K$20,7,FALSE),"")</f>
        <v/>
      </c>
      <c r="H52" s="16" t="str">
        <f>IFERROR(VLOOKUP($A52,'Dados Tabela Din'!$A$3:$K$20,8,FALSE),"")</f>
        <v/>
      </c>
      <c r="I52" s="15" t="str">
        <f>IFERROR(VLOOKUP($A52,'Dados Tabela Din'!$A$3:$K$20,4,FALSE),"")</f>
        <v/>
      </c>
      <c r="J52" s="14"/>
      <c r="K52" s="58" t="str">
        <f t="shared" si="0"/>
        <v/>
      </c>
      <c r="M52" s="14" t="str">
        <f>IFERROR(VLOOKUP(A52,'Dados Tabela Din'!$A$4:$K$20,3,FALSE),"")</f>
        <v/>
      </c>
    </row>
    <row r="53" spans="1:13">
      <c r="A53" s="14"/>
      <c r="B53" s="14" t="str">
        <f>IFERROR(VLOOKUP(A53,'Dados Tabela Din'!$A$4:$K$20,2,FALSE),"")</f>
        <v/>
      </c>
      <c r="C53" s="14"/>
      <c r="D53" s="14" t="str">
        <f>IFERROR(VLOOKUP(A53,'Dados Tabela Din'!$A$4:$K$20,5,FALSE),"")</f>
        <v/>
      </c>
      <c r="E53" s="15" t="str">
        <f>IFERROR(VLOOKUP($A53,'Dados Tabela Din'!$A$3:$K$20,9,FALSE),"")</f>
        <v/>
      </c>
      <c r="F53" s="16" t="str">
        <f>IFERROR(VLOOKUP($A53,'Dados Tabela Din'!$A$3:$K$20,6,FALSE),"")</f>
        <v/>
      </c>
      <c r="G53" s="16" t="str">
        <f>IFERROR(VLOOKUP($A53,'Dados Tabela Din'!$A$3:$K$20,7,FALSE),"")</f>
        <v/>
      </c>
      <c r="H53" s="16" t="str">
        <f>IFERROR(VLOOKUP($A53,'Dados Tabela Din'!$A$3:$K$20,8,FALSE),"")</f>
        <v/>
      </c>
      <c r="I53" s="15" t="str">
        <f>IFERROR(VLOOKUP($A53,'Dados Tabela Din'!$A$3:$K$20,4,FALSE),"")</f>
        <v/>
      </c>
      <c r="J53" s="14"/>
      <c r="K53" s="58" t="str">
        <f t="shared" si="0"/>
        <v/>
      </c>
      <c r="M53" s="14" t="str">
        <f>IFERROR(VLOOKUP(A53,'Dados Tabela Din'!$A$4:$K$20,3,FALSE),"")</f>
        <v/>
      </c>
    </row>
    <row r="54" spans="1:13">
      <c r="A54" s="14"/>
      <c r="B54" s="14" t="str">
        <f>IFERROR(VLOOKUP(A54,'Dados Tabela Din'!$A$4:$K$20,2,FALSE),"")</f>
        <v/>
      </c>
      <c r="C54" s="14"/>
      <c r="D54" s="14" t="str">
        <f>IFERROR(VLOOKUP(A54,'Dados Tabela Din'!$A$4:$K$20,5,FALSE),"")</f>
        <v/>
      </c>
      <c r="E54" s="15" t="str">
        <f>IFERROR(VLOOKUP($A54,'Dados Tabela Din'!$A$3:$K$20,9,FALSE),"")</f>
        <v/>
      </c>
      <c r="F54" s="16" t="str">
        <f>IFERROR(VLOOKUP($A54,'Dados Tabela Din'!$A$3:$K$20,6,FALSE),"")</f>
        <v/>
      </c>
      <c r="G54" s="16" t="str">
        <f>IFERROR(VLOOKUP($A54,'Dados Tabela Din'!$A$3:$K$20,7,FALSE),"")</f>
        <v/>
      </c>
      <c r="H54" s="16" t="str">
        <f>IFERROR(VLOOKUP($A54,'Dados Tabela Din'!$A$3:$K$20,8,FALSE),"")</f>
        <v/>
      </c>
      <c r="I54" s="15" t="str">
        <f>IFERROR(VLOOKUP($A54,'Dados Tabela Din'!$A$3:$K$20,4,FALSE),"")</f>
        <v/>
      </c>
      <c r="J54" s="14"/>
      <c r="K54" s="58" t="str">
        <f t="shared" si="0"/>
        <v/>
      </c>
      <c r="M54" s="14" t="str">
        <f>IFERROR(VLOOKUP(A54,'Dados Tabela Din'!$A$4:$K$20,3,FALSE),"")</f>
        <v/>
      </c>
    </row>
    <row r="55" spans="1:13">
      <c r="A55" s="14"/>
      <c r="B55" s="14" t="str">
        <f>IFERROR(VLOOKUP(A55,'Dados Tabela Din'!$A$4:$K$20,2,FALSE),"")</f>
        <v/>
      </c>
      <c r="C55" s="14"/>
      <c r="D55" s="14" t="str">
        <f>IFERROR(VLOOKUP(A55,'Dados Tabela Din'!$A$4:$K$20,5,FALSE),"")</f>
        <v/>
      </c>
      <c r="E55" s="15" t="str">
        <f>IFERROR(VLOOKUP($A55,'Dados Tabela Din'!$A$3:$K$20,9,FALSE),"")</f>
        <v/>
      </c>
      <c r="F55" s="16" t="str">
        <f>IFERROR(VLOOKUP($A55,'Dados Tabela Din'!$A$3:$K$20,6,FALSE),"")</f>
        <v/>
      </c>
      <c r="G55" s="16" t="str">
        <f>IFERROR(VLOOKUP($A55,'Dados Tabela Din'!$A$3:$K$20,7,FALSE),"")</f>
        <v/>
      </c>
      <c r="H55" s="16" t="str">
        <f>IFERROR(VLOOKUP($A55,'Dados Tabela Din'!$A$3:$K$20,8,FALSE),"")</f>
        <v/>
      </c>
      <c r="I55" s="15" t="str">
        <f>IFERROR(VLOOKUP($A55,'Dados Tabela Din'!$A$3:$K$20,4,FALSE),"")</f>
        <v/>
      </c>
      <c r="J55" s="14"/>
      <c r="K55" s="58" t="str">
        <f t="shared" si="0"/>
        <v/>
      </c>
      <c r="M55" s="14" t="str">
        <f>IFERROR(VLOOKUP(A55,'Dados Tabela Din'!$A$4:$K$20,3,FALSE),"")</f>
        <v/>
      </c>
    </row>
    <row r="56" spans="1:13">
      <c r="A56" s="14"/>
      <c r="B56" s="14" t="str">
        <f>IFERROR(VLOOKUP(A56,'Dados Tabela Din'!$A$4:$K$20,2,FALSE),"")</f>
        <v/>
      </c>
      <c r="C56" s="14"/>
      <c r="D56" s="14" t="str">
        <f>IFERROR(VLOOKUP(A56,'Dados Tabela Din'!$A$4:$K$20,5,FALSE),"")</f>
        <v/>
      </c>
      <c r="E56" s="15" t="str">
        <f>IFERROR(VLOOKUP($A56,'Dados Tabela Din'!$A$3:$K$20,9,FALSE),"")</f>
        <v/>
      </c>
      <c r="F56" s="16" t="str">
        <f>IFERROR(VLOOKUP($A56,'Dados Tabela Din'!$A$3:$K$20,6,FALSE),"")</f>
        <v/>
      </c>
      <c r="G56" s="16" t="str">
        <f>IFERROR(VLOOKUP($A56,'Dados Tabela Din'!$A$3:$K$20,7,FALSE),"")</f>
        <v/>
      </c>
      <c r="H56" s="16" t="str">
        <f>IFERROR(VLOOKUP($A56,'Dados Tabela Din'!$A$3:$K$20,8,FALSE),"")</f>
        <v/>
      </c>
      <c r="I56" s="15" t="str">
        <f>IFERROR(VLOOKUP($A56,'Dados Tabela Din'!$A$3:$K$20,4,FALSE),"")</f>
        <v/>
      </c>
      <c r="J56" s="14"/>
      <c r="K56" s="58" t="str">
        <f t="shared" si="0"/>
        <v/>
      </c>
      <c r="M56" s="14" t="str">
        <f>IFERROR(VLOOKUP(A56,'Dados Tabela Din'!$A$4:$K$20,3,FALSE),"")</f>
        <v/>
      </c>
    </row>
    <row r="57" spans="1:13">
      <c r="A57" s="14"/>
      <c r="B57" s="14" t="str">
        <f>IFERROR(VLOOKUP(A57,'Dados Tabela Din'!$A$4:$K$20,2,FALSE),"")</f>
        <v/>
      </c>
      <c r="C57" s="14"/>
      <c r="D57" s="14" t="str">
        <f>IFERROR(VLOOKUP(A57,'Dados Tabela Din'!$A$4:$K$20,5,FALSE),"")</f>
        <v/>
      </c>
      <c r="E57" s="15" t="str">
        <f>IFERROR(VLOOKUP($A57,'Dados Tabela Din'!$A$3:$K$20,9,FALSE),"")</f>
        <v/>
      </c>
      <c r="F57" s="16" t="str">
        <f>IFERROR(VLOOKUP($A57,'Dados Tabela Din'!$A$3:$K$20,6,FALSE),"")</f>
        <v/>
      </c>
      <c r="G57" s="16" t="str">
        <f>IFERROR(VLOOKUP($A57,'Dados Tabela Din'!$A$3:$K$20,7,FALSE),"")</f>
        <v/>
      </c>
      <c r="H57" s="16" t="str">
        <f>IFERROR(VLOOKUP($A57,'Dados Tabela Din'!$A$3:$K$20,8,FALSE),"")</f>
        <v/>
      </c>
      <c r="I57" s="15" t="str">
        <f>IFERROR(VLOOKUP($A57,'Dados Tabela Din'!$A$3:$K$20,4,FALSE),"")</f>
        <v/>
      </c>
      <c r="J57" s="14"/>
      <c r="K57" s="58" t="str">
        <f t="shared" si="0"/>
        <v/>
      </c>
      <c r="M57" s="14" t="str">
        <f>IFERROR(VLOOKUP(A57,'Dados Tabela Din'!$A$4:$K$20,3,FALSE),"")</f>
        <v/>
      </c>
    </row>
    <row r="58" spans="1:13">
      <c r="A58" s="14"/>
      <c r="B58" s="14" t="str">
        <f>IFERROR(VLOOKUP(A58,'Dados Tabela Din'!$A$4:$K$20,2,FALSE),"")</f>
        <v/>
      </c>
      <c r="C58" s="14"/>
      <c r="D58" s="14" t="str">
        <f>IFERROR(VLOOKUP(A58,'Dados Tabela Din'!$A$4:$K$20,5,FALSE),"")</f>
        <v/>
      </c>
      <c r="E58" s="15" t="str">
        <f>IFERROR(VLOOKUP($A58,'Dados Tabela Din'!$A$3:$K$20,9,FALSE),"")</f>
        <v/>
      </c>
      <c r="F58" s="16" t="str">
        <f>IFERROR(VLOOKUP($A58,'Dados Tabela Din'!$A$3:$K$20,6,FALSE),"")</f>
        <v/>
      </c>
      <c r="G58" s="16" t="str">
        <f>IFERROR(VLOOKUP($A58,'Dados Tabela Din'!$A$3:$K$20,7,FALSE),"")</f>
        <v/>
      </c>
      <c r="H58" s="16" t="str">
        <f>IFERROR(VLOOKUP($A58,'Dados Tabela Din'!$A$3:$K$20,8,FALSE),"")</f>
        <v/>
      </c>
      <c r="I58" s="15" t="str">
        <f>IFERROR(VLOOKUP($A58,'Dados Tabela Din'!$A$3:$K$20,4,FALSE),"")</f>
        <v/>
      </c>
      <c r="J58" s="14"/>
      <c r="K58" s="58" t="str">
        <f t="shared" si="0"/>
        <v/>
      </c>
      <c r="M58" s="14" t="str">
        <f>IFERROR(VLOOKUP(A58,'Dados Tabela Din'!$A$4:$K$20,3,FALSE),"")</f>
        <v/>
      </c>
    </row>
    <row r="59" spans="1:13">
      <c r="A59" s="14"/>
      <c r="B59" s="14" t="str">
        <f>IFERROR(VLOOKUP(A59,'Dados Tabela Din'!$A$4:$K$20,2,FALSE),"")</f>
        <v/>
      </c>
      <c r="C59" s="14"/>
      <c r="D59" s="14" t="str">
        <f>IFERROR(VLOOKUP(A59,'Dados Tabela Din'!$A$4:$K$20,5,FALSE),"")</f>
        <v/>
      </c>
      <c r="E59" s="15" t="str">
        <f>IFERROR(VLOOKUP($A59,'Dados Tabela Din'!$A$3:$K$20,9,FALSE),"")</f>
        <v/>
      </c>
      <c r="F59" s="16" t="str">
        <f>IFERROR(VLOOKUP($A59,'Dados Tabela Din'!$A$3:$K$20,6,FALSE),"")</f>
        <v/>
      </c>
      <c r="G59" s="16" t="str">
        <f>IFERROR(VLOOKUP($A59,'Dados Tabela Din'!$A$3:$K$20,7,FALSE),"")</f>
        <v/>
      </c>
      <c r="H59" s="16" t="str">
        <f>IFERROR(VLOOKUP($A59,'Dados Tabela Din'!$A$3:$K$20,8,FALSE),"")</f>
        <v/>
      </c>
      <c r="I59" s="15" t="str">
        <f>IFERROR(VLOOKUP($A59,'Dados Tabela Din'!$A$3:$K$20,4,FALSE),"")</f>
        <v/>
      </c>
      <c r="J59" s="14"/>
      <c r="K59" s="58" t="str">
        <f t="shared" si="0"/>
        <v/>
      </c>
      <c r="M59" s="14" t="str">
        <f>IFERROR(VLOOKUP(A59,'Dados Tabela Din'!$A$4:$K$20,3,FALSE),"")</f>
        <v/>
      </c>
    </row>
    <row r="60" spans="1:13">
      <c r="A60" s="14"/>
      <c r="B60" s="14" t="str">
        <f>IFERROR(VLOOKUP(A60,'Dados Tabela Din'!$A$4:$K$20,2,FALSE),"")</f>
        <v/>
      </c>
      <c r="C60" s="14"/>
      <c r="D60" s="14" t="str">
        <f>IFERROR(VLOOKUP(A60,'Dados Tabela Din'!$A$4:$K$20,5,FALSE),"")</f>
        <v/>
      </c>
      <c r="E60" s="15" t="str">
        <f>IFERROR(VLOOKUP($A60,'Dados Tabela Din'!$A$3:$K$20,9,FALSE),"")</f>
        <v/>
      </c>
      <c r="F60" s="16" t="str">
        <f>IFERROR(VLOOKUP($A60,'Dados Tabela Din'!$A$3:$K$20,6,FALSE),"")</f>
        <v/>
      </c>
      <c r="G60" s="16" t="str">
        <f>IFERROR(VLOOKUP($A60,'Dados Tabela Din'!$A$3:$K$20,7,FALSE),"")</f>
        <v/>
      </c>
      <c r="H60" s="16" t="str">
        <f>IFERROR(VLOOKUP($A60,'Dados Tabela Din'!$A$3:$K$20,8,FALSE),"")</f>
        <v/>
      </c>
      <c r="I60" s="15" t="str">
        <f>IFERROR(VLOOKUP($A60,'Dados Tabela Din'!$A$3:$K$20,4,FALSE),"")</f>
        <v/>
      </c>
      <c r="J60" s="14"/>
      <c r="K60" s="58" t="str">
        <f t="shared" si="0"/>
        <v/>
      </c>
      <c r="M60" s="14" t="str">
        <f>IFERROR(VLOOKUP(A60,'Dados Tabela Din'!$A$4:$K$20,3,FALSE),"")</f>
        <v/>
      </c>
    </row>
    <row r="61" spans="1:13">
      <c r="A61" s="14"/>
      <c r="B61" s="14" t="str">
        <f>IFERROR(VLOOKUP(A61,'Dados Tabela Din'!$A$4:$K$20,2,FALSE),"")</f>
        <v/>
      </c>
      <c r="C61" s="14"/>
      <c r="D61" s="14" t="str">
        <f>IFERROR(VLOOKUP(A61,'Dados Tabela Din'!$A$4:$K$20,5,FALSE),"")</f>
        <v/>
      </c>
      <c r="E61" s="15" t="str">
        <f>IFERROR(VLOOKUP($A61,'Dados Tabela Din'!$A$3:$K$20,9,FALSE),"")</f>
        <v/>
      </c>
      <c r="F61" s="16" t="str">
        <f>IFERROR(VLOOKUP($A61,'Dados Tabela Din'!$A$3:$K$20,6,FALSE),"")</f>
        <v/>
      </c>
      <c r="G61" s="16" t="str">
        <f>IFERROR(VLOOKUP($A61,'Dados Tabela Din'!$A$3:$K$20,7,FALSE),"")</f>
        <v/>
      </c>
      <c r="H61" s="16" t="str">
        <f>IFERROR(VLOOKUP($A61,'Dados Tabela Din'!$A$3:$K$20,8,FALSE),"")</f>
        <v/>
      </c>
      <c r="I61" s="15" t="str">
        <f>IFERROR(VLOOKUP($A61,'Dados Tabela Din'!$A$3:$K$20,4,FALSE),"")</f>
        <v/>
      </c>
      <c r="J61" s="14"/>
      <c r="K61" s="58" t="str">
        <f t="shared" si="0"/>
        <v/>
      </c>
      <c r="M61" s="14" t="str">
        <f>IFERROR(VLOOKUP(A61,'Dados Tabela Din'!$A$4:$K$20,3,FALSE),"")</f>
        <v/>
      </c>
    </row>
    <row r="62" spans="1:13">
      <c r="A62" s="14"/>
      <c r="B62" s="14" t="str">
        <f>IFERROR(VLOOKUP(A62,'Dados Tabela Din'!$A$4:$K$20,2,FALSE),"")</f>
        <v/>
      </c>
      <c r="C62" s="14"/>
      <c r="D62" s="14" t="str">
        <f>IFERROR(VLOOKUP(A62,'Dados Tabela Din'!$A$4:$K$20,5,FALSE),"")</f>
        <v/>
      </c>
      <c r="E62" s="15" t="str">
        <f>IFERROR(VLOOKUP($A62,'Dados Tabela Din'!$A$3:$K$20,9,FALSE),"")</f>
        <v/>
      </c>
      <c r="F62" s="16" t="str">
        <f>IFERROR(VLOOKUP($A62,'Dados Tabela Din'!$A$3:$K$20,6,FALSE),"")</f>
        <v/>
      </c>
      <c r="G62" s="16" t="str">
        <f>IFERROR(VLOOKUP($A62,'Dados Tabela Din'!$A$3:$K$20,7,FALSE),"")</f>
        <v/>
      </c>
      <c r="H62" s="16" t="str">
        <f>IFERROR(VLOOKUP($A62,'Dados Tabela Din'!$A$3:$K$20,8,FALSE),"")</f>
        <v/>
      </c>
      <c r="I62" s="15" t="str">
        <f>IFERROR(VLOOKUP($A62,'Dados Tabela Din'!$A$3:$K$20,4,FALSE),"")</f>
        <v/>
      </c>
      <c r="J62" s="14"/>
      <c r="K62" s="58" t="str">
        <f t="shared" si="0"/>
        <v/>
      </c>
      <c r="M62" s="14" t="str">
        <f>IFERROR(VLOOKUP(A62,'Dados Tabela Din'!$A$4:$K$20,3,FALSE),"")</f>
        <v/>
      </c>
    </row>
    <row r="63" spans="1:13">
      <c r="A63" s="14"/>
      <c r="B63" s="14" t="str">
        <f>IFERROR(VLOOKUP(A63,'Dados Tabela Din'!$A$4:$K$20,2,FALSE),"")</f>
        <v/>
      </c>
      <c r="C63" s="14"/>
      <c r="D63" s="14" t="str">
        <f>IFERROR(VLOOKUP(A63,'Dados Tabela Din'!$A$4:$K$20,5,FALSE),"")</f>
        <v/>
      </c>
      <c r="E63" s="15" t="str">
        <f>IFERROR(VLOOKUP($A63,'Dados Tabela Din'!$A$3:$K$20,9,FALSE),"")</f>
        <v/>
      </c>
      <c r="F63" s="16" t="str">
        <f>IFERROR(VLOOKUP($A63,'Dados Tabela Din'!$A$3:$K$20,6,FALSE),"")</f>
        <v/>
      </c>
      <c r="G63" s="16" t="str">
        <f>IFERROR(VLOOKUP($A63,'Dados Tabela Din'!$A$3:$K$20,7,FALSE),"")</f>
        <v/>
      </c>
      <c r="H63" s="16" t="str">
        <f>IFERROR(VLOOKUP($A63,'Dados Tabela Din'!$A$3:$K$20,8,FALSE),"")</f>
        <v/>
      </c>
      <c r="I63" s="15" t="str">
        <f>IFERROR(VLOOKUP($A63,'Dados Tabela Din'!$A$3:$K$20,4,FALSE),"")</f>
        <v/>
      </c>
      <c r="J63" s="14"/>
      <c r="K63" s="58" t="str">
        <f t="shared" si="0"/>
        <v/>
      </c>
      <c r="M63" s="14" t="str">
        <f>IFERROR(VLOOKUP(A63,'Dados Tabela Din'!$A$4:$K$20,3,FALSE),"")</f>
        <v/>
      </c>
    </row>
    <row r="64" spans="1:13">
      <c r="A64" s="14"/>
      <c r="B64" s="14" t="str">
        <f>IFERROR(VLOOKUP(A64,'Dados Tabela Din'!$A$4:$K$20,2,FALSE),"")</f>
        <v/>
      </c>
      <c r="C64" s="14"/>
      <c r="D64" s="14" t="str">
        <f>IFERROR(VLOOKUP(A64,'Dados Tabela Din'!$A$4:$K$20,5,FALSE),"")</f>
        <v/>
      </c>
      <c r="E64" s="15" t="str">
        <f>IFERROR(VLOOKUP($A64,'Dados Tabela Din'!$A$3:$K$20,9,FALSE),"")</f>
        <v/>
      </c>
      <c r="F64" s="16" t="str">
        <f>IFERROR(VLOOKUP($A64,'Dados Tabela Din'!$A$3:$K$20,6,FALSE),"")</f>
        <v/>
      </c>
      <c r="G64" s="16" t="str">
        <f>IFERROR(VLOOKUP($A64,'Dados Tabela Din'!$A$3:$K$20,7,FALSE),"")</f>
        <v/>
      </c>
      <c r="H64" s="16" t="str">
        <f>IFERROR(VLOOKUP($A64,'Dados Tabela Din'!$A$3:$K$20,8,FALSE),"")</f>
        <v/>
      </c>
      <c r="I64" s="15" t="str">
        <f>IFERROR(VLOOKUP($A64,'Dados Tabela Din'!$A$3:$K$20,4,FALSE),"")</f>
        <v/>
      </c>
      <c r="J64" s="14"/>
      <c r="K64" s="58" t="str">
        <f t="shared" si="0"/>
        <v/>
      </c>
      <c r="M64" s="14" t="str">
        <f>IFERROR(VLOOKUP(A64,'Dados Tabela Din'!$A$4:$K$20,3,FALSE),"")</f>
        <v/>
      </c>
    </row>
    <row r="65" spans="1:13">
      <c r="A65" s="14"/>
      <c r="B65" s="14" t="str">
        <f>IFERROR(VLOOKUP(A65,'Dados Tabela Din'!$A$4:$K$20,2,FALSE),"")</f>
        <v/>
      </c>
      <c r="C65" s="14"/>
      <c r="D65" s="14" t="str">
        <f>IFERROR(VLOOKUP(A65,'Dados Tabela Din'!$A$4:$K$20,5,FALSE),"")</f>
        <v/>
      </c>
      <c r="E65" s="15" t="str">
        <f>IFERROR(VLOOKUP($A65,'Dados Tabela Din'!$A$3:$K$20,9,FALSE),"")</f>
        <v/>
      </c>
      <c r="F65" s="16" t="str">
        <f>IFERROR(VLOOKUP($A65,'Dados Tabela Din'!$A$3:$K$20,6,FALSE),"")</f>
        <v/>
      </c>
      <c r="G65" s="16" t="str">
        <f>IFERROR(VLOOKUP($A65,'Dados Tabela Din'!$A$3:$K$20,7,FALSE),"")</f>
        <v/>
      </c>
      <c r="H65" s="16" t="str">
        <f>IFERROR(VLOOKUP($A65,'Dados Tabela Din'!$A$3:$K$20,8,FALSE),"")</f>
        <v/>
      </c>
      <c r="I65" s="15" t="str">
        <f>IFERROR(VLOOKUP($A65,'Dados Tabela Din'!$A$3:$K$20,4,FALSE),"")</f>
        <v/>
      </c>
      <c r="J65" s="14"/>
      <c r="K65" s="58" t="str">
        <f t="shared" si="0"/>
        <v/>
      </c>
      <c r="M65" s="14" t="str">
        <f>IFERROR(VLOOKUP(A65,'Dados Tabela Din'!$A$4:$K$20,3,FALSE),"")</f>
        <v/>
      </c>
    </row>
    <row r="66" spans="1:13">
      <c r="A66" s="14"/>
      <c r="B66" s="14" t="str">
        <f>IFERROR(VLOOKUP(A66,'Dados Tabela Din'!$A$4:$K$20,2,FALSE),"")</f>
        <v/>
      </c>
      <c r="C66" s="14"/>
      <c r="D66" s="14" t="str">
        <f>IFERROR(VLOOKUP(A66,'Dados Tabela Din'!$A$4:$K$20,5,FALSE),"")</f>
        <v/>
      </c>
      <c r="E66" s="15" t="str">
        <f>IFERROR(VLOOKUP($A66,'Dados Tabela Din'!$A$3:$K$20,9,FALSE),"")</f>
        <v/>
      </c>
      <c r="F66" s="16" t="str">
        <f>IFERROR(VLOOKUP($A66,'Dados Tabela Din'!$A$3:$K$20,6,FALSE),"")</f>
        <v/>
      </c>
      <c r="G66" s="16" t="str">
        <f>IFERROR(VLOOKUP($A66,'Dados Tabela Din'!$A$3:$K$20,7,FALSE),"")</f>
        <v/>
      </c>
      <c r="H66" s="16" t="str">
        <f>IFERROR(VLOOKUP($A66,'Dados Tabela Din'!$A$3:$K$20,8,FALSE),"")</f>
        <v/>
      </c>
      <c r="I66" s="15" t="str">
        <f>IFERROR(VLOOKUP($A66,'Dados Tabela Din'!$A$3:$K$20,4,FALSE),"")</f>
        <v/>
      </c>
      <c r="J66" s="14"/>
      <c r="K66" s="58" t="str">
        <f t="shared" si="0"/>
        <v/>
      </c>
      <c r="M66" s="14" t="str">
        <f>IFERROR(VLOOKUP(A66,'Dados Tabela Din'!$A$4:$K$20,3,FALSE),"")</f>
        <v/>
      </c>
    </row>
    <row r="67" spans="1:13">
      <c r="A67" s="14"/>
      <c r="B67" s="14" t="str">
        <f>IFERROR(VLOOKUP(A67,'Dados Tabela Din'!$A$4:$K$20,2,FALSE),"")</f>
        <v/>
      </c>
      <c r="C67" s="14"/>
      <c r="D67" s="14" t="str">
        <f>IFERROR(VLOOKUP(A67,'Dados Tabela Din'!$A$4:$K$20,5,FALSE),"")</f>
        <v/>
      </c>
      <c r="E67" s="15" t="str">
        <f>IFERROR(VLOOKUP($A67,'Dados Tabela Din'!$A$3:$K$20,9,FALSE),"")</f>
        <v/>
      </c>
      <c r="F67" s="16" t="str">
        <f>IFERROR(VLOOKUP($A67,'Dados Tabela Din'!$A$3:$K$20,6,FALSE),"")</f>
        <v/>
      </c>
      <c r="G67" s="16" t="str">
        <f>IFERROR(VLOOKUP($A67,'Dados Tabela Din'!$A$3:$K$20,7,FALSE),"")</f>
        <v/>
      </c>
      <c r="H67" s="16" t="str">
        <f>IFERROR(VLOOKUP($A67,'Dados Tabela Din'!$A$3:$K$20,8,FALSE),"")</f>
        <v/>
      </c>
      <c r="I67" s="15" t="str">
        <f>IFERROR(VLOOKUP($A67,'Dados Tabela Din'!$A$3:$K$20,4,FALSE),"")</f>
        <v/>
      </c>
      <c r="J67" s="14"/>
      <c r="K67" s="58" t="str">
        <f t="shared" si="0"/>
        <v/>
      </c>
      <c r="M67" s="14" t="str">
        <f>IFERROR(VLOOKUP(A67,'Dados Tabela Din'!$A$4:$K$20,3,FALSE),"")</f>
        <v/>
      </c>
    </row>
    <row r="68" spans="1:13">
      <c r="A68" s="14"/>
      <c r="B68" s="14" t="str">
        <f>IFERROR(VLOOKUP(A68,'Dados Tabela Din'!$A$4:$K$20,2,FALSE),"")</f>
        <v/>
      </c>
      <c r="C68" s="14"/>
      <c r="D68" s="14" t="str">
        <f>IFERROR(VLOOKUP(A68,'Dados Tabela Din'!$A$4:$K$20,5,FALSE),"")</f>
        <v/>
      </c>
      <c r="E68" s="15" t="str">
        <f>IFERROR(VLOOKUP($A68,'Dados Tabela Din'!$A$3:$K$20,9,FALSE),"")</f>
        <v/>
      </c>
      <c r="F68" s="16" t="str">
        <f>IFERROR(VLOOKUP($A68,'Dados Tabela Din'!$A$3:$K$20,6,FALSE),"")</f>
        <v/>
      </c>
      <c r="G68" s="16" t="str">
        <f>IFERROR(VLOOKUP($A68,'Dados Tabela Din'!$A$3:$K$20,7,FALSE),"")</f>
        <v/>
      </c>
      <c r="H68" s="16" t="str">
        <f>IFERROR(VLOOKUP($A68,'Dados Tabela Din'!$A$3:$K$20,8,FALSE),"")</f>
        <v/>
      </c>
      <c r="I68" s="15" t="str">
        <f>IFERROR(VLOOKUP($A68,'Dados Tabela Din'!$A$3:$K$20,4,FALSE),"")</f>
        <v/>
      </c>
      <c r="J68" s="14"/>
      <c r="K68" s="58" t="str">
        <f t="shared" si="0"/>
        <v/>
      </c>
      <c r="M68" s="14" t="str">
        <f>IFERROR(VLOOKUP(A68,'Dados Tabela Din'!$A$4:$K$20,3,FALSE),"")</f>
        <v/>
      </c>
    </row>
    <row r="69" spans="1:13">
      <c r="A69" s="14"/>
      <c r="B69" s="14" t="str">
        <f>IFERROR(VLOOKUP(A69,'Dados Tabela Din'!$A$4:$K$20,2,FALSE),"")</f>
        <v/>
      </c>
      <c r="C69" s="14"/>
      <c r="D69" s="14" t="str">
        <f>IFERROR(VLOOKUP(A69,'Dados Tabela Din'!$A$4:$K$20,5,FALSE),"")</f>
        <v/>
      </c>
      <c r="E69" s="15" t="str">
        <f>IFERROR(VLOOKUP($A69,'Dados Tabela Din'!$A$3:$K$20,9,FALSE),"")</f>
        <v/>
      </c>
      <c r="F69" s="16" t="str">
        <f>IFERROR(VLOOKUP($A69,'Dados Tabela Din'!$A$3:$K$20,6,FALSE),"")</f>
        <v/>
      </c>
      <c r="G69" s="16" t="str">
        <f>IFERROR(VLOOKUP($A69,'Dados Tabela Din'!$A$3:$K$20,7,FALSE),"")</f>
        <v/>
      </c>
      <c r="H69" s="16" t="str">
        <f>IFERROR(VLOOKUP($A69,'Dados Tabela Din'!$A$3:$K$20,8,FALSE),"")</f>
        <v/>
      </c>
      <c r="I69" s="15" t="str">
        <f>IFERROR(VLOOKUP($A69,'Dados Tabela Din'!$A$3:$K$20,4,FALSE),"")</f>
        <v/>
      </c>
      <c r="J69" s="14"/>
      <c r="K69" s="58" t="str">
        <f t="shared" ref="K69:K100" si="1">IF(F69="","",IF(F69&gt;=90%,"Muito Alto",IF(F69&gt;=80%,"Alto",IF(F69&gt;=70%,"Moderado-Alto",IF(F69&gt;=60%,"Moderado",IF(F69&gt;=50%,"Baixo-Médio","Muito Baixo"))))))</f>
        <v/>
      </c>
      <c r="M69" s="14" t="str">
        <f>IFERROR(VLOOKUP(A69,'Dados Tabela Din'!$A$4:$K$20,3,FALSE),"")</f>
        <v/>
      </c>
    </row>
    <row r="70" spans="1:13">
      <c r="A70" s="14"/>
      <c r="B70" s="14" t="str">
        <f>IFERROR(VLOOKUP(A70,'Dados Tabela Din'!$A$4:$K$20,2,FALSE),"")</f>
        <v/>
      </c>
      <c r="C70" s="14"/>
      <c r="D70" s="14" t="str">
        <f>IFERROR(VLOOKUP(A70,'Dados Tabela Din'!$A$4:$K$20,5,FALSE),"")</f>
        <v/>
      </c>
      <c r="E70" s="15" t="str">
        <f>IFERROR(VLOOKUP($A70,'Dados Tabela Din'!$A$3:$K$20,9,FALSE),"")</f>
        <v/>
      </c>
      <c r="F70" s="16" t="str">
        <f>IFERROR(VLOOKUP($A70,'Dados Tabela Din'!$A$3:$K$20,6,FALSE),"")</f>
        <v/>
      </c>
      <c r="G70" s="16" t="str">
        <f>IFERROR(VLOOKUP($A70,'Dados Tabela Din'!$A$3:$K$20,7,FALSE),"")</f>
        <v/>
      </c>
      <c r="H70" s="16" t="str">
        <f>IFERROR(VLOOKUP($A70,'Dados Tabela Din'!$A$3:$K$20,8,FALSE),"")</f>
        <v/>
      </c>
      <c r="I70" s="15" t="str">
        <f>IFERROR(VLOOKUP($A70,'Dados Tabela Din'!$A$3:$K$20,4,FALSE),"")</f>
        <v/>
      </c>
      <c r="J70" s="14"/>
      <c r="K70" s="58" t="str">
        <f t="shared" si="1"/>
        <v/>
      </c>
      <c r="M70" s="14" t="str">
        <f>IFERROR(VLOOKUP(A70,'Dados Tabela Din'!$A$4:$K$20,3,FALSE),"")</f>
        <v/>
      </c>
    </row>
    <row r="71" spans="1:13">
      <c r="A71" s="14"/>
      <c r="B71" s="14" t="str">
        <f>IFERROR(VLOOKUP(A71,'Dados Tabela Din'!$A$4:$K$20,2,FALSE),"")</f>
        <v/>
      </c>
      <c r="C71" s="14"/>
      <c r="D71" s="14" t="str">
        <f>IFERROR(VLOOKUP(A71,'Dados Tabela Din'!$A$4:$K$20,5,FALSE),"")</f>
        <v/>
      </c>
      <c r="E71" s="15" t="str">
        <f>IFERROR(VLOOKUP($A71,'Dados Tabela Din'!$A$3:$K$20,9,FALSE),"")</f>
        <v/>
      </c>
      <c r="F71" s="16" t="str">
        <f>IFERROR(VLOOKUP($A71,'Dados Tabela Din'!$A$3:$K$20,6,FALSE),"")</f>
        <v/>
      </c>
      <c r="G71" s="16" t="str">
        <f>IFERROR(VLOOKUP($A71,'Dados Tabela Din'!$A$3:$K$20,7,FALSE),"")</f>
        <v/>
      </c>
      <c r="H71" s="16" t="str">
        <f>IFERROR(VLOOKUP($A71,'Dados Tabela Din'!$A$3:$K$20,8,FALSE),"")</f>
        <v/>
      </c>
      <c r="I71" s="15" t="str">
        <f>IFERROR(VLOOKUP($A71,'Dados Tabela Din'!$A$3:$K$20,4,FALSE),"")</f>
        <v/>
      </c>
      <c r="J71" s="14"/>
      <c r="K71" s="58" t="str">
        <f t="shared" si="1"/>
        <v/>
      </c>
      <c r="M71" s="14" t="str">
        <f>IFERROR(VLOOKUP(A71,'Dados Tabela Din'!$A$4:$K$20,3,FALSE),"")</f>
        <v/>
      </c>
    </row>
    <row r="72" spans="1:13">
      <c r="A72" s="14"/>
      <c r="B72" s="14" t="str">
        <f>IFERROR(VLOOKUP(A72,'Dados Tabela Din'!$A$4:$K$20,2,FALSE),"")</f>
        <v/>
      </c>
      <c r="C72" s="14"/>
      <c r="D72" s="14" t="str">
        <f>IFERROR(VLOOKUP(A72,'Dados Tabela Din'!$A$4:$K$20,5,FALSE),"")</f>
        <v/>
      </c>
      <c r="E72" s="15" t="str">
        <f>IFERROR(VLOOKUP($A72,'Dados Tabela Din'!$A$3:$K$20,9,FALSE),"")</f>
        <v/>
      </c>
      <c r="F72" s="16" t="str">
        <f>IFERROR(VLOOKUP($A72,'Dados Tabela Din'!$A$3:$K$20,6,FALSE),"")</f>
        <v/>
      </c>
      <c r="G72" s="16" t="str">
        <f>IFERROR(VLOOKUP($A72,'Dados Tabela Din'!$A$3:$K$20,7,FALSE),"")</f>
        <v/>
      </c>
      <c r="H72" s="16" t="str">
        <f>IFERROR(VLOOKUP($A72,'Dados Tabela Din'!$A$3:$K$20,8,FALSE),"")</f>
        <v/>
      </c>
      <c r="I72" s="15" t="str">
        <f>IFERROR(VLOOKUP($A72,'Dados Tabela Din'!$A$3:$K$20,4,FALSE),"")</f>
        <v/>
      </c>
      <c r="J72" s="14"/>
      <c r="K72" s="58" t="str">
        <f t="shared" si="1"/>
        <v/>
      </c>
      <c r="M72" s="14" t="str">
        <f>IFERROR(VLOOKUP(A72,'Dados Tabela Din'!$A$4:$K$20,3,FALSE),"")</f>
        <v/>
      </c>
    </row>
    <row r="73" spans="1:13">
      <c r="A73" s="14"/>
      <c r="B73" s="14" t="str">
        <f>IFERROR(VLOOKUP(A73,'Dados Tabela Din'!$A$4:$K$20,2,FALSE),"")</f>
        <v/>
      </c>
      <c r="C73" s="14"/>
      <c r="D73" s="14" t="str">
        <f>IFERROR(VLOOKUP(A73,'Dados Tabela Din'!$A$4:$K$20,5,FALSE),"")</f>
        <v/>
      </c>
      <c r="E73" s="15" t="str">
        <f>IFERROR(VLOOKUP($A73,'Dados Tabela Din'!$A$3:$K$20,9,FALSE),"")</f>
        <v/>
      </c>
      <c r="F73" s="16" t="str">
        <f>IFERROR(VLOOKUP($A73,'Dados Tabela Din'!$A$3:$K$20,6,FALSE),"")</f>
        <v/>
      </c>
      <c r="G73" s="16" t="str">
        <f>IFERROR(VLOOKUP($A73,'Dados Tabela Din'!$A$3:$K$20,7,FALSE),"")</f>
        <v/>
      </c>
      <c r="H73" s="16" t="str">
        <f>IFERROR(VLOOKUP($A73,'Dados Tabela Din'!$A$3:$K$20,8,FALSE),"")</f>
        <v/>
      </c>
      <c r="I73" s="15" t="str">
        <f>IFERROR(VLOOKUP($A73,'Dados Tabela Din'!$A$3:$K$20,4,FALSE),"")</f>
        <v/>
      </c>
      <c r="J73" s="14"/>
      <c r="K73" s="58" t="str">
        <f t="shared" si="1"/>
        <v/>
      </c>
      <c r="M73" s="14" t="str">
        <f>IFERROR(VLOOKUP(A73,'Dados Tabela Din'!$A$4:$K$20,3,FALSE),"")</f>
        <v/>
      </c>
    </row>
    <row r="74" spans="1:13">
      <c r="A74" s="14"/>
      <c r="B74" s="14" t="str">
        <f>IFERROR(VLOOKUP(A74,'Dados Tabela Din'!$A$4:$K$20,2,FALSE),"")</f>
        <v/>
      </c>
      <c r="C74" s="14"/>
      <c r="D74" s="14" t="str">
        <f>IFERROR(VLOOKUP(A74,'Dados Tabela Din'!$A$4:$K$20,5,FALSE),"")</f>
        <v/>
      </c>
      <c r="E74" s="15" t="str">
        <f>IFERROR(VLOOKUP($A74,'Dados Tabela Din'!$A$3:$K$20,9,FALSE),"")</f>
        <v/>
      </c>
      <c r="F74" s="16" t="str">
        <f>IFERROR(VLOOKUP($A74,'Dados Tabela Din'!$A$3:$K$20,6,FALSE),"")</f>
        <v/>
      </c>
      <c r="G74" s="16" t="str">
        <f>IFERROR(VLOOKUP($A74,'Dados Tabela Din'!$A$3:$K$20,7,FALSE),"")</f>
        <v/>
      </c>
      <c r="H74" s="16" t="str">
        <f>IFERROR(VLOOKUP($A74,'Dados Tabela Din'!$A$3:$K$20,8,FALSE),"")</f>
        <v/>
      </c>
      <c r="I74" s="15" t="str">
        <f>IFERROR(VLOOKUP($A74,'Dados Tabela Din'!$A$3:$K$20,4,FALSE),"")</f>
        <v/>
      </c>
      <c r="J74" s="14"/>
      <c r="K74" s="58" t="str">
        <f t="shared" si="1"/>
        <v/>
      </c>
      <c r="M74" s="14" t="str">
        <f>IFERROR(VLOOKUP(A74,'Dados Tabela Din'!$A$4:$K$20,3,FALSE),"")</f>
        <v/>
      </c>
    </row>
    <row r="75" spans="1:13">
      <c r="A75" s="14"/>
      <c r="B75" s="14" t="str">
        <f>IFERROR(VLOOKUP(A75,'Dados Tabela Din'!$A$4:$K$20,2,FALSE),"")</f>
        <v/>
      </c>
      <c r="C75" s="14"/>
      <c r="D75" s="14" t="str">
        <f>IFERROR(VLOOKUP(A75,'Dados Tabela Din'!$A$4:$K$20,5,FALSE),"")</f>
        <v/>
      </c>
      <c r="E75" s="15" t="str">
        <f>IFERROR(VLOOKUP($A75,'Dados Tabela Din'!$A$3:$K$20,9,FALSE),"")</f>
        <v/>
      </c>
      <c r="F75" s="16" t="str">
        <f>IFERROR(VLOOKUP($A75,'Dados Tabela Din'!$A$3:$K$20,6,FALSE),"")</f>
        <v/>
      </c>
      <c r="G75" s="16" t="str">
        <f>IFERROR(VLOOKUP($A75,'Dados Tabela Din'!$A$3:$K$20,7,FALSE),"")</f>
        <v/>
      </c>
      <c r="H75" s="16" t="str">
        <f>IFERROR(VLOOKUP($A75,'Dados Tabela Din'!$A$3:$K$20,8,FALSE),"")</f>
        <v/>
      </c>
      <c r="I75" s="15" t="str">
        <f>IFERROR(VLOOKUP($A75,'Dados Tabela Din'!$A$3:$K$20,4,FALSE),"")</f>
        <v/>
      </c>
      <c r="J75" s="14"/>
      <c r="K75" s="58" t="str">
        <f t="shared" si="1"/>
        <v/>
      </c>
      <c r="M75" s="14" t="str">
        <f>IFERROR(VLOOKUP(A75,'Dados Tabela Din'!$A$4:$K$20,3,FALSE),"")</f>
        <v/>
      </c>
    </row>
    <row r="76" spans="1:13">
      <c r="A76" s="14"/>
      <c r="B76" s="14" t="str">
        <f>IFERROR(VLOOKUP(A76,'Dados Tabela Din'!$A$4:$K$20,2,FALSE),"")</f>
        <v/>
      </c>
      <c r="C76" s="14"/>
      <c r="D76" s="14" t="str">
        <f>IFERROR(VLOOKUP(A76,'Dados Tabela Din'!$A$4:$K$20,5,FALSE),"")</f>
        <v/>
      </c>
      <c r="E76" s="15" t="str">
        <f>IFERROR(VLOOKUP($A76,'Dados Tabela Din'!$A$3:$K$20,9,FALSE),"")</f>
        <v/>
      </c>
      <c r="F76" s="16" t="str">
        <f>IFERROR(VLOOKUP($A76,'Dados Tabela Din'!$A$3:$K$20,6,FALSE),"")</f>
        <v/>
      </c>
      <c r="G76" s="16" t="str">
        <f>IFERROR(VLOOKUP($A76,'Dados Tabela Din'!$A$3:$K$20,7,FALSE),"")</f>
        <v/>
      </c>
      <c r="H76" s="16" t="str">
        <f>IFERROR(VLOOKUP($A76,'Dados Tabela Din'!$A$3:$K$20,8,FALSE),"")</f>
        <v/>
      </c>
      <c r="I76" s="15" t="str">
        <f>IFERROR(VLOOKUP($A76,'Dados Tabela Din'!$A$3:$K$20,4,FALSE),"")</f>
        <v/>
      </c>
      <c r="J76" s="14"/>
      <c r="K76" s="58" t="str">
        <f t="shared" si="1"/>
        <v/>
      </c>
      <c r="M76" s="14" t="str">
        <f>IFERROR(VLOOKUP(A76,'Dados Tabela Din'!$A$4:$K$20,3,FALSE),"")</f>
        <v/>
      </c>
    </row>
    <row r="77" spans="1:13">
      <c r="A77" s="14"/>
      <c r="B77" s="14" t="str">
        <f>IFERROR(VLOOKUP(A77,'Dados Tabela Din'!$A$4:$K$20,2,FALSE),"")</f>
        <v/>
      </c>
      <c r="C77" s="14"/>
      <c r="D77" s="14" t="str">
        <f>IFERROR(VLOOKUP(A77,'Dados Tabela Din'!$A$4:$K$20,5,FALSE),"")</f>
        <v/>
      </c>
      <c r="E77" s="15" t="str">
        <f>IFERROR(VLOOKUP($A77,'Dados Tabela Din'!$A$3:$K$20,9,FALSE),"")</f>
        <v/>
      </c>
      <c r="F77" s="16" t="str">
        <f>IFERROR(VLOOKUP($A77,'Dados Tabela Din'!$A$3:$K$20,6,FALSE),"")</f>
        <v/>
      </c>
      <c r="G77" s="16" t="str">
        <f>IFERROR(VLOOKUP($A77,'Dados Tabela Din'!$A$3:$K$20,7,FALSE),"")</f>
        <v/>
      </c>
      <c r="H77" s="16" t="str">
        <f>IFERROR(VLOOKUP($A77,'Dados Tabela Din'!$A$3:$K$20,8,FALSE),"")</f>
        <v/>
      </c>
      <c r="I77" s="15" t="str">
        <f>IFERROR(VLOOKUP($A77,'Dados Tabela Din'!$A$3:$K$20,4,FALSE),"")</f>
        <v/>
      </c>
      <c r="J77" s="14"/>
      <c r="K77" s="58" t="str">
        <f t="shared" si="1"/>
        <v/>
      </c>
      <c r="M77" s="14" t="str">
        <f>IFERROR(VLOOKUP(A77,'Dados Tabela Din'!$A$4:$K$20,3,FALSE),"")</f>
        <v/>
      </c>
    </row>
    <row r="78" spans="1:13">
      <c r="A78" s="14"/>
      <c r="B78" s="14" t="str">
        <f>IFERROR(VLOOKUP(A78,'Dados Tabela Din'!$A$4:$K$20,2,FALSE),"")</f>
        <v/>
      </c>
      <c r="C78" s="14"/>
      <c r="D78" s="14" t="str">
        <f>IFERROR(VLOOKUP(A78,'Dados Tabela Din'!$A$4:$K$20,5,FALSE),"")</f>
        <v/>
      </c>
      <c r="E78" s="15" t="str">
        <f>IFERROR(VLOOKUP($A78,'Dados Tabela Din'!$A$3:$K$20,9,FALSE),"")</f>
        <v/>
      </c>
      <c r="F78" s="16" t="str">
        <f>IFERROR(VLOOKUP($A78,'Dados Tabela Din'!$A$3:$K$20,6,FALSE),"")</f>
        <v/>
      </c>
      <c r="G78" s="16" t="str">
        <f>IFERROR(VLOOKUP($A78,'Dados Tabela Din'!$A$3:$K$20,7,FALSE),"")</f>
        <v/>
      </c>
      <c r="H78" s="16" t="str">
        <f>IFERROR(VLOOKUP($A78,'Dados Tabela Din'!$A$3:$K$20,8,FALSE),"")</f>
        <v/>
      </c>
      <c r="I78" s="15" t="str">
        <f>IFERROR(VLOOKUP($A78,'Dados Tabela Din'!$A$3:$K$20,4,FALSE),"")</f>
        <v/>
      </c>
      <c r="J78" s="14"/>
      <c r="K78" s="58" t="str">
        <f t="shared" si="1"/>
        <v/>
      </c>
      <c r="M78" s="14" t="str">
        <f>IFERROR(VLOOKUP(A78,'Dados Tabela Din'!$A$4:$K$20,3,FALSE),"")</f>
        <v/>
      </c>
    </row>
    <row r="79" spans="1:13">
      <c r="A79" s="14"/>
      <c r="B79" s="14" t="str">
        <f>IFERROR(VLOOKUP(A79,'Dados Tabela Din'!$A$4:$K$20,2,FALSE),"")</f>
        <v/>
      </c>
      <c r="C79" s="14"/>
      <c r="D79" s="14" t="str">
        <f>IFERROR(VLOOKUP(A79,'Dados Tabela Din'!$A$4:$K$20,5,FALSE),"")</f>
        <v/>
      </c>
      <c r="E79" s="15" t="str">
        <f>IFERROR(VLOOKUP($A79,'Dados Tabela Din'!$A$3:$K$20,9,FALSE),"")</f>
        <v/>
      </c>
      <c r="F79" s="16" t="str">
        <f>IFERROR(VLOOKUP($A79,'Dados Tabela Din'!$A$3:$K$20,6,FALSE),"")</f>
        <v/>
      </c>
      <c r="G79" s="16" t="str">
        <f>IFERROR(VLOOKUP($A79,'Dados Tabela Din'!$A$3:$K$20,7,FALSE),"")</f>
        <v/>
      </c>
      <c r="H79" s="16" t="str">
        <f>IFERROR(VLOOKUP($A79,'Dados Tabela Din'!$A$3:$K$20,8,FALSE),"")</f>
        <v/>
      </c>
      <c r="I79" s="15" t="str">
        <f>IFERROR(VLOOKUP($A79,'Dados Tabela Din'!$A$3:$K$20,4,FALSE),"")</f>
        <v/>
      </c>
      <c r="J79" s="14"/>
      <c r="K79" s="58" t="str">
        <f t="shared" si="1"/>
        <v/>
      </c>
      <c r="M79" s="14" t="str">
        <f>IFERROR(VLOOKUP(A79,'Dados Tabela Din'!$A$4:$K$20,3,FALSE),"")</f>
        <v/>
      </c>
    </row>
    <row r="80" spans="1:13">
      <c r="A80" s="14"/>
      <c r="B80" s="14" t="str">
        <f>IFERROR(VLOOKUP(A80,'Dados Tabela Din'!$A$4:$K$20,2,FALSE),"")</f>
        <v/>
      </c>
      <c r="C80" s="14"/>
      <c r="D80" s="14" t="str">
        <f>IFERROR(VLOOKUP(A80,'Dados Tabela Din'!$A$4:$K$20,5,FALSE),"")</f>
        <v/>
      </c>
      <c r="E80" s="15" t="str">
        <f>IFERROR(VLOOKUP($A80,'Dados Tabela Din'!$A$3:$K$20,9,FALSE),"")</f>
        <v/>
      </c>
      <c r="F80" s="16" t="str">
        <f>IFERROR(VLOOKUP($A80,'Dados Tabela Din'!$A$3:$K$20,6,FALSE),"")</f>
        <v/>
      </c>
      <c r="G80" s="16" t="str">
        <f>IFERROR(VLOOKUP($A80,'Dados Tabela Din'!$A$3:$K$20,7,FALSE),"")</f>
        <v/>
      </c>
      <c r="H80" s="16" t="str">
        <f>IFERROR(VLOOKUP($A80,'Dados Tabela Din'!$A$3:$K$20,8,FALSE),"")</f>
        <v/>
      </c>
      <c r="I80" s="15" t="str">
        <f>IFERROR(VLOOKUP($A80,'Dados Tabela Din'!$A$3:$K$20,4,FALSE),"")</f>
        <v/>
      </c>
      <c r="J80" s="14"/>
      <c r="K80" s="58" t="str">
        <f t="shared" si="1"/>
        <v/>
      </c>
      <c r="M80" s="14" t="str">
        <f>IFERROR(VLOOKUP(A80,'Dados Tabela Din'!$A$4:$K$20,3,FALSE),"")</f>
        <v/>
      </c>
    </row>
    <row r="81" spans="1:13">
      <c r="A81" s="14"/>
      <c r="B81" s="14" t="str">
        <f>IFERROR(VLOOKUP(A81,'Dados Tabela Din'!$A$4:$K$20,2,FALSE),"")</f>
        <v/>
      </c>
      <c r="C81" s="14"/>
      <c r="D81" s="14" t="str">
        <f>IFERROR(VLOOKUP(A81,'Dados Tabela Din'!$A$4:$K$20,5,FALSE),"")</f>
        <v/>
      </c>
      <c r="E81" s="15" t="str">
        <f>IFERROR(VLOOKUP($A81,'Dados Tabela Din'!$A$3:$K$20,9,FALSE),"")</f>
        <v/>
      </c>
      <c r="F81" s="16" t="str">
        <f>IFERROR(VLOOKUP($A81,'Dados Tabela Din'!$A$3:$K$20,6,FALSE),"")</f>
        <v/>
      </c>
      <c r="G81" s="16" t="str">
        <f>IFERROR(VLOOKUP($A81,'Dados Tabela Din'!$A$3:$K$20,7,FALSE),"")</f>
        <v/>
      </c>
      <c r="H81" s="16" t="str">
        <f>IFERROR(VLOOKUP($A81,'Dados Tabela Din'!$A$3:$K$20,8,FALSE),"")</f>
        <v/>
      </c>
      <c r="I81" s="15" t="str">
        <f>IFERROR(VLOOKUP($A81,'Dados Tabela Din'!$A$3:$K$20,4,FALSE),"")</f>
        <v/>
      </c>
      <c r="J81" s="14"/>
      <c r="K81" s="58" t="str">
        <f t="shared" si="1"/>
        <v/>
      </c>
      <c r="M81" s="14" t="str">
        <f>IFERROR(VLOOKUP(A81,'Dados Tabela Din'!$A$4:$K$20,3,FALSE),"")</f>
        <v/>
      </c>
    </row>
    <row r="82" spans="1:13">
      <c r="A82" s="14"/>
      <c r="B82" s="14" t="str">
        <f>IFERROR(VLOOKUP(A82,'Dados Tabela Din'!$A$4:$K$20,2,FALSE),"")</f>
        <v/>
      </c>
      <c r="C82" s="14"/>
      <c r="D82" s="14" t="str">
        <f>IFERROR(VLOOKUP(A82,'Dados Tabela Din'!$A$4:$K$20,5,FALSE),"")</f>
        <v/>
      </c>
      <c r="E82" s="15" t="str">
        <f>IFERROR(VLOOKUP($A82,'Dados Tabela Din'!$A$3:$K$20,9,FALSE),"")</f>
        <v/>
      </c>
      <c r="F82" s="16" t="str">
        <f>IFERROR(VLOOKUP($A82,'Dados Tabela Din'!$A$3:$K$20,6,FALSE),"")</f>
        <v/>
      </c>
      <c r="G82" s="16" t="str">
        <f>IFERROR(VLOOKUP($A82,'Dados Tabela Din'!$A$3:$K$20,7,FALSE),"")</f>
        <v/>
      </c>
      <c r="H82" s="16" t="str">
        <f>IFERROR(VLOOKUP($A82,'Dados Tabela Din'!$A$3:$K$20,8,FALSE),"")</f>
        <v/>
      </c>
      <c r="I82" s="15" t="str">
        <f>IFERROR(VLOOKUP($A82,'Dados Tabela Din'!$A$3:$K$20,4,FALSE),"")</f>
        <v/>
      </c>
      <c r="J82" s="14"/>
      <c r="K82" s="58" t="str">
        <f t="shared" si="1"/>
        <v/>
      </c>
      <c r="M82" s="14" t="str">
        <f>IFERROR(VLOOKUP(A82,'Dados Tabela Din'!$A$4:$K$20,3,FALSE),"")</f>
        <v/>
      </c>
    </row>
    <row r="83" spans="1:13">
      <c r="A83" s="14"/>
      <c r="B83" s="14" t="str">
        <f>IFERROR(VLOOKUP(A83,'Dados Tabela Din'!$A$4:$K$20,2,FALSE),"")</f>
        <v/>
      </c>
      <c r="C83" s="14"/>
      <c r="D83" s="14" t="str">
        <f>IFERROR(VLOOKUP(A83,'Dados Tabela Din'!$A$4:$K$20,5,FALSE),"")</f>
        <v/>
      </c>
      <c r="E83" s="15" t="str">
        <f>IFERROR(VLOOKUP($A83,'Dados Tabela Din'!$A$3:$K$20,9,FALSE),"")</f>
        <v/>
      </c>
      <c r="F83" s="16" t="str">
        <f>IFERROR(VLOOKUP($A83,'Dados Tabela Din'!$A$3:$K$20,6,FALSE),"")</f>
        <v/>
      </c>
      <c r="G83" s="16" t="str">
        <f>IFERROR(VLOOKUP($A83,'Dados Tabela Din'!$A$3:$K$20,7,FALSE),"")</f>
        <v/>
      </c>
      <c r="H83" s="16" t="str">
        <f>IFERROR(VLOOKUP($A83,'Dados Tabela Din'!$A$3:$K$20,8,FALSE),"")</f>
        <v/>
      </c>
      <c r="I83" s="15" t="str">
        <f>IFERROR(VLOOKUP($A83,'Dados Tabela Din'!$A$3:$K$20,4,FALSE),"")</f>
        <v/>
      </c>
      <c r="J83" s="14"/>
      <c r="K83" s="58" t="str">
        <f t="shared" si="1"/>
        <v/>
      </c>
      <c r="M83" s="14" t="str">
        <f>IFERROR(VLOOKUP(A83,'Dados Tabela Din'!$A$4:$K$20,3,FALSE),"")</f>
        <v/>
      </c>
    </row>
    <row r="84" spans="1:13">
      <c r="A84" s="14"/>
      <c r="B84" s="14" t="str">
        <f>IFERROR(VLOOKUP(A84,'Dados Tabela Din'!$A$4:$K$20,2,FALSE),"")</f>
        <v/>
      </c>
      <c r="C84" s="14"/>
      <c r="D84" s="14" t="str">
        <f>IFERROR(VLOOKUP(A84,'Dados Tabela Din'!$A$4:$K$20,5,FALSE),"")</f>
        <v/>
      </c>
      <c r="E84" s="15" t="str">
        <f>IFERROR(VLOOKUP($A84,'Dados Tabela Din'!$A$3:$K$20,9,FALSE),"")</f>
        <v/>
      </c>
      <c r="F84" s="16" t="str">
        <f>IFERROR(VLOOKUP($A84,'Dados Tabela Din'!$A$3:$K$20,6,FALSE),"")</f>
        <v/>
      </c>
      <c r="G84" s="16" t="str">
        <f>IFERROR(VLOOKUP($A84,'Dados Tabela Din'!$A$3:$K$20,7,FALSE),"")</f>
        <v/>
      </c>
      <c r="H84" s="16" t="str">
        <f>IFERROR(VLOOKUP($A84,'Dados Tabela Din'!$A$3:$K$20,8,FALSE),"")</f>
        <v/>
      </c>
      <c r="I84" s="15" t="str">
        <f>IFERROR(VLOOKUP($A84,'Dados Tabela Din'!$A$3:$K$20,4,FALSE),"")</f>
        <v/>
      </c>
      <c r="J84" s="14"/>
      <c r="K84" s="58" t="str">
        <f t="shared" si="1"/>
        <v/>
      </c>
      <c r="M84" s="14" t="str">
        <f>IFERROR(VLOOKUP(A84,'Dados Tabela Din'!$A$4:$K$20,3,FALSE),"")</f>
        <v/>
      </c>
    </row>
    <row r="85" spans="1:13">
      <c r="A85" s="14"/>
      <c r="B85" s="14" t="str">
        <f>IFERROR(VLOOKUP(A85,'Dados Tabela Din'!$A$4:$K$20,2,FALSE),"")</f>
        <v/>
      </c>
      <c r="C85" s="14"/>
      <c r="D85" s="14" t="str">
        <f>IFERROR(VLOOKUP(A85,'Dados Tabela Din'!$A$4:$K$20,5,FALSE),"")</f>
        <v/>
      </c>
      <c r="E85" s="15" t="str">
        <f>IFERROR(VLOOKUP($A85,'Dados Tabela Din'!$A$3:$K$20,9,FALSE),"")</f>
        <v/>
      </c>
      <c r="F85" s="16" t="str">
        <f>IFERROR(VLOOKUP($A85,'Dados Tabela Din'!$A$3:$K$20,6,FALSE),"")</f>
        <v/>
      </c>
      <c r="G85" s="16" t="str">
        <f>IFERROR(VLOOKUP($A85,'Dados Tabela Din'!$A$3:$K$20,7,FALSE),"")</f>
        <v/>
      </c>
      <c r="H85" s="16" t="str">
        <f>IFERROR(VLOOKUP($A85,'Dados Tabela Din'!$A$3:$K$20,8,FALSE),"")</f>
        <v/>
      </c>
      <c r="I85" s="15" t="str">
        <f>IFERROR(VLOOKUP($A85,'Dados Tabela Din'!$A$3:$K$20,4,FALSE),"")</f>
        <v/>
      </c>
      <c r="J85" s="14"/>
      <c r="K85" s="58" t="str">
        <f t="shared" si="1"/>
        <v/>
      </c>
      <c r="M85" s="14" t="str">
        <f>IFERROR(VLOOKUP(A85,'Dados Tabela Din'!$A$4:$K$20,3,FALSE),"")</f>
        <v/>
      </c>
    </row>
    <row r="86" spans="1:13">
      <c r="A86" s="14"/>
      <c r="B86" s="14" t="str">
        <f>IFERROR(VLOOKUP(A86,'Dados Tabela Din'!$A$4:$K$20,2,FALSE),"")</f>
        <v/>
      </c>
      <c r="C86" s="14"/>
      <c r="D86" s="14" t="str">
        <f>IFERROR(VLOOKUP(A86,'Dados Tabela Din'!$A$4:$K$20,5,FALSE),"")</f>
        <v/>
      </c>
      <c r="E86" s="15" t="str">
        <f>IFERROR(VLOOKUP($A86,'Dados Tabela Din'!$A$3:$K$20,9,FALSE),"")</f>
        <v/>
      </c>
      <c r="F86" s="16" t="str">
        <f>IFERROR(VLOOKUP($A86,'Dados Tabela Din'!$A$3:$K$20,6,FALSE),"")</f>
        <v/>
      </c>
      <c r="G86" s="16" t="str">
        <f>IFERROR(VLOOKUP($A86,'Dados Tabela Din'!$A$3:$K$20,7,FALSE),"")</f>
        <v/>
      </c>
      <c r="H86" s="16" t="str">
        <f>IFERROR(VLOOKUP($A86,'Dados Tabela Din'!$A$3:$K$20,8,FALSE),"")</f>
        <v/>
      </c>
      <c r="I86" s="15" t="str">
        <f>IFERROR(VLOOKUP($A86,'Dados Tabela Din'!$A$3:$K$20,4,FALSE),"")</f>
        <v/>
      </c>
      <c r="J86" s="14"/>
      <c r="K86" s="58" t="str">
        <f t="shared" si="1"/>
        <v/>
      </c>
      <c r="M86" s="14" t="str">
        <f>IFERROR(VLOOKUP(A86,'Dados Tabela Din'!$A$4:$K$20,3,FALSE),"")</f>
        <v/>
      </c>
    </row>
    <row r="87" spans="1:13">
      <c r="A87" s="14"/>
      <c r="B87" s="14" t="str">
        <f>IFERROR(VLOOKUP(A87,'Dados Tabela Din'!$A$4:$K$20,2,FALSE),"")</f>
        <v/>
      </c>
      <c r="C87" s="14"/>
      <c r="D87" s="14" t="str">
        <f>IFERROR(VLOOKUP(A87,'Dados Tabela Din'!$A$4:$K$20,5,FALSE),"")</f>
        <v/>
      </c>
      <c r="E87" s="15" t="str">
        <f>IFERROR(VLOOKUP($A87,'Dados Tabela Din'!$A$3:$K$20,9,FALSE),"")</f>
        <v/>
      </c>
      <c r="F87" s="16" t="str">
        <f>IFERROR(VLOOKUP($A87,'Dados Tabela Din'!$A$3:$K$20,6,FALSE),"")</f>
        <v/>
      </c>
      <c r="G87" s="16" t="str">
        <f>IFERROR(VLOOKUP($A87,'Dados Tabela Din'!$A$3:$K$20,7,FALSE),"")</f>
        <v/>
      </c>
      <c r="H87" s="16" t="str">
        <f>IFERROR(VLOOKUP($A87,'Dados Tabela Din'!$A$3:$K$20,8,FALSE),"")</f>
        <v/>
      </c>
      <c r="I87" s="15" t="str">
        <f>IFERROR(VLOOKUP($A87,'Dados Tabela Din'!$A$3:$K$20,4,FALSE),"")</f>
        <v/>
      </c>
      <c r="J87" s="14"/>
      <c r="K87" s="58" t="str">
        <f t="shared" si="1"/>
        <v/>
      </c>
      <c r="M87" s="14" t="str">
        <f>IFERROR(VLOOKUP(A87,'Dados Tabela Din'!$A$4:$K$20,3,FALSE),"")</f>
        <v/>
      </c>
    </row>
    <row r="88" spans="1:13">
      <c r="A88" s="14"/>
      <c r="B88" s="14" t="str">
        <f>IFERROR(VLOOKUP(A88,'Dados Tabela Din'!$A$4:$K$20,2,FALSE),"")</f>
        <v/>
      </c>
      <c r="C88" s="14"/>
      <c r="D88" s="14" t="str">
        <f>IFERROR(VLOOKUP(A88,'Dados Tabela Din'!$A$4:$K$20,5,FALSE),"")</f>
        <v/>
      </c>
      <c r="E88" s="15" t="str">
        <f>IFERROR(VLOOKUP($A88,'Dados Tabela Din'!$A$3:$K$20,9,FALSE),"")</f>
        <v/>
      </c>
      <c r="F88" s="16" t="str">
        <f>IFERROR(VLOOKUP($A88,'Dados Tabela Din'!$A$3:$K$20,6,FALSE),"")</f>
        <v/>
      </c>
      <c r="G88" s="16" t="str">
        <f>IFERROR(VLOOKUP($A88,'Dados Tabela Din'!$A$3:$K$20,7,FALSE),"")</f>
        <v/>
      </c>
      <c r="H88" s="16" t="str">
        <f>IFERROR(VLOOKUP($A88,'Dados Tabela Din'!$A$3:$K$20,8,FALSE),"")</f>
        <v/>
      </c>
      <c r="I88" s="15" t="str">
        <f>IFERROR(VLOOKUP($A88,'Dados Tabela Din'!$A$3:$K$20,4,FALSE),"")</f>
        <v/>
      </c>
      <c r="J88" s="14"/>
      <c r="K88" s="58" t="str">
        <f t="shared" si="1"/>
        <v/>
      </c>
      <c r="M88" s="14" t="str">
        <f>IFERROR(VLOOKUP(A88,'Dados Tabela Din'!$A$4:$K$20,3,FALSE),"")</f>
        <v/>
      </c>
    </row>
    <row r="89" spans="1:13">
      <c r="A89" s="14"/>
      <c r="B89" s="14" t="str">
        <f>IFERROR(VLOOKUP(A89,'Dados Tabela Din'!$A$4:$K$20,2,FALSE),"")</f>
        <v/>
      </c>
      <c r="C89" s="14"/>
      <c r="D89" s="14" t="str">
        <f>IFERROR(VLOOKUP(A89,'Dados Tabela Din'!$A$4:$K$20,5,FALSE),"")</f>
        <v/>
      </c>
      <c r="E89" s="15" t="str">
        <f>IFERROR(VLOOKUP($A89,'Dados Tabela Din'!$A$3:$K$20,9,FALSE),"")</f>
        <v/>
      </c>
      <c r="F89" s="16" t="str">
        <f>IFERROR(VLOOKUP($A89,'Dados Tabela Din'!$A$3:$K$20,6,FALSE),"")</f>
        <v/>
      </c>
      <c r="G89" s="16" t="str">
        <f>IFERROR(VLOOKUP($A89,'Dados Tabela Din'!$A$3:$K$20,7,FALSE),"")</f>
        <v/>
      </c>
      <c r="H89" s="16" t="str">
        <f>IFERROR(VLOOKUP($A89,'Dados Tabela Din'!$A$3:$K$20,8,FALSE),"")</f>
        <v/>
      </c>
      <c r="I89" s="15" t="str">
        <f>IFERROR(VLOOKUP($A89,'Dados Tabela Din'!$A$3:$K$20,4,FALSE),"")</f>
        <v/>
      </c>
      <c r="J89" s="14"/>
      <c r="K89" s="58" t="str">
        <f t="shared" si="1"/>
        <v/>
      </c>
      <c r="M89" s="14" t="str">
        <f>IFERROR(VLOOKUP(A89,'Dados Tabela Din'!$A$4:$K$20,3,FALSE),"")</f>
        <v/>
      </c>
    </row>
    <row r="90" spans="1:13">
      <c r="A90" s="14"/>
      <c r="B90" s="14" t="str">
        <f>IFERROR(VLOOKUP(A90,'Dados Tabela Din'!$A$4:$K$20,2,FALSE),"")</f>
        <v/>
      </c>
      <c r="C90" s="14"/>
      <c r="D90" s="14" t="str">
        <f>IFERROR(VLOOKUP(A90,'Dados Tabela Din'!$A$4:$K$20,5,FALSE),"")</f>
        <v/>
      </c>
      <c r="E90" s="15" t="str">
        <f>IFERROR(VLOOKUP($A90,'Dados Tabela Din'!$A$3:$K$20,9,FALSE),"")</f>
        <v/>
      </c>
      <c r="F90" s="16" t="str">
        <f>IFERROR(VLOOKUP($A90,'Dados Tabela Din'!$A$3:$K$20,6,FALSE),"")</f>
        <v/>
      </c>
      <c r="G90" s="16" t="str">
        <f>IFERROR(VLOOKUP($A90,'Dados Tabela Din'!$A$3:$K$20,7,FALSE),"")</f>
        <v/>
      </c>
      <c r="H90" s="16" t="str">
        <f>IFERROR(VLOOKUP($A90,'Dados Tabela Din'!$A$3:$K$20,8,FALSE),"")</f>
        <v/>
      </c>
      <c r="I90" s="15" t="str">
        <f>IFERROR(VLOOKUP($A90,'Dados Tabela Din'!$A$3:$K$20,4,FALSE),"")</f>
        <v/>
      </c>
      <c r="J90" s="14"/>
      <c r="K90" s="58" t="str">
        <f t="shared" si="1"/>
        <v/>
      </c>
      <c r="M90" s="14" t="str">
        <f>IFERROR(VLOOKUP(A90,'Dados Tabela Din'!$A$4:$K$20,3,FALSE),"")</f>
        <v/>
      </c>
    </row>
    <row r="91" spans="1:13">
      <c r="A91" s="14"/>
      <c r="B91" s="14" t="str">
        <f>IFERROR(VLOOKUP(A91,'Dados Tabela Din'!$A$4:$K$20,2,FALSE),"")</f>
        <v/>
      </c>
      <c r="C91" s="14"/>
      <c r="D91" s="14" t="str">
        <f>IFERROR(VLOOKUP(A91,'Dados Tabela Din'!$A$4:$K$20,5,FALSE),"")</f>
        <v/>
      </c>
      <c r="E91" s="15" t="str">
        <f>IFERROR(VLOOKUP($A91,'Dados Tabela Din'!$A$3:$K$20,9,FALSE),"")</f>
        <v/>
      </c>
      <c r="F91" s="16" t="str">
        <f>IFERROR(VLOOKUP($A91,'Dados Tabela Din'!$A$3:$K$20,6,FALSE),"")</f>
        <v/>
      </c>
      <c r="G91" s="16" t="str">
        <f>IFERROR(VLOOKUP($A91,'Dados Tabela Din'!$A$3:$K$20,7,FALSE),"")</f>
        <v/>
      </c>
      <c r="H91" s="16" t="str">
        <f>IFERROR(VLOOKUP($A91,'Dados Tabela Din'!$A$3:$K$20,8,FALSE),"")</f>
        <v/>
      </c>
      <c r="I91" s="15" t="str">
        <f>IFERROR(VLOOKUP($A91,'Dados Tabela Din'!$A$3:$K$20,4,FALSE),"")</f>
        <v/>
      </c>
      <c r="J91" s="14"/>
      <c r="K91" s="58" t="str">
        <f t="shared" si="1"/>
        <v/>
      </c>
      <c r="M91" s="14" t="str">
        <f>IFERROR(VLOOKUP(A91,'Dados Tabela Din'!$A$4:$K$20,3,FALSE),"")</f>
        <v/>
      </c>
    </row>
    <row r="92" spans="1:13">
      <c r="A92" s="14"/>
      <c r="B92" s="14" t="str">
        <f>IFERROR(VLOOKUP(A92,'Dados Tabela Din'!$A$4:$K$20,2,FALSE),"")</f>
        <v/>
      </c>
      <c r="C92" s="14"/>
      <c r="D92" s="14" t="str">
        <f>IFERROR(VLOOKUP(A92,'Dados Tabela Din'!$A$4:$K$20,5,FALSE),"")</f>
        <v/>
      </c>
      <c r="E92" s="15" t="str">
        <f>IFERROR(VLOOKUP($A92,'Dados Tabela Din'!$A$3:$K$20,9,FALSE),"")</f>
        <v/>
      </c>
      <c r="F92" s="16" t="str">
        <f>IFERROR(VLOOKUP($A92,'Dados Tabela Din'!$A$3:$K$20,6,FALSE),"")</f>
        <v/>
      </c>
      <c r="G92" s="16" t="str">
        <f>IFERROR(VLOOKUP($A92,'Dados Tabela Din'!$A$3:$K$20,7,FALSE),"")</f>
        <v/>
      </c>
      <c r="H92" s="16" t="str">
        <f>IFERROR(VLOOKUP($A92,'Dados Tabela Din'!$A$3:$K$20,8,FALSE),"")</f>
        <v/>
      </c>
      <c r="I92" s="15" t="str">
        <f>IFERROR(VLOOKUP($A92,'Dados Tabela Din'!$A$3:$K$20,4,FALSE),"")</f>
        <v/>
      </c>
      <c r="J92" s="14"/>
      <c r="K92" s="58" t="str">
        <f t="shared" si="1"/>
        <v/>
      </c>
      <c r="M92" s="14" t="str">
        <f>IFERROR(VLOOKUP(A92,'Dados Tabela Din'!$A$4:$K$20,3,FALSE),"")</f>
        <v/>
      </c>
    </row>
    <row r="93" spans="1:13">
      <c r="A93" s="14"/>
      <c r="B93" s="14" t="str">
        <f>IFERROR(VLOOKUP(A93,'Dados Tabela Din'!$A$4:$K$20,2,FALSE),"")</f>
        <v/>
      </c>
      <c r="C93" s="14"/>
      <c r="D93" s="14" t="str">
        <f>IFERROR(VLOOKUP(A93,'Dados Tabela Din'!$A$4:$K$20,5,FALSE),"")</f>
        <v/>
      </c>
      <c r="E93" s="15" t="str">
        <f>IFERROR(VLOOKUP($A93,'Dados Tabela Din'!$A$3:$K$20,9,FALSE),"")</f>
        <v/>
      </c>
      <c r="F93" s="16" t="str">
        <f>IFERROR(VLOOKUP($A93,'Dados Tabela Din'!$A$3:$K$20,6,FALSE),"")</f>
        <v/>
      </c>
      <c r="G93" s="16" t="str">
        <f>IFERROR(VLOOKUP($A93,'Dados Tabela Din'!$A$3:$K$20,7,FALSE),"")</f>
        <v/>
      </c>
      <c r="H93" s="16" t="str">
        <f>IFERROR(VLOOKUP($A93,'Dados Tabela Din'!$A$3:$K$20,8,FALSE),"")</f>
        <v/>
      </c>
      <c r="I93" s="15" t="str">
        <f>IFERROR(VLOOKUP($A93,'Dados Tabela Din'!$A$3:$K$20,4,FALSE),"")</f>
        <v/>
      </c>
      <c r="J93" s="14"/>
      <c r="K93" s="58" t="str">
        <f t="shared" si="1"/>
        <v/>
      </c>
      <c r="M93" s="14" t="str">
        <f>IFERROR(VLOOKUP(A93,'Dados Tabela Din'!$A$4:$K$20,3,FALSE),"")</f>
        <v/>
      </c>
    </row>
    <row r="94" spans="1:13">
      <c r="A94" s="14"/>
      <c r="B94" s="14" t="str">
        <f>IFERROR(VLOOKUP(A94,'Dados Tabela Din'!$A$4:$K$20,2,FALSE),"")</f>
        <v/>
      </c>
      <c r="C94" s="14"/>
      <c r="D94" s="14" t="str">
        <f>IFERROR(VLOOKUP(A94,'Dados Tabela Din'!$A$4:$K$20,5,FALSE),"")</f>
        <v/>
      </c>
      <c r="E94" s="15" t="str">
        <f>IFERROR(VLOOKUP($A94,'Dados Tabela Din'!$A$3:$K$20,9,FALSE),"")</f>
        <v/>
      </c>
      <c r="F94" s="16" t="str">
        <f>IFERROR(VLOOKUP($A94,'Dados Tabela Din'!$A$3:$K$20,6,FALSE),"")</f>
        <v/>
      </c>
      <c r="G94" s="16" t="str">
        <f>IFERROR(VLOOKUP($A94,'Dados Tabela Din'!$A$3:$K$20,7,FALSE),"")</f>
        <v/>
      </c>
      <c r="H94" s="16" t="str">
        <f>IFERROR(VLOOKUP($A94,'Dados Tabela Din'!$A$3:$K$20,8,FALSE),"")</f>
        <v/>
      </c>
      <c r="I94" s="15" t="str">
        <f>IFERROR(VLOOKUP($A94,'Dados Tabela Din'!$A$3:$K$20,4,FALSE),"")</f>
        <v/>
      </c>
      <c r="J94" s="14"/>
      <c r="K94" s="58" t="str">
        <f t="shared" si="1"/>
        <v/>
      </c>
      <c r="M94" s="14" t="str">
        <f>IFERROR(VLOOKUP(A94,'Dados Tabela Din'!$A$4:$K$20,3,FALSE),"")</f>
        <v/>
      </c>
    </row>
    <row r="95" spans="1:13">
      <c r="A95" s="14"/>
      <c r="B95" s="14" t="str">
        <f>IFERROR(VLOOKUP(A95,'Dados Tabela Din'!$A$4:$K$20,2,FALSE),"")</f>
        <v/>
      </c>
      <c r="C95" s="14"/>
      <c r="D95" s="14" t="str">
        <f>IFERROR(VLOOKUP(A95,'Dados Tabela Din'!$A$4:$K$20,5,FALSE),"")</f>
        <v/>
      </c>
      <c r="E95" s="15" t="str">
        <f>IFERROR(VLOOKUP($A95,'Dados Tabela Din'!$A$3:$K$20,9,FALSE),"")</f>
        <v/>
      </c>
      <c r="F95" s="16" t="str">
        <f>IFERROR(VLOOKUP($A95,'Dados Tabela Din'!$A$3:$K$20,6,FALSE),"")</f>
        <v/>
      </c>
      <c r="G95" s="16" t="str">
        <f>IFERROR(VLOOKUP($A95,'Dados Tabela Din'!$A$3:$K$20,7,FALSE),"")</f>
        <v/>
      </c>
      <c r="H95" s="16" t="str">
        <f>IFERROR(VLOOKUP($A95,'Dados Tabela Din'!$A$3:$K$20,8,FALSE),"")</f>
        <v/>
      </c>
      <c r="I95" s="15" t="str">
        <f>IFERROR(VLOOKUP($A95,'Dados Tabela Din'!$A$3:$K$20,4,FALSE),"")</f>
        <v/>
      </c>
      <c r="J95" s="14"/>
      <c r="K95" s="58" t="str">
        <f t="shared" si="1"/>
        <v/>
      </c>
      <c r="M95" s="14" t="str">
        <f>IFERROR(VLOOKUP(A95,'Dados Tabela Din'!$A$4:$K$20,3,FALSE),"")</f>
        <v/>
      </c>
    </row>
    <row r="96" spans="1:13">
      <c r="A96" s="14"/>
      <c r="B96" s="14" t="str">
        <f>IFERROR(VLOOKUP(A96,'Dados Tabela Din'!$A$4:$K$20,2,FALSE),"")</f>
        <v/>
      </c>
      <c r="C96" s="14"/>
      <c r="D96" s="14" t="str">
        <f>IFERROR(VLOOKUP(A96,'Dados Tabela Din'!$A$4:$K$20,5,FALSE),"")</f>
        <v/>
      </c>
      <c r="E96" s="15" t="str">
        <f>IFERROR(VLOOKUP($A96,'Dados Tabela Din'!$A$3:$K$20,9,FALSE),"")</f>
        <v/>
      </c>
      <c r="F96" s="16" t="str">
        <f>IFERROR(VLOOKUP($A96,'Dados Tabela Din'!$A$3:$K$20,6,FALSE),"")</f>
        <v/>
      </c>
      <c r="G96" s="16" t="str">
        <f>IFERROR(VLOOKUP($A96,'Dados Tabela Din'!$A$3:$K$20,7,FALSE),"")</f>
        <v/>
      </c>
      <c r="H96" s="16" t="str">
        <f>IFERROR(VLOOKUP($A96,'Dados Tabela Din'!$A$3:$K$20,8,FALSE),"")</f>
        <v/>
      </c>
      <c r="I96" s="15" t="str">
        <f>IFERROR(VLOOKUP($A96,'Dados Tabela Din'!$A$3:$K$20,4,FALSE),"")</f>
        <v/>
      </c>
      <c r="J96" s="14"/>
      <c r="K96" s="58" t="str">
        <f t="shared" si="1"/>
        <v/>
      </c>
      <c r="M96" s="14" t="str">
        <f>IFERROR(VLOOKUP(A96,'Dados Tabela Din'!$A$4:$K$20,3,FALSE),"")</f>
        <v/>
      </c>
    </row>
    <row r="97" spans="1:13">
      <c r="A97" s="14"/>
      <c r="B97" s="14" t="str">
        <f>IFERROR(VLOOKUP(A97,'Dados Tabela Din'!$A$4:$K$20,2,FALSE),"")</f>
        <v/>
      </c>
      <c r="C97" s="14"/>
      <c r="D97" s="14" t="str">
        <f>IFERROR(VLOOKUP(A97,'Dados Tabela Din'!$A$4:$K$20,5,FALSE),"")</f>
        <v/>
      </c>
      <c r="E97" s="15" t="str">
        <f>IFERROR(VLOOKUP($A97,'Dados Tabela Din'!$A$3:$K$20,9,FALSE),"")</f>
        <v/>
      </c>
      <c r="F97" s="16" t="str">
        <f>IFERROR(VLOOKUP($A97,'Dados Tabela Din'!$A$3:$K$20,6,FALSE),"")</f>
        <v/>
      </c>
      <c r="G97" s="16" t="str">
        <f>IFERROR(VLOOKUP($A97,'Dados Tabela Din'!$A$3:$K$20,7,FALSE),"")</f>
        <v/>
      </c>
      <c r="H97" s="16" t="str">
        <f>IFERROR(VLOOKUP($A97,'Dados Tabela Din'!$A$3:$K$20,8,FALSE),"")</f>
        <v/>
      </c>
      <c r="I97" s="15" t="str">
        <f>IFERROR(VLOOKUP($A97,'Dados Tabela Din'!$A$3:$K$20,4,FALSE),"")</f>
        <v/>
      </c>
      <c r="J97" s="14"/>
      <c r="K97" s="58" t="str">
        <f t="shared" si="1"/>
        <v/>
      </c>
      <c r="M97" s="14" t="str">
        <f>IFERROR(VLOOKUP(A97,'Dados Tabela Din'!$A$4:$K$20,3,FALSE),"")</f>
        <v/>
      </c>
    </row>
    <row r="98" spans="1:13">
      <c r="A98" s="14"/>
      <c r="B98" s="14" t="str">
        <f>IFERROR(VLOOKUP(A98,'Dados Tabela Din'!$A$4:$K$20,2,FALSE),"")</f>
        <v/>
      </c>
      <c r="C98" s="14"/>
      <c r="D98" s="14" t="str">
        <f>IFERROR(VLOOKUP(A98,'Dados Tabela Din'!$A$4:$K$20,5,FALSE),"")</f>
        <v/>
      </c>
      <c r="E98" s="15" t="str">
        <f>IFERROR(VLOOKUP($A98,'Dados Tabela Din'!$A$3:$K$20,9,FALSE),"")</f>
        <v/>
      </c>
      <c r="F98" s="16" t="str">
        <f>IFERROR(VLOOKUP($A98,'Dados Tabela Din'!$A$3:$K$20,6,FALSE),"")</f>
        <v/>
      </c>
      <c r="G98" s="16" t="str">
        <f>IFERROR(VLOOKUP($A98,'Dados Tabela Din'!$A$3:$K$20,7,FALSE),"")</f>
        <v/>
      </c>
      <c r="H98" s="16" t="str">
        <f>IFERROR(VLOOKUP($A98,'Dados Tabela Din'!$A$3:$K$20,8,FALSE),"")</f>
        <v/>
      </c>
      <c r="I98" s="15" t="str">
        <f>IFERROR(VLOOKUP($A98,'Dados Tabela Din'!$A$3:$K$20,4,FALSE),"")</f>
        <v/>
      </c>
      <c r="J98" s="14"/>
      <c r="K98" s="58" t="str">
        <f t="shared" si="1"/>
        <v/>
      </c>
      <c r="M98" s="14" t="str">
        <f>IFERROR(VLOOKUP(A98,'Dados Tabela Din'!$A$4:$K$20,3,FALSE),"")</f>
        <v/>
      </c>
    </row>
    <row r="99" spans="1:13">
      <c r="A99" s="14"/>
      <c r="B99" s="14" t="str">
        <f>IFERROR(VLOOKUP(A99,'Dados Tabela Din'!$A$4:$K$20,2,FALSE),"")</f>
        <v/>
      </c>
      <c r="C99" s="14"/>
      <c r="D99" s="14" t="str">
        <f>IFERROR(VLOOKUP(A99,'Dados Tabela Din'!$A$4:$K$20,5,FALSE),"")</f>
        <v/>
      </c>
      <c r="E99" s="15" t="str">
        <f>IFERROR(VLOOKUP($A99,'Dados Tabela Din'!$A$3:$K$20,9,FALSE),"")</f>
        <v/>
      </c>
      <c r="F99" s="16" t="str">
        <f>IFERROR(VLOOKUP($A99,'Dados Tabela Din'!$A$3:$K$20,6,FALSE),"")</f>
        <v/>
      </c>
      <c r="G99" s="16" t="str">
        <f>IFERROR(VLOOKUP($A99,'Dados Tabela Din'!$A$3:$K$20,7,FALSE),"")</f>
        <v/>
      </c>
      <c r="H99" s="16" t="str">
        <f>IFERROR(VLOOKUP($A99,'Dados Tabela Din'!$A$3:$K$20,8,FALSE),"")</f>
        <v/>
      </c>
      <c r="I99" s="15" t="str">
        <f>IFERROR(VLOOKUP($A99,'Dados Tabela Din'!$A$3:$K$20,4,FALSE),"")</f>
        <v/>
      </c>
      <c r="J99" s="14"/>
      <c r="K99" s="58" t="str">
        <f t="shared" si="1"/>
        <v/>
      </c>
      <c r="M99" s="14" t="str">
        <f>IFERROR(VLOOKUP(A99,'Dados Tabela Din'!$A$4:$K$20,3,FALSE),"")</f>
        <v/>
      </c>
    </row>
    <row r="100" spans="1:13">
      <c r="A100" s="14"/>
      <c r="B100" s="14" t="str">
        <f>IFERROR(VLOOKUP(A100,'Dados Tabela Din'!$A$4:$K$20,2,FALSE),"")</f>
        <v/>
      </c>
      <c r="C100" s="14"/>
      <c r="D100" s="14" t="str">
        <f>IFERROR(VLOOKUP(A100,'Dados Tabela Din'!$A$4:$K$20,5,FALSE),"")</f>
        <v/>
      </c>
      <c r="E100" s="15" t="str">
        <f>IFERROR(VLOOKUP($A100,'Dados Tabela Din'!$A$3:$K$20,9,FALSE),"")</f>
        <v/>
      </c>
      <c r="F100" s="16" t="str">
        <f>IFERROR(VLOOKUP($A100,'Dados Tabela Din'!$A$3:$K$20,6,FALSE),"")</f>
        <v/>
      </c>
      <c r="G100" s="16" t="str">
        <f>IFERROR(VLOOKUP($A100,'Dados Tabela Din'!$A$3:$K$20,7,FALSE),"")</f>
        <v/>
      </c>
      <c r="H100" s="16" t="str">
        <f>IFERROR(VLOOKUP($A100,'Dados Tabela Din'!$A$3:$K$20,8,FALSE),"")</f>
        <v/>
      </c>
      <c r="I100" s="15" t="str">
        <f>IFERROR(VLOOKUP($A100,'Dados Tabela Din'!$A$3:$K$20,4,FALSE),"")</f>
        <v/>
      </c>
      <c r="J100" s="14"/>
      <c r="K100" s="58" t="str">
        <f t="shared" si="1"/>
        <v/>
      </c>
      <c r="M100" s="14" t="str">
        <f>IFERROR(VLOOKUP(A100,'Dados Tabela Din'!$A$4:$K$20,3,FALSE),"")</f>
        <v/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F2AEEAB-3FDF-48DC-A8CF-73143E1F4782}">
          <x14:formula1>
            <xm:f>'Dados Tabela Din'!$A$4:$A$20</xm:f>
          </x14:formula1>
          <xm:sqref>A2:A100</xm:sqref>
        </x14:dataValidation>
        <x14:dataValidation type="list" allowBlank="1" showInputMessage="1" showErrorMessage="1" xr:uid="{6CFF917D-7E39-42C5-981C-E0D716F3CE0B}">
          <x14:formula1>
            <xm:f>'Planejamento Estratégico '!$A$1:$C$1</xm:f>
          </x14:formula1>
          <xm:sqref>J2:J100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C3BD-7E41-4161-9FB8-84C39A417015}">
  <dimension ref="A2:B20"/>
  <sheetViews>
    <sheetView workbookViewId="0">
      <selection activeCell="A14" sqref="A14"/>
    </sheetView>
  </sheetViews>
  <sheetFormatPr defaultRowHeight="14"/>
  <cols>
    <col min="1" max="1" width="55.08203125" customWidth="1"/>
    <col min="2" max="2" width="46.75" customWidth="1"/>
    <col min="3" max="3" width="47.75" customWidth="1"/>
  </cols>
  <sheetData>
    <row r="2" spans="1:2">
      <c r="A2" s="58"/>
    </row>
    <row r="3" spans="1:2">
      <c r="A3" s="59" t="s">
        <v>570</v>
      </c>
      <c r="B3" s="59" t="s">
        <v>562</v>
      </c>
    </row>
    <row r="5" spans="1:2">
      <c r="A5" t="s">
        <v>571</v>
      </c>
      <c r="B5" t="s">
        <v>572</v>
      </c>
    </row>
    <row r="6" spans="1:2">
      <c r="A6" t="s">
        <v>573</v>
      </c>
      <c r="B6" t="s">
        <v>574</v>
      </c>
    </row>
    <row r="7" spans="1:2">
      <c r="A7" t="s">
        <v>575</v>
      </c>
      <c r="B7" t="s">
        <v>576</v>
      </c>
    </row>
    <row r="8" spans="1:2">
      <c r="A8" t="s">
        <v>577</v>
      </c>
      <c r="B8" t="s">
        <v>578</v>
      </c>
    </row>
    <row r="10" spans="1:2">
      <c r="A10" t="s">
        <v>579</v>
      </c>
      <c r="B10" t="s">
        <v>580</v>
      </c>
    </row>
    <row r="11" spans="1:2">
      <c r="A11" t="s">
        <v>581</v>
      </c>
      <c r="B11" t="s">
        <v>582</v>
      </c>
    </row>
    <row r="12" spans="1:2">
      <c r="A12" t="s">
        <v>583</v>
      </c>
      <c r="B12" t="s">
        <v>584</v>
      </c>
    </row>
    <row r="13" spans="1:2">
      <c r="A13" t="s">
        <v>585</v>
      </c>
      <c r="B13" t="s">
        <v>905</v>
      </c>
    </row>
    <row r="20" spans="1:1">
      <c r="A20" t="s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02FC-A822-432A-A734-67DC9AF70D1A}">
  <dimension ref="A2:N790"/>
  <sheetViews>
    <sheetView topLeftCell="C1" workbookViewId="0">
      <selection activeCell="G19" sqref="G19"/>
    </sheetView>
  </sheetViews>
  <sheetFormatPr defaultRowHeight="14"/>
  <cols>
    <col min="1" max="1" width="52.33203125" bestFit="1" customWidth="1"/>
    <col min="2" max="2" width="54" bestFit="1" customWidth="1"/>
    <col min="3" max="3" width="23.08203125" bestFit="1" customWidth="1"/>
    <col min="4" max="4" width="11.58203125" bestFit="1" customWidth="1"/>
    <col min="7" max="7" width="53.75" bestFit="1" customWidth="1"/>
    <col min="9" max="9" width="15" bestFit="1" customWidth="1"/>
    <col min="10" max="10" width="12.75" customWidth="1"/>
    <col min="13" max="13" width="21.83203125" customWidth="1"/>
    <col min="14" max="14" width="24.58203125" customWidth="1"/>
  </cols>
  <sheetData>
    <row r="2" spans="1:14" ht="14.5">
      <c r="A2" s="3" t="s">
        <v>31</v>
      </c>
      <c r="B2" s="3" t="s">
        <v>32</v>
      </c>
      <c r="C2" s="3" t="s">
        <v>33</v>
      </c>
      <c r="D2" s="3" t="s">
        <v>34</v>
      </c>
      <c r="G2" s="58" t="s">
        <v>35</v>
      </c>
      <c r="H2" s="58" t="s">
        <v>36</v>
      </c>
      <c r="I2" t="s">
        <v>37</v>
      </c>
      <c r="J2" t="s">
        <v>38</v>
      </c>
    </row>
    <row r="3" spans="1:14" ht="14.5">
      <c r="A3" s="2"/>
      <c r="B3" s="2"/>
      <c r="C3" s="2"/>
      <c r="D3" s="4"/>
      <c r="G3" t="e">
        <f t="array" aca="1" ref="G3:G157" ca="1">_xlfn.UNIQUE(B3:B790)</f>
        <v>#NAME?</v>
      </c>
      <c r="H3" s="58">
        <f ca="1">COUNTIF($B:$B,G3)</f>
        <v>0</v>
      </c>
      <c r="I3" s="5">
        <f ca="1">SUMIFS(D:D,B:B,G3)</f>
        <v>0</v>
      </c>
      <c r="J3" s="5" t="e">
        <f ca="1">I3/H3</f>
        <v>#DIV/0!</v>
      </c>
    </row>
    <row r="4" spans="1:14" ht="14.5">
      <c r="A4" s="2"/>
      <c r="B4" s="2"/>
      <c r="C4" s="2"/>
      <c r="D4" s="4"/>
      <c r="G4" t="e">
        <f ca="1"/>
        <v>#NAME?</v>
      </c>
      <c r="H4" s="58">
        <f t="shared" ref="H4:H67" ca="1" si="0">COUNTIF($B:$B,G4)</f>
        <v>0</v>
      </c>
      <c r="I4" s="5">
        <f t="shared" ref="I4:I67" ca="1" si="1">SUMIFS(D:D,B:B,G4)</f>
        <v>0</v>
      </c>
      <c r="J4" s="5" t="e">
        <f t="shared" ref="J4:J67" ca="1" si="2">I4/H4</f>
        <v>#DIV/0!</v>
      </c>
    </row>
    <row r="5" spans="1:14" ht="14.5">
      <c r="A5" s="2"/>
      <c r="B5" s="2"/>
      <c r="C5" s="2"/>
      <c r="D5" s="4"/>
      <c r="G5" t="e">
        <f ca="1"/>
        <v>#NAME?</v>
      </c>
      <c r="H5" s="58">
        <f t="shared" ca="1" si="0"/>
        <v>0</v>
      </c>
      <c r="I5" s="5">
        <f t="shared" ca="1" si="1"/>
        <v>0</v>
      </c>
      <c r="J5" s="5" t="e">
        <f t="shared" ca="1" si="2"/>
        <v>#DIV/0!</v>
      </c>
      <c r="N5">
        <f>COUNTIF(C:C,M5)</f>
        <v>0</v>
      </c>
    </row>
    <row r="6" spans="1:14" ht="14.5">
      <c r="A6" s="2"/>
      <c r="B6" s="2"/>
      <c r="C6" s="2"/>
      <c r="D6" s="4"/>
      <c r="G6" t="e">
        <f ca="1"/>
        <v>#NAME?</v>
      </c>
      <c r="H6" s="58">
        <f t="shared" ca="1" si="0"/>
        <v>0</v>
      </c>
      <c r="I6" s="5">
        <f t="shared" ca="1" si="1"/>
        <v>0</v>
      </c>
      <c r="J6" s="5" t="e">
        <f t="shared" ca="1" si="2"/>
        <v>#DIV/0!</v>
      </c>
      <c r="N6">
        <f>COUNTIF(C:C,M6)</f>
        <v>0</v>
      </c>
    </row>
    <row r="7" spans="1:14" ht="14.5">
      <c r="A7" s="2"/>
      <c r="B7" s="2"/>
      <c r="C7" s="2"/>
      <c r="D7" s="4"/>
      <c r="G7" t="e">
        <f ca="1"/>
        <v>#NAME?</v>
      </c>
      <c r="H7" s="58">
        <f t="shared" ca="1" si="0"/>
        <v>0</v>
      </c>
      <c r="I7" s="5">
        <f t="shared" ca="1" si="1"/>
        <v>0</v>
      </c>
      <c r="J7" s="5" t="e">
        <f t="shared" ca="1" si="2"/>
        <v>#DIV/0!</v>
      </c>
      <c r="N7">
        <f>COUNTIF(C:C,M7)</f>
        <v>0</v>
      </c>
    </row>
    <row r="8" spans="1:14" ht="14.5">
      <c r="A8" s="2"/>
      <c r="B8" s="2"/>
      <c r="C8" s="2"/>
      <c r="D8" s="4"/>
      <c r="G8" t="e">
        <f ca="1"/>
        <v>#NAME?</v>
      </c>
      <c r="H8" s="58">
        <f t="shared" ca="1" si="0"/>
        <v>0</v>
      </c>
      <c r="I8" s="5">
        <f t="shared" ca="1" si="1"/>
        <v>0</v>
      </c>
      <c r="J8" s="5" t="e">
        <f t="shared" ca="1" si="2"/>
        <v>#DIV/0!</v>
      </c>
      <c r="N8">
        <f>COUNTIF(C:C,M8)</f>
        <v>0</v>
      </c>
    </row>
    <row r="9" spans="1:14" ht="14.5">
      <c r="A9" s="2"/>
      <c r="B9" s="2"/>
      <c r="C9" s="2"/>
      <c r="D9" s="4"/>
      <c r="G9" t="e">
        <f ca="1"/>
        <v>#NAME?</v>
      </c>
      <c r="H9" s="58">
        <f t="shared" ca="1" si="0"/>
        <v>0</v>
      </c>
      <c r="I9" s="5">
        <f t="shared" ca="1" si="1"/>
        <v>0</v>
      </c>
      <c r="J9" s="5" t="e">
        <f t="shared" ca="1" si="2"/>
        <v>#DIV/0!</v>
      </c>
      <c r="N9">
        <f>COUNTIF(C:C,M9)</f>
        <v>0</v>
      </c>
    </row>
    <row r="10" spans="1:14" ht="14.5">
      <c r="A10" s="2"/>
      <c r="B10" s="2"/>
      <c r="C10" s="2"/>
      <c r="D10" s="4"/>
      <c r="G10" t="e">
        <f ca="1"/>
        <v>#NAME?</v>
      </c>
      <c r="H10" s="58">
        <f t="shared" ca="1" si="0"/>
        <v>0</v>
      </c>
      <c r="I10" s="5">
        <f t="shared" ca="1" si="1"/>
        <v>0</v>
      </c>
      <c r="J10" s="5" t="e">
        <f t="shared" ca="1" si="2"/>
        <v>#DIV/0!</v>
      </c>
    </row>
    <row r="11" spans="1:14" ht="14.5">
      <c r="A11" s="2"/>
      <c r="B11" s="2"/>
      <c r="C11" s="2"/>
      <c r="D11" s="4"/>
      <c r="G11" t="e">
        <f ca="1"/>
        <v>#NAME?</v>
      </c>
      <c r="H11" s="58">
        <f t="shared" ca="1" si="0"/>
        <v>0</v>
      </c>
      <c r="I11" s="5">
        <f t="shared" ca="1" si="1"/>
        <v>0</v>
      </c>
      <c r="J11" s="5" t="e">
        <f t="shared" ca="1" si="2"/>
        <v>#DIV/0!</v>
      </c>
    </row>
    <row r="12" spans="1:14" ht="14.5">
      <c r="A12" s="2"/>
      <c r="B12" s="2"/>
      <c r="C12" s="2"/>
      <c r="D12" s="4"/>
      <c r="G12" t="e">
        <f ca="1"/>
        <v>#NAME?</v>
      </c>
      <c r="H12" s="58">
        <f t="shared" ca="1" si="0"/>
        <v>0</v>
      </c>
      <c r="I12" s="5">
        <f t="shared" ca="1" si="1"/>
        <v>0</v>
      </c>
      <c r="J12" s="5" t="e">
        <f t="shared" ca="1" si="2"/>
        <v>#DIV/0!</v>
      </c>
    </row>
    <row r="13" spans="1:14" ht="14.5">
      <c r="A13" s="2"/>
      <c r="B13" s="2"/>
      <c r="C13" s="2"/>
      <c r="D13" s="4"/>
      <c r="G13" t="e">
        <f ca="1"/>
        <v>#NAME?</v>
      </c>
      <c r="H13" s="58">
        <f t="shared" ca="1" si="0"/>
        <v>0</v>
      </c>
      <c r="I13" s="5">
        <f t="shared" ca="1" si="1"/>
        <v>0</v>
      </c>
      <c r="J13" s="5" t="e">
        <f t="shared" ca="1" si="2"/>
        <v>#DIV/0!</v>
      </c>
    </row>
    <row r="14" spans="1:14" ht="14.5">
      <c r="A14" s="2"/>
      <c r="B14" s="2"/>
      <c r="C14" s="2"/>
      <c r="D14" s="4"/>
      <c r="G14" t="e">
        <f ca="1"/>
        <v>#NAME?</v>
      </c>
      <c r="H14" s="58">
        <f t="shared" ca="1" si="0"/>
        <v>0</v>
      </c>
      <c r="I14" s="5">
        <f t="shared" ca="1" si="1"/>
        <v>0</v>
      </c>
      <c r="J14" s="5" t="e">
        <f t="shared" ca="1" si="2"/>
        <v>#DIV/0!</v>
      </c>
    </row>
    <row r="15" spans="1:14" ht="14.5">
      <c r="A15" s="2"/>
      <c r="B15" s="2"/>
      <c r="C15" s="2"/>
      <c r="D15" s="4"/>
      <c r="G15" t="e">
        <f ca="1"/>
        <v>#NAME?</v>
      </c>
      <c r="H15" s="58">
        <f t="shared" ca="1" si="0"/>
        <v>0</v>
      </c>
      <c r="I15" s="5">
        <f t="shared" ca="1" si="1"/>
        <v>0</v>
      </c>
      <c r="J15" s="5" t="e">
        <f t="shared" ca="1" si="2"/>
        <v>#DIV/0!</v>
      </c>
    </row>
    <row r="16" spans="1:14" ht="14.5">
      <c r="A16" s="2"/>
      <c r="B16" s="2"/>
      <c r="C16" s="2"/>
      <c r="D16" s="4"/>
      <c r="G16" t="e">
        <f ca="1"/>
        <v>#NAME?</v>
      </c>
      <c r="H16" s="58">
        <f t="shared" ca="1" si="0"/>
        <v>0</v>
      </c>
      <c r="I16" s="5">
        <f t="shared" ca="1" si="1"/>
        <v>0</v>
      </c>
      <c r="J16" s="5" t="e">
        <f t="shared" ca="1" si="2"/>
        <v>#DIV/0!</v>
      </c>
    </row>
    <row r="17" spans="1:10" ht="14.5">
      <c r="A17" s="2"/>
      <c r="B17" s="2"/>
      <c r="C17" s="2"/>
      <c r="D17" s="4"/>
      <c r="G17" t="e">
        <f ca="1"/>
        <v>#NAME?</v>
      </c>
      <c r="H17" s="58">
        <f t="shared" ca="1" si="0"/>
        <v>0</v>
      </c>
      <c r="I17" s="5">
        <f t="shared" ca="1" si="1"/>
        <v>0</v>
      </c>
      <c r="J17" s="5" t="e">
        <f t="shared" ca="1" si="2"/>
        <v>#DIV/0!</v>
      </c>
    </row>
    <row r="18" spans="1:10" ht="14.5">
      <c r="A18" s="2"/>
      <c r="B18" s="2"/>
      <c r="C18" s="2"/>
      <c r="D18" s="4"/>
      <c r="G18" t="e">
        <f ca="1"/>
        <v>#NAME?</v>
      </c>
      <c r="H18" s="58">
        <f t="shared" ca="1" si="0"/>
        <v>0</v>
      </c>
      <c r="I18" s="5">
        <f t="shared" ca="1" si="1"/>
        <v>0</v>
      </c>
      <c r="J18" s="5" t="e">
        <f t="shared" ca="1" si="2"/>
        <v>#DIV/0!</v>
      </c>
    </row>
    <row r="19" spans="1:10" ht="14.5">
      <c r="A19" s="2"/>
      <c r="B19" s="2"/>
      <c r="C19" s="2"/>
      <c r="D19" s="4"/>
      <c r="G19" t="e">
        <f ca="1"/>
        <v>#NAME?</v>
      </c>
      <c r="H19" s="58">
        <f t="shared" ca="1" si="0"/>
        <v>0</v>
      </c>
      <c r="I19" s="5">
        <f t="shared" ca="1" si="1"/>
        <v>0</v>
      </c>
      <c r="J19" s="5" t="e">
        <f t="shared" ca="1" si="2"/>
        <v>#DIV/0!</v>
      </c>
    </row>
    <row r="20" spans="1:10" ht="14.5">
      <c r="A20" s="2"/>
      <c r="B20" s="2"/>
      <c r="C20" s="2"/>
      <c r="D20" s="4"/>
      <c r="G20" t="e">
        <f ca="1"/>
        <v>#NAME?</v>
      </c>
      <c r="H20" s="58">
        <f t="shared" ca="1" si="0"/>
        <v>0</v>
      </c>
      <c r="I20" s="5">
        <f t="shared" ca="1" si="1"/>
        <v>0</v>
      </c>
      <c r="J20" s="5" t="e">
        <f t="shared" ca="1" si="2"/>
        <v>#DIV/0!</v>
      </c>
    </row>
    <row r="21" spans="1:10" ht="14.5">
      <c r="A21" s="2"/>
      <c r="B21" s="2"/>
      <c r="C21" s="2"/>
      <c r="D21" s="4"/>
      <c r="G21" t="e">
        <f ca="1"/>
        <v>#NAME?</v>
      </c>
      <c r="H21" s="58">
        <f t="shared" ca="1" si="0"/>
        <v>0</v>
      </c>
      <c r="I21" s="5">
        <f t="shared" ca="1" si="1"/>
        <v>0</v>
      </c>
      <c r="J21" s="5" t="e">
        <f t="shared" ca="1" si="2"/>
        <v>#DIV/0!</v>
      </c>
    </row>
    <row r="22" spans="1:10" ht="14.5">
      <c r="A22" s="2"/>
      <c r="B22" s="2"/>
      <c r="C22" s="2"/>
      <c r="D22" s="4"/>
      <c r="G22" t="e">
        <f ca="1"/>
        <v>#NAME?</v>
      </c>
      <c r="H22" s="58">
        <f t="shared" ca="1" si="0"/>
        <v>0</v>
      </c>
      <c r="I22" s="5">
        <f t="shared" ca="1" si="1"/>
        <v>0</v>
      </c>
      <c r="J22" s="5" t="e">
        <f t="shared" ca="1" si="2"/>
        <v>#DIV/0!</v>
      </c>
    </row>
    <row r="23" spans="1:10" ht="14.5">
      <c r="A23" s="2"/>
      <c r="B23" s="2"/>
      <c r="C23" s="2"/>
      <c r="D23" s="4"/>
      <c r="G23" t="e">
        <f ca="1"/>
        <v>#NAME?</v>
      </c>
      <c r="H23" s="58">
        <f t="shared" ca="1" si="0"/>
        <v>0</v>
      </c>
      <c r="I23" s="5">
        <f t="shared" ca="1" si="1"/>
        <v>0</v>
      </c>
      <c r="J23" s="5" t="e">
        <f t="shared" ca="1" si="2"/>
        <v>#DIV/0!</v>
      </c>
    </row>
    <row r="24" spans="1:10" ht="14.5">
      <c r="A24" s="2"/>
      <c r="B24" s="2"/>
      <c r="C24" s="2"/>
      <c r="D24" s="4"/>
      <c r="G24" t="e">
        <f ca="1"/>
        <v>#NAME?</v>
      </c>
      <c r="H24" s="58">
        <f t="shared" ca="1" si="0"/>
        <v>0</v>
      </c>
      <c r="I24" s="5">
        <f t="shared" ca="1" si="1"/>
        <v>0</v>
      </c>
      <c r="J24" s="5" t="e">
        <f t="shared" ca="1" si="2"/>
        <v>#DIV/0!</v>
      </c>
    </row>
    <row r="25" spans="1:10" ht="14.5">
      <c r="A25" s="2"/>
      <c r="B25" s="2"/>
      <c r="C25" s="2"/>
      <c r="D25" s="4"/>
      <c r="G25" t="e">
        <f ca="1"/>
        <v>#NAME?</v>
      </c>
      <c r="H25" s="58">
        <f t="shared" ca="1" si="0"/>
        <v>0</v>
      </c>
      <c r="I25" s="5">
        <f t="shared" ca="1" si="1"/>
        <v>0</v>
      </c>
      <c r="J25" s="5" t="e">
        <f t="shared" ca="1" si="2"/>
        <v>#DIV/0!</v>
      </c>
    </row>
    <row r="26" spans="1:10" ht="14.5">
      <c r="A26" s="2"/>
      <c r="B26" s="2"/>
      <c r="C26" s="2"/>
      <c r="D26" s="4"/>
      <c r="G26" t="e">
        <f ca="1"/>
        <v>#NAME?</v>
      </c>
      <c r="H26" s="58">
        <f t="shared" ca="1" si="0"/>
        <v>0</v>
      </c>
      <c r="I26" s="5">
        <f t="shared" ca="1" si="1"/>
        <v>0</v>
      </c>
      <c r="J26" s="5" t="e">
        <f t="shared" ca="1" si="2"/>
        <v>#DIV/0!</v>
      </c>
    </row>
    <row r="27" spans="1:10" ht="14.5">
      <c r="A27" s="2"/>
      <c r="B27" s="2"/>
      <c r="C27" s="2"/>
      <c r="D27" s="4"/>
      <c r="G27" t="e">
        <f ca="1"/>
        <v>#NAME?</v>
      </c>
      <c r="H27" s="58">
        <f t="shared" ca="1" si="0"/>
        <v>0</v>
      </c>
      <c r="I27" s="5">
        <f t="shared" ca="1" si="1"/>
        <v>0</v>
      </c>
      <c r="J27" s="5" t="e">
        <f t="shared" ca="1" si="2"/>
        <v>#DIV/0!</v>
      </c>
    </row>
    <row r="28" spans="1:10" ht="14.5">
      <c r="A28" s="2"/>
      <c r="B28" s="2"/>
      <c r="C28" s="2"/>
      <c r="D28" s="4"/>
      <c r="G28" t="e">
        <f ca="1"/>
        <v>#NAME?</v>
      </c>
      <c r="H28" s="58">
        <f t="shared" ca="1" si="0"/>
        <v>0</v>
      </c>
      <c r="I28" s="5">
        <f t="shared" ca="1" si="1"/>
        <v>0</v>
      </c>
      <c r="J28" s="5" t="e">
        <f t="shared" ca="1" si="2"/>
        <v>#DIV/0!</v>
      </c>
    </row>
    <row r="29" spans="1:10" ht="14.5">
      <c r="A29" s="2"/>
      <c r="B29" s="2"/>
      <c r="C29" s="2"/>
      <c r="D29" s="2"/>
      <c r="G29" t="e">
        <f ca="1"/>
        <v>#NAME?</v>
      </c>
      <c r="H29" s="58">
        <f t="shared" ca="1" si="0"/>
        <v>0</v>
      </c>
      <c r="I29" s="5">
        <f t="shared" ca="1" si="1"/>
        <v>0</v>
      </c>
      <c r="J29" s="5" t="e">
        <f t="shared" ca="1" si="2"/>
        <v>#DIV/0!</v>
      </c>
    </row>
    <row r="30" spans="1:10" ht="14.5">
      <c r="A30" s="2"/>
      <c r="B30" s="2"/>
      <c r="C30" s="2"/>
      <c r="D30" s="4"/>
      <c r="G30" t="e">
        <f ca="1"/>
        <v>#NAME?</v>
      </c>
      <c r="H30" s="58">
        <f t="shared" ca="1" si="0"/>
        <v>0</v>
      </c>
      <c r="I30" s="5">
        <f t="shared" ca="1" si="1"/>
        <v>0</v>
      </c>
      <c r="J30" s="5" t="e">
        <f t="shared" ca="1" si="2"/>
        <v>#DIV/0!</v>
      </c>
    </row>
    <row r="31" spans="1:10" ht="14.5">
      <c r="A31" s="2"/>
      <c r="B31" s="2"/>
      <c r="C31" s="2"/>
      <c r="D31" s="4"/>
      <c r="G31" t="e">
        <f ca="1"/>
        <v>#NAME?</v>
      </c>
      <c r="H31" s="58">
        <f t="shared" ca="1" si="0"/>
        <v>0</v>
      </c>
      <c r="I31" s="5">
        <f t="shared" ca="1" si="1"/>
        <v>0</v>
      </c>
      <c r="J31" s="5" t="e">
        <f t="shared" ca="1" si="2"/>
        <v>#DIV/0!</v>
      </c>
    </row>
    <row r="32" spans="1:10" ht="14.5">
      <c r="A32" s="2"/>
      <c r="B32" s="2"/>
      <c r="C32" s="2"/>
      <c r="D32" s="4"/>
      <c r="G32" t="e">
        <f ca="1"/>
        <v>#NAME?</v>
      </c>
      <c r="H32" s="58">
        <f t="shared" ca="1" si="0"/>
        <v>0</v>
      </c>
      <c r="I32" s="5">
        <f t="shared" ca="1" si="1"/>
        <v>0</v>
      </c>
      <c r="J32" s="5" t="e">
        <f t="shared" ca="1" si="2"/>
        <v>#DIV/0!</v>
      </c>
    </row>
    <row r="33" spans="1:10" ht="14.5">
      <c r="A33" s="2"/>
      <c r="B33" s="2"/>
      <c r="C33" s="2"/>
      <c r="D33" s="4"/>
      <c r="G33" t="e">
        <f ca="1"/>
        <v>#NAME?</v>
      </c>
      <c r="H33" s="58">
        <f t="shared" ca="1" si="0"/>
        <v>0</v>
      </c>
      <c r="I33" s="5">
        <f t="shared" ca="1" si="1"/>
        <v>0</v>
      </c>
      <c r="J33" s="5" t="e">
        <f t="shared" ca="1" si="2"/>
        <v>#DIV/0!</v>
      </c>
    </row>
    <row r="34" spans="1:10" ht="14.5">
      <c r="A34" s="2"/>
      <c r="B34" s="2"/>
      <c r="C34" s="2"/>
      <c r="D34" s="4"/>
      <c r="G34" t="e">
        <f ca="1"/>
        <v>#NAME?</v>
      </c>
      <c r="H34" s="58">
        <f t="shared" ca="1" si="0"/>
        <v>0</v>
      </c>
      <c r="I34" s="5">
        <f t="shared" ca="1" si="1"/>
        <v>0</v>
      </c>
      <c r="J34" s="5" t="e">
        <f t="shared" ca="1" si="2"/>
        <v>#DIV/0!</v>
      </c>
    </row>
    <row r="35" spans="1:10" ht="14.5">
      <c r="A35" s="2"/>
      <c r="B35" s="2"/>
      <c r="C35" s="2"/>
      <c r="D35" s="4"/>
      <c r="G35" t="e">
        <f ca="1"/>
        <v>#NAME?</v>
      </c>
      <c r="H35" s="58">
        <f t="shared" ca="1" si="0"/>
        <v>0</v>
      </c>
      <c r="I35" s="5">
        <f t="shared" ca="1" si="1"/>
        <v>0</v>
      </c>
      <c r="J35" s="5" t="e">
        <f t="shared" ca="1" si="2"/>
        <v>#DIV/0!</v>
      </c>
    </row>
    <row r="36" spans="1:10" ht="14.5">
      <c r="A36" s="2"/>
      <c r="B36" s="2"/>
      <c r="C36" s="2"/>
      <c r="D36" s="4"/>
      <c r="G36" t="e">
        <f ca="1"/>
        <v>#NAME?</v>
      </c>
      <c r="H36" s="58">
        <f t="shared" ca="1" si="0"/>
        <v>0</v>
      </c>
      <c r="I36" s="5">
        <f t="shared" ca="1" si="1"/>
        <v>0</v>
      </c>
      <c r="J36" s="5" t="e">
        <f t="shared" ca="1" si="2"/>
        <v>#DIV/0!</v>
      </c>
    </row>
    <row r="37" spans="1:10" ht="14.5">
      <c r="A37" s="2"/>
      <c r="B37" s="2"/>
      <c r="C37" s="2"/>
      <c r="D37" s="4"/>
      <c r="G37" t="e">
        <f ca="1"/>
        <v>#NAME?</v>
      </c>
      <c r="H37" s="58">
        <f t="shared" ca="1" si="0"/>
        <v>0</v>
      </c>
      <c r="I37" s="5">
        <f t="shared" ca="1" si="1"/>
        <v>0</v>
      </c>
      <c r="J37" s="5" t="e">
        <f t="shared" ca="1" si="2"/>
        <v>#DIV/0!</v>
      </c>
    </row>
    <row r="38" spans="1:10" ht="14.5">
      <c r="A38" s="2"/>
      <c r="B38" s="2"/>
      <c r="C38" s="2"/>
      <c r="D38" s="4"/>
      <c r="G38" t="e">
        <f ca="1"/>
        <v>#NAME?</v>
      </c>
      <c r="H38" s="58">
        <f t="shared" ca="1" si="0"/>
        <v>0</v>
      </c>
      <c r="I38" s="5">
        <f t="shared" ca="1" si="1"/>
        <v>0</v>
      </c>
      <c r="J38" s="5" t="e">
        <f t="shared" ca="1" si="2"/>
        <v>#DIV/0!</v>
      </c>
    </row>
    <row r="39" spans="1:10" ht="14.5">
      <c r="A39" s="2"/>
      <c r="B39" s="2"/>
      <c r="C39" s="2"/>
      <c r="D39" s="4"/>
      <c r="G39" t="e">
        <f ca="1"/>
        <v>#NAME?</v>
      </c>
      <c r="H39" s="58">
        <f t="shared" ca="1" si="0"/>
        <v>0</v>
      </c>
      <c r="I39" s="5">
        <f t="shared" ca="1" si="1"/>
        <v>0</v>
      </c>
      <c r="J39" s="5" t="e">
        <f t="shared" ca="1" si="2"/>
        <v>#DIV/0!</v>
      </c>
    </row>
    <row r="40" spans="1:10" ht="14.5">
      <c r="A40" s="2"/>
      <c r="B40" s="2"/>
      <c r="C40" s="2"/>
      <c r="D40" s="4"/>
      <c r="G40" t="e">
        <f ca="1"/>
        <v>#NAME?</v>
      </c>
      <c r="H40" s="58">
        <f t="shared" ca="1" si="0"/>
        <v>0</v>
      </c>
      <c r="I40" s="5">
        <f t="shared" ca="1" si="1"/>
        <v>0</v>
      </c>
      <c r="J40" s="5" t="e">
        <f t="shared" ca="1" si="2"/>
        <v>#DIV/0!</v>
      </c>
    </row>
    <row r="41" spans="1:10" ht="14.5">
      <c r="A41" s="2"/>
      <c r="B41" s="2"/>
      <c r="C41" s="2"/>
      <c r="D41" s="4"/>
      <c r="G41" t="e">
        <f ca="1"/>
        <v>#NAME?</v>
      </c>
      <c r="H41" s="58">
        <f t="shared" ca="1" si="0"/>
        <v>0</v>
      </c>
      <c r="I41" s="5">
        <f t="shared" ca="1" si="1"/>
        <v>0</v>
      </c>
      <c r="J41" s="5" t="e">
        <f t="shared" ca="1" si="2"/>
        <v>#DIV/0!</v>
      </c>
    </row>
    <row r="42" spans="1:10" ht="14.5">
      <c r="A42" s="2"/>
      <c r="B42" s="2"/>
      <c r="C42" s="2"/>
      <c r="D42" s="4"/>
      <c r="G42" t="e">
        <f ca="1"/>
        <v>#NAME?</v>
      </c>
      <c r="H42" s="58">
        <f t="shared" ca="1" si="0"/>
        <v>0</v>
      </c>
      <c r="I42" s="5">
        <f t="shared" ca="1" si="1"/>
        <v>0</v>
      </c>
      <c r="J42" s="5" t="e">
        <f t="shared" ca="1" si="2"/>
        <v>#DIV/0!</v>
      </c>
    </row>
    <row r="43" spans="1:10" ht="14.5">
      <c r="A43" s="2"/>
      <c r="B43" s="2"/>
      <c r="C43" s="2"/>
      <c r="D43" s="4"/>
      <c r="G43" t="e">
        <f ca="1"/>
        <v>#NAME?</v>
      </c>
      <c r="H43" s="58">
        <f t="shared" ca="1" si="0"/>
        <v>0</v>
      </c>
      <c r="I43" s="5">
        <f t="shared" ca="1" si="1"/>
        <v>0</v>
      </c>
      <c r="J43" s="5" t="e">
        <f t="shared" ca="1" si="2"/>
        <v>#DIV/0!</v>
      </c>
    </row>
    <row r="44" spans="1:10" ht="14.5">
      <c r="A44" s="2"/>
      <c r="B44" s="2"/>
      <c r="C44" s="2"/>
      <c r="D44" s="4"/>
      <c r="G44" t="e">
        <f ca="1"/>
        <v>#NAME?</v>
      </c>
      <c r="H44" s="58">
        <f t="shared" ca="1" si="0"/>
        <v>0</v>
      </c>
      <c r="I44" s="5">
        <f t="shared" ca="1" si="1"/>
        <v>0</v>
      </c>
      <c r="J44" s="5" t="e">
        <f t="shared" ca="1" si="2"/>
        <v>#DIV/0!</v>
      </c>
    </row>
    <row r="45" spans="1:10" ht="14.5">
      <c r="A45" s="2"/>
      <c r="B45" s="2"/>
      <c r="C45" s="2"/>
      <c r="D45" s="4"/>
      <c r="G45" t="e">
        <f ca="1"/>
        <v>#NAME?</v>
      </c>
      <c r="H45" s="58">
        <f t="shared" ca="1" si="0"/>
        <v>0</v>
      </c>
      <c r="I45" s="5">
        <f t="shared" ca="1" si="1"/>
        <v>0</v>
      </c>
      <c r="J45" s="5" t="e">
        <f t="shared" ca="1" si="2"/>
        <v>#DIV/0!</v>
      </c>
    </row>
    <row r="46" spans="1:10" ht="14.5">
      <c r="A46" s="2"/>
      <c r="B46" s="2"/>
      <c r="C46" s="2"/>
      <c r="D46" s="4"/>
      <c r="G46" t="e">
        <f ca="1"/>
        <v>#NAME?</v>
      </c>
      <c r="H46" s="58">
        <f t="shared" ca="1" si="0"/>
        <v>0</v>
      </c>
      <c r="I46" s="5">
        <f t="shared" ca="1" si="1"/>
        <v>0</v>
      </c>
      <c r="J46" s="5" t="e">
        <f t="shared" ca="1" si="2"/>
        <v>#DIV/0!</v>
      </c>
    </row>
    <row r="47" spans="1:10" ht="14.5">
      <c r="A47" s="2"/>
      <c r="B47" s="2"/>
      <c r="C47" s="2"/>
      <c r="D47" s="4"/>
      <c r="G47" t="e">
        <f ca="1"/>
        <v>#NAME?</v>
      </c>
      <c r="H47" s="58">
        <f t="shared" ca="1" si="0"/>
        <v>0</v>
      </c>
      <c r="I47" s="5">
        <f t="shared" ca="1" si="1"/>
        <v>0</v>
      </c>
      <c r="J47" s="5" t="e">
        <f t="shared" ca="1" si="2"/>
        <v>#DIV/0!</v>
      </c>
    </row>
    <row r="48" spans="1:10" ht="14.5">
      <c r="A48" s="2"/>
      <c r="B48" s="2"/>
      <c r="C48" s="2"/>
      <c r="D48" s="4"/>
      <c r="G48" t="e">
        <f ca="1"/>
        <v>#NAME?</v>
      </c>
      <c r="H48" s="58">
        <f t="shared" ca="1" si="0"/>
        <v>0</v>
      </c>
      <c r="I48" s="5">
        <f t="shared" ca="1" si="1"/>
        <v>0</v>
      </c>
      <c r="J48" s="5" t="e">
        <f t="shared" ca="1" si="2"/>
        <v>#DIV/0!</v>
      </c>
    </row>
    <row r="49" spans="1:10" ht="14.5">
      <c r="A49" s="2"/>
      <c r="B49" s="2"/>
      <c r="C49" s="2"/>
      <c r="D49" s="4"/>
      <c r="G49" t="e">
        <f ca="1"/>
        <v>#NAME?</v>
      </c>
      <c r="H49" s="58">
        <f t="shared" ca="1" si="0"/>
        <v>0</v>
      </c>
      <c r="I49" s="5">
        <f t="shared" ca="1" si="1"/>
        <v>0</v>
      </c>
      <c r="J49" s="5" t="e">
        <f t="shared" ca="1" si="2"/>
        <v>#DIV/0!</v>
      </c>
    </row>
    <row r="50" spans="1:10" ht="14.5">
      <c r="A50" s="2"/>
      <c r="B50" s="2"/>
      <c r="C50" s="2"/>
      <c r="D50" s="4"/>
      <c r="G50" t="e">
        <f ca="1"/>
        <v>#NAME?</v>
      </c>
      <c r="H50" s="58">
        <f t="shared" ca="1" si="0"/>
        <v>0</v>
      </c>
      <c r="I50" s="5">
        <f t="shared" ca="1" si="1"/>
        <v>0</v>
      </c>
      <c r="J50" s="5" t="e">
        <f t="shared" ca="1" si="2"/>
        <v>#DIV/0!</v>
      </c>
    </row>
    <row r="51" spans="1:10" ht="14.5">
      <c r="A51" s="2"/>
      <c r="B51" s="2"/>
      <c r="C51" s="2"/>
      <c r="D51" s="4"/>
      <c r="G51" t="e">
        <f ca="1"/>
        <v>#NAME?</v>
      </c>
      <c r="H51" s="58">
        <f t="shared" ca="1" si="0"/>
        <v>0</v>
      </c>
      <c r="I51" s="5">
        <f t="shared" ca="1" si="1"/>
        <v>0</v>
      </c>
      <c r="J51" s="5" t="e">
        <f t="shared" ca="1" si="2"/>
        <v>#DIV/0!</v>
      </c>
    </row>
    <row r="52" spans="1:10" ht="14.5">
      <c r="A52" s="2"/>
      <c r="B52" s="2"/>
      <c r="C52" s="2"/>
      <c r="D52" s="4"/>
      <c r="G52" t="e">
        <f ca="1"/>
        <v>#NAME?</v>
      </c>
      <c r="H52" s="58">
        <f t="shared" ca="1" si="0"/>
        <v>0</v>
      </c>
      <c r="I52" s="5">
        <f t="shared" ca="1" si="1"/>
        <v>0</v>
      </c>
      <c r="J52" s="5" t="e">
        <f t="shared" ca="1" si="2"/>
        <v>#DIV/0!</v>
      </c>
    </row>
    <row r="53" spans="1:10" ht="14.5">
      <c r="A53" s="2"/>
      <c r="B53" s="2"/>
      <c r="C53" s="2"/>
      <c r="D53" s="4"/>
      <c r="G53" t="e">
        <f ca="1"/>
        <v>#NAME?</v>
      </c>
      <c r="H53" s="58">
        <f t="shared" ca="1" si="0"/>
        <v>0</v>
      </c>
      <c r="I53" s="5">
        <f t="shared" ca="1" si="1"/>
        <v>0</v>
      </c>
      <c r="J53" s="5" t="e">
        <f t="shared" ca="1" si="2"/>
        <v>#DIV/0!</v>
      </c>
    </row>
    <row r="54" spans="1:10" ht="14.5">
      <c r="A54" s="2"/>
      <c r="B54" s="2"/>
      <c r="C54" s="2"/>
      <c r="D54" s="4"/>
      <c r="G54" t="e">
        <f ca="1"/>
        <v>#NAME?</v>
      </c>
      <c r="H54" s="58">
        <f t="shared" ca="1" si="0"/>
        <v>0</v>
      </c>
      <c r="I54" s="5">
        <f t="shared" ca="1" si="1"/>
        <v>0</v>
      </c>
      <c r="J54" s="5" t="e">
        <f t="shared" ca="1" si="2"/>
        <v>#DIV/0!</v>
      </c>
    </row>
    <row r="55" spans="1:10" ht="14.5">
      <c r="A55" s="2"/>
      <c r="B55" s="2"/>
      <c r="C55" s="2"/>
      <c r="D55" s="4"/>
      <c r="G55" t="e">
        <f ca="1"/>
        <v>#NAME?</v>
      </c>
      <c r="H55" s="58">
        <f t="shared" ca="1" si="0"/>
        <v>0</v>
      </c>
      <c r="I55" s="5">
        <f t="shared" ca="1" si="1"/>
        <v>0</v>
      </c>
      <c r="J55" s="5" t="e">
        <f t="shared" ca="1" si="2"/>
        <v>#DIV/0!</v>
      </c>
    </row>
    <row r="56" spans="1:10" ht="14.5">
      <c r="A56" s="2"/>
      <c r="B56" s="2"/>
      <c r="C56" s="2"/>
      <c r="D56" s="4"/>
      <c r="G56" t="e">
        <f ca="1"/>
        <v>#NAME?</v>
      </c>
      <c r="H56" s="58">
        <f t="shared" ca="1" si="0"/>
        <v>0</v>
      </c>
      <c r="I56" s="5">
        <f t="shared" ca="1" si="1"/>
        <v>0</v>
      </c>
      <c r="J56" s="5" t="e">
        <f t="shared" ca="1" si="2"/>
        <v>#DIV/0!</v>
      </c>
    </row>
    <row r="57" spans="1:10" ht="14.5">
      <c r="A57" s="2"/>
      <c r="B57" s="2"/>
      <c r="C57" s="2"/>
      <c r="D57" s="4"/>
      <c r="G57" t="e">
        <f ca="1"/>
        <v>#NAME?</v>
      </c>
      <c r="H57" s="58">
        <f t="shared" ca="1" si="0"/>
        <v>0</v>
      </c>
      <c r="I57" s="5">
        <f t="shared" ca="1" si="1"/>
        <v>0</v>
      </c>
      <c r="J57" s="5" t="e">
        <f t="shared" ca="1" si="2"/>
        <v>#DIV/0!</v>
      </c>
    </row>
    <row r="58" spans="1:10" ht="14.5">
      <c r="A58" s="2"/>
      <c r="B58" s="2"/>
      <c r="C58" s="2"/>
      <c r="D58" s="4"/>
      <c r="G58" t="e">
        <f ca="1"/>
        <v>#NAME?</v>
      </c>
      <c r="H58" s="58">
        <f t="shared" ca="1" si="0"/>
        <v>0</v>
      </c>
      <c r="I58" s="5">
        <f t="shared" ca="1" si="1"/>
        <v>0</v>
      </c>
      <c r="J58" s="5" t="e">
        <f t="shared" ca="1" si="2"/>
        <v>#DIV/0!</v>
      </c>
    </row>
    <row r="59" spans="1:10" ht="14.5">
      <c r="A59" s="2"/>
      <c r="B59" s="2"/>
      <c r="C59" s="2"/>
      <c r="D59" s="4"/>
      <c r="G59" t="e">
        <f ca="1"/>
        <v>#NAME?</v>
      </c>
      <c r="H59" s="58">
        <f t="shared" ca="1" si="0"/>
        <v>0</v>
      </c>
      <c r="I59" s="5">
        <f t="shared" ca="1" si="1"/>
        <v>0</v>
      </c>
      <c r="J59" s="5" t="e">
        <f t="shared" ca="1" si="2"/>
        <v>#DIV/0!</v>
      </c>
    </row>
    <row r="60" spans="1:10" ht="14.5">
      <c r="A60" s="2"/>
      <c r="B60" s="2"/>
      <c r="C60" s="2"/>
      <c r="D60" s="4"/>
      <c r="G60" t="e">
        <f ca="1"/>
        <v>#NAME?</v>
      </c>
      <c r="H60" s="58">
        <f t="shared" ca="1" si="0"/>
        <v>0</v>
      </c>
      <c r="I60" s="5">
        <f t="shared" ca="1" si="1"/>
        <v>0</v>
      </c>
      <c r="J60" s="5" t="e">
        <f t="shared" ca="1" si="2"/>
        <v>#DIV/0!</v>
      </c>
    </row>
    <row r="61" spans="1:10" ht="14.5">
      <c r="A61" s="2"/>
      <c r="B61" s="2"/>
      <c r="C61" s="2"/>
      <c r="D61" s="4"/>
      <c r="G61" t="e">
        <f ca="1"/>
        <v>#NAME?</v>
      </c>
      <c r="H61" s="58">
        <f t="shared" ca="1" si="0"/>
        <v>0</v>
      </c>
      <c r="I61" s="5">
        <f t="shared" ca="1" si="1"/>
        <v>0</v>
      </c>
      <c r="J61" s="5" t="e">
        <f t="shared" ca="1" si="2"/>
        <v>#DIV/0!</v>
      </c>
    </row>
    <row r="62" spans="1:10" ht="14.5">
      <c r="A62" s="2"/>
      <c r="B62" s="2"/>
      <c r="C62" s="2"/>
      <c r="D62" s="4"/>
      <c r="G62" t="e">
        <f ca="1"/>
        <v>#NAME?</v>
      </c>
      <c r="H62" s="58">
        <f t="shared" ca="1" si="0"/>
        <v>0</v>
      </c>
      <c r="I62" s="5">
        <f t="shared" ca="1" si="1"/>
        <v>0</v>
      </c>
      <c r="J62" s="5" t="e">
        <f t="shared" ca="1" si="2"/>
        <v>#DIV/0!</v>
      </c>
    </row>
    <row r="63" spans="1:10" ht="14.5">
      <c r="A63" s="2"/>
      <c r="B63" s="2"/>
      <c r="C63" s="2"/>
      <c r="D63" s="4"/>
      <c r="G63" t="e">
        <f ca="1"/>
        <v>#NAME?</v>
      </c>
      <c r="H63" s="58">
        <f t="shared" ca="1" si="0"/>
        <v>0</v>
      </c>
      <c r="I63" s="5">
        <f t="shared" ca="1" si="1"/>
        <v>0</v>
      </c>
      <c r="J63" s="5" t="e">
        <f t="shared" ca="1" si="2"/>
        <v>#DIV/0!</v>
      </c>
    </row>
    <row r="64" spans="1:10" ht="14.5">
      <c r="A64" s="2"/>
      <c r="B64" s="2"/>
      <c r="C64" s="2"/>
      <c r="D64" s="4"/>
      <c r="G64" t="e">
        <f ca="1"/>
        <v>#NAME?</v>
      </c>
      <c r="H64" s="58">
        <f t="shared" ca="1" si="0"/>
        <v>0</v>
      </c>
      <c r="I64" s="5">
        <f t="shared" ca="1" si="1"/>
        <v>0</v>
      </c>
      <c r="J64" s="5" t="e">
        <f t="shared" ca="1" si="2"/>
        <v>#DIV/0!</v>
      </c>
    </row>
    <row r="65" spans="1:10" ht="14.5">
      <c r="A65" s="2"/>
      <c r="B65" s="2"/>
      <c r="C65" s="2"/>
      <c r="D65" s="4"/>
      <c r="G65" t="e">
        <f ca="1"/>
        <v>#NAME?</v>
      </c>
      <c r="H65" s="58">
        <f t="shared" ca="1" si="0"/>
        <v>0</v>
      </c>
      <c r="I65" s="5">
        <f t="shared" ca="1" si="1"/>
        <v>0</v>
      </c>
      <c r="J65" s="5" t="e">
        <f t="shared" ca="1" si="2"/>
        <v>#DIV/0!</v>
      </c>
    </row>
    <row r="66" spans="1:10" ht="14.5">
      <c r="A66" s="2"/>
      <c r="B66" s="2"/>
      <c r="C66" s="2"/>
      <c r="D66" s="4"/>
      <c r="G66" t="e">
        <f ca="1"/>
        <v>#NAME?</v>
      </c>
      <c r="H66" s="58">
        <f t="shared" ca="1" si="0"/>
        <v>0</v>
      </c>
      <c r="I66" s="5">
        <f t="shared" ca="1" si="1"/>
        <v>0</v>
      </c>
      <c r="J66" s="5" t="e">
        <f t="shared" ca="1" si="2"/>
        <v>#DIV/0!</v>
      </c>
    </row>
    <row r="67" spans="1:10" ht="14.5">
      <c r="A67" s="2"/>
      <c r="B67" s="2"/>
      <c r="C67" s="2"/>
      <c r="D67" s="4"/>
      <c r="G67" t="e">
        <f ca="1"/>
        <v>#NAME?</v>
      </c>
      <c r="H67" s="58">
        <f t="shared" ca="1" si="0"/>
        <v>0</v>
      </c>
      <c r="I67" s="5">
        <f t="shared" ca="1" si="1"/>
        <v>0</v>
      </c>
      <c r="J67" s="5" t="e">
        <f t="shared" ca="1" si="2"/>
        <v>#DIV/0!</v>
      </c>
    </row>
    <row r="68" spans="1:10" ht="14.5">
      <c r="A68" s="2"/>
      <c r="B68" s="2"/>
      <c r="C68" s="2"/>
      <c r="D68" s="4"/>
      <c r="G68" t="e">
        <f ca="1"/>
        <v>#NAME?</v>
      </c>
      <c r="H68" s="58">
        <f t="shared" ref="H68:H131" ca="1" si="3">COUNTIF($B:$B,G68)</f>
        <v>0</v>
      </c>
      <c r="I68" s="5">
        <f t="shared" ref="I68:I131" ca="1" si="4">SUMIFS(D:D,B:B,G68)</f>
        <v>0</v>
      </c>
      <c r="J68" s="5" t="e">
        <f t="shared" ref="J68:J131" ca="1" si="5">I68/H68</f>
        <v>#DIV/0!</v>
      </c>
    </row>
    <row r="69" spans="1:10" ht="14.5">
      <c r="A69" s="2"/>
      <c r="B69" s="2"/>
      <c r="C69" s="2"/>
      <c r="D69" s="4"/>
      <c r="G69" t="e">
        <f ca="1"/>
        <v>#NAME?</v>
      </c>
      <c r="H69" s="58">
        <f t="shared" ca="1" si="3"/>
        <v>0</v>
      </c>
      <c r="I69" s="5">
        <f t="shared" ca="1" si="4"/>
        <v>0</v>
      </c>
      <c r="J69" s="5" t="e">
        <f t="shared" ca="1" si="5"/>
        <v>#DIV/0!</v>
      </c>
    </row>
    <row r="70" spans="1:10" ht="14.5">
      <c r="A70" s="2"/>
      <c r="B70" s="2"/>
      <c r="C70" s="2"/>
      <c r="D70" s="4"/>
      <c r="G70" t="e">
        <f ca="1"/>
        <v>#NAME?</v>
      </c>
      <c r="H70" s="58">
        <f t="shared" ca="1" si="3"/>
        <v>0</v>
      </c>
      <c r="I70" s="5">
        <f t="shared" ca="1" si="4"/>
        <v>0</v>
      </c>
      <c r="J70" s="5" t="e">
        <f t="shared" ca="1" si="5"/>
        <v>#DIV/0!</v>
      </c>
    </row>
    <row r="71" spans="1:10" ht="14.5">
      <c r="A71" s="2"/>
      <c r="B71" s="2"/>
      <c r="C71" s="2"/>
      <c r="D71" s="4"/>
      <c r="G71" t="e">
        <f ca="1"/>
        <v>#NAME?</v>
      </c>
      <c r="H71" s="58">
        <f t="shared" ca="1" si="3"/>
        <v>0</v>
      </c>
      <c r="I71" s="5">
        <f t="shared" ca="1" si="4"/>
        <v>0</v>
      </c>
      <c r="J71" s="5" t="e">
        <f t="shared" ca="1" si="5"/>
        <v>#DIV/0!</v>
      </c>
    </row>
    <row r="72" spans="1:10" ht="14.5">
      <c r="A72" s="2"/>
      <c r="B72" s="2"/>
      <c r="C72" s="2"/>
      <c r="D72" s="4"/>
      <c r="G72" t="e">
        <f ca="1"/>
        <v>#NAME?</v>
      </c>
      <c r="H72" s="58">
        <f t="shared" ca="1" si="3"/>
        <v>0</v>
      </c>
      <c r="I72" s="5">
        <f t="shared" ca="1" si="4"/>
        <v>0</v>
      </c>
      <c r="J72" s="5" t="e">
        <f t="shared" ca="1" si="5"/>
        <v>#DIV/0!</v>
      </c>
    </row>
    <row r="73" spans="1:10" ht="14.5">
      <c r="A73" s="2"/>
      <c r="B73" s="2"/>
      <c r="C73" s="2"/>
      <c r="D73" s="4"/>
      <c r="G73" t="e">
        <f ca="1"/>
        <v>#NAME?</v>
      </c>
      <c r="H73" s="58">
        <f t="shared" ca="1" si="3"/>
        <v>0</v>
      </c>
      <c r="I73" s="5">
        <f t="shared" ca="1" si="4"/>
        <v>0</v>
      </c>
      <c r="J73" s="5" t="e">
        <f t="shared" ca="1" si="5"/>
        <v>#DIV/0!</v>
      </c>
    </row>
    <row r="74" spans="1:10" ht="14.5">
      <c r="A74" s="2"/>
      <c r="B74" s="2"/>
      <c r="C74" s="2"/>
      <c r="D74" s="4"/>
      <c r="G74" t="e">
        <f ca="1"/>
        <v>#NAME?</v>
      </c>
      <c r="H74" s="58">
        <f t="shared" ca="1" si="3"/>
        <v>0</v>
      </c>
      <c r="I74" s="5">
        <f t="shared" ca="1" si="4"/>
        <v>0</v>
      </c>
      <c r="J74" s="5" t="e">
        <f t="shared" ca="1" si="5"/>
        <v>#DIV/0!</v>
      </c>
    </row>
    <row r="75" spans="1:10" ht="14.5">
      <c r="A75" s="2"/>
      <c r="B75" s="2"/>
      <c r="C75" s="2"/>
      <c r="D75" s="4"/>
      <c r="G75" t="e">
        <f ca="1"/>
        <v>#NAME?</v>
      </c>
      <c r="H75" s="58">
        <f t="shared" ca="1" si="3"/>
        <v>0</v>
      </c>
      <c r="I75" s="5">
        <f t="shared" ca="1" si="4"/>
        <v>0</v>
      </c>
      <c r="J75" s="5" t="e">
        <f t="shared" ca="1" si="5"/>
        <v>#DIV/0!</v>
      </c>
    </row>
    <row r="76" spans="1:10" ht="14.5">
      <c r="A76" s="2"/>
      <c r="B76" s="2"/>
      <c r="C76" s="2"/>
      <c r="D76" s="4"/>
      <c r="G76" t="e">
        <f ca="1"/>
        <v>#NAME?</v>
      </c>
      <c r="H76" s="58">
        <f t="shared" ca="1" si="3"/>
        <v>0</v>
      </c>
      <c r="I76" s="5">
        <f t="shared" ca="1" si="4"/>
        <v>0</v>
      </c>
      <c r="J76" s="5" t="e">
        <f t="shared" ca="1" si="5"/>
        <v>#DIV/0!</v>
      </c>
    </row>
    <row r="77" spans="1:10" ht="14.5">
      <c r="A77" s="2"/>
      <c r="B77" s="2"/>
      <c r="C77" s="2"/>
      <c r="D77" s="4"/>
      <c r="G77" t="e">
        <f ca="1"/>
        <v>#NAME?</v>
      </c>
      <c r="H77" s="58">
        <f t="shared" ca="1" si="3"/>
        <v>0</v>
      </c>
      <c r="I77" s="5">
        <f t="shared" ca="1" si="4"/>
        <v>0</v>
      </c>
      <c r="J77" s="5" t="e">
        <f t="shared" ca="1" si="5"/>
        <v>#DIV/0!</v>
      </c>
    </row>
    <row r="78" spans="1:10" ht="14.5">
      <c r="A78" s="2"/>
      <c r="B78" s="2"/>
      <c r="C78" s="2"/>
      <c r="D78" s="2"/>
      <c r="G78" t="e">
        <f ca="1"/>
        <v>#NAME?</v>
      </c>
      <c r="H78" s="58">
        <f t="shared" ca="1" si="3"/>
        <v>0</v>
      </c>
      <c r="I78" s="5">
        <f t="shared" ca="1" si="4"/>
        <v>0</v>
      </c>
      <c r="J78" s="5" t="e">
        <f t="shared" ca="1" si="5"/>
        <v>#DIV/0!</v>
      </c>
    </row>
    <row r="79" spans="1:10" ht="14.5">
      <c r="A79" s="2"/>
      <c r="B79" s="2"/>
      <c r="C79" s="2"/>
      <c r="D79" s="4"/>
      <c r="G79" t="e">
        <f ca="1"/>
        <v>#NAME?</v>
      </c>
      <c r="H79" s="58">
        <f t="shared" ca="1" si="3"/>
        <v>0</v>
      </c>
      <c r="I79" s="5">
        <f t="shared" ca="1" si="4"/>
        <v>0</v>
      </c>
      <c r="J79" s="5" t="e">
        <f t="shared" ca="1" si="5"/>
        <v>#DIV/0!</v>
      </c>
    </row>
    <row r="80" spans="1:10" ht="14.5">
      <c r="A80" s="2"/>
      <c r="B80" s="2"/>
      <c r="C80" s="2"/>
      <c r="D80" s="4"/>
      <c r="G80" t="e">
        <f ca="1"/>
        <v>#NAME?</v>
      </c>
      <c r="H80" s="58">
        <f t="shared" ca="1" si="3"/>
        <v>0</v>
      </c>
      <c r="I80" s="5">
        <f t="shared" ca="1" si="4"/>
        <v>0</v>
      </c>
      <c r="J80" s="5" t="e">
        <f t="shared" ca="1" si="5"/>
        <v>#DIV/0!</v>
      </c>
    </row>
    <row r="81" spans="1:10" ht="14.5">
      <c r="A81" s="2"/>
      <c r="B81" s="2"/>
      <c r="C81" s="2"/>
      <c r="D81" s="4"/>
      <c r="G81" t="e">
        <f ca="1"/>
        <v>#NAME?</v>
      </c>
      <c r="H81" s="58">
        <f t="shared" ca="1" si="3"/>
        <v>0</v>
      </c>
      <c r="I81" s="5">
        <f t="shared" ca="1" si="4"/>
        <v>0</v>
      </c>
      <c r="J81" s="5" t="e">
        <f t="shared" ca="1" si="5"/>
        <v>#DIV/0!</v>
      </c>
    </row>
    <row r="82" spans="1:10" ht="14.5">
      <c r="A82" s="2"/>
      <c r="B82" s="2"/>
      <c r="C82" s="2"/>
      <c r="D82" s="4"/>
      <c r="G82" t="e">
        <f ca="1"/>
        <v>#NAME?</v>
      </c>
      <c r="H82" s="58">
        <f t="shared" ca="1" si="3"/>
        <v>0</v>
      </c>
      <c r="I82" s="5">
        <f t="shared" ca="1" si="4"/>
        <v>0</v>
      </c>
      <c r="J82" s="5" t="e">
        <f t="shared" ca="1" si="5"/>
        <v>#DIV/0!</v>
      </c>
    </row>
    <row r="83" spans="1:10" ht="14.5">
      <c r="A83" s="2"/>
      <c r="B83" s="2"/>
      <c r="C83" s="2"/>
      <c r="D83" s="4"/>
      <c r="G83" t="e">
        <f ca="1"/>
        <v>#NAME?</v>
      </c>
      <c r="H83" s="58">
        <f t="shared" ca="1" si="3"/>
        <v>0</v>
      </c>
      <c r="I83" s="5">
        <f t="shared" ca="1" si="4"/>
        <v>0</v>
      </c>
      <c r="J83" s="5" t="e">
        <f t="shared" ca="1" si="5"/>
        <v>#DIV/0!</v>
      </c>
    </row>
    <row r="84" spans="1:10" ht="14.5">
      <c r="A84" s="2"/>
      <c r="B84" s="2"/>
      <c r="C84" s="2"/>
      <c r="D84" s="4"/>
      <c r="G84" t="e">
        <f ca="1"/>
        <v>#NAME?</v>
      </c>
      <c r="H84" s="58">
        <f t="shared" ca="1" si="3"/>
        <v>0</v>
      </c>
      <c r="I84" s="5">
        <f t="shared" ca="1" si="4"/>
        <v>0</v>
      </c>
      <c r="J84" s="5" t="e">
        <f t="shared" ca="1" si="5"/>
        <v>#DIV/0!</v>
      </c>
    </row>
    <row r="85" spans="1:10" ht="14.5">
      <c r="A85" s="2"/>
      <c r="B85" s="2"/>
      <c r="C85" s="2"/>
      <c r="D85" s="4"/>
      <c r="G85" t="e">
        <f ca="1"/>
        <v>#NAME?</v>
      </c>
      <c r="H85" s="58">
        <f t="shared" ca="1" si="3"/>
        <v>0</v>
      </c>
      <c r="I85" s="5">
        <f t="shared" ca="1" si="4"/>
        <v>0</v>
      </c>
      <c r="J85" s="5" t="e">
        <f t="shared" ca="1" si="5"/>
        <v>#DIV/0!</v>
      </c>
    </row>
    <row r="86" spans="1:10" ht="14.5">
      <c r="A86" s="2"/>
      <c r="B86" s="2"/>
      <c r="C86" s="2"/>
      <c r="D86" s="4"/>
      <c r="G86" t="e">
        <f ca="1"/>
        <v>#NAME?</v>
      </c>
      <c r="H86" s="58">
        <f t="shared" ca="1" si="3"/>
        <v>0</v>
      </c>
      <c r="I86" s="5">
        <f t="shared" ca="1" si="4"/>
        <v>0</v>
      </c>
      <c r="J86" s="5" t="e">
        <f t="shared" ca="1" si="5"/>
        <v>#DIV/0!</v>
      </c>
    </row>
    <row r="87" spans="1:10" ht="14.5">
      <c r="A87" s="2"/>
      <c r="B87" s="2"/>
      <c r="C87" s="2"/>
      <c r="D87" s="2"/>
      <c r="G87" t="e">
        <f ca="1"/>
        <v>#NAME?</v>
      </c>
      <c r="H87" s="58">
        <f t="shared" ca="1" si="3"/>
        <v>0</v>
      </c>
      <c r="I87" s="5">
        <f t="shared" ca="1" si="4"/>
        <v>0</v>
      </c>
      <c r="J87" s="5" t="e">
        <f t="shared" ca="1" si="5"/>
        <v>#DIV/0!</v>
      </c>
    </row>
    <row r="88" spans="1:10" ht="14.5">
      <c r="A88" s="2"/>
      <c r="B88" s="2"/>
      <c r="C88" s="2"/>
      <c r="D88" s="4"/>
      <c r="G88" t="e">
        <f ca="1"/>
        <v>#NAME?</v>
      </c>
      <c r="H88" s="58">
        <f t="shared" ca="1" si="3"/>
        <v>0</v>
      </c>
      <c r="I88" s="5">
        <f t="shared" ca="1" si="4"/>
        <v>0</v>
      </c>
      <c r="J88" s="5" t="e">
        <f t="shared" ca="1" si="5"/>
        <v>#DIV/0!</v>
      </c>
    </row>
    <row r="89" spans="1:10" ht="14.5">
      <c r="A89" s="2"/>
      <c r="B89" s="2"/>
      <c r="C89" s="2"/>
      <c r="D89" s="4"/>
      <c r="G89" t="e">
        <f ca="1"/>
        <v>#NAME?</v>
      </c>
      <c r="H89" s="58">
        <f t="shared" ca="1" si="3"/>
        <v>0</v>
      </c>
      <c r="I89" s="5">
        <f t="shared" ca="1" si="4"/>
        <v>0</v>
      </c>
      <c r="J89" s="5" t="e">
        <f t="shared" ca="1" si="5"/>
        <v>#DIV/0!</v>
      </c>
    </row>
    <row r="90" spans="1:10" ht="14.5">
      <c r="A90" s="2"/>
      <c r="B90" s="2"/>
      <c r="C90" s="2"/>
      <c r="D90" s="4"/>
      <c r="G90" t="e">
        <f ca="1"/>
        <v>#NAME?</v>
      </c>
      <c r="H90" s="58">
        <f t="shared" ca="1" si="3"/>
        <v>0</v>
      </c>
      <c r="I90" s="5">
        <f t="shared" ca="1" si="4"/>
        <v>0</v>
      </c>
      <c r="J90" s="5" t="e">
        <f t="shared" ca="1" si="5"/>
        <v>#DIV/0!</v>
      </c>
    </row>
    <row r="91" spans="1:10" ht="14.5">
      <c r="A91" s="2"/>
      <c r="B91" s="2"/>
      <c r="C91" s="2"/>
      <c r="D91" s="4"/>
      <c r="G91" t="e">
        <f ca="1"/>
        <v>#NAME?</v>
      </c>
      <c r="H91" s="58">
        <f t="shared" ca="1" si="3"/>
        <v>0</v>
      </c>
      <c r="I91" s="5">
        <f t="shared" ca="1" si="4"/>
        <v>0</v>
      </c>
      <c r="J91" s="5" t="e">
        <f t="shared" ca="1" si="5"/>
        <v>#DIV/0!</v>
      </c>
    </row>
    <row r="92" spans="1:10" ht="14.5">
      <c r="A92" s="2"/>
      <c r="B92" s="2"/>
      <c r="C92" s="2"/>
      <c r="D92" s="4"/>
      <c r="G92" t="e">
        <f ca="1"/>
        <v>#NAME?</v>
      </c>
      <c r="H92" s="58">
        <f t="shared" ca="1" si="3"/>
        <v>0</v>
      </c>
      <c r="I92" s="5">
        <f t="shared" ca="1" si="4"/>
        <v>0</v>
      </c>
      <c r="J92" s="5" t="e">
        <f t="shared" ca="1" si="5"/>
        <v>#DIV/0!</v>
      </c>
    </row>
    <row r="93" spans="1:10" ht="14.5">
      <c r="A93" s="2"/>
      <c r="B93" s="2"/>
      <c r="C93" s="2"/>
      <c r="D93" s="4"/>
      <c r="G93" t="e">
        <f ca="1"/>
        <v>#NAME?</v>
      </c>
      <c r="H93" s="58">
        <f t="shared" ca="1" si="3"/>
        <v>0</v>
      </c>
      <c r="I93" s="5">
        <f t="shared" ca="1" si="4"/>
        <v>0</v>
      </c>
      <c r="J93" s="5" t="e">
        <f t="shared" ca="1" si="5"/>
        <v>#DIV/0!</v>
      </c>
    </row>
    <row r="94" spans="1:10" ht="14.5">
      <c r="A94" s="2"/>
      <c r="B94" s="2"/>
      <c r="C94" s="2"/>
      <c r="D94" s="4"/>
      <c r="G94" t="e">
        <f ca="1"/>
        <v>#NAME?</v>
      </c>
      <c r="H94" s="58">
        <f t="shared" ca="1" si="3"/>
        <v>0</v>
      </c>
      <c r="I94" s="5">
        <f t="shared" ca="1" si="4"/>
        <v>0</v>
      </c>
      <c r="J94" s="5" t="e">
        <f t="shared" ca="1" si="5"/>
        <v>#DIV/0!</v>
      </c>
    </row>
    <row r="95" spans="1:10" ht="14.5">
      <c r="A95" s="2"/>
      <c r="B95" s="2"/>
      <c r="C95" s="2"/>
      <c r="D95" s="4"/>
      <c r="G95" t="e">
        <f ca="1"/>
        <v>#NAME?</v>
      </c>
      <c r="H95" s="58">
        <f t="shared" ca="1" si="3"/>
        <v>0</v>
      </c>
      <c r="I95" s="5">
        <f t="shared" ca="1" si="4"/>
        <v>0</v>
      </c>
      <c r="J95" s="5" t="e">
        <f t="shared" ca="1" si="5"/>
        <v>#DIV/0!</v>
      </c>
    </row>
    <row r="96" spans="1:10" ht="14.5">
      <c r="A96" s="2"/>
      <c r="B96" s="2"/>
      <c r="C96" s="2"/>
      <c r="D96" s="4"/>
      <c r="G96" t="e">
        <f ca="1"/>
        <v>#NAME?</v>
      </c>
      <c r="H96" s="58">
        <f t="shared" ca="1" si="3"/>
        <v>0</v>
      </c>
      <c r="I96" s="5">
        <f t="shared" ca="1" si="4"/>
        <v>0</v>
      </c>
      <c r="J96" s="5" t="e">
        <f t="shared" ca="1" si="5"/>
        <v>#DIV/0!</v>
      </c>
    </row>
    <row r="97" spans="1:10" ht="14.5">
      <c r="A97" s="2"/>
      <c r="B97" s="2"/>
      <c r="C97" s="2"/>
      <c r="D97" s="4"/>
      <c r="G97" t="e">
        <f ca="1"/>
        <v>#NAME?</v>
      </c>
      <c r="H97" s="58">
        <f t="shared" ca="1" si="3"/>
        <v>0</v>
      </c>
      <c r="I97" s="5">
        <f t="shared" ca="1" si="4"/>
        <v>0</v>
      </c>
      <c r="J97" s="5" t="e">
        <f t="shared" ca="1" si="5"/>
        <v>#DIV/0!</v>
      </c>
    </row>
    <row r="98" spans="1:10" ht="14.5">
      <c r="A98" s="2"/>
      <c r="B98" s="2"/>
      <c r="C98" s="2"/>
      <c r="D98" s="4"/>
      <c r="G98" t="e">
        <f ca="1"/>
        <v>#NAME?</v>
      </c>
      <c r="H98" s="58">
        <f t="shared" ca="1" si="3"/>
        <v>0</v>
      </c>
      <c r="I98" s="5">
        <f t="shared" ca="1" si="4"/>
        <v>0</v>
      </c>
      <c r="J98" s="5" t="e">
        <f t="shared" ca="1" si="5"/>
        <v>#DIV/0!</v>
      </c>
    </row>
    <row r="99" spans="1:10" ht="14.5">
      <c r="A99" s="2"/>
      <c r="B99" s="2"/>
      <c r="C99" s="2"/>
      <c r="D99" s="4"/>
      <c r="G99" t="e">
        <f ca="1"/>
        <v>#NAME?</v>
      </c>
      <c r="H99" s="58">
        <f t="shared" ca="1" si="3"/>
        <v>0</v>
      </c>
      <c r="I99" s="5">
        <f t="shared" ca="1" si="4"/>
        <v>0</v>
      </c>
      <c r="J99" s="5" t="e">
        <f t="shared" ca="1" si="5"/>
        <v>#DIV/0!</v>
      </c>
    </row>
    <row r="100" spans="1:10" ht="14.5">
      <c r="A100" s="2"/>
      <c r="B100" s="2"/>
      <c r="C100" s="2"/>
      <c r="D100" s="4"/>
      <c r="G100" t="e">
        <f ca="1"/>
        <v>#NAME?</v>
      </c>
      <c r="H100" s="58">
        <f t="shared" ca="1" si="3"/>
        <v>0</v>
      </c>
      <c r="I100" s="5">
        <f t="shared" ca="1" si="4"/>
        <v>0</v>
      </c>
      <c r="J100" s="5" t="e">
        <f t="shared" ca="1" si="5"/>
        <v>#DIV/0!</v>
      </c>
    </row>
    <row r="101" spans="1:10" ht="14.5">
      <c r="A101" s="2"/>
      <c r="B101" s="2"/>
      <c r="C101" s="2"/>
      <c r="D101" s="4"/>
      <c r="G101" t="e">
        <f ca="1"/>
        <v>#NAME?</v>
      </c>
      <c r="H101" s="58">
        <f t="shared" ca="1" si="3"/>
        <v>0</v>
      </c>
      <c r="I101" s="5">
        <f t="shared" ca="1" si="4"/>
        <v>0</v>
      </c>
      <c r="J101" s="5" t="e">
        <f t="shared" ca="1" si="5"/>
        <v>#DIV/0!</v>
      </c>
    </row>
    <row r="102" spans="1:10" ht="14.5">
      <c r="A102" s="2"/>
      <c r="B102" s="2"/>
      <c r="C102" s="2"/>
      <c r="D102" s="4"/>
      <c r="G102" t="e">
        <f ca="1"/>
        <v>#NAME?</v>
      </c>
      <c r="H102" s="58">
        <f t="shared" ca="1" si="3"/>
        <v>0</v>
      </c>
      <c r="I102" s="5">
        <f t="shared" ca="1" si="4"/>
        <v>0</v>
      </c>
      <c r="J102" s="5" t="e">
        <f t="shared" ca="1" si="5"/>
        <v>#DIV/0!</v>
      </c>
    </row>
    <row r="103" spans="1:10" ht="14.5">
      <c r="A103" s="2"/>
      <c r="B103" s="2"/>
      <c r="C103" s="2"/>
      <c r="D103" s="4"/>
      <c r="G103" t="e">
        <f ca="1"/>
        <v>#NAME?</v>
      </c>
      <c r="H103" s="58">
        <f t="shared" ca="1" si="3"/>
        <v>0</v>
      </c>
      <c r="I103" s="5">
        <f t="shared" ca="1" si="4"/>
        <v>0</v>
      </c>
      <c r="J103" s="5" t="e">
        <f t="shared" ca="1" si="5"/>
        <v>#DIV/0!</v>
      </c>
    </row>
    <row r="104" spans="1:10" ht="14.5">
      <c r="A104" s="2"/>
      <c r="B104" s="2"/>
      <c r="C104" s="2"/>
      <c r="D104" s="4"/>
      <c r="G104" t="e">
        <f ca="1"/>
        <v>#NAME?</v>
      </c>
      <c r="H104" s="58">
        <f t="shared" ca="1" si="3"/>
        <v>0</v>
      </c>
      <c r="I104" s="5">
        <f t="shared" ca="1" si="4"/>
        <v>0</v>
      </c>
      <c r="J104" s="5" t="e">
        <f t="shared" ca="1" si="5"/>
        <v>#DIV/0!</v>
      </c>
    </row>
    <row r="105" spans="1:10" ht="14.5">
      <c r="A105" s="2"/>
      <c r="B105" s="2"/>
      <c r="C105" s="2"/>
      <c r="D105" s="4"/>
      <c r="G105" t="e">
        <f ca="1"/>
        <v>#NAME?</v>
      </c>
      <c r="H105" s="58">
        <f t="shared" ca="1" si="3"/>
        <v>0</v>
      </c>
      <c r="I105" s="5">
        <f t="shared" ca="1" si="4"/>
        <v>0</v>
      </c>
      <c r="J105" s="5" t="e">
        <f t="shared" ca="1" si="5"/>
        <v>#DIV/0!</v>
      </c>
    </row>
    <row r="106" spans="1:10" ht="14.5">
      <c r="A106" s="2"/>
      <c r="B106" s="2"/>
      <c r="C106" s="2"/>
      <c r="D106" s="4"/>
      <c r="G106" t="e">
        <f ca="1"/>
        <v>#NAME?</v>
      </c>
      <c r="H106" s="58">
        <f t="shared" ca="1" si="3"/>
        <v>0</v>
      </c>
      <c r="I106" s="5">
        <f t="shared" ca="1" si="4"/>
        <v>0</v>
      </c>
      <c r="J106" s="5" t="e">
        <f t="shared" ca="1" si="5"/>
        <v>#DIV/0!</v>
      </c>
    </row>
    <row r="107" spans="1:10" ht="14.5">
      <c r="A107" s="2"/>
      <c r="B107" s="2"/>
      <c r="C107" s="2"/>
      <c r="D107" s="4"/>
      <c r="G107" t="e">
        <f ca="1"/>
        <v>#NAME?</v>
      </c>
      <c r="H107" s="58">
        <f t="shared" ca="1" si="3"/>
        <v>0</v>
      </c>
      <c r="I107" s="5">
        <f t="shared" ca="1" si="4"/>
        <v>0</v>
      </c>
      <c r="J107" s="5" t="e">
        <f t="shared" ca="1" si="5"/>
        <v>#DIV/0!</v>
      </c>
    </row>
    <row r="108" spans="1:10" ht="14.5">
      <c r="A108" s="2"/>
      <c r="B108" s="2"/>
      <c r="C108" s="2"/>
      <c r="D108" s="4"/>
      <c r="G108" t="e">
        <f ca="1"/>
        <v>#NAME?</v>
      </c>
      <c r="H108" s="58">
        <f t="shared" ca="1" si="3"/>
        <v>0</v>
      </c>
      <c r="I108" s="5">
        <f t="shared" ca="1" si="4"/>
        <v>0</v>
      </c>
      <c r="J108" s="5" t="e">
        <f t="shared" ca="1" si="5"/>
        <v>#DIV/0!</v>
      </c>
    </row>
    <row r="109" spans="1:10" ht="14.5">
      <c r="A109" s="2"/>
      <c r="B109" s="2"/>
      <c r="C109" s="2"/>
      <c r="D109" s="4"/>
      <c r="G109" t="e">
        <f ca="1"/>
        <v>#NAME?</v>
      </c>
      <c r="H109" s="58">
        <f t="shared" ca="1" si="3"/>
        <v>0</v>
      </c>
      <c r="I109" s="5">
        <f t="shared" ca="1" si="4"/>
        <v>0</v>
      </c>
      <c r="J109" s="5" t="e">
        <f t="shared" ca="1" si="5"/>
        <v>#DIV/0!</v>
      </c>
    </row>
    <row r="110" spans="1:10" ht="14.5">
      <c r="A110" s="2"/>
      <c r="B110" s="2"/>
      <c r="C110" s="2"/>
      <c r="D110" s="4"/>
      <c r="G110" t="e">
        <f ca="1"/>
        <v>#NAME?</v>
      </c>
      <c r="H110" s="58">
        <f t="shared" ca="1" si="3"/>
        <v>0</v>
      </c>
      <c r="I110" s="5">
        <f t="shared" ca="1" si="4"/>
        <v>0</v>
      </c>
      <c r="J110" s="5" t="e">
        <f t="shared" ca="1" si="5"/>
        <v>#DIV/0!</v>
      </c>
    </row>
    <row r="111" spans="1:10" ht="14.5">
      <c r="A111" s="2"/>
      <c r="B111" s="2"/>
      <c r="C111" s="2"/>
      <c r="D111" s="4"/>
      <c r="G111" t="e">
        <f ca="1"/>
        <v>#NAME?</v>
      </c>
      <c r="H111" s="58">
        <f t="shared" ca="1" si="3"/>
        <v>0</v>
      </c>
      <c r="I111" s="5">
        <f t="shared" ca="1" si="4"/>
        <v>0</v>
      </c>
      <c r="J111" s="5" t="e">
        <f t="shared" ca="1" si="5"/>
        <v>#DIV/0!</v>
      </c>
    </row>
    <row r="112" spans="1:10" ht="14.5">
      <c r="A112" s="2"/>
      <c r="B112" s="2"/>
      <c r="C112" s="2"/>
      <c r="D112" s="4"/>
      <c r="G112" t="e">
        <f ca="1"/>
        <v>#NAME?</v>
      </c>
      <c r="H112" s="58">
        <f t="shared" ca="1" si="3"/>
        <v>0</v>
      </c>
      <c r="I112" s="5">
        <f t="shared" ca="1" si="4"/>
        <v>0</v>
      </c>
      <c r="J112" s="5" t="e">
        <f t="shared" ca="1" si="5"/>
        <v>#DIV/0!</v>
      </c>
    </row>
    <row r="113" spans="1:10" ht="14.5">
      <c r="A113" s="2"/>
      <c r="B113" s="2"/>
      <c r="C113" s="2"/>
      <c r="D113" s="4"/>
      <c r="G113" t="e">
        <f ca="1"/>
        <v>#NAME?</v>
      </c>
      <c r="H113" s="58">
        <f t="shared" ca="1" si="3"/>
        <v>0</v>
      </c>
      <c r="I113" s="5">
        <f t="shared" ca="1" si="4"/>
        <v>0</v>
      </c>
      <c r="J113" s="5" t="e">
        <f t="shared" ca="1" si="5"/>
        <v>#DIV/0!</v>
      </c>
    </row>
    <row r="114" spans="1:10" ht="14.5">
      <c r="A114" s="2"/>
      <c r="B114" s="2"/>
      <c r="C114" s="2"/>
      <c r="D114" s="4"/>
      <c r="G114" t="e">
        <f ca="1"/>
        <v>#NAME?</v>
      </c>
      <c r="H114" s="58">
        <f t="shared" ca="1" si="3"/>
        <v>0</v>
      </c>
      <c r="I114" s="5">
        <f t="shared" ca="1" si="4"/>
        <v>0</v>
      </c>
      <c r="J114" s="5" t="e">
        <f t="shared" ca="1" si="5"/>
        <v>#DIV/0!</v>
      </c>
    </row>
    <row r="115" spans="1:10" ht="14.5">
      <c r="A115" s="2"/>
      <c r="B115" s="2"/>
      <c r="C115" s="2"/>
      <c r="D115" s="4"/>
      <c r="G115" t="e">
        <f ca="1"/>
        <v>#NAME?</v>
      </c>
      <c r="H115" s="58">
        <f t="shared" ca="1" si="3"/>
        <v>0</v>
      </c>
      <c r="I115" s="5">
        <f t="shared" ca="1" si="4"/>
        <v>0</v>
      </c>
      <c r="J115" s="5" t="e">
        <f t="shared" ca="1" si="5"/>
        <v>#DIV/0!</v>
      </c>
    </row>
    <row r="116" spans="1:10" ht="14.5">
      <c r="A116" s="2"/>
      <c r="B116" s="2"/>
      <c r="C116" s="2"/>
      <c r="D116" s="4"/>
      <c r="G116" t="e">
        <f ca="1"/>
        <v>#NAME?</v>
      </c>
      <c r="H116" s="58">
        <f t="shared" ca="1" si="3"/>
        <v>0</v>
      </c>
      <c r="I116" s="5">
        <f t="shared" ca="1" si="4"/>
        <v>0</v>
      </c>
      <c r="J116" s="5" t="e">
        <f t="shared" ca="1" si="5"/>
        <v>#DIV/0!</v>
      </c>
    </row>
    <row r="117" spans="1:10" ht="14.5">
      <c r="A117" s="2"/>
      <c r="B117" s="2"/>
      <c r="C117" s="2"/>
      <c r="D117" s="4"/>
      <c r="G117" t="e">
        <f ca="1"/>
        <v>#NAME?</v>
      </c>
      <c r="H117" s="58">
        <f t="shared" ca="1" si="3"/>
        <v>0</v>
      </c>
      <c r="I117" s="5">
        <f t="shared" ca="1" si="4"/>
        <v>0</v>
      </c>
      <c r="J117" s="5" t="e">
        <f t="shared" ca="1" si="5"/>
        <v>#DIV/0!</v>
      </c>
    </row>
    <row r="118" spans="1:10" ht="14.5">
      <c r="A118" s="2"/>
      <c r="B118" s="2"/>
      <c r="C118" s="2"/>
      <c r="D118" s="4"/>
      <c r="G118" t="e">
        <f ca="1"/>
        <v>#NAME?</v>
      </c>
      <c r="H118" s="58">
        <f t="shared" ca="1" si="3"/>
        <v>0</v>
      </c>
      <c r="I118" s="5">
        <f t="shared" ca="1" si="4"/>
        <v>0</v>
      </c>
      <c r="J118" s="5" t="e">
        <f t="shared" ca="1" si="5"/>
        <v>#DIV/0!</v>
      </c>
    </row>
    <row r="119" spans="1:10" ht="14.5">
      <c r="A119" s="2"/>
      <c r="B119" s="2"/>
      <c r="C119" s="2"/>
      <c r="D119" s="4"/>
      <c r="G119" t="e">
        <f ca="1"/>
        <v>#NAME?</v>
      </c>
      <c r="H119" s="58">
        <f t="shared" ca="1" si="3"/>
        <v>0</v>
      </c>
      <c r="I119" s="5">
        <f t="shared" ca="1" si="4"/>
        <v>0</v>
      </c>
      <c r="J119" s="5" t="e">
        <f t="shared" ca="1" si="5"/>
        <v>#DIV/0!</v>
      </c>
    </row>
    <row r="120" spans="1:10" ht="14.5">
      <c r="A120" s="2"/>
      <c r="B120" s="2"/>
      <c r="C120" s="2"/>
      <c r="D120" s="4"/>
      <c r="G120" t="e">
        <f ca="1"/>
        <v>#NAME?</v>
      </c>
      <c r="H120" s="58">
        <f t="shared" ca="1" si="3"/>
        <v>0</v>
      </c>
      <c r="I120" s="5">
        <f t="shared" ca="1" si="4"/>
        <v>0</v>
      </c>
      <c r="J120" s="5" t="e">
        <f t="shared" ca="1" si="5"/>
        <v>#DIV/0!</v>
      </c>
    </row>
    <row r="121" spans="1:10" ht="14.5">
      <c r="A121" s="2"/>
      <c r="B121" s="2"/>
      <c r="C121" s="2"/>
      <c r="D121" s="4"/>
      <c r="G121" t="e">
        <f ca="1"/>
        <v>#NAME?</v>
      </c>
      <c r="H121" s="58">
        <f t="shared" ca="1" si="3"/>
        <v>0</v>
      </c>
      <c r="I121" s="5">
        <f t="shared" ca="1" si="4"/>
        <v>0</v>
      </c>
      <c r="J121" s="5" t="e">
        <f t="shared" ca="1" si="5"/>
        <v>#DIV/0!</v>
      </c>
    </row>
    <row r="122" spans="1:10" ht="14.5">
      <c r="A122" s="2"/>
      <c r="B122" s="2"/>
      <c r="C122" s="2"/>
      <c r="D122" s="4"/>
      <c r="G122" t="e">
        <f ca="1"/>
        <v>#NAME?</v>
      </c>
      <c r="H122" s="58">
        <f t="shared" ca="1" si="3"/>
        <v>0</v>
      </c>
      <c r="I122" s="5">
        <f t="shared" ca="1" si="4"/>
        <v>0</v>
      </c>
      <c r="J122" s="5" t="e">
        <f t="shared" ca="1" si="5"/>
        <v>#DIV/0!</v>
      </c>
    </row>
    <row r="123" spans="1:10" ht="14.5">
      <c r="A123" s="2"/>
      <c r="B123" s="2"/>
      <c r="C123" s="2"/>
      <c r="D123" s="4"/>
      <c r="G123" t="e">
        <f ca="1"/>
        <v>#NAME?</v>
      </c>
      <c r="H123" s="58">
        <f t="shared" ca="1" si="3"/>
        <v>0</v>
      </c>
      <c r="I123" s="5">
        <f t="shared" ca="1" si="4"/>
        <v>0</v>
      </c>
      <c r="J123" s="5" t="e">
        <f t="shared" ca="1" si="5"/>
        <v>#DIV/0!</v>
      </c>
    </row>
    <row r="124" spans="1:10" ht="14.5">
      <c r="A124" s="2"/>
      <c r="B124" s="2"/>
      <c r="C124" s="2"/>
      <c r="D124" s="4"/>
      <c r="G124" t="e">
        <f ca="1"/>
        <v>#NAME?</v>
      </c>
      <c r="H124" s="58">
        <f t="shared" ca="1" si="3"/>
        <v>0</v>
      </c>
      <c r="I124" s="5">
        <f t="shared" ca="1" si="4"/>
        <v>0</v>
      </c>
      <c r="J124" s="5" t="e">
        <f t="shared" ca="1" si="5"/>
        <v>#DIV/0!</v>
      </c>
    </row>
    <row r="125" spans="1:10" ht="14.5">
      <c r="A125" s="2"/>
      <c r="B125" s="2"/>
      <c r="C125" s="2"/>
      <c r="D125" s="4"/>
      <c r="G125" t="e">
        <f ca="1"/>
        <v>#NAME?</v>
      </c>
      <c r="H125" s="58">
        <f t="shared" ca="1" si="3"/>
        <v>0</v>
      </c>
      <c r="I125" s="5">
        <f t="shared" ca="1" si="4"/>
        <v>0</v>
      </c>
      <c r="J125" s="5" t="e">
        <f t="shared" ca="1" si="5"/>
        <v>#DIV/0!</v>
      </c>
    </row>
    <row r="126" spans="1:10" ht="14.5">
      <c r="A126" s="2"/>
      <c r="B126" s="2"/>
      <c r="C126" s="2"/>
      <c r="D126" s="4"/>
      <c r="G126" t="e">
        <f ca="1"/>
        <v>#NAME?</v>
      </c>
      <c r="H126" s="58">
        <f t="shared" ca="1" si="3"/>
        <v>0</v>
      </c>
      <c r="I126" s="5">
        <f t="shared" ca="1" si="4"/>
        <v>0</v>
      </c>
      <c r="J126" s="5" t="e">
        <f t="shared" ca="1" si="5"/>
        <v>#DIV/0!</v>
      </c>
    </row>
    <row r="127" spans="1:10" ht="14.5">
      <c r="A127" s="2"/>
      <c r="B127" s="2"/>
      <c r="C127" s="2"/>
      <c r="D127" s="4"/>
      <c r="G127" t="e">
        <f ca="1"/>
        <v>#NAME?</v>
      </c>
      <c r="H127" s="58">
        <f t="shared" ca="1" si="3"/>
        <v>0</v>
      </c>
      <c r="I127" s="5">
        <f t="shared" ca="1" si="4"/>
        <v>0</v>
      </c>
      <c r="J127" s="5" t="e">
        <f t="shared" ca="1" si="5"/>
        <v>#DIV/0!</v>
      </c>
    </row>
    <row r="128" spans="1:10" ht="14.5">
      <c r="A128" s="2"/>
      <c r="B128" s="2"/>
      <c r="C128" s="2"/>
      <c r="D128" s="4"/>
      <c r="G128" t="e">
        <f ca="1"/>
        <v>#NAME?</v>
      </c>
      <c r="H128" s="58">
        <f t="shared" ca="1" si="3"/>
        <v>0</v>
      </c>
      <c r="I128" s="5">
        <f t="shared" ca="1" si="4"/>
        <v>0</v>
      </c>
      <c r="J128" s="5" t="e">
        <f t="shared" ca="1" si="5"/>
        <v>#DIV/0!</v>
      </c>
    </row>
    <row r="129" spans="1:10" ht="14.5">
      <c r="A129" s="2"/>
      <c r="B129" s="2"/>
      <c r="C129" s="2"/>
      <c r="D129" s="4"/>
      <c r="G129" t="e">
        <f ca="1"/>
        <v>#NAME?</v>
      </c>
      <c r="H129" s="58">
        <f t="shared" ca="1" si="3"/>
        <v>0</v>
      </c>
      <c r="I129" s="5">
        <f t="shared" ca="1" si="4"/>
        <v>0</v>
      </c>
      <c r="J129" s="5" t="e">
        <f t="shared" ca="1" si="5"/>
        <v>#DIV/0!</v>
      </c>
    </row>
    <row r="130" spans="1:10" ht="14.5">
      <c r="A130" s="2"/>
      <c r="B130" s="2"/>
      <c r="C130" s="2"/>
      <c r="D130" s="4"/>
      <c r="G130" t="e">
        <f ca="1"/>
        <v>#NAME?</v>
      </c>
      <c r="H130" s="58">
        <f t="shared" ca="1" si="3"/>
        <v>0</v>
      </c>
      <c r="I130" s="5">
        <f t="shared" ca="1" si="4"/>
        <v>0</v>
      </c>
      <c r="J130" s="5" t="e">
        <f t="shared" ca="1" si="5"/>
        <v>#DIV/0!</v>
      </c>
    </row>
    <row r="131" spans="1:10" ht="14.5">
      <c r="A131" s="2"/>
      <c r="B131" s="2"/>
      <c r="C131" s="2"/>
      <c r="D131" s="4"/>
      <c r="G131" t="e">
        <f ca="1"/>
        <v>#NAME?</v>
      </c>
      <c r="H131" s="58">
        <f t="shared" ca="1" si="3"/>
        <v>0</v>
      </c>
      <c r="I131" s="5">
        <f t="shared" ca="1" si="4"/>
        <v>0</v>
      </c>
      <c r="J131" s="5" t="e">
        <f t="shared" ca="1" si="5"/>
        <v>#DIV/0!</v>
      </c>
    </row>
    <row r="132" spans="1:10" ht="14.5">
      <c r="A132" s="2"/>
      <c r="B132" s="2"/>
      <c r="C132" s="2"/>
      <c r="D132" s="4"/>
      <c r="G132" t="e">
        <f ca="1"/>
        <v>#NAME?</v>
      </c>
      <c r="H132" s="58">
        <f t="shared" ref="H132:H157" ca="1" si="6">COUNTIF($B:$B,G132)</f>
        <v>0</v>
      </c>
      <c r="I132" s="5">
        <f t="shared" ref="I132:I157" ca="1" si="7">SUMIFS(D:D,B:B,G132)</f>
        <v>0</v>
      </c>
      <c r="J132" s="5" t="e">
        <f t="shared" ref="J132:J158" ca="1" si="8">I132/H132</f>
        <v>#DIV/0!</v>
      </c>
    </row>
    <row r="133" spans="1:10" ht="14.5">
      <c r="A133" s="2"/>
      <c r="B133" s="2"/>
      <c r="C133" s="2"/>
      <c r="D133" s="4"/>
      <c r="G133" t="e">
        <f ca="1"/>
        <v>#NAME?</v>
      </c>
      <c r="H133" s="58">
        <f t="shared" ca="1" si="6"/>
        <v>0</v>
      </c>
      <c r="I133" s="5">
        <f t="shared" ca="1" si="7"/>
        <v>0</v>
      </c>
      <c r="J133" s="5" t="e">
        <f t="shared" ca="1" si="8"/>
        <v>#DIV/0!</v>
      </c>
    </row>
    <row r="134" spans="1:10" ht="14.5">
      <c r="A134" s="2"/>
      <c r="B134" s="2"/>
      <c r="C134" s="2"/>
      <c r="D134" s="4"/>
      <c r="G134" t="e">
        <f ca="1"/>
        <v>#NAME?</v>
      </c>
      <c r="H134" s="58">
        <f t="shared" ca="1" si="6"/>
        <v>0</v>
      </c>
      <c r="I134" s="5">
        <f t="shared" ca="1" si="7"/>
        <v>0</v>
      </c>
      <c r="J134" s="5" t="e">
        <f t="shared" ca="1" si="8"/>
        <v>#DIV/0!</v>
      </c>
    </row>
    <row r="135" spans="1:10" ht="14.5">
      <c r="A135" s="2"/>
      <c r="B135" s="2"/>
      <c r="C135" s="2"/>
      <c r="D135" s="4"/>
      <c r="G135" t="e">
        <f ca="1"/>
        <v>#NAME?</v>
      </c>
      <c r="H135" s="58">
        <f t="shared" ca="1" si="6"/>
        <v>0</v>
      </c>
      <c r="I135" s="5">
        <f t="shared" ca="1" si="7"/>
        <v>0</v>
      </c>
      <c r="J135" s="5" t="e">
        <f t="shared" ca="1" si="8"/>
        <v>#DIV/0!</v>
      </c>
    </row>
    <row r="136" spans="1:10" ht="14.5">
      <c r="A136" s="2"/>
      <c r="B136" s="2"/>
      <c r="C136" s="2"/>
      <c r="D136" s="4"/>
      <c r="G136" t="e">
        <f ca="1"/>
        <v>#NAME?</v>
      </c>
      <c r="H136" s="58">
        <f t="shared" ca="1" si="6"/>
        <v>0</v>
      </c>
      <c r="I136" s="5">
        <f t="shared" ca="1" si="7"/>
        <v>0</v>
      </c>
      <c r="J136" s="5" t="e">
        <f t="shared" ca="1" si="8"/>
        <v>#DIV/0!</v>
      </c>
    </row>
    <row r="137" spans="1:10" ht="14.5">
      <c r="A137" s="2"/>
      <c r="B137" s="2"/>
      <c r="C137" s="2"/>
      <c r="D137" s="4"/>
      <c r="G137" t="e">
        <f ca="1"/>
        <v>#NAME?</v>
      </c>
      <c r="H137" s="58">
        <f t="shared" ca="1" si="6"/>
        <v>0</v>
      </c>
      <c r="I137" s="5">
        <f t="shared" ca="1" si="7"/>
        <v>0</v>
      </c>
      <c r="J137" s="5" t="e">
        <f t="shared" ca="1" si="8"/>
        <v>#DIV/0!</v>
      </c>
    </row>
    <row r="138" spans="1:10" ht="14.5">
      <c r="A138" s="2"/>
      <c r="B138" s="2"/>
      <c r="C138" s="2"/>
      <c r="D138" s="4"/>
      <c r="G138" t="e">
        <f ca="1"/>
        <v>#NAME?</v>
      </c>
      <c r="H138" s="58">
        <f t="shared" ca="1" si="6"/>
        <v>0</v>
      </c>
      <c r="I138" s="5">
        <f t="shared" ca="1" si="7"/>
        <v>0</v>
      </c>
      <c r="J138" s="5" t="e">
        <f t="shared" ca="1" si="8"/>
        <v>#DIV/0!</v>
      </c>
    </row>
    <row r="139" spans="1:10" ht="14.5">
      <c r="A139" s="2"/>
      <c r="B139" s="2"/>
      <c r="C139" s="2"/>
      <c r="D139" s="4"/>
      <c r="G139" t="e">
        <f ca="1"/>
        <v>#NAME?</v>
      </c>
      <c r="H139" s="58">
        <f t="shared" ca="1" si="6"/>
        <v>0</v>
      </c>
      <c r="I139" s="5">
        <f t="shared" ca="1" si="7"/>
        <v>0</v>
      </c>
      <c r="J139" s="5" t="e">
        <f t="shared" ca="1" si="8"/>
        <v>#DIV/0!</v>
      </c>
    </row>
    <row r="140" spans="1:10" ht="14.5">
      <c r="A140" s="2"/>
      <c r="B140" s="2"/>
      <c r="C140" s="2"/>
      <c r="D140" s="4"/>
      <c r="G140" t="e">
        <f ca="1"/>
        <v>#NAME?</v>
      </c>
      <c r="H140" s="58">
        <f t="shared" ca="1" si="6"/>
        <v>0</v>
      </c>
      <c r="I140" s="5">
        <f t="shared" ca="1" si="7"/>
        <v>0</v>
      </c>
      <c r="J140" s="5" t="e">
        <f t="shared" ca="1" si="8"/>
        <v>#DIV/0!</v>
      </c>
    </row>
    <row r="141" spans="1:10" ht="14.5">
      <c r="A141" s="2"/>
      <c r="B141" s="2"/>
      <c r="C141" s="2"/>
      <c r="D141" s="4"/>
      <c r="G141" t="e">
        <f ca="1"/>
        <v>#NAME?</v>
      </c>
      <c r="H141" s="58">
        <f t="shared" ca="1" si="6"/>
        <v>0</v>
      </c>
      <c r="I141" s="5">
        <f t="shared" ca="1" si="7"/>
        <v>0</v>
      </c>
      <c r="J141" s="5" t="e">
        <f t="shared" ca="1" si="8"/>
        <v>#DIV/0!</v>
      </c>
    </row>
    <row r="142" spans="1:10" ht="14.5">
      <c r="A142" s="2"/>
      <c r="B142" s="2"/>
      <c r="C142" s="2"/>
      <c r="D142" s="4"/>
      <c r="G142" t="e">
        <f ca="1"/>
        <v>#NAME?</v>
      </c>
      <c r="H142" s="58">
        <f t="shared" ca="1" si="6"/>
        <v>0</v>
      </c>
      <c r="I142" s="5">
        <f t="shared" ca="1" si="7"/>
        <v>0</v>
      </c>
      <c r="J142" s="5" t="e">
        <f t="shared" ca="1" si="8"/>
        <v>#DIV/0!</v>
      </c>
    </row>
    <row r="143" spans="1:10" ht="14.5">
      <c r="A143" s="2"/>
      <c r="B143" s="2"/>
      <c r="C143" s="2"/>
      <c r="D143" s="4"/>
      <c r="G143" t="e">
        <f ca="1"/>
        <v>#NAME?</v>
      </c>
      <c r="H143" s="58">
        <f t="shared" ca="1" si="6"/>
        <v>0</v>
      </c>
      <c r="I143" s="5">
        <f t="shared" ca="1" si="7"/>
        <v>0</v>
      </c>
      <c r="J143" s="5" t="e">
        <f t="shared" ca="1" si="8"/>
        <v>#DIV/0!</v>
      </c>
    </row>
    <row r="144" spans="1:10" ht="14.5">
      <c r="A144" s="2"/>
      <c r="B144" s="2"/>
      <c r="C144" s="2"/>
      <c r="D144" s="4"/>
      <c r="G144" t="e">
        <f ca="1"/>
        <v>#NAME?</v>
      </c>
      <c r="H144" s="58">
        <f t="shared" ca="1" si="6"/>
        <v>0</v>
      </c>
      <c r="I144" s="5">
        <f t="shared" ca="1" si="7"/>
        <v>0</v>
      </c>
      <c r="J144" s="5" t="e">
        <f t="shared" ca="1" si="8"/>
        <v>#DIV/0!</v>
      </c>
    </row>
    <row r="145" spans="1:10" ht="14.5">
      <c r="A145" s="2"/>
      <c r="B145" s="2"/>
      <c r="C145" s="2"/>
      <c r="D145" s="4"/>
      <c r="G145" t="e">
        <f ca="1"/>
        <v>#NAME?</v>
      </c>
      <c r="H145" s="58">
        <f t="shared" ca="1" si="6"/>
        <v>0</v>
      </c>
      <c r="I145" s="5">
        <f t="shared" ca="1" si="7"/>
        <v>0</v>
      </c>
      <c r="J145" s="5" t="e">
        <f t="shared" ca="1" si="8"/>
        <v>#DIV/0!</v>
      </c>
    </row>
    <row r="146" spans="1:10" ht="14.5">
      <c r="A146" s="2"/>
      <c r="B146" s="2"/>
      <c r="C146" s="2"/>
      <c r="D146" s="4"/>
      <c r="G146" t="e">
        <f ca="1"/>
        <v>#NAME?</v>
      </c>
      <c r="H146" s="58">
        <f t="shared" ca="1" si="6"/>
        <v>0</v>
      </c>
      <c r="I146" s="5">
        <f t="shared" ca="1" si="7"/>
        <v>0</v>
      </c>
      <c r="J146" s="5" t="e">
        <f t="shared" ca="1" si="8"/>
        <v>#DIV/0!</v>
      </c>
    </row>
    <row r="147" spans="1:10" ht="14.5">
      <c r="A147" s="2"/>
      <c r="B147" s="2"/>
      <c r="C147" s="2"/>
      <c r="D147" s="4"/>
      <c r="G147" t="e">
        <f ca="1"/>
        <v>#NAME?</v>
      </c>
      <c r="H147" s="58">
        <f t="shared" ca="1" si="6"/>
        <v>0</v>
      </c>
      <c r="I147" s="5">
        <f t="shared" ca="1" si="7"/>
        <v>0</v>
      </c>
      <c r="J147" s="5" t="e">
        <f t="shared" ca="1" si="8"/>
        <v>#DIV/0!</v>
      </c>
    </row>
    <row r="148" spans="1:10" ht="14.5">
      <c r="A148" s="2"/>
      <c r="B148" s="2"/>
      <c r="C148" s="2"/>
      <c r="D148" s="4"/>
      <c r="G148" t="e">
        <f ca="1"/>
        <v>#NAME?</v>
      </c>
      <c r="H148" s="58">
        <f t="shared" ca="1" si="6"/>
        <v>0</v>
      </c>
      <c r="I148" s="5">
        <f t="shared" ca="1" si="7"/>
        <v>0</v>
      </c>
      <c r="J148" s="5" t="e">
        <f t="shared" ca="1" si="8"/>
        <v>#DIV/0!</v>
      </c>
    </row>
    <row r="149" spans="1:10" ht="14.5">
      <c r="A149" s="2"/>
      <c r="B149" s="2"/>
      <c r="C149" s="2"/>
      <c r="D149" s="4"/>
      <c r="G149" t="e">
        <f ca="1"/>
        <v>#NAME?</v>
      </c>
      <c r="H149" s="58">
        <f t="shared" ca="1" si="6"/>
        <v>0</v>
      </c>
      <c r="I149" s="5">
        <f t="shared" ca="1" si="7"/>
        <v>0</v>
      </c>
      <c r="J149" s="5" t="e">
        <f t="shared" ca="1" si="8"/>
        <v>#DIV/0!</v>
      </c>
    </row>
    <row r="150" spans="1:10" ht="14.5">
      <c r="A150" s="2"/>
      <c r="B150" s="2"/>
      <c r="C150" s="2"/>
      <c r="D150" s="4"/>
      <c r="G150" t="e">
        <f ca="1"/>
        <v>#NAME?</v>
      </c>
      <c r="H150" s="58">
        <f t="shared" ca="1" si="6"/>
        <v>0</v>
      </c>
      <c r="I150" s="5">
        <f t="shared" ca="1" si="7"/>
        <v>0</v>
      </c>
      <c r="J150" s="5" t="e">
        <f t="shared" ca="1" si="8"/>
        <v>#DIV/0!</v>
      </c>
    </row>
    <row r="151" spans="1:10" ht="14.5">
      <c r="A151" s="2"/>
      <c r="B151" s="2"/>
      <c r="C151" s="2"/>
      <c r="D151" s="4"/>
      <c r="G151" t="e">
        <f ca="1"/>
        <v>#NAME?</v>
      </c>
      <c r="H151" s="58">
        <f t="shared" ca="1" si="6"/>
        <v>0</v>
      </c>
      <c r="I151" s="5">
        <f t="shared" ca="1" si="7"/>
        <v>0</v>
      </c>
      <c r="J151" s="5" t="e">
        <f t="shared" ca="1" si="8"/>
        <v>#DIV/0!</v>
      </c>
    </row>
    <row r="152" spans="1:10" ht="14.5">
      <c r="A152" s="2"/>
      <c r="B152" s="2"/>
      <c r="C152" s="2"/>
      <c r="D152" s="4"/>
      <c r="G152" t="e">
        <f ca="1"/>
        <v>#NAME?</v>
      </c>
      <c r="H152" s="58">
        <f t="shared" ca="1" si="6"/>
        <v>0</v>
      </c>
      <c r="I152" s="5">
        <f t="shared" ca="1" si="7"/>
        <v>0</v>
      </c>
      <c r="J152" s="5" t="e">
        <f t="shared" ca="1" si="8"/>
        <v>#DIV/0!</v>
      </c>
    </row>
    <row r="153" spans="1:10" ht="14.5">
      <c r="A153" s="2"/>
      <c r="B153" s="2"/>
      <c r="C153" s="2"/>
      <c r="D153" s="4"/>
      <c r="G153" t="e">
        <f ca="1"/>
        <v>#NAME?</v>
      </c>
      <c r="H153" s="58">
        <f t="shared" ca="1" si="6"/>
        <v>0</v>
      </c>
      <c r="I153" s="5">
        <f t="shared" ca="1" si="7"/>
        <v>0</v>
      </c>
      <c r="J153" s="5" t="e">
        <f t="shared" ca="1" si="8"/>
        <v>#DIV/0!</v>
      </c>
    </row>
    <row r="154" spans="1:10" ht="14.5">
      <c r="A154" s="2"/>
      <c r="B154" s="2"/>
      <c r="C154" s="2"/>
      <c r="D154" s="4"/>
      <c r="G154" t="e">
        <f ca="1"/>
        <v>#NAME?</v>
      </c>
      <c r="H154" s="58">
        <f t="shared" ca="1" si="6"/>
        <v>0</v>
      </c>
      <c r="I154" s="5">
        <f t="shared" ca="1" si="7"/>
        <v>0</v>
      </c>
      <c r="J154" s="5" t="e">
        <f t="shared" ca="1" si="8"/>
        <v>#DIV/0!</v>
      </c>
    </row>
    <row r="155" spans="1:10" ht="14.5">
      <c r="A155" s="2"/>
      <c r="B155" s="2"/>
      <c r="C155" s="2"/>
      <c r="D155" s="4"/>
      <c r="G155" t="e">
        <f ca="1"/>
        <v>#NAME?</v>
      </c>
      <c r="H155" s="58">
        <f t="shared" ca="1" si="6"/>
        <v>0</v>
      </c>
      <c r="I155" s="5">
        <f t="shared" ca="1" si="7"/>
        <v>0</v>
      </c>
      <c r="J155" s="5" t="e">
        <f t="shared" ca="1" si="8"/>
        <v>#DIV/0!</v>
      </c>
    </row>
    <row r="156" spans="1:10" ht="14.5">
      <c r="A156" s="2"/>
      <c r="B156" s="2"/>
      <c r="C156" s="2"/>
      <c r="D156" s="4"/>
      <c r="G156" t="e">
        <f ca="1"/>
        <v>#NAME?</v>
      </c>
      <c r="H156" s="58">
        <f t="shared" ca="1" si="6"/>
        <v>0</v>
      </c>
      <c r="I156" s="5">
        <f t="shared" ca="1" si="7"/>
        <v>0</v>
      </c>
      <c r="J156" s="5" t="e">
        <f t="shared" ca="1" si="8"/>
        <v>#DIV/0!</v>
      </c>
    </row>
    <row r="157" spans="1:10" ht="14.5">
      <c r="A157" s="2"/>
      <c r="B157" s="2"/>
      <c r="C157" s="2"/>
      <c r="D157" s="4"/>
      <c r="G157" t="e">
        <f ca="1"/>
        <v>#NAME?</v>
      </c>
      <c r="H157" s="58">
        <f t="shared" ca="1" si="6"/>
        <v>0</v>
      </c>
      <c r="I157" s="5">
        <f t="shared" ca="1" si="7"/>
        <v>0</v>
      </c>
      <c r="J157" s="5" t="e">
        <f t="shared" ca="1" si="8"/>
        <v>#DIV/0!</v>
      </c>
    </row>
    <row r="158" spans="1:10" ht="14.5">
      <c r="A158" s="2"/>
      <c r="B158" s="2"/>
      <c r="C158" s="2"/>
      <c r="D158" s="4"/>
      <c r="G158" t="s">
        <v>39</v>
      </c>
      <c r="H158" s="58">
        <f ca="1">SUM(H3:H157)</f>
        <v>0</v>
      </c>
      <c r="I158" s="6">
        <f ca="1">SUM(I3:I157)</f>
        <v>0</v>
      </c>
      <c r="J158" s="5" t="e">
        <f t="shared" ca="1" si="8"/>
        <v>#DIV/0!</v>
      </c>
    </row>
    <row r="159" spans="1:10" ht="14.5">
      <c r="A159" s="2"/>
      <c r="B159" s="2"/>
      <c r="C159" s="2"/>
      <c r="D159" s="4"/>
    </row>
    <row r="160" spans="1:10" ht="14.5">
      <c r="A160" s="2"/>
      <c r="B160" s="2"/>
      <c r="C160" s="2"/>
      <c r="D160" s="4"/>
      <c r="G160" t="s">
        <v>40</v>
      </c>
      <c r="H160" t="s">
        <v>36</v>
      </c>
    </row>
    <row r="161" spans="1:9" ht="14.5">
      <c r="A161" s="2"/>
      <c r="B161" s="2"/>
      <c r="C161" s="2"/>
      <c r="D161" s="4"/>
    </row>
    <row r="162" spans="1:9" ht="14.5">
      <c r="A162" s="2"/>
      <c r="B162" s="2"/>
      <c r="C162" s="2"/>
      <c r="D162" s="4"/>
    </row>
    <row r="163" spans="1:9" ht="14.5">
      <c r="A163" s="2"/>
      <c r="B163" s="2"/>
      <c r="C163" s="2"/>
      <c r="D163" s="4"/>
    </row>
    <row r="164" spans="1:9" ht="14.5">
      <c r="A164" s="2"/>
      <c r="B164" s="2"/>
      <c r="C164" s="2"/>
      <c r="D164" s="4"/>
    </row>
    <row r="165" spans="1:9" ht="14.5">
      <c r="A165" s="2"/>
      <c r="B165" s="2"/>
      <c r="C165" s="2"/>
      <c r="D165" s="4"/>
    </row>
    <row r="166" spans="1:9" ht="14.5">
      <c r="A166" s="2"/>
      <c r="B166" s="2"/>
      <c r="C166" s="2"/>
      <c r="D166" s="4"/>
    </row>
    <row r="167" spans="1:9" ht="14.5">
      <c r="A167" s="2"/>
      <c r="B167" s="2"/>
      <c r="C167" s="2"/>
      <c r="D167" s="4"/>
      <c r="G167" s="58" t="s">
        <v>41</v>
      </c>
      <c r="H167" s="58" t="s">
        <v>36</v>
      </c>
      <c r="I167" s="58" t="s">
        <v>37</v>
      </c>
    </row>
    <row r="168" spans="1:9" ht="14.5">
      <c r="A168" s="2"/>
      <c r="B168" s="2"/>
      <c r="C168" s="2"/>
      <c r="D168" s="4"/>
      <c r="H168" s="58"/>
      <c r="I168" s="8"/>
    </row>
    <row r="169" spans="1:9" ht="14.5">
      <c r="A169" s="2"/>
      <c r="B169" s="2"/>
      <c r="C169" s="2"/>
      <c r="D169" s="4"/>
      <c r="H169" s="58"/>
      <c r="I169" s="5"/>
    </row>
    <row r="170" spans="1:9" ht="14.5">
      <c r="A170" s="2"/>
      <c r="B170" s="2"/>
      <c r="C170" s="2"/>
      <c r="D170" s="4"/>
      <c r="H170" s="58"/>
      <c r="I170" s="9"/>
    </row>
    <row r="171" spans="1:9" ht="14.5">
      <c r="A171" s="2"/>
      <c r="B171" s="2"/>
      <c r="C171" s="2"/>
      <c r="D171" s="4"/>
      <c r="H171" s="58"/>
      <c r="I171" s="9"/>
    </row>
    <row r="172" spans="1:9" ht="14.5">
      <c r="A172" s="2"/>
      <c r="B172" s="2"/>
      <c r="C172" s="2"/>
      <c r="D172" s="4"/>
      <c r="H172" s="58"/>
      <c r="I172" s="8"/>
    </row>
    <row r="173" spans="1:9" ht="14.5">
      <c r="A173" s="2"/>
      <c r="B173" s="2"/>
      <c r="C173" s="2"/>
      <c r="D173" s="4"/>
      <c r="H173" s="58"/>
      <c r="I173" s="5"/>
    </row>
    <row r="174" spans="1:9" ht="14.5">
      <c r="A174" s="2"/>
      <c r="B174" s="2"/>
      <c r="C174" s="2"/>
      <c r="D174" s="4"/>
      <c r="H174" s="58"/>
      <c r="I174" s="5"/>
    </row>
    <row r="175" spans="1:9" ht="14.5">
      <c r="A175" s="2"/>
      <c r="B175" s="2"/>
      <c r="C175" s="2"/>
      <c r="D175" s="4"/>
      <c r="H175" s="58"/>
      <c r="I175" s="5"/>
    </row>
    <row r="176" spans="1:9" ht="14.5">
      <c r="A176" s="2"/>
      <c r="B176" s="2"/>
      <c r="C176" s="2"/>
      <c r="D176" s="4"/>
      <c r="H176" s="58"/>
      <c r="I176" s="5"/>
    </row>
    <row r="177" spans="1:10" ht="14.5">
      <c r="A177" s="2"/>
      <c r="B177" s="2"/>
      <c r="C177" s="2"/>
      <c r="D177" s="4"/>
      <c r="H177" s="58"/>
      <c r="I177" s="5"/>
    </row>
    <row r="178" spans="1:10" ht="14.5">
      <c r="A178" s="2"/>
      <c r="B178" s="2"/>
      <c r="C178" s="2"/>
      <c r="D178" s="4"/>
      <c r="H178" s="58"/>
      <c r="I178" s="5"/>
    </row>
    <row r="179" spans="1:10" ht="14.5">
      <c r="A179" s="2"/>
      <c r="B179" s="2"/>
      <c r="C179" s="2"/>
      <c r="D179" s="4"/>
      <c r="H179" s="58"/>
      <c r="I179" s="5"/>
    </row>
    <row r="180" spans="1:10" ht="14.5">
      <c r="A180" s="2"/>
      <c r="B180" s="2"/>
      <c r="C180" s="2"/>
      <c r="D180" s="4"/>
      <c r="H180" s="58"/>
      <c r="I180" s="5"/>
    </row>
    <row r="181" spans="1:10" ht="14.5">
      <c r="A181" s="2"/>
      <c r="B181" s="2"/>
      <c r="C181" s="2"/>
      <c r="D181" s="4"/>
      <c r="H181" s="58"/>
      <c r="I181" s="5"/>
    </row>
    <row r="182" spans="1:10" ht="14.5">
      <c r="A182" s="2"/>
      <c r="B182" s="2"/>
      <c r="C182" s="2"/>
      <c r="D182" s="4"/>
      <c r="H182" s="58"/>
      <c r="I182" s="5"/>
    </row>
    <row r="183" spans="1:10" ht="14.5">
      <c r="A183" s="2"/>
      <c r="B183" s="2"/>
      <c r="C183" s="2"/>
      <c r="D183" s="4"/>
      <c r="H183" s="58"/>
      <c r="I183" s="5"/>
    </row>
    <row r="184" spans="1:10" ht="14.5">
      <c r="A184" s="2"/>
      <c r="B184" s="2"/>
      <c r="C184" s="2"/>
      <c r="D184" s="4"/>
      <c r="H184" s="58"/>
      <c r="I184" s="5"/>
    </row>
    <row r="185" spans="1:10" ht="14.5">
      <c r="A185" s="2"/>
      <c r="B185" s="2"/>
      <c r="C185" s="2"/>
      <c r="D185" s="4"/>
      <c r="H185" s="58"/>
      <c r="I185" s="5"/>
    </row>
    <row r="186" spans="1:10" ht="14.5">
      <c r="A186" s="2"/>
      <c r="B186" s="2"/>
      <c r="C186" s="2"/>
      <c r="D186" s="4"/>
      <c r="H186" s="58"/>
      <c r="I186" s="5"/>
    </row>
    <row r="187" spans="1:10" ht="14.5">
      <c r="A187" s="2"/>
      <c r="B187" s="2"/>
      <c r="C187" s="2"/>
      <c r="D187" s="4"/>
      <c r="H187" s="58"/>
      <c r="I187" s="5"/>
    </row>
    <row r="188" spans="1:10" ht="14.5">
      <c r="A188" s="2"/>
      <c r="B188" s="2"/>
      <c r="C188" s="2"/>
      <c r="D188" s="4"/>
      <c r="H188" s="58"/>
      <c r="I188" s="5"/>
    </row>
    <row r="189" spans="1:10" ht="14.5">
      <c r="A189" s="2"/>
      <c r="B189" s="2"/>
      <c r="C189" s="2"/>
      <c r="D189" s="4"/>
      <c r="H189" s="58"/>
      <c r="I189" s="5"/>
      <c r="J189" s="5"/>
    </row>
    <row r="190" spans="1:10" ht="14.5">
      <c r="A190" s="2"/>
      <c r="B190" s="2"/>
      <c r="C190" s="2"/>
      <c r="D190" s="4"/>
      <c r="H190" s="58"/>
      <c r="I190" s="5"/>
    </row>
    <row r="191" spans="1:10" ht="14.5">
      <c r="A191" s="2"/>
      <c r="B191" s="2"/>
      <c r="C191" s="2"/>
      <c r="D191" s="4"/>
      <c r="H191" s="58"/>
      <c r="I191" s="5"/>
    </row>
    <row r="192" spans="1:10" ht="14.5">
      <c r="A192" s="2"/>
      <c r="B192" s="2"/>
      <c r="C192" s="2"/>
      <c r="D192" s="4"/>
      <c r="H192" s="58"/>
      <c r="I192" s="5"/>
    </row>
    <row r="193" spans="1:10" ht="14.5">
      <c r="A193" s="2"/>
      <c r="B193" s="2"/>
      <c r="C193" s="2"/>
      <c r="D193" s="4"/>
      <c r="H193" s="58"/>
      <c r="I193" s="5"/>
    </row>
    <row r="194" spans="1:10" ht="14.5">
      <c r="A194" s="2"/>
      <c r="B194" s="2"/>
      <c r="C194" s="2"/>
      <c r="D194" s="4"/>
      <c r="H194" s="58"/>
      <c r="I194" s="5"/>
      <c r="J194" s="5"/>
    </row>
    <row r="195" spans="1:10" ht="14.5">
      <c r="A195" s="2"/>
      <c r="B195" s="2"/>
      <c r="C195" s="2"/>
      <c r="D195" s="4"/>
      <c r="H195" s="58"/>
      <c r="I195" s="5"/>
    </row>
    <row r="196" spans="1:10" ht="14.5">
      <c r="A196" s="2"/>
      <c r="B196" s="2"/>
      <c r="C196" s="2"/>
      <c r="D196" s="4"/>
      <c r="H196" s="58"/>
      <c r="I196" s="5"/>
    </row>
    <row r="197" spans="1:10" ht="14.5">
      <c r="A197" s="2"/>
      <c r="B197" s="2"/>
      <c r="C197" s="2"/>
      <c r="D197" s="4"/>
      <c r="H197" s="58"/>
      <c r="I197" s="5"/>
    </row>
    <row r="198" spans="1:10" ht="14.5">
      <c r="A198" s="2"/>
      <c r="B198" s="2"/>
      <c r="C198" s="2"/>
      <c r="D198" s="4"/>
      <c r="H198" s="58"/>
      <c r="I198" s="8"/>
    </row>
    <row r="199" spans="1:10" ht="14.5">
      <c r="A199" s="2"/>
      <c r="B199" s="2"/>
      <c r="C199" s="2"/>
      <c r="D199" s="4"/>
      <c r="H199" s="58"/>
      <c r="I199" s="8"/>
    </row>
    <row r="200" spans="1:10" ht="14.5">
      <c r="A200" s="2"/>
      <c r="B200" s="2"/>
      <c r="C200" s="2"/>
      <c r="D200" s="4"/>
      <c r="H200" s="58"/>
      <c r="I200" s="5"/>
    </row>
    <row r="201" spans="1:10" ht="14.5">
      <c r="A201" s="2"/>
      <c r="B201" s="2"/>
      <c r="C201" s="2"/>
      <c r="D201" s="4"/>
      <c r="H201" s="58"/>
      <c r="I201" s="5"/>
    </row>
    <row r="202" spans="1:10" ht="14.5">
      <c r="A202" s="2"/>
      <c r="B202" s="2"/>
      <c r="C202" s="2"/>
      <c r="D202" s="4"/>
      <c r="H202" s="58"/>
      <c r="I202" s="8"/>
    </row>
    <row r="203" spans="1:10" ht="14.5">
      <c r="A203" s="2"/>
      <c r="B203" s="2"/>
      <c r="C203" s="2"/>
      <c r="D203" s="4"/>
    </row>
    <row r="204" spans="1:10" ht="14.5">
      <c r="A204" s="2"/>
      <c r="B204" s="2"/>
      <c r="C204" s="2"/>
      <c r="D204" s="4"/>
    </row>
    <row r="205" spans="1:10" ht="14.5">
      <c r="A205" s="2"/>
      <c r="B205" s="2"/>
      <c r="C205" s="2"/>
      <c r="D205" s="4"/>
    </row>
    <row r="206" spans="1:10" ht="14.5">
      <c r="A206" s="2"/>
      <c r="B206" s="2"/>
      <c r="C206" s="2"/>
      <c r="D206" s="4"/>
      <c r="G206" t="s">
        <v>42</v>
      </c>
      <c r="H206">
        <f>SUM(H168:H205)</f>
        <v>0</v>
      </c>
      <c r="I206" s="5">
        <f>SUM(I168:I205)</f>
        <v>0</v>
      </c>
    </row>
    <row r="207" spans="1:10" ht="14.5">
      <c r="A207" s="2"/>
      <c r="B207" s="2"/>
      <c r="C207" s="2"/>
      <c r="D207" s="4"/>
    </row>
    <row r="208" spans="1:10" ht="14.5">
      <c r="A208" s="2"/>
      <c r="B208" s="2"/>
      <c r="C208" s="2"/>
      <c r="D208" s="4"/>
      <c r="G208" t="s">
        <v>43</v>
      </c>
      <c r="H208" s="7" t="e">
        <f ca="1">H206/H158</f>
        <v>#DIV/0!</v>
      </c>
      <c r="I208" s="7" t="e">
        <f ca="1">I206/I158</f>
        <v>#DIV/0!</v>
      </c>
    </row>
    <row r="209" spans="1:4" ht="14.5">
      <c r="A209" s="2"/>
      <c r="B209" s="2"/>
      <c r="C209" s="2"/>
      <c r="D209" s="4"/>
    </row>
    <row r="210" spans="1:4" ht="14.5">
      <c r="A210" s="2"/>
      <c r="B210" s="2"/>
      <c r="C210" s="2"/>
      <c r="D210" s="4"/>
    </row>
    <row r="211" spans="1:4" ht="14.5">
      <c r="A211" s="2"/>
      <c r="B211" s="2"/>
      <c r="C211" s="2"/>
      <c r="D211" s="4"/>
    </row>
    <row r="212" spans="1:4" ht="14.5">
      <c r="A212" s="2"/>
      <c r="B212" s="2"/>
      <c r="C212" s="2"/>
      <c r="D212" s="4"/>
    </row>
    <row r="213" spans="1:4" ht="14.5">
      <c r="A213" s="2"/>
      <c r="B213" s="2"/>
      <c r="C213" s="2"/>
      <c r="D213" s="4"/>
    </row>
    <row r="214" spans="1:4" ht="14.5">
      <c r="A214" s="2"/>
      <c r="B214" s="2"/>
      <c r="C214" s="2"/>
      <c r="D214" s="4"/>
    </row>
    <row r="215" spans="1:4" ht="14.5">
      <c r="A215" s="2"/>
      <c r="B215" s="2"/>
      <c r="C215" s="2"/>
      <c r="D215" s="4"/>
    </row>
    <row r="216" spans="1:4" ht="14.5">
      <c r="A216" s="2"/>
      <c r="B216" s="2"/>
      <c r="C216" s="2"/>
      <c r="D216" s="4"/>
    </row>
    <row r="217" spans="1:4" ht="14.5">
      <c r="A217" s="2"/>
      <c r="B217" s="2"/>
      <c r="C217" s="2"/>
      <c r="D217" s="4"/>
    </row>
    <row r="218" spans="1:4" ht="14.5">
      <c r="A218" s="2"/>
      <c r="B218" s="2"/>
      <c r="C218" s="2"/>
      <c r="D218" s="4"/>
    </row>
    <row r="219" spans="1:4" ht="14.5">
      <c r="A219" s="2"/>
      <c r="B219" s="2"/>
      <c r="C219" s="2"/>
      <c r="D219" s="4"/>
    </row>
    <row r="220" spans="1:4" ht="14.5">
      <c r="A220" s="2"/>
      <c r="B220" s="2"/>
      <c r="C220" s="2"/>
      <c r="D220" s="4"/>
    </row>
    <row r="221" spans="1:4" ht="14.5">
      <c r="A221" s="2"/>
      <c r="B221" s="2"/>
      <c r="C221" s="2"/>
      <c r="D221" s="4"/>
    </row>
    <row r="222" spans="1:4" ht="14.5">
      <c r="A222" s="2"/>
      <c r="B222" s="2"/>
      <c r="C222" s="2"/>
      <c r="D222" s="4"/>
    </row>
    <row r="223" spans="1:4" ht="14.5">
      <c r="A223" s="2"/>
      <c r="B223" s="2"/>
      <c r="C223" s="2"/>
      <c r="D223" s="4"/>
    </row>
    <row r="224" spans="1:4" ht="14.5">
      <c r="A224" s="2"/>
      <c r="B224" s="2"/>
      <c r="C224" s="2"/>
      <c r="D224" s="4"/>
    </row>
    <row r="225" spans="1:4" ht="14.5">
      <c r="A225" s="2"/>
      <c r="B225" s="2"/>
      <c r="C225" s="2"/>
      <c r="D225" s="4"/>
    </row>
    <row r="226" spans="1:4" ht="14.5">
      <c r="A226" s="2"/>
      <c r="B226" s="2"/>
      <c r="C226" s="2"/>
      <c r="D226" s="4"/>
    </row>
    <row r="227" spans="1:4" ht="14.5">
      <c r="A227" s="2"/>
      <c r="B227" s="2"/>
      <c r="C227" s="2"/>
      <c r="D227" s="4"/>
    </row>
    <row r="228" spans="1:4" ht="14.5">
      <c r="A228" s="2"/>
      <c r="B228" s="2"/>
      <c r="C228" s="2"/>
      <c r="D228" s="4"/>
    </row>
    <row r="229" spans="1:4" ht="14.5">
      <c r="A229" s="2"/>
      <c r="B229" s="2"/>
      <c r="C229" s="2"/>
      <c r="D229" s="4"/>
    </row>
    <row r="230" spans="1:4" ht="14.5">
      <c r="A230" s="2"/>
      <c r="B230" s="2"/>
      <c r="C230" s="2"/>
      <c r="D230" s="4"/>
    </row>
    <row r="231" spans="1:4" ht="14.5">
      <c r="A231" s="2"/>
      <c r="B231" s="2"/>
      <c r="C231" s="2"/>
      <c r="D231" s="4"/>
    </row>
    <row r="232" spans="1:4" ht="14.5">
      <c r="A232" s="2"/>
      <c r="B232" s="2"/>
      <c r="C232" s="2"/>
      <c r="D232" s="4"/>
    </row>
    <row r="233" spans="1:4" ht="14.5">
      <c r="A233" s="2"/>
      <c r="B233" s="2"/>
      <c r="C233" s="2"/>
      <c r="D233" s="4"/>
    </row>
    <row r="234" spans="1:4" ht="14.5">
      <c r="A234" s="2"/>
      <c r="B234" s="2"/>
      <c r="C234" s="2"/>
      <c r="D234" s="4"/>
    </row>
    <row r="235" spans="1:4" ht="14.5">
      <c r="A235" s="2"/>
      <c r="B235" s="2"/>
      <c r="C235" s="2"/>
      <c r="D235" s="4"/>
    </row>
    <row r="236" spans="1:4" ht="14.5">
      <c r="A236" s="2"/>
      <c r="B236" s="2"/>
      <c r="C236" s="2"/>
      <c r="D236" s="4"/>
    </row>
    <row r="237" spans="1:4" ht="14.5">
      <c r="A237" s="2"/>
      <c r="B237" s="2"/>
      <c r="C237" s="2"/>
      <c r="D237" s="2"/>
    </row>
    <row r="238" spans="1:4" ht="14.5">
      <c r="A238" s="2"/>
      <c r="B238" s="2"/>
      <c r="C238" s="2"/>
      <c r="D238" s="4"/>
    </row>
    <row r="239" spans="1:4" ht="14.5">
      <c r="A239" s="2"/>
      <c r="B239" s="2"/>
      <c r="C239" s="2"/>
      <c r="D239" s="4"/>
    </row>
    <row r="240" spans="1:4" ht="14.5">
      <c r="A240" s="2"/>
      <c r="B240" s="2"/>
      <c r="C240" s="2"/>
      <c r="D240" s="4"/>
    </row>
    <row r="241" spans="1:4" ht="14.5">
      <c r="A241" s="2"/>
      <c r="B241" s="2"/>
      <c r="C241" s="2"/>
      <c r="D241" s="4"/>
    </row>
    <row r="242" spans="1:4" ht="14.5">
      <c r="A242" s="2"/>
      <c r="B242" s="2"/>
      <c r="C242" s="2"/>
      <c r="D242" s="4"/>
    </row>
    <row r="243" spans="1:4" ht="14.5">
      <c r="A243" s="2"/>
      <c r="B243" s="2"/>
      <c r="C243" s="2"/>
      <c r="D243" s="4"/>
    </row>
    <row r="244" spans="1:4" ht="14.5">
      <c r="A244" s="2"/>
      <c r="B244" s="2"/>
      <c r="C244" s="2"/>
      <c r="D244" s="4"/>
    </row>
    <row r="245" spans="1:4" ht="14.5">
      <c r="A245" s="2"/>
      <c r="B245" s="2"/>
      <c r="C245" s="2"/>
      <c r="D245" s="4"/>
    </row>
    <row r="246" spans="1:4" ht="14.5">
      <c r="A246" s="2"/>
      <c r="B246" s="2"/>
      <c r="C246" s="2"/>
      <c r="D246" s="4"/>
    </row>
    <row r="247" spans="1:4" ht="14.5">
      <c r="A247" s="2"/>
      <c r="B247" s="2"/>
      <c r="C247" s="2"/>
      <c r="D247" s="4"/>
    </row>
    <row r="248" spans="1:4" ht="14.5">
      <c r="A248" s="2"/>
      <c r="B248" s="2"/>
      <c r="C248" s="2"/>
      <c r="D248" s="4"/>
    </row>
    <row r="249" spans="1:4" ht="14.5">
      <c r="A249" s="2"/>
      <c r="B249" s="2"/>
      <c r="C249" s="2"/>
      <c r="D249" s="4"/>
    </row>
    <row r="250" spans="1:4" ht="14.5">
      <c r="A250" s="2"/>
      <c r="B250" s="2"/>
      <c r="C250" s="2"/>
      <c r="D250" s="4"/>
    </row>
    <row r="251" spans="1:4" ht="14.5">
      <c r="A251" s="2"/>
      <c r="B251" s="2"/>
      <c r="C251" s="2"/>
      <c r="D251" s="4"/>
    </row>
    <row r="252" spans="1:4" ht="14.5">
      <c r="A252" s="2"/>
      <c r="B252" s="2"/>
      <c r="C252" s="2"/>
      <c r="D252" s="4"/>
    </row>
    <row r="253" spans="1:4" ht="14.5">
      <c r="A253" s="2"/>
      <c r="B253" s="2"/>
      <c r="C253" s="2"/>
      <c r="D253" s="4"/>
    </row>
    <row r="254" spans="1:4" ht="14.5">
      <c r="A254" s="2"/>
      <c r="B254" s="2"/>
      <c r="C254" s="2"/>
      <c r="D254" s="4"/>
    </row>
    <row r="255" spans="1:4" ht="14.5">
      <c r="A255" s="2"/>
      <c r="B255" s="2"/>
      <c r="C255" s="2"/>
      <c r="D255" s="4"/>
    </row>
    <row r="256" spans="1:4" ht="14.5">
      <c r="A256" s="2"/>
      <c r="B256" s="2"/>
      <c r="C256" s="2"/>
      <c r="D256" s="4"/>
    </row>
    <row r="257" spans="1:4" ht="14.5">
      <c r="A257" s="2"/>
      <c r="B257" s="2"/>
      <c r="C257" s="2"/>
      <c r="D257" s="4"/>
    </row>
    <row r="258" spans="1:4" ht="14.5">
      <c r="A258" s="2"/>
      <c r="B258" s="2"/>
      <c r="C258" s="2"/>
      <c r="D258" s="4"/>
    </row>
    <row r="259" spans="1:4" ht="14.5">
      <c r="A259" s="2"/>
      <c r="B259" s="2"/>
      <c r="C259" s="2"/>
      <c r="D259" s="4"/>
    </row>
    <row r="260" spans="1:4" ht="14.5">
      <c r="A260" s="2"/>
      <c r="B260" s="2"/>
      <c r="C260" s="2"/>
      <c r="D260" s="4"/>
    </row>
    <row r="261" spans="1:4" ht="14.5">
      <c r="A261" s="2"/>
      <c r="B261" s="2"/>
      <c r="C261" s="2"/>
      <c r="D261" s="4"/>
    </row>
    <row r="262" spans="1:4" ht="14.5">
      <c r="A262" s="2"/>
      <c r="B262" s="2"/>
      <c r="C262" s="2"/>
      <c r="D262" s="4"/>
    </row>
    <row r="263" spans="1:4" ht="14.5">
      <c r="A263" s="2"/>
      <c r="B263" s="2"/>
      <c r="C263" s="2"/>
      <c r="D263" s="4"/>
    </row>
    <row r="264" spans="1:4" ht="14.5">
      <c r="A264" s="2"/>
      <c r="B264" s="2"/>
      <c r="C264" s="2"/>
      <c r="D264" s="4"/>
    </row>
    <row r="265" spans="1:4" ht="14.5">
      <c r="A265" s="2"/>
      <c r="B265" s="2"/>
      <c r="C265" s="2"/>
      <c r="D265" s="4"/>
    </row>
    <row r="266" spans="1:4" ht="14.5">
      <c r="A266" s="2"/>
      <c r="B266" s="2"/>
      <c r="C266" s="2"/>
      <c r="D266" s="4"/>
    </row>
    <row r="267" spans="1:4" ht="14.5">
      <c r="A267" s="2"/>
      <c r="B267" s="2"/>
      <c r="C267" s="2"/>
      <c r="D267" s="4"/>
    </row>
    <row r="268" spans="1:4" ht="14.5">
      <c r="A268" s="2"/>
      <c r="B268" s="2"/>
      <c r="C268" s="2"/>
      <c r="D268" s="4"/>
    </row>
    <row r="269" spans="1:4" ht="14.5">
      <c r="A269" s="2"/>
      <c r="B269" s="2"/>
      <c r="C269" s="2"/>
      <c r="D269" s="4"/>
    </row>
    <row r="270" spans="1:4" ht="14.5">
      <c r="A270" s="2"/>
      <c r="B270" s="2"/>
      <c r="C270" s="2"/>
      <c r="D270" s="4"/>
    </row>
    <row r="271" spans="1:4" ht="14.5">
      <c r="A271" s="2"/>
      <c r="B271" s="2"/>
      <c r="C271" s="2"/>
      <c r="D271" s="4"/>
    </row>
    <row r="272" spans="1:4" ht="14.5">
      <c r="A272" s="2"/>
      <c r="B272" s="2"/>
      <c r="C272" s="2"/>
      <c r="D272" s="4"/>
    </row>
    <row r="273" spans="1:4" ht="14.5">
      <c r="A273" s="2"/>
      <c r="B273" s="2"/>
      <c r="C273" s="2"/>
      <c r="D273" s="4"/>
    </row>
    <row r="274" spans="1:4" ht="14.5">
      <c r="A274" s="2"/>
      <c r="B274" s="2"/>
      <c r="C274" s="2"/>
      <c r="D274" s="4"/>
    </row>
    <row r="275" spans="1:4" ht="14.5">
      <c r="A275" s="2"/>
      <c r="B275" s="2"/>
      <c r="C275" s="2"/>
      <c r="D275" s="4"/>
    </row>
    <row r="276" spans="1:4" ht="14.5">
      <c r="A276" s="2"/>
      <c r="B276" s="2"/>
      <c r="C276" s="2"/>
      <c r="D276" s="4"/>
    </row>
    <row r="277" spans="1:4" ht="14.5">
      <c r="A277" s="2"/>
      <c r="B277" s="2"/>
      <c r="C277" s="2"/>
      <c r="D277" s="4"/>
    </row>
    <row r="278" spans="1:4" ht="14.5">
      <c r="A278" s="2"/>
      <c r="B278" s="2"/>
      <c r="C278" s="2"/>
      <c r="D278" s="4"/>
    </row>
    <row r="279" spans="1:4" ht="14.5">
      <c r="A279" s="2"/>
      <c r="B279" s="2"/>
      <c r="C279" s="2"/>
      <c r="D279" s="4"/>
    </row>
    <row r="280" spans="1:4" ht="14.5">
      <c r="A280" s="2"/>
      <c r="B280" s="2"/>
      <c r="C280" s="2"/>
      <c r="D280" s="4"/>
    </row>
    <row r="281" spans="1:4" ht="14.5">
      <c r="A281" s="2"/>
      <c r="B281" s="2"/>
      <c r="C281" s="2"/>
      <c r="D281" s="4"/>
    </row>
    <row r="282" spans="1:4" ht="14.5">
      <c r="A282" s="2"/>
      <c r="B282" s="2"/>
      <c r="C282" s="2"/>
      <c r="D282" s="4"/>
    </row>
    <row r="283" spans="1:4" ht="14.5">
      <c r="A283" s="2"/>
      <c r="B283" s="2"/>
      <c r="C283" s="2"/>
      <c r="D283" s="4"/>
    </row>
    <row r="284" spans="1:4" ht="14.5">
      <c r="A284" s="2"/>
      <c r="B284" s="2"/>
      <c r="C284" s="2"/>
      <c r="D284" s="4"/>
    </row>
    <row r="285" spans="1:4" ht="14.5">
      <c r="A285" s="2"/>
      <c r="B285" s="2"/>
      <c r="C285" s="2"/>
      <c r="D285" s="4"/>
    </row>
    <row r="286" spans="1:4" ht="14.5">
      <c r="A286" s="2"/>
      <c r="B286" s="2"/>
      <c r="C286" s="2"/>
      <c r="D286" s="4"/>
    </row>
    <row r="287" spans="1:4" ht="14.5">
      <c r="A287" s="2"/>
      <c r="B287" s="2"/>
      <c r="C287" s="2"/>
      <c r="D287" s="4"/>
    </row>
    <row r="288" spans="1:4" ht="14.5">
      <c r="A288" s="2"/>
      <c r="B288" s="2"/>
      <c r="C288" s="2"/>
      <c r="D288" s="4"/>
    </row>
    <row r="289" spans="1:4" ht="14.5">
      <c r="A289" s="2"/>
      <c r="B289" s="2"/>
      <c r="C289" s="2"/>
      <c r="D289" s="4"/>
    </row>
    <row r="290" spans="1:4" ht="14.5">
      <c r="A290" s="2"/>
      <c r="B290" s="2"/>
      <c r="C290" s="2"/>
      <c r="D290" s="4"/>
    </row>
    <row r="291" spans="1:4" ht="14.5">
      <c r="A291" s="2"/>
      <c r="B291" s="2"/>
      <c r="C291" s="2"/>
      <c r="D291" s="4"/>
    </row>
    <row r="292" spans="1:4" ht="14.5">
      <c r="A292" s="2"/>
      <c r="B292" s="2"/>
      <c r="C292" s="2"/>
      <c r="D292" s="4"/>
    </row>
    <row r="293" spans="1:4" ht="14.5">
      <c r="A293" s="2"/>
      <c r="B293" s="2"/>
      <c r="C293" s="2"/>
      <c r="D293" s="2"/>
    </row>
    <row r="294" spans="1:4" ht="14.5">
      <c r="A294" s="2"/>
      <c r="B294" s="2"/>
      <c r="C294" s="2"/>
      <c r="D294" s="4"/>
    </row>
    <row r="295" spans="1:4" ht="14.5">
      <c r="A295" s="2"/>
      <c r="B295" s="2"/>
      <c r="C295" s="2"/>
      <c r="D295" s="4"/>
    </row>
    <row r="296" spans="1:4" ht="14.5">
      <c r="A296" s="2"/>
      <c r="B296" s="2"/>
      <c r="C296" s="2"/>
      <c r="D296" s="4"/>
    </row>
    <row r="297" spans="1:4" ht="14.5">
      <c r="A297" s="2"/>
      <c r="B297" s="2"/>
      <c r="C297" s="2"/>
      <c r="D297" s="4"/>
    </row>
    <row r="298" spans="1:4" ht="14.5">
      <c r="A298" s="2"/>
      <c r="B298" s="2"/>
      <c r="C298" s="2"/>
      <c r="D298" s="4"/>
    </row>
    <row r="299" spans="1:4" ht="14.5">
      <c r="A299" s="2"/>
      <c r="B299" s="2"/>
      <c r="C299" s="2"/>
      <c r="D299" s="4"/>
    </row>
    <row r="300" spans="1:4" ht="14.5">
      <c r="A300" s="2"/>
      <c r="B300" s="2"/>
      <c r="C300" s="2"/>
      <c r="D300" s="4"/>
    </row>
    <row r="301" spans="1:4" ht="14.5">
      <c r="A301" s="2"/>
      <c r="B301" s="2"/>
      <c r="C301" s="2"/>
      <c r="D301" s="4"/>
    </row>
    <row r="302" spans="1:4" ht="14.5">
      <c r="A302" s="2"/>
      <c r="B302" s="2"/>
      <c r="C302" s="2"/>
      <c r="D302" s="4"/>
    </row>
    <row r="303" spans="1:4" ht="14.5">
      <c r="A303" s="2"/>
      <c r="B303" s="2"/>
      <c r="C303" s="2"/>
      <c r="D303" s="4"/>
    </row>
    <row r="304" spans="1:4" ht="14.5">
      <c r="A304" s="2"/>
      <c r="B304" s="2"/>
      <c r="C304" s="2"/>
      <c r="D304" s="4"/>
    </row>
    <row r="305" spans="1:4" ht="14.5">
      <c r="A305" s="2"/>
      <c r="B305" s="2"/>
      <c r="C305" s="2"/>
      <c r="D305" s="4"/>
    </row>
    <row r="306" spans="1:4" ht="14.5">
      <c r="A306" s="2"/>
      <c r="B306" s="2"/>
      <c r="C306" s="2"/>
      <c r="D306" s="4"/>
    </row>
    <row r="307" spans="1:4" ht="14.5">
      <c r="A307" s="2"/>
      <c r="B307" s="2"/>
      <c r="C307" s="2"/>
      <c r="D307" s="4"/>
    </row>
    <row r="308" spans="1:4" ht="14.5">
      <c r="A308" s="2"/>
      <c r="B308" s="2"/>
      <c r="C308" s="2"/>
      <c r="D308" s="4"/>
    </row>
    <row r="309" spans="1:4" ht="14.5">
      <c r="A309" s="2"/>
      <c r="B309" s="2"/>
      <c r="C309" s="2"/>
      <c r="D309" s="4"/>
    </row>
    <row r="310" spans="1:4" ht="14.5">
      <c r="A310" s="2"/>
      <c r="B310" s="2"/>
      <c r="C310" s="2"/>
      <c r="D310" s="4"/>
    </row>
    <row r="311" spans="1:4" ht="14.5">
      <c r="A311" s="2"/>
      <c r="B311" s="2"/>
      <c r="C311" s="2"/>
      <c r="D311" s="4"/>
    </row>
    <row r="312" spans="1:4" ht="14.5">
      <c r="A312" s="2"/>
      <c r="B312" s="2"/>
      <c r="C312" s="2"/>
      <c r="D312" s="4"/>
    </row>
    <row r="313" spans="1:4" ht="14.5">
      <c r="A313" s="2"/>
      <c r="B313" s="2"/>
      <c r="C313" s="2"/>
      <c r="D313" s="4"/>
    </row>
    <row r="314" spans="1:4" ht="14.5">
      <c r="A314" s="2"/>
      <c r="B314" s="2"/>
      <c r="C314" s="2"/>
      <c r="D314" s="4"/>
    </row>
    <row r="315" spans="1:4" ht="14.5">
      <c r="A315" s="2"/>
      <c r="B315" s="2"/>
      <c r="C315" s="2"/>
      <c r="D315" s="4"/>
    </row>
    <row r="316" spans="1:4" ht="14.5">
      <c r="A316" s="2"/>
      <c r="B316" s="2"/>
      <c r="C316" s="2"/>
      <c r="D316" s="4"/>
    </row>
    <row r="317" spans="1:4" ht="14.5">
      <c r="A317" s="2"/>
      <c r="B317" s="2"/>
      <c r="C317" s="2"/>
      <c r="D317" s="4"/>
    </row>
    <row r="318" spans="1:4" ht="14.5">
      <c r="A318" s="2"/>
      <c r="B318" s="2"/>
      <c r="C318" s="2"/>
      <c r="D318" s="4"/>
    </row>
    <row r="319" spans="1:4" ht="14.5">
      <c r="A319" s="2"/>
      <c r="B319" s="2"/>
      <c r="C319" s="2"/>
      <c r="D319" s="4"/>
    </row>
    <row r="320" spans="1:4" ht="14.5">
      <c r="A320" s="2"/>
      <c r="B320" s="2"/>
      <c r="C320" s="2"/>
      <c r="D320" s="4"/>
    </row>
    <row r="321" spans="1:4" ht="14.5">
      <c r="A321" s="2"/>
      <c r="B321" s="2"/>
      <c r="C321" s="2"/>
      <c r="D321" s="4"/>
    </row>
    <row r="322" spans="1:4" ht="14.5">
      <c r="A322" s="2"/>
      <c r="B322" s="2"/>
      <c r="C322" s="2"/>
      <c r="D322" s="4"/>
    </row>
    <row r="323" spans="1:4" ht="14.5">
      <c r="A323" s="2"/>
      <c r="B323" s="2"/>
      <c r="C323" s="2"/>
      <c r="D323" s="4"/>
    </row>
    <row r="324" spans="1:4" ht="14.5">
      <c r="A324" s="2"/>
      <c r="B324" s="2"/>
      <c r="C324" s="2"/>
      <c r="D324" s="4"/>
    </row>
    <row r="325" spans="1:4" ht="14.5">
      <c r="A325" s="2"/>
      <c r="B325" s="2"/>
      <c r="C325" s="2"/>
      <c r="D325" s="4"/>
    </row>
    <row r="326" spans="1:4" ht="14.5">
      <c r="A326" s="2"/>
      <c r="B326" s="2"/>
      <c r="C326" s="2"/>
      <c r="D326" s="4"/>
    </row>
    <row r="327" spans="1:4" ht="14.5">
      <c r="A327" s="2"/>
      <c r="B327" s="2"/>
      <c r="C327" s="2"/>
      <c r="D327" s="4"/>
    </row>
    <row r="328" spans="1:4" ht="14.5">
      <c r="A328" s="2"/>
      <c r="B328" s="2"/>
      <c r="C328" s="2"/>
      <c r="D328" s="4"/>
    </row>
    <row r="329" spans="1:4" ht="14.5">
      <c r="A329" s="2"/>
      <c r="B329" s="2"/>
      <c r="C329" s="2"/>
      <c r="D329" s="4"/>
    </row>
    <row r="330" spans="1:4" ht="14.5">
      <c r="A330" s="2"/>
      <c r="B330" s="2"/>
      <c r="C330" s="2"/>
      <c r="D330" s="4"/>
    </row>
    <row r="331" spans="1:4" ht="14.5">
      <c r="A331" s="2"/>
      <c r="B331" s="2"/>
      <c r="C331" s="2"/>
      <c r="D331" s="4"/>
    </row>
    <row r="332" spans="1:4" ht="14.5">
      <c r="A332" s="2"/>
      <c r="B332" s="2"/>
      <c r="C332" s="2"/>
      <c r="D332" s="4"/>
    </row>
    <row r="333" spans="1:4" ht="14.5">
      <c r="A333" s="2"/>
      <c r="B333" s="2"/>
      <c r="C333" s="2"/>
      <c r="D333" s="4"/>
    </row>
    <row r="334" spans="1:4" ht="14.5">
      <c r="A334" s="2"/>
      <c r="B334" s="2"/>
      <c r="C334" s="2"/>
      <c r="D334" s="4"/>
    </row>
    <row r="335" spans="1:4" ht="14.5">
      <c r="A335" s="2"/>
      <c r="B335" s="2"/>
      <c r="C335" s="2"/>
      <c r="D335" s="4"/>
    </row>
    <row r="336" spans="1:4" ht="14.5">
      <c r="A336" s="2"/>
      <c r="B336" s="2"/>
      <c r="C336" s="2"/>
      <c r="D336" s="4"/>
    </row>
    <row r="337" spans="1:4" ht="14.5">
      <c r="A337" s="2"/>
      <c r="B337" s="2"/>
      <c r="C337" s="2"/>
      <c r="D337" s="4"/>
    </row>
    <row r="338" spans="1:4" ht="14.5">
      <c r="A338" s="2"/>
      <c r="B338" s="2"/>
      <c r="C338" s="2"/>
      <c r="D338" s="4"/>
    </row>
    <row r="339" spans="1:4" ht="14.5">
      <c r="A339" s="2"/>
      <c r="B339" s="2"/>
      <c r="C339" s="2"/>
      <c r="D339" s="4"/>
    </row>
    <row r="340" spans="1:4" ht="14.5">
      <c r="A340" s="2"/>
      <c r="B340" s="2"/>
      <c r="C340" s="2"/>
      <c r="D340" s="4"/>
    </row>
    <row r="341" spans="1:4" ht="14.5">
      <c r="A341" s="2"/>
      <c r="B341" s="2"/>
      <c r="C341" s="2"/>
      <c r="D341" s="4"/>
    </row>
    <row r="342" spans="1:4" ht="14.5">
      <c r="A342" s="2"/>
      <c r="B342" s="2"/>
      <c r="C342" s="2"/>
      <c r="D342" s="4"/>
    </row>
    <row r="343" spans="1:4" ht="14.5">
      <c r="A343" s="2"/>
      <c r="B343" s="2"/>
      <c r="C343" s="2"/>
      <c r="D343" s="4"/>
    </row>
    <row r="344" spans="1:4" ht="14.5">
      <c r="A344" s="2"/>
      <c r="B344" s="2"/>
      <c r="C344" s="2"/>
      <c r="D344" s="4"/>
    </row>
    <row r="345" spans="1:4" ht="14.5">
      <c r="A345" s="2"/>
      <c r="B345" s="2"/>
      <c r="C345" s="2"/>
      <c r="D345" s="4"/>
    </row>
    <row r="346" spans="1:4" ht="14.5">
      <c r="A346" s="2"/>
      <c r="B346" s="2"/>
      <c r="C346" s="2"/>
      <c r="D346" s="4"/>
    </row>
    <row r="347" spans="1:4" ht="14.5">
      <c r="A347" s="2"/>
      <c r="B347" s="2"/>
      <c r="C347" s="2"/>
      <c r="D347" s="4"/>
    </row>
    <row r="348" spans="1:4" ht="14.5">
      <c r="A348" s="2"/>
      <c r="B348" s="2"/>
      <c r="C348" s="2"/>
      <c r="D348" s="4"/>
    </row>
    <row r="349" spans="1:4" ht="14.5">
      <c r="A349" s="2"/>
      <c r="B349" s="2"/>
      <c r="C349" s="2"/>
      <c r="D349" s="4"/>
    </row>
    <row r="350" spans="1:4" ht="14.5">
      <c r="A350" s="2"/>
      <c r="B350" s="2"/>
      <c r="C350" s="2"/>
      <c r="D350" s="4"/>
    </row>
    <row r="351" spans="1:4" ht="14.5">
      <c r="A351" s="2"/>
      <c r="B351" s="2"/>
      <c r="C351" s="2"/>
      <c r="D351" s="4"/>
    </row>
    <row r="352" spans="1:4" ht="14.5">
      <c r="A352" s="2"/>
      <c r="B352" s="2"/>
      <c r="C352" s="2"/>
      <c r="D352" s="4"/>
    </row>
    <row r="353" spans="1:4" ht="14.5">
      <c r="A353" s="2"/>
      <c r="B353" s="2"/>
      <c r="C353" s="2"/>
      <c r="D353" s="4"/>
    </row>
    <row r="354" spans="1:4" ht="14.5">
      <c r="A354" s="2"/>
      <c r="B354" s="2"/>
      <c r="C354" s="2"/>
      <c r="D354" s="4"/>
    </row>
    <row r="355" spans="1:4" ht="14.5">
      <c r="A355" s="2"/>
      <c r="B355" s="2"/>
      <c r="C355" s="2"/>
      <c r="D355" s="4"/>
    </row>
    <row r="356" spans="1:4" ht="14.5">
      <c r="A356" s="2"/>
      <c r="B356" s="2"/>
      <c r="C356" s="2"/>
      <c r="D356" s="4"/>
    </row>
    <row r="357" spans="1:4" ht="14.5">
      <c r="A357" s="2"/>
      <c r="B357" s="2"/>
      <c r="C357" s="2"/>
      <c r="D357" s="4"/>
    </row>
    <row r="358" spans="1:4" ht="14.5">
      <c r="A358" s="2"/>
      <c r="B358" s="2"/>
      <c r="C358" s="2"/>
      <c r="D358" s="4"/>
    </row>
    <row r="359" spans="1:4" ht="14.5">
      <c r="A359" s="2"/>
      <c r="B359" s="2"/>
      <c r="C359" s="2"/>
      <c r="D359" s="4"/>
    </row>
    <row r="360" spans="1:4" ht="14.5">
      <c r="A360" s="2"/>
      <c r="B360" s="2"/>
      <c r="C360" s="2"/>
      <c r="D360" s="4"/>
    </row>
    <row r="361" spans="1:4" ht="14.5">
      <c r="A361" s="2"/>
      <c r="B361" s="2"/>
      <c r="C361" s="2"/>
      <c r="D361" s="4"/>
    </row>
    <row r="362" spans="1:4" ht="14.5">
      <c r="A362" s="2"/>
      <c r="B362" s="2"/>
      <c r="C362" s="2"/>
      <c r="D362" s="4"/>
    </row>
    <row r="363" spans="1:4" ht="14.5">
      <c r="A363" s="2"/>
      <c r="B363" s="2"/>
      <c r="C363" s="2"/>
      <c r="D363" s="4"/>
    </row>
    <row r="364" spans="1:4" ht="14.5">
      <c r="A364" s="2"/>
      <c r="B364" s="2"/>
      <c r="C364" s="2"/>
      <c r="D364" s="4"/>
    </row>
    <row r="365" spans="1:4" ht="14.5">
      <c r="A365" s="2"/>
      <c r="B365" s="2"/>
      <c r="C365" s="2"/>
      <c r="D365" s="4"/>
    </row>
    <row r="366" spans="1:4" ht="14.5">
      <c r="A366" s="2"/>
      <c r="B366" s="2"/>
      <c r="C366" s="2"/>
      <c r="D366" s="4"/>
    </row>
    <row r="367" spans="1:4" ht="14.5">
      <c r="A367" s="2"/>
      <c r="B367" s="2"/>
      <c r="C367" s="2"/>
      <c r="D367" s="4"/>
    </row>
    <row r="368" spans="1:4" ht="14.5">
      <c r="A368" s="2"/>
      <c r="B368" s="2"/>
      <c r="C368" s="2"/>
      <c r="D368" s="4"/>
    </row>
    <row r="369" spans="1:4" ht="14.5">
      <c r="A369" s="2"/>
      <c r="B369" s="2"/>
      <c r="C369" s="2"/>
      <c r="D369" s="4"/>
    </row>
    <row r="370" spans="1:4" ht="14.5">
      <c r="A370" s="2"/>
      <c r="B370" s="2"/>
      <c r="C370" s="2"/>
      <c r="D370" s="4"/>
    </row>
    <row r="371" spans="1:4" ht="14.5">
      <c r="A371" s="2"/>
      <c r="B371" s="2"/>
      <c r="C371" s="2"/>
      <c r="D371" s="4"/>
    </row>
    <row r="372" spans="1:4" ht="14.5">
      <c r="A372" s="2"/>
      <c r="B372" s="2"/>
      <c r="C372" s="2"/>
      <c r="D372" s="4"/>
    </row>
    <row r="373" spans="1:4" ht="14.5">
      <c r="A373" s="2"/>
      <c r="B373" s="2"/>
      <c r="C373" s="2"/>
      <c r="D373" s="4"/>
    </row>
    <row r="374" spans="1:4" ht="14.5">
      <c r="A374" s="2"/>
      <c r="B374" s="2"/>
      <c r="C374" s="2"/>
      <c r="D374" s="4"/>
    </row>
    <row r="375" spans="1:4" ht="14.5">
      <c r="A375" s="2"/>
      <c r="B375" s="2"/>
      <c r="C375" s="2"/>
      <c r="D375" s="4"/>
    </row>
    <row r="376" spans="1:4" ht="14.5">
      <c r="A376" s="2"/>
      <c r="B376" s="2"/>
      <c r="C376" s="2"/>
      <c r="D376" s="4"/>
    </row>
    <row r="377" spans="1:4" ht="14.5">
      <c r="A377" s="2"/>
      <c r="B377" s="2"/>
      <c r="C377" s="2"/>
      <c r="D377" s="4"/>
    </row>
    <row r="378" spans="1:4" ht="14.5">
      <c r="A378" s="2"/>
      <c r="B378" s="2"/>
      <c r="C378" s="2"/>
      <c r="D378" s="4"/>
    </row>
    <row r="379" spans="1:4" ht="14.5">
      <c r="A379" s="2"/>
      <c r="B379" s="2"/>
      <c r="C379" s="2"/>
      <c r="D379" s="4"/>
    </row>
    <row r="380" spans="1:4" ht="14.5">
      <c r="A380" s="2"/>
      <c r="B380" s="2"/>
      <c r="C380" s="2"/>
      <c r="D380" s="4"/>
    </row>
    <row r="381" spans="1:4" ht="14.5">
      <c r="A381" s="2"/>
      <c r="B381" s="2"/>
      <c r="C381" s="2"/>
      <c r="D381" s="4"/>
    </row>
    <row r="382" spans="1:4" ht="14.5">
      <c r="A382" s="2"/>
      <c r="B382" s="2"/>
      <c r="C382" s="2"/>
      <c r="D382" s="4"/>
    </row>
    <row r="383" spans="1:4" ht="14.5">
      <c r="A383" s="2"/>
      <c r="B383" s="2"/>
      <c r="C383" s="2"/>
      <c r="D383" s="4"/>
    </row>
    <row r="384" spans="1:4" ht="14.5">
      <c r="A384" s="2"/>
      <c r="B384" s="2"/>
      <c r="C384" s="2"/>
      <c r="D384" s="4"/>
    </row>
    <row r="385" spans="1:4" ht="14.5">
      <c r="A385" s="2"/>
      <c r="B385" s="2"/>
      <c r="C385" s="2"/>
      <c r="D385" s="4"/>
    </row>
    <row r="386" spans="1:4" ht="14.5">
      <c r="A386" s="2"/>
      <c r="B386" s="2"/>
      <c r="C386" s="2"/>
      <c r="D386" s="4"/>
    </row>
    <row r="387" spans="1:4" ht="14.5">
      <c r="A387" s="2"/>
      <c r="B387" s="2"/>
      <c r="C387" s="2"/>
      <c r="D387" s="4"/>
    </row>
    <row r="388" spans="1:4" ht="14.5">
      <c r="A388" s="2"/>
      <c r="B388" s="2"/>
      <c r="C388" s="2"/>
      <c r="D388" s="4"/>
    </row>
    <row r="389" spans="1:4" ht="14.5">
      <c r="A389" s="2"/>
      <c r="B389" s="2"/>
      <c r="C389" s="2"/>
      <c r="D389" s="4"/>
    </row>
    <row r="390" spans="1:4" ht="14.5">
      <c r="A390" s="2"/>
      <c r="B390" s="2"/>
      <c r="C390" s="2"/>
      <c r="D390" s="4"/>
    </row>
    <row r="391" spans="1:4" ht="14.5">
      <c r="A391" s="2"/>
      <c r="B391" s="2"/>
      <c r="C391" s="2"/>
      <c r="D391" s="4"/>
    </row>
    <row r="392" spans="1:4" ht="14.5">
      <c r="A392" s="2"/>
      <c r="B392" s="2"/>
      <c r="C392" s="2"/>
      <c r="D392" s="4"/>
    </row>
    <row r="393" spans="1:4" ht="14.5">
      <c r="A393" s="2"/>
      <c r="B393" s="2"/>
      <c r="C393" s="2"/>
      <c r="D393" s="4"/>
    </row>
    <row r="394" spans="1:4" ht="14.5">
      <c r="A394" s="2"/>
      <c r="B394" s="2"/>
      <c r="C394" s="2"/>
      <c r="D394" s="4"/>
    </row>
    <row r="395" spans="1:4" ht="14.5">
      <c r="A395" s="2"/>
      <c r="B395" s="2"/>
      <c r="C395" s="2"/>
      <c r="D395" s="4"/>
    </row>
    <row r="396" spans="1:4" ht="14.5">
      <c r="A396" s="2"/>
      <c r="B396" s="2"/>
      <c r="C396" s="2"/>
      <c r="D396" s="4"/>
    </row>
    <row r="397" spans="1:4" ht="14.5">
      <c r="A397" s="2"/>
      <c r="B397" s="2"/>
      <c r="C397" s="2"/>
      <c r="D397" s="4"/>
    </row>
    <row r="398" spans="1:4" ht="14.5">
      <c r="A398" s="2"/>
      <c r="B398" s="2"/>
      <c r="C398" s="2"/>
      <c r="D398" s="4"/>
    </row>
    <row r="399" spans="1:4" ht="14.5">
      <c r="A399" s="2"/>
      <c r="B399" s="2"/>
      <c r="C399" s="2"/>
      <c r="D399" s="4"/>
    </row>
    <row r="400" spans="1:4" ht="14.5">
      <c r="A400" s="2"/>
      <c r="B400" s="2"/>
      <c r="C400" s="2"/>
      <c r="D400" s="4"/>
    </row>
    <row r="401" spans="1:4" ht="14.5">
      <c r="A401" s="2"/>
      <c r="B401" s="2"/>
      <c r="C401" s="2"/>
      <c r="D401" s="4"/>
    </row>
    <row r="402" spans="1:4" ht="14.5">
      <c r="A402" s="2"/>
      <c r="B402" s="2"/>
      <c r="C402" s="2"/>
      <c r="D402" s="4"/>
    </row>
    <row r="403" spans="1:4" ht="14.5">
      <c r="A403" s="2"/>
      <c r="B403" s="2"/>
      <c r="C403" s="2"/>
      <c r="D403" s="4"/>
    </row>
    <row r="404" spans="1:4" ht="14.5">
      <c r="A404" s="2"/>
      <c r="B404" s="2"/>
      <c r="C404" s="2"/>
      <c r="D404" s="4"/>
    </row>
    <row r="405" spans="1:4" ht="14.5">
      <c r="A405" s="2"/>
      <c r="B405" s="2"/>
      <c r="C405" s="2"/>
      <c r="D405" s="4"/>
    </row>
    <row r="406" spans="1:4" ht="14.5">
      <c r="A406" s="2"/>
      <c r="B406" s="2"/>
      <c r="C406" s="2"/>
      <c r="D406" s="4"/>
    </row>
    <row r="407" spans="1:4" ht="14.5">
      <c r="A407" s="2"/>
      <c r="B407" s="2"/>
      <c r="C407" s="2"/>
      <c r="D407" s="4"/>
    </row>
    <row r="408" spans="1:4" ht="14.5">
      <c r="A408" s="2"/>
      <c r="B408" s="2"/>
      <c r="C408" s="2"/>
      <c r="D408" s="4"/>
    </row>
    <row r="409" spans="1:4" ht="14.5">
      <c r="A409" s="2"/>
      <c r="B409" s="2"/>
      <c r="C409" s="2"/>
      <c r="D409" s="4"/>
    </row>
    <row r="410" spans="1:4" ht="14.5">
      <c r="A410" s="2"/>
      <c r="B410" s="2"/>
      <c r="C410" s="2"/>
      <c r="D410" s="4"/>
    </row>
    <row r="411" spans="1:4" ht="14.5">
      <c r="A411" s="2"/>
      <c r="B411" s="2"/>
      <c r="C411" s="2"/>
      <c r="D411" s="4"/>
    </row>
    <row r="412" spans="1:4" ht="14.5">
      <c r="A412" s="2"/>
      <c r="B412" s="2"/>
      <c r="C412" s="2"/>
      <c r="D412" s="4"/>
    </row>
    <row r="413" spans="1:4" ht="14.5">
      <c r="A413" s="2"/>
      <c r="B413" s="2"/>
      <c r="C413" s="2"/>
      <c r="D413" s="4"/>
    </row>
    <row r="414" spans="1:4" ht="14.5">
      <c r="A414" s="2"/>
      <c r="B414" s="2"/>
      <c r="C414" s="2"/>
      <c r="D414" s="4"/>
    </row>
    <row r="415" spans="1:4" ht="14.5">
      <c r="A415" s="2"/>
      <c r="B415" s="2"/>
      <c r="C415" s="2"/>
      <c r="D415" s="4"/>
    </row>
    <row r="416" spans="1:4" ht="14.5">
      <c r="A416" s="2"/>
      <c r="B416" s="2"/>
      <c r="C416" s="2"/>
      <c r="D416" s="4"/>
    </row>
    <row r="417" spans="1:4" ht="14.5">
      <c r="A417" s="2"/>
      <c r="B417" s="2"/>
      <c r="C417" s="2"/>
      <c r="D417" s="4"/>
    </row>
    <row r="418" spans="1:4" ht="14.5">
      <c r="A418" s="2"/>
      <c r="B418" s="2"/>
      <c r="C418" s="2"/>
      <c r="D418" s="4"/>
    </row>
    <row r="419" spans="1:4" ht="14.5">
      <c r="A419" s="2"/>
      <c r="B419" s="2"/>
      <c r="C419" s="2"/>
      <c r="D419" s="4"/>
    </row>
    <row r="420" spans="1:4" ht="14.5">
      <c r="A420" s="2"/>
      <c r="B420" s="2"/>
      <c r="C420" s="2"/>
      <c r="D420" s="4"/>
    </row>
    <row r="421" spans="1:4" ht="14.5">
      <c r="A421" s="2"/>
      <c r="B421" s="2"/>
      <c r="C421" s="2"/>
      <c r="D421" s="4"/>
    </row>
    <row r="422" spans="1:4" ht="14.5">
      <c r="A422" s="2"/>
      <c r="B422" s="2"/>
      <c r="C422" s="2"/>
      <c r="D422" s="4"/>
    </row>
    <row r="423" spans="1:4" ht="14.5">
      <c r="A423" s="2"/>
      <c r="B423" s="2"/>
      <c r="C423" s="2"/>
      <c r="D423" s="4"/>
    </row>
    <row r="424" spans="1:4" ht="14.5">
      <c r="A424" s="2"/>
      <c r="B424" s="2"/>
      <c r="C424" s="2"/>
      <c r="D424" s="4"/>
    </row>
    <row r="425" spans="1:4" ht="14.5">
      <c r="A425" s="2"/>
      <c r="B425" s="2"/>
      <c r="C425" s="2"/>
      <c r="D425" s="4"/>
    </row>
    <row r="426" spans="1:4" ht="14.5">
      <c r="A426" s="2"/>
      <c r="B426" s="2"/>
      <c r="C426" s="2"/>
      <c r="D426" s="4"/>
    </row>
    <row r="427" spans="1:4" ht="14.5">
      <c r="A427" s="2"/>
      <c r="B427" s="2"/>
      <c r="C427" s="2"/>
      <c r="D427" s="4"/>
    </row>
    <row r="428" spans="1:4" ht="14.5">
      <c r="A428" s="2"/>
      <c r="B428" s="2"/>
      <c r="C428" s="2"/>
      <c r="D428" s="4"/>
    </row>
    <row r="429" spans="1:4" ht="14.5">
      <c r="A429" s="2"/>
      <c r="B429" s="2"/>
      <c r="C429" s="2"/>
      <c r="D429" s="4"/>
    </row>
    <row r="430" spans="1:4" ht="14.5">
      <c r="A430" s="2"/>
      <c r="B430" s="2"/>
      <c r="C430" s="2"/>
      <c r="D430" s="4"/>
    </row>
    <row r="431" spans="1:4" ht="14.5">
      <c r="A431" s="2"/>
      <c r="B431" s="2"/>
      <c r="C431" s="2"/>
      <c r="D431" s="4"/>
    </row>
    <row r="432" spans="1:4" ht="14.5">
      <c r="A432" s="2"/>
      <c r="B432" s="2"/>
      <c r="C432" s="2"/>
      <c r="D432" s="4"/>
    </row>
    <row r="433" spans="1:4" ht="14.5">
      <c r="A433" s="2"/>
      <c r="B433" s="2"/>
      <c r="C433" s="2"/>
      <c r="D433" s="4"/>
    </row>
    <row r="434" spans="1:4" ht="14.5">
      <c r="A434" s="2"/>
      <c r="B434" s="2"/>
      <c r="C434" s="2"/>
      <c r="D434" s="4"/>
    </row>
    <row r="435" spans="1:4" ht="14.5">
      <c r="A435" s="2"/>
      <c r="B435" s="2"/>
      <c r="C435" s="2"/>
      <c r="D435" s="4"/>
    </row>
    <row r="436" spans="1:4" ht="14.5">
      <c r="A436" s="2"/>
      <c r="B436" s="2"/>
      <c r="C436" s="2"/>
      <c r="D436" s="4"/>
    </row>
    <row r="437" spans="1:4" ht="14.5">
      <c r="A437" s="2"/>
      <c r="B437" s="2"/>
      <c r="C437" s="2"/>
      <c r="D437" s="4"/>
    </row>
    <row r="438" spans="1:4" ht="14.5">
      <c r="A438" s="2"/>
      <c r="B438" s="2"/>
      <c r="C438" s="2"/>
      <c r="D438" s="4"/>
    </row>
    <row r="439" spans="1:4" ht="14.5">
      <c r="A439" s="2"/>
      <c r="B439" s="2"/>
      <c r="C439" s="2"/>
      <c r="D439" s="4"/>
    </row>
    <row r="440" spans="1:4" ht="14.5">
      <c r="A440" s="2"/>
      <c r="B440" s="2"/>
      <c r="C440" s="2"/>
      <c r="D440" s="4"/>
    </row>
    <row r="441" spans="1:4" ht="14.5">
      <c r="A441" s="2"/>
      <c r="B441" s="2"/>
      <c r="C441" s="2"/>
      <c r="D441" s="4"/>
    </row>
    <row r="442" spans="1:4" ht="14.5">
      <c r="A442" s="2"/>
      <c r="B442" s="2"/>
      <c r="C442" s="2"/>
      <c r="D442" s="4"/>
    </row>
    <row r="443" spans="1:4" ht="14.5">
      <c r="A443" s="2"/>
      <c r="B443" s="2"/>
      <c r="C443" s="2"/>
      <c r="D443" s="4"/>
    </row>
    <row r="444" spans="1:4" ht="14.5">
      <c r="A444" s="2"/>
      <c r="B444" s="2"/>
      <c r="C444" s="2"/>
      <c r="D444" s="4"/>
    </row>
    <row r="445" spans="1:4" ht="14.5">
      <c r="A445" s="2"/>
      <c r="B445" s="2"/>
      <c r="C445" s="2"/>
      <c r="D445" s="4"/>
    </row>
    <row r="446" spans="1:4" ht="14.5">
      <c r="A446" s="2"/>
      <c r="B446" s="2"/>
      <c r="C446" s="2"/>
      <c r="D446" s="4"/>
    </row>
    <row r="447" spans="1:4" ht="14.5">
      <c r="A447" s="2"/>
      <c r="B447" s="2"/>
      <c r="C447" s="2"/>
      <c r="D447" s="4"/>
    </row>
    <row r="448" spans="1:4" ht="14.5">
      <c r="A448" s="2"/>
      <c r="B448" s="2"/>
      <c r="C448" s="2"/>
      <c r="D448" s="4"/>
    </row>
    <row r="449" spans="1:4" ht="14.5">
      <c r="A449" s="2"/>
      <c r="B449" s="2"/>
      <c r="C449" s="2"/>
      <c r="D449" s="4"/>
    </row>
    <row r="450" spans="1:4" ht="14.5">
      <c r="A450" s="2"/>
      <c r="B450" s="2"/>
      <c r="C450" s="2"/>
      <c r="D450" s="4"/>
    </row>
    <row r="451" spans="1:4" ht="14.5">
      <c r="A451" s="2"/>
      <c r="B451" s="2"/>
      <c r="C451" s="2"/>
      <c r="D451" s="4"/>
    </row>
    <row r="452" spans="1:4" ht="14.5">
      <c r="A452" s="2"/>
      <c r="B452" s="2"/>
      <c r="C452" s="2"/>
      <c r="D452" s="4"/>
    </row>
    <row r="453" spans="1:4" ht="14.5">
      <c r="A453" s="2"/>
      <c r="B453" s="2"/>
      <c r="C453" s="2"/>
      <c r="D453" s="4"/>
    </row>
    <row r="454" spans="1:4" ht="14.5">
      <c r="A454" s="2"/>
      <c r="B454" s="2"/>
      <c r="C454" s="2"/>
      <c r="D454" s="4"/>
    </row>
    <row r="455" spans="1:4" ht="14.5">
      <c r="A455" s="2"/>
      <c r="B455" s="2"/>
      <c r="C455" s="2"/>
      <c r="D455" s="4"/>
    </row>
    <row r="456" spans="1:4" ht="14.5">
      <c r="A456" s="2"/>
      <c r="B456" s="2"/>
      <c r="C456" s="2"/>
      <c r="D456" s="4"/>
    </row>
    <row r="457" spans="1:4" ht="14.5">
      <c r="A457" s="2"/>
      <c r="B457" s="2"/>
      <c r="C457" s="2"/>
      <c r="D457" s="4"/>
    </row>
    <row r="458" spans="1:4" ht="14.5">
      <c r="A458" s="2"/>
      <c r="B458" s="2"/>
      <c r="C458" s="2"/>
      <c r="D458" s="4"/>
    </row>
    <row r="459" spans="1:4" ht="14.5">
      <c r="A459" s="2"/>
      <c r="B459" s="2"/>
      <c r="C459" s="2"/>
      <c r="D459" s="4"/>
    </row>
    <row r="460" spans="1:4" ht="14.5">
      <c r="A460" s="2"/>
      <c r="B460" s="2"/>
      <c r="C460" s="2"/>
      <c r="D460" s="4"/>
    </row>
    <row r="461" spans="1:4" ht="14.5">
      <c r="A461" s="2"/>
      <c r="B461" s="2"/>
      <c r="C461" s="2"/>
      <c r="D461" s="4"/>
    </row>
    <row r="462" spans="1:4" ht="14.5">
      <c r="A462" s="2"/>
      <c r="B462" s="2"/>
      <c r="C462" s="2"/>
      <c r="D462" s="4"/>
    </row>
    <row r="463" spans="1:4" ht="14.5">
      <c r="A463" s="2"/>
      <c r="B463" s="2"/>
      <c r="C463" s="2"/>
      <c r="D463" s="4"/>
    </row>
    <row r="464" spans="1:4" ht="14.5">
      <c r="A464" s="2"/>
      <c r="B464" s="2"/>
      <c r="C464" s="2"/>
      <c r="D464" s="4"/>
    </row>
    <row r="465" spans="1:4" ht="14.5">
      <c r="A465" s="2"/>
      <c r="B465" s="2"/>
      <c r="C465" s="2"/>
      <c r="D465" s="4"/>
    </row>
    <row r="466" spans="1:4" ht="14.5">
      <c r="A466" s="2"/>
      <c r="B466" s="2"/>
      <c r="C466" s="2"/>
      <c r="D466" s="4"/>
    </row>
    <row r="467" spans="1:4" ht="14.5">
      <c r="A467" s="2"/>
      <c r="B467" s="2"/>
      <c r="C467" s="2"/>
      <c r="D467" s="4"/>
    </row>
    <row r="468" spans="1:4" ht="14.5">
      <c r="A468" s="2"/>
      <c r="B468" s="2"/>
      <c r="C468" s="2"/>
      <c r="D468" s="4"/>
    </row>
    <row r="469" spans="1:4" ht="14.5">
      <c r="A469" s="2"/>
      <c r="B469" s="2"/>
      <c r="C469" s="2"/>
      <c r="D469" s="4"/>
    </row>
    <row r="470" spans="1:4" ht="14.5">
      <c r="A470" s="2"/>
      <c r="B470" s="2"/>
      <c r="C470" s="2"/>
      <c r="D470" s="4"/>
    </row>
    <row r="471" spans="1:4" ht="14.5">
      <c r="A471" s="2"/>
      <c r="B471" s="2"/>
      <c r="C471" s="2"/>
      <c r="D471" s="4"/>
    </row>
    <row r="472" spans="1:4" ht="14.5">
      <c r="A472" s="2"/>
      <c r="B472" s="2"/>
      <c r="C472" s="2"/>
      <c r="D472" s="4"/>
    </row>
    <row r="473" spans="1:4" ht="14.5">
      <c r="A473" s="2"/>
      <c r="B473" s="2"/>
      <c r="C473" s="2"/>
      <c r="D473" s="4"/>
    </row>
    <row r="474" spans="1:4" ht="14.5">
      <c r="A474" s="2"/>
      <c r="B474" s="2"/>
      <c r="C474" s="2"/>
      <c r="D474" s="4"/>
    </row>
    <row r="475" spans="1:4" ht="14.5">
      <c r="A475" s="2"/>
      <c r="B475" s="2"/>
      <c r="C475" s="2"/>
      <c r="D475" s="4"/>
    </row>
    <row r="476" spans="1:4" ht="14.5">
      <c r="A476" s="2"/>
      <c r="B476" s="2"/>
      <c r="C476" s="2"/>
      <c r="D476" s="4"/>
    </row>
    <row r="477" spans="1:4" ht="14.5">
      <c r="A477" s="2"/>
      <c r="B477" s="2"/>
      <c r="C477" s="2"/>
      <c r="D477" s="4"/>
    </row>
    <row r="478" spans="1:4" ht="14.5">
      <c r="A478" s="2"/>
      <c r="B478" s="2"/>
      <c r="C478" s="2"/>
      <c r="D478" s="4"/>
    </row>
    <row r="479" spans="1:4" ht="14.5">
      <c r="A479" s="2"/>
      <c r="B479" s="2"/>
      <c r="C479" s="2"/>
      <c r="D479" s="4"/>
    </row>
    <row r="480" spans="1:4" ht="14.5">
      <c r="A480" s="2"/>
      <c r="B480" s="2"/>
      <c r="C480" s="2"/>
      <c r="D480" s="4"/>
    </row>
    <row r="481" spans="1:4" ht="14.5">
      <c r="A481" s="2"/>
      <c r="B481" s="2"/>
      <c r="C481" s="2"/>
      <c r="D481" s="4"/>
    </row>
    <row r="482" spans="1:4" ht="14.5">
      <c r="A482" s="2"/>
      <c r="B482" s="2"/>
      <c r="C482" s="2"/>
      <c r="D482" s="4"/>
    </row>
    <row r="483" spans="1:4" ht="14.5">
      <c r="A483" s="2"/>
      <c r="B483" s="2"/>
      <c r="C483" s="2"/>
      <c r="D483" s="4"/>
    </row>
    <row r="484" spans="1:4" ht="14.5">
      <c r="A484" s="2"/>
      <c r="B484" s="2"/>
      <c r="C484" s="2"/>
      <c r="D484" s="4"/>
    </row>
    <row r="485" spans="1:4" ht="14.5">
      <c r="A485" s="2"/>
      <c r="B485" s="2"/>
      <c r="C485" s="2"/>
      <c r="D485" s="4"/>
    </row>
    <row r="486" spans="1:4" ht="14.5">
      <c r="A486" s="2"/>
      <c r="B486" s="2"/>
      <c r="C486" s="2"/>
      <c r="D486" s="4"/>
    </row>
    <row r="487" spans="1:4" ht="14.5">
      <c r="A487" s="2"/>
      <c r="B487" s="2"/>
      <c r="C487" s="2"/>
      <c r="D487" s="4"/>
    </row>
    <row r="488" spans="1:4" ht="14.5">
      <c r="A488" s="2"/>
      <c r="B488" s="2"/>
      <c r="C488" s="2"/>
      <c r="D488" s="4"/>
    </row>
    <row r="489" spans="1:4" ht="14.5">
      <c r="A489" s="2"/>
      <c r="B489" s="2"/>
      <c r="C489" s="2"/>
      <c r="D489" s="4"/>
    </row>
    <row r="490" spans="1:4" ht="14.5">
      <c r="A490" s="2"/>
      <c r="B490" s="2"/>
      <c r="C490" s="2"/>
      <c r="D490" s="4"/>
    </row>
    <row r="491" spans="1:4" ht="14.5">
      <c r="A491" s="2"/>
      <c r="B491" s="2"/>
      <c r="C491" s="2"/>
      <c r="D491" s="4"/>
    </row>
    <row r="492" spans="1:4" ht="14.5">
      <c r="A492" s="2"/>
      <c r="B492" s="2"/>
      <c r="C492" s="2"/>
      <c r="D492" s="4"/>
    </row>
    <row r="493" spans="1:4" ht="14.5">
      <c r="A493" s="2"/>
      <c r="B493" s="2"/>
      <c r="C493" s="2"/>
      <c r="D493" s="4"/>
    </row>
    <row r="494" spans="1:4" ht="14.5">
      <c r="A494" s="2"/>
      <c r="B494" s="2"/>
      <c r="C494" s="2"/>
      <c r="D494" s="4"/>
    </row>
    <row r="495" spans="1:4" ht="14.5">
      <c r="A495" s="2"/>
      <c r="B495" s="2"/>
      <c r="C495" s="2"/>
      <c r="D495" s="4"/>
    </row>
    <row r="496" spans="1:4" ht="14.5">
      <c r="A496" s="2"/>
      <c r="B496" s="2"/>
      <c r="C496" s="2"/>
      <c r="D496" s="4"/>
    </row>
    <row r="497" spans="1:4" ht="14.5">
      <c r="A497" s="2"/>
      <c r="B497" s="2"/>
      <c r="C497" s="2"/>
      <c r="D497" s="4"/>
    </row>
    <row r="498" spans="1:4" ht="14.5">
      <c r="A498" s="2"/>
      <c r="B498" s="2"/>
      <c r="C498" s="2"/>
      <c r="D498" s="4"/>
    </row>
    <row r="499" spans="1:4" ht="14.5">
      <c r="A499" s="2"/>
      <c r="B499" s="2"/>
      <c r="C499" s="2"/>
      <c r="D499" s="4"/>
    </row>
    <row r="500" spans="1:4" ht="14.5">
      <c r="A500" s="2"/>
      <c r="B500" s="2"/>
      <c r="C500" s="2"/>
      <c r="D500" s="4"/>
    </row>
    <row r="501" spans="1:4" ht="14.5">
      <c r="A501" s="2"/>
      <c r="B501" s="2"/>
      <c r="C501" s="2"/>
      <c r="D501" s="4"/>
    </row>
    <row r="502" spans="1:4" ht="14.5">
      <c r="A502" s="2"/>
      <c r="B502" s="2"/>
      <c r="C502" s="2"/>
      <c r="D502" s="4"/>
    </row>
    <row r="503" spans="1:4" ht="14.5">
      <c r="A503" s="2"/>
      <c r="B503" s="2"/>
      <c r="C503" s="2"/>
      <c r="D503" s="4"/>
    </row>
    <row r="504" spans="1:4" ht="14.5">
      <c r="A504" s="2"/>
      <c r="B504" s="2"/>
      <c r="C504" s="2"/>
      <c r="D504" s="4"/>
    </row>
    <row r="505" spans="1:4" ht="14.5">
      <c r="A505" s="2"/>
      <c r="B505" s="2"/>
      <c r="C505" s="2"/>
      <c r="D505" s="4"/>
    </row>
    <row r="506" spans="1:4" ht="14.5">
      <c r="A506" s="2"/>
      <c r="B506" s="2"/>
      <c r="C506" s="2"/>
      <c r="D506" s="4"/>
    </row>
    <row r="507" spans="1:4" ht="14.5">
      <c r="A507" s="2"/>
      <c r="B507" s="2"/>
      <c r="C507" s="2"/>
      <c r="D507" s="4"/>
    </row>
    <row r="508" spans="1:4" ht="14.5">
      <c r="A508" s="2"/>
      <c r="B508" s="2"/>
      <c r="C508" s="2"/>
      <c r="D508" s="4"/>
    </row>
    <row r="509" spans="1:4" ht="14.5">
      <c r="A509" s="2"/>
      <c r="B509" s="2"/>
      <c r="C509" s="2"/>
      <c r="D509" s="4"/>
    </row>
    <row r="510" spans="1:4" ht="14.5">
      <c r="A510" s="2"/>
      <c r="B510" s="2"/>
      <c r="C510" s="2"/>
      <c r="D510" s="4"/>
    </row>
    <row r="511" spans="1:4" ht="14.5">
      <c r="A511" s="2"/>
      <c r="B511" s="2"/>
      <c r="C511" s="2"/>
      <c r="D511" s="4"/>
    </row>
    <row r="512" spans="1:4" ht="14.5">
      <c r="A512" s="2"/>
      <c r="B512" s="2"/>
      <c r="C512" s="2"/>
      <c r="D512" s="4"/>
    </row>
    <row r="513" spans="1:4" ht="14.5">
      <c r="A513" s="2"/>
      <c r="B513" s="2"/>
      <c r="C513" s="2"/>
      <c r="D513" s="4"/>
    </row>
    <row r="514" spans="1:4" ht="14.5">
      <c r="A514" s="2"/>
      <c r="B514" s="2"/>
      <c r="C514" s="2"/>
      <c r="D514" s="4"/>
    </row>
    <row r="515" spans="1:4" ht="14.5">
      <c r="A515" s="2"/>
      <c r="B515" s="2"/>
      <c r="C515" s="2"/>
      <c r="D515" s="4"/>
    </row>
    <row r="516" spans="1:4" ht="14.5">
      <c r="A516" s="2"/>
      <c r="B516" s="2"/>
      <c r="C516" s="2"/>
      <c r="D516" s="4"/>
    </row>
    <row r="517" spans="1:4" ht="14.5">
      <c r="A517" s="2"/>
      <c r="B517" s="2"/>
      <c r="C517" s="2"/>
      <c r="D517" s="4"/>
    </row>
    <row r="518" spans="1:4" ht="14.5">
      <c r="A518" s="2"/>
      <c r="B518" s="2"/>
      <c r="C518" s="2"/>
      <c r="D518" s="4"/>
    </row>
    <row r="519" spans="1:4" ht="14.5">
      <c r="A519" s="2"/>
      <c r="B519" s="2"/>
      <c r="C519" s="2"/>
      <c r="D519" s="4"/>
    </row>
    <row r="520" spans="1:4" ht="14.5">
      <c r="A520" s="2"/>
      <c r="B520" s="2"/>
      <c r="C520" s="2"/>
      <c r="D520" s="4"/>
    </row>
    <row r="521" spans="1:4" ht="14.5">
      <c r="A521" s="2"/>
      <c r="B521" s="2"/>
      <c r="C521" s="2"/>
      <c r="D521" s="4"/>
    </row>
    <row r="522" spans="1:4" ht="14.5">
      <c r="A522" s="2"/>
      <c r="B522" s="2"/>
      <c r="C522" s="2"/>
      <c r="D522" s="4"/>
    </row>
    <row r="523" spans="1:4" ht="14.5">
      <c r="A523" s="2"/>
      <c r="B523" s="2"/>
      <c r="C523" s="2"/>
      <c r="D523" s="4"/>
    </row>
    <row r="524" spans="1:4" ht="14.5">
      <c r="A524" s="2"/>
      <c r="B524" s="2"/>
      <c r="C524" s="2"/>
      <c r="D524" s="4"/>
    </row>
    <row r="525" spans="1:4" ht="14.5">
      <c r="A525" s="2"/>
      <c r="B525" s="2"/>
      <c r="C525" s="2"/>
      <c r="D525" s="4"/>
    </row>
    <row r="526" spans="1:4" ht="14.5">
      <c r="A526" s="2"/>
      <c r="B526" s="2"/>
      <c r="C526" s="2"/>
      <c r="D526" s="4"/>
    </row>
    <row r="527" spans="1:4" ht="14.5">
      <c r="A527" s="2"/>
      <c r="B527" s="2"/>
      <c r="C527" s="2"/>
      <c r="D527" s="4"/>
    </row>
    <row r="528" spans="1:4" ht="14.5">
      <c r="A528" s="2"/>
      <c r="B528" s="2"/>
      <c r="C528" s="2"/>
      <c r="D528" s="4"/>
    </row>
    <row r="529" spans="1:4" ht="14.5">
      <c r="A529" s="2"/>
      <c r="B529" s="2"/>
      <c r="C529" s="2"/>
      <c r="D529" s="4"/>
    </row>
    <row r="530" spans="1:4" ht="14.5">
      <c r="A530" s="2"/>
      <c r="B530" s="2"/>
      <c r="C530" s="2"/>
      <c r="D530" s="4"/>
    </row>
    <row r="531" spans="1:4" ht="14.5">
      <c r="A531" s="2"/>
      <c r="B531" s="2"/>
      <c r="C531" s="2"/>
      <c r="D531" s="4"/>
    </row>
    <row r="532" spans="1:4" ht="14.5">
      <c r="A532" s="2"/>
      <c r="B532" s="2"/>
      <c r="C532" s="2"/>
      <c r="D532" s="4"/>
    </row>
    <row r="533" spans="1:4" ht="14.5">
      <c r="A533" s="2"/>
      <c r="B533" s="2"/>
      <c r="C533" s="2"/>
      <c r="D533" s="4"/>
    </row>
    <row r="534" spans="1:4" ht="14.5">
      <c r="A534" s="2"/>
      <c r="B534" s="2"/>
      <c r="C534" s="2"/>
      <c r="D534" s="4"/>
    </row>
    <row r="535" spans="1:4" ht="14.5">
      <c r="A535" s="2"/>
      <c r="B535" s="2"/>
      <c r="C535" s="2"/>
      <c r="D535" s="4"/>
    </row>
    <row r="536" spans="1:4" ht="14.5">
      <c r="A536" s="2"/>
      <c r="B536" s="2"/>
      <c r="C536" s="2"/>
      <c r="D536" s="4"/>
    </row>
    <row r="537" spans="1:4" ht="14.5">
      <c r="A537" s="2"/>
      <c r="B537" s="2"/>
      <c r="C537" s="2"/>
      <c r="D537" s="4"/>
    </row>
    <row r="538" spans="1:4" ht="14.5">
      <c r="A538" s="2"/>
      <c r="B538" s="2"/>
      <c r="C538" s="2"/>
      <c r="D538" s="4"/>
    </row>
    <row r="539" spans="1:4" ht="14.5">
      <c r="A539" s="2"/>
      <c r="B539" s="2"/>
      <c r="C539" s="2"/>
      <c r="D539" s="4"/>
    </row>
    <row r="540" spans="1:4" ht="14.5">
      <c r="A540" s="2"/>
      <c r="B540" s="2"/>
      <c r="C540" s="2"/>
      <c r="D540" s="4"/>
    </row>
    <row r="541" spans="1:4" ht="14.5">
      <c r="A541" s="2"/>
      <c r="B541" s="2"/>
      <c r="C541" s="2"/>
      <c r="D541" s="4"/>
    </row>
    <row r="542" spans="1:4" ht="14.5">
      <c r="A542" s="2"/>
      <c r="B542" s="2"/>
      <c r="C542" s="2"/>
      <c r="D542" s="4"/>
    </row>
    <row r="543" spans="1:4" ht="14.5">
      <c r="A543" s="2"/>
      <c r="B543" s="2"/>
      <c r="C543" s="2"/>
      <c r="D543" s="4"/>
    </row>
    <row r="544" spans="1:4" ht="14.5">
      <c r="A544" s="2"/>
      <c r="B544" s="2"/>
      <c r="C544" s="2"/>
      <c r="D544" s="4"/>
    </row>
    <row r="545" spans="1:4" ht="14.5">
      <c r="A545" s="2"/>
      <c r="B545" s="2"/>
      <c r="C545" s="2"/>
      <c r="D545" s="4"/>
    </row>
    <row r="546" spans="1:4" ht="14.5">
      <c r="A546" s="2"/>
      <c r="B546" s="2"/>
      <c r="C546" s="2"/>
      <c r="D546" s="4"/>
    </row>
    <row r="547" spans="1:4" ht="14.5">
      <c r="A547" s="2"/>
      <c r="B547" s="2"/>
      <c r="C547" s="2"/>
      <c r="D547" s="4"/>
    </row>
    <row r="548" spans="1:4" ht="14.5">
      <c r="A548" s="2"/>
      <c r="B548" s="2"/>
      <c r="C548" s="2"/>
      <c r="D548" s="4"/>
    </row>
    <row r="549" spans="1:4" ht="14.5">
      <c r="A549" s="2"/>
      <c r="B549" s="2"/>
      <c r="C549" s="2"/>
      <c r="D549" s="4"/>
    </row>
    <row r="550" spans="1:4" ht="14.5">
      <c r="A550" s="2"/>
      <c r="B550" s="2"/>
      <c r="C550" s="2"/>
      <c r="D550" s="4"/>
    </row>
    <row r="551" spans="1:4" ht="14.5">
      <c r="A551" s="2"/>
      <c r="B551" s="2"/>
      <c r="C551" s="2"/>
      <c r="D551" s="4"/>
    </row>
    <row r="552" spans="1:4" ht="14.5">
      <c r="A552" s="2"/>
      <c r="B552" s="2"/>
      <c r="C552" s="2"/>
      <c r="D552" s="4"/>
    </row>
    <row r="553" spans="1:4" ht="14.5">
      <c r="A553" s="2"/>
      <c r="B553" s="2"/>
      <c r="C553" s="2"/>
      <c r="D553" s="4"/>
    </row>
    <row r="554" spans="1:4" ht="14.5">
      <c r="A554" s="2"/>
      <c r="B554" s="2"/>
      <c r="C554" s="2"/>
      <c r="D554" s="4"/>
    </row>
    <row r="555" spans="1:4" ht="14.5">
      <c r="A555" s="2"/>
      <c r="B555" s="2"/>
      <c r="C555" s="2"/>
      <c r="D555" s="4"/>
    </row>
    <row r="556" spans="1:4" ht="14.5">
      <c r="A556" s="2"/>
      <c r="B556" s="2"/>
      <c r="C556" s="2"/>
      <c r="D556" s="4"/>
    </row>
    <row r="557" spans="1:4" ht="14.5">
      <c r="A557" s="2"/>
      <c r="B557" s="2"/>
      <c r="C557" s="2"/>
      <c r="D557" s="4"/>
    </row>
    <row r="558" spans="1:4" ht="14.5">
      <c r="A558" s="2"/>
      <c r="B558" s="2"/>
      <c r="C558" s="2"/>
      <c r="D558" s="4"/>
    </row>
    <row r="559" spans="1:4" ht="14.5">
      <c r="A559" s="2"/>
      <c r="B559" s="2"/>
      <c r="C559" s="2"/>
      <c r="D559" s="4"/>
    </row>
    <row r="560" spans="1:4" ht="14.5">
      <c r="A560" s="2"/>
      <c r="B560" s="2"/>
      <c r="C560" s="2"/>
      <c r="D560" s="4"/>
    </row>
    <row r="561" spans="1:4" ht="14.5">
      <c r="A561" s="2"/>
      <c r="B561" s="2"/>
      <c r="C561" s="2"/>
      <c r="D561" s="4"/>
    </row>
    <row r="562" spans="1:4" ht="14.5">
      <c r="A562" s="2"/>
      <c r="B562" s="2"/>
      <c r="C562" s="2"/>
      <c r="D562" s="4"/>
    </row>
    <row r="563" spans="1:4" ht="14.5">
      <c r="A563" s="2"/>
      <c r="B563" s="2"/>
      <c r="C563" s="2"/>
      <c r="D563" s="4"/>
    </row>
    <row r="564" spans="1:4" ht="14.5">
      <c r="A564" s="2"/>
      <c r="B564" s="2"/>
      <c r="C564" s="2"/>
      <c r="D564" s="4"/>
    </row>
    <row r="565" spans="1:4" ht="14.5">
      <c r="A565" s="2"/>
      <c r="B565" s="2"/>
      <c r="C565" s="2"/>
      <c r="D565" s="4"/>
    </row>
    <row r="566" spans="1:4" ht="14.5">
      <c r="A566" s="2"/>
      <c r="B566" s="2"/>
      <c r="C566" s="2"/>
      <c r="D566" s="4"/>
    </row>
    <row r="567" spans="1:4" ht="14.5">
      <c r="A567" s="2"/>
      <c r="B567" s="2"/>
      <c r="C567" s="2"/>
      <c r="D567" s="4"/>
    </row>
    <row r="568" spans="1:4" ht="14.5">
      <c r="A568" s="2"/>
      <c r="B568" s="2"/>
      <c r="C568" s="2"/>
      <c r="D568" s="4"/>
    </row>
    <row r="569" spans="1:4" ht="14.5">
      <c r="A569" s="2"/>
      <c r="B569" s="2"/>
      <c r="C569" s="2"/>
      <c r="D569" s="4"/>
    </row>
    <row r="570" spans="1:4" ht="14.5">
      <c r="A570" s="2"/>
      <c r="B570" s="2"/>
      <c r="C570" s="2"/>
      <c r="D570" s="4"/>
    </row>
    <row r="571" spans="1:4" ht="14.5">
      <c r="A571" s="2"/>
      <c r="B571" s="2"/>
      <c r="C571" s="2"/>
      <c r="D571" s="4"/>
    </row>
    <row r="572" spans="1:4" ht="14.5">
      <c r="A572" s="2"/>
      <c r="B572" s="2"/>
      <c r="C572" s="2"/>
      <c r="D572" s="4"/>
    </row>
    <row r="573" spans="1:4" ht="14.5">
      <c r="A573" s="2"/>
      <c r="B573" s="2"/>
      <c r="C573" s="2"/>
      <c r="D573" s="4"/>
    </row>
    <row r="574" spans="1:4" ht="14.5">
      <c r="A574" s="2"/>
      <c r="B574" s="2"/>
      <c r="C574" s="2"/>
      <c r="D574" s="4"/>
    </row>
    <row r="575" spans="1:4" ht="14.5">
      <c r="A575" s="2"/>
      <c r="B575" s="2"/>
      <c r="C575" s="2"/>
      <c r="D575" s="4"/>
    </row>
    <row r="576" spans="1:4" ht="14.5">
      <c r="A576" s="2"/>
      <c r="B576" s="2"/>
      <c r="C576" s="2"/>
      <c r="D576" s="4"/>
    </row>
    <row r="577" spans="1:4" ht="14.5">
      <c r="A577" s="2"/>
      <c r="B577" s="2"/>
      <c r="C577" s="2"/>
      <c r="D577" s="4"/>
    </row>
    <row r="578" spans="1:4" ht="14.5">
      <c r="A578" s="2"/>
      <c r="B578" s="2"/>
      <c r="C578" s="2"/>
      <c r="D578" s="4"/>
    </row>
    <row r="579" spans="1:4" ht="14.5">
      <c r="A579" s="2"/>
      <c r="B579" s="2"/>
      <c r="C579" s="2"/>
      <c r="D579" s="4"/>
    </row>
    <row r="580" spans="1:4" ht="14.5">
      <c r="A580" s="2"/>
      <c r="B580" s="2"/>
      <c r="C580" s="2"/>
      <c r="D580" s="4"/>
    </row>
    <row r="581" spans="1:4" ht="14.5">
      <c r="A581" s="2"/>
      <c r="B581" s="2"/>
      <c r="C581" s="2"/>
      <c r="D581" s="4"/>
    </row>
    <row r="582" spans="1:4" ht="14.5">
      <c r="A582" s="2"/>
      <c r="B582" s="2"/>
      <c r="C582" s="2"/>
      <c r="D582" s="4"/>
    </row>
    <row r="583" spans="1:4" ht="14.5">
      <c r="A583" s="2"/>
      <c r="B583" s="2"/>
      <c r="C583" s="2"/>
      <c r="D583" s="4"/>
    </row>
    <row r="584" spans="1:4" ht="14.5">
      <c r="A584" s="2"/>
      <c r="B584" s="2"/>
      <c r="C584" s="2"/>
      <c r="D584" s="4"/>
    </row>
    <row r="585" spans="1:4" ht="14.5">
      <c r="A585" s="2"/>
      <c r="B585" s="2"/>
      <c r="C585" s="2"/>
      <c r="D585" s="4"/>
    </row>
    <row r="586" spans="1:4" ht="14.5">
      <c r="A586" s="2"/>
      <c r="B586" s="2"/>
      <c r="C586" s="2"/>
      <c r="D586" s="4"/>
    </row>
    <row r="587" spans="1:4" ht="14.5">
      <c r="A587" s="2"/>
      <c r="B587" s="2"/>
      <c r="C587" s="2"/>
      <c r="D587" s="4"/>
    </row>
    <row r="588" spans="1:4" ht="14.5">
      <c r="A588" s="2"/>
      <c r="B588" s="2"/>
      <c r="C588" s="2"/>
      <c r="D588" s="4"/>
    </row>
    <row r="589" spans="1:4" ht="14.5">
      <c r="A589" s="2"/>
      <c r="B589" s="2"/>
      <c r="C589" s="2"/>
      <c r="D589" s="4"/>
    </row>
    <row r="590" spans="1:4" ht="14.5">
      <c r="A590" s="2"/>
      <c r="B590" s="2"/>
      <c r="C590" s="2"/>
      <c r="D590" s="4"/>
    </row>
    <row r="591" spans="1:4" ht="14.5">
      <c r="A591" s="2"/>
      <c r="B591" s="2"/>
      <c r="C591" s="2"/>
      <c r="D591" s="4"/>
    </row>
    <row r="592" spans="1:4" ht="14.5">
      <c r="A592" s="2"/>
      <c r="B592" s="2"/>
      <c r="C592" s="2"/>
      <c r="D592" s="4"/>
    </row>
    <row r="593" spans="1:4" ht="14.5">
      <c r="A593" s="2"/>
      <c r="B593" s="2"/>
      <c r="C593" s="2"/>
      <c r="D593" s="4"/>
    </row>
    <row r="594" spans="1:4" ht="14.5">
      <c r="A594" s="2"/>
      <c r="B594" s="2"/>
      <c r="C594" s="2"/>
      <c r="D594" s="4"/>
    </row>
    <row r="595" spans="1:4" ht="14.5">
      <c r="A595" s="2"/>
      <c r="B595" s="2"/>
      <c r="C595" s="2"/>
      <c r="D595" s="4"/>
    </row>
    <row r="596" spans="1:4" ht="14.5">
      <c r="A596" s="2"/>
      <c r="B596" s="2"/>
      <c r="C596" s="2"/>
      <c r="D596" s="4"/>
    </row>
    <row r="597" spans="1:4" ht="14.5">
      <c r="A597" s="2"/>
      <c r="B597" s="2"/>
      <c r="C597" s="2"/>
      <c r="D597" s="4"/>
    </row>
    <row r="598" spans="1:4" ht="14.5">
      <c r="A598" s="2"/>
      <c r="B598" s="2"/>
      <c r="C598" s="2"/>
      <c r="D598" s="4"/>
    </row>
    <row r="599" spans="1:4" ht="14.5">
      <c r="A599" s="2"/>
      <c r="B599" s="2"/>
      <c r="C599" s="2"/>
      <c r="D599" s="4"/>
    </row>
    <row r="600" spans="1:4" ht="14.5">
      <c r="A600" s="2"/>
      <c r="B600" s="2"/>
      <c r="C600" s="2"/>
      <c r="D600" s="4"/>
    </row>
    <row r="601" spans="1:4" ht="14.5">
      <c r="A601" s="2"/>
      <c r="B601" s="2"/>
      <c r="C601" s="2"/>
      <c r="D601" s="4"/>
    </row>
    <row r="602" spans="1:4" ht="14.5">
      <c r="A602" s="2"/>
      <c r="B602" s="2"/>
      <c r="C602" s="2"/>
      <c r="D602" s="4"/>
    </row>
    <row r="603" spans="1:4" ht="14.5">
      <c r="A603" s="2"/>
      <c r="B603" s="2"/>
      <c r="C603" s="2"/>
      <c r="D603" s="4"/>
    </row>
    <row r="604" spans="1:4" ht="14.5">
      <c r="A604" s="2"/>
      <c r="B604" s="2"/>
      <c r="C604" s="2"/>
      <c r="D604" s="4"/>
    </row>
    <row r="605" spans="1:4" ht="14.5">
      <c r="A605" s="2"/>
      <c r="B605" s="2"/>
      <c r="C605" s="2"/>
      <c r="D605" s="2"/>
    </row>
    <row r="606" spans="1:4" ht="14.5">
      <c r="A606" s="2"/>
      <c r="B606" s="2"/>
      <c r="C606" s="2"/>
      <c r="D606" s="4"/>
    </row>
    <row r="607" spans="1:4" ht="14.5">
      <c r="A607" s="2"/>
      <c r="B607" s="2"/>
      <c r="C607" s="2"/>
      <c r="D607" s="4"/>
    </row>
    <row r="608" spans="1:4" ht="14.5">
      <c r="A608" s="2"/>
      <c r="B608" s="2"/>
      <c r="C608" s="2"/>
      <c r="D608" s="4"/>
    </row>
    <row r="609" spans="1:4" ht="14.5">
      <c r="A609" s="2"/>
      <c r="B609" s="2"/>
      <c r="C609" s="2"/>
      <c r="D609" s="4"/>
    </row>
    <row r="610" spans="1:4" ht="14.5">
      <c r="A610" s="2"/>
      <c r="B610" s="2"/>
      <c r="C610" s="2"/>
      <c r="D610" s="4"/>
    </row>
    <row r="611" spans="1:4" ht="14.5">
      <c r="A611" s="2"/>
      <c r="B611" s="2"/>
      <c r="C611" s="2"/>
      <c r="D611" s="4"/>
    </row>
    <row r="612" spans="1:4" ht="14.5">
      <c r="A612" s="2"/>
      <c r="B612" s="2"/>
      <c r="C612" s="2"/>
      <c r="D612" s="4"/>
    </row>
    <row r="613" spans="1:4" ht="14.5">
      <c r="A613" s="2"/>
      <c r="B613" s="2"/>
      <c r="C613" s="2"/>
      <c r="D613" s="4"/>
    </row>
    <row r="614" spans="1:4" ht="14.5">
      <c r="A614" s="2"/>
      <c r="B614" s="2"/>
      <c r="C614" s="2"/>
      <c r="D614" s="4"/>
    </row>
    <row r="615" spans="1:4" ht="14.5">
      <c r="A615" s="2"/>
      <c r="B615" s="2"/>
      <c r="C615" s="2"/>
      <c r="D615" s="4"/>
    </row>
    <row r="616" spans="1:4" ht="14.5">
      <c r="A616" s="2"/>
      <c r="B616" s="2"/>
      <c r="C616" s="2"/>
      <c r="D616" s="4"/>
    </row>
    <row r="617" spans="1:4" ht="14.5">
      <c r="A617" s="2"/>
      <c r="B617" s="2"/>
      <c r="C617" s="2"/>
      <c r="D617" s="4"/>
    </row>
    <row r="618" spans="1:4" ht="14.5">
      <c r="A618" s="2"/>
      <c r="B618" s="2"/>
      <c r="C618" s="2"/>
      <c r="D618" s="4"/>
    </row>
    <row r="619" spans="1:4" ht="14.5">
      <c r="A619" s="2"/>
      <c r="B619" s="2"/>
      <c r="C619" s="2"/>
      <c r="D619" s="4"/>
    </row>
    <row r="620" spans="1:4" ht="14.5">
      <c r="A620" s="2"/>
      <c r="B620" s="2"/>
      <c r="C620" s="2"/>
      <c r="D620" s="4"/>
    </row>
    <row r="621" spans="1:4" ht="14.5">
      <c r="A621" s="2"/>
      <c r="B621" s="2"/>
      <c r="C621" s="2"/>
      <c r="D621" s="4"/>
    </row>
    <row r="622" spans="1:4" ht="14.5">
      <c r="A622" s="2"/>
      <c r="B622" s="2"/>
      <c r="C622" s="2"/>
      <c r="D622" s="4"/>
    </row>
    <row r="623" spans="1:4" ht="14.5">
      <c r="A623" s="2"/>
      <c r="B623" s="2"/>
      <c r="C623" s="2"/>
      <c r="D623" s="4"/>
    </row>
    <row r="624" spans="1:4" ht="14.5">
      <c r="A624" s="2"/>
      <c r="B624" s="2"/>
      <c r="C624" s="2"/>
      <c r="D624" s="4"/>
    </row>
    <row r="625" spans="1:4" ht="14.5">
      <c r="A625" s="2"/>
      <c r="B625" s="2"/>
      <c r="C625" s="2"/>
      <c r="D625" s="4"/>
    </row>
    <row r="626" spans="1:4" ht="14.5">
      <c r="A626" s="2"/>
      <c r="B626" s="2"/>
      <c r="C626" s="2"/>
      <c r="D626" s="4"/>
    </row>
    <row r="627" spans="1:4" ht="14.5">
      <c r="A627" s="2"/>
      <c r="B627" s="2"/>
      <c r="C627" s="2"/>
      <c r="D627" s="4"/>
    </row>
    <row r="628" spans="1:4" ht="14.5">
      <c r="A628" s="2"/>
      <c r="B628" s="2"/>
      <c r="C628" s="2"/>
      <c r="D628" s="4"/>
    </row>
    <row r="629" spans="1:4" ht="14.5">
      <c r="A629" s="2"/>
      <c r="B629" s="2"/>
      <c r="C629" s="2"/>
      <c r="D629" s="4"/>
    </row>
    <row r="630" spans="1:4" ht="14.5">
      <c r="A630" s="2"/>
      <c r="B630" s="2"/>
      <c r="C630" s="2"/>
      <c r="D630" s="4"/>
    </row>
    <row r="631" spans="1:4" ht="14.5">
      <c r="A631" s="2"/>
      <c r="B631" s="2"/>
      <c r="C631" s="2"/>
      <c r="D631" s="4"/>
    </row>
    <row r="632" spans="1:4" ht="14.5">
      <c r="A632" s="2"/>
      <c r="B632" s="2"/>
      <c r="C632" s="2"/>
      <c r="D632" s="4"/>
    </row>
    <row r="633" spans="1:4" ht="14.5">
      <c r="A633" s="2"/>
      <c r="B633" s="2"/>
      <c r="C633" s="2"/>
      <c r="D633" s="4"/>
    </row>
    <row r="634" spans="1:4" ht="14.5">
      <c r="A634" s="2"/>
      <c r="B634" s="2"/>
      <c r="C634" s="2"/>
      <c r="D634" s="4"/>
    </row>
    <row r="635" spans="1:4" ht="14.5">
      <c r="A635" s="2"/>
      <c r="B635" s="2"/>
      <c r="C635" s="2"/>
      <c r="D635" s="4"/>
    </row>
    <row r="636" spans="1:4" ht="14.5">
      <c r="A636" s="2"/>
      <c r="B636" s="2"/>
      <c r="C636" s="2"/>
      <c r="D636" s="4"/>
    </row>
    <row r="637" spans="1:4" ht="14.5">
      <c r="A637" s="2"/>
      <c r="B637" s="2"/>
      <c r="C637" s="2"/>
      <c r="D637" s="4"/>
    </row>
    <row r="638" spans="1:4" ht="14.5">
      <c r="A638" s="2"/>
      <c r="B638" s="2"/>
      <c r="C638" s="2"/>
      <c r="D638" s="4"/>
    </row>
    <row r="639" spans="1:4" ht="14.5">
      <c r="A639" s="2"/>
      <c r="B639" s="2"/>
      <c r="C639" s="2"/>
      <c r="D639" s="4"/>
    </row>
    <row r="640" spans="1:4" ht="14.5">
      <c r="A640" s="2"/>
      <c r="B640" s="2"/>
      <c r="C640" s="2"/>
      <c r="D640" s="4"/>
    </row>
    <row r="641" spans="1:4" ht="14.5">
      <c r="A641" s="2"/>
      <c r="B641" s="2"/>
      <c r="C641" s="2"/>
      <c r="D641" s="4"/>
    </row>
    <row r="642" spans="1:4" ht="14.5">
      <c r="A642" s="2"/>
      <c r="B642" s="2"/>
      <c r="C642" s="2"/>
      <c r="D642" s="4"/>
    </row>
    <row r="643" spans="1:4" ht="14.5">
      <c r="A643" s="2"/>
      <c r="B643" s="2"/>
      <c r="C643" s="2"/>
      <c r="D643" s="4"/>
    </row>
    <row r="644" spans="1:4" ht="14.5">
      <c r="A644" s="2"/>
      <c r="B644" s="2"/>
      <c r="C644" s="2"/>
      <c r="D644" s="4"/>
    </row>
    <row r="645" spans="1:4" ht="14.5">
      <c r="A645" s="2"/>
      <c r="B645" s="2"/>
      <c r="C645" s="2"/>
      <c r="D645" s="4"/>
    </row>
    <row r="646" spans="1:4" ht="14.5">
      <c r="A646" s="2"/>
      <c r="B646" s="2"/>
      <c r="C646" s="2"/>
      <c r="D646" s="4"/>
    </row>
    <row r="647" spans="1:4" ht="14.5">
      <c r="A647" s="2"/>
      <c r="B647" s="2"/>
      <c r="C647" s="2"/>
      <c r="D647" s="4"/>
    </row>
    <row r="648" spans="1:4" ht="14.5">
      <c r="A648" s="2"/>
      <c r="B648" s="2"/>
      <c r="C648" s="2"/>
      <c r="D648" s="4"/>
    </row>
    <row r="649" spans="1:4" ht="14.5">
      <c r="A649" s="2"/>
      <c r="B649" s="2"/>
      <c r="C649" s="2"/>
      <c r="D649" s="4"/>
    </row>
    <row r="650" spans="1:4" ht="14.5">
      <c r="A650" s="2"/>
      <c r="B650" s="2"/>
      <c r="C650" s="2"/>
      <c r="D650" s="4"/>
    </row>
    <row r="651" spans="1:4" ht="14.5">
      <c r="A651" s="2"/>
      <c r="B651" s="2"/>
      <c r="C651" s="2"/>
      <c r="D651" s="4"/>
    </row>
    <row r="652" spans="1:4" ht="14.5">
      <c r="A652" s="2"/>
      <c r="B652" s="2"/>
      <c r="C652" s="2"/>
      <c r="D652" s="4"/>
    </row>
    <row r="653" spans="1:4" ht="14.5">
      <c r="A653" s="2"/>
      <c r="B653" s="2"/>
      <c r="C653" s="2"/>
      <c r="D653" s="4"/>
    </row>
    <row r="654" spans="1:4" ht="14.5">
      <c r="A654" s="2"/>
      <c r="B654" s="2"/>
      <c r="C654" s="2"/>
      <c r="D654" s="4"/>
    </row>
    <row r="655" spans="1:4" ht="14.5">
      <c r="A655" s="2"/>
      <c r="B655" s="2"/>
      <c r="C655" s="2"/>
      <c r="D655" s="4"/>
    </row>
    <row r="656" spans="1:4" ht="14.5">
      <c r="A656" s="2"/>
      <c r="B656" s="2"/>
      <c r="C656" s="2"/>
      <c r="D656" s="4"/>
    </row>
    <row r="657" spans="1:4" ht="14.5">
      <c r="A657" s="2"/>
      <c r="B657" s="2"/>
      <c r="C657" s="2"/>
      <c r="D657" s="4"/>
    </row>
    <row r="658" spans="1:4" ht="14.5">
      <c r="A658" s="2"/>
      <c r="B658" s="2"/>
      <c r="C658" s="2"/>
      <c r="D658" s="4"/>
    </row>
    <row r="659" spans="1:4" ht="14.5">
      <c r="A659" s="2"/>
      <c r="B659" s="2"/>
      <c r="C659" s="2"/>
      <c r="D659" s="4"/>
    </row>
    <row r="660" spans="1:4" ht="14.5">
      <c r="A660" s="2"/>
      <c r="B660" s="2"/>
      <c r="C660" s="2"/>
      <c r="D660" s="4"/>
    </row>
    <row r="661" spans="1:4" ht="14.5">
      <c r="A661" s="2"/>
      <c r="B661" s="2"/>
      <c r="C661" s="2"/>
      <c r="D661" s="4"/>
    </row>
    <row r="662" spans="1:4" ht="14.5">
      <c r="A662" s="2"/>
      <c r="B662" s="2"/>
      <c r="C662" s="2"/>
      <c r="D662" s="4"/>
    </row>
    <row r="663" spans="1:4" ht="14.5">
      <c r="A663" s="2"/>
      <c r="B663" s="2"/>
      <c r="C663" s="2"/>
      <c r="D663" s="4"/>
    </row>
    <row r="664" spans="1:4" ht="14.5">
      <c r="A664" s="2"/>
      <c r="B664" s="2"/>
      <c r="C664" s="2"/>
      <c r="D664" s="4"/>
    </row>
    <row r="665" spans="1:4" ht="14.5">
      <c r="A665" s="2"/>
      <c r="B665" s="2"/>
      <c r="C665" s="2"/>
      <c r="D665" s="4"/>
    </row>
    <row r="666" spans="1:4" ht="14.5">
      <c r="A666" s="2"/>
      <c r="B666" s="2"/>
      <c r="C666" s="2"/>
      <c r="D666" s="4"/>
    </row>
    <row r="667" spans="1:4" ht="14.5">
      <c r="A667" s="2"/>
      <c r="B667" s="2"/>
      <c r="C667" s="2"/>
      <c r="D667" s="4"/>
    </row>
    <row r="668" spans="1:4" ht="14.5">
      <c r="A668" s="2"/>
      <c r="B668" s="2"/>
      <c r="C668" s="2"/>
      <c r="D668" s="4"/>
    </row>
    <row r="669" spans="1:4" ht="14.5">
      <c r="A669" s="2"/>
      <c r="B669" s="2"/>
      <c r="C669" s="2"/>
      <c r="D669" s="4"/>
    </row>
    <row r="670" spans="1:4" ht="14.5">
      <c r="A670" s="2"/>
      <c r="B670" s="2"/>
      <c r="C670" s="2"/>
      <c r="D670" s="4"/>
    </row>
    <row r="671" spans="1:4" ht="14.5">
      <c r="A671" s="2"/>
      <c r="B671" s="2"/>
      <c r="C671" s="2"/>
      <c r="D671" s="4"/>
    </row>
    <row r="672" spans="1:4" ht="14.5">
      <c r="A672" s="2"/>
      <c r="B672" s="2"/>
      <c r="C672" s="2"/>
      <c r="D672" s="4"/>
    </row>
    <row r="673" spans="1:4" ht="14.5">
      <c r="A673" s="2"/>
      <c r="B673" s="2"/>
      <c r="C673" s="2"/>
      <c r="D673" s="4"/>
    </row>
    <row r="674" spans="1:4" ht="14.5">
      <c r="A674" s="2"/>
      <c r="B674" s="2"/>
      <c r="C674" s="2"/>
      <c r="D674" s="4"/>
    </row>
    <row r="675" spans="1:4" ht="14.5">
      <c r="A675" s="2"/>
      <c r="B675" s="2"/>
      <c r="C675" s="2"/>
      <c r="D675" s="4"/>
    </row>
    <row r="676" spans="1:4" ht="14.5">
      <c r="A676" s="2"/>
      <c r="B676" s="2"/>
      <c r="C676" s="2"/>
      <c r="D676" s="4"/>
    </row>
    <row r="677" spans="1:4" ht="14.5">
      <c r="A677" s="2"/>
      <c r="B677" s="2"/>
      <c r="C677" s="2"/>
      <c r="D677" s="4"/>
    </row>
    <row r="678" spans="1:4" ht="14.5">
      <c r="A678" s="2"/>
      <c r="B678" s="2"/>
      <c r="C678" s="2"/>
      <c r="D678" s="4"/>
    </row>
    <row r="679" spans="1:4" ht="14.5">
      <c r="A679" s="2"/>
      <c r="B679" s="2"/>
      <c r="C679" s="2"/>
      <c r="D679" s="4"/>
    </row>
    <row r="680" spans="1:4" ht="14.5">
      <c r="A680" s="2"/>
      <c r="B680" s="2"/>
      <c r="C680" s="2"/>
      <c r="D680" s="4"/>
    </row>
    <row r="681" spans="1:4" ht="14.5">
      <c r="A681" s="2"/>
      <c r="B681" s="2"/>
      <c r="C681" s="2"/>
      <c r="D681" s="4"/>
    </row>
    <row r="682" spans="1:4" ht="14.5">
      <c r="A682" s="2"/>
      <c r="B682" s="2"/>
      <c r="C682" s="2"/>
      <c r="D682" s="4"/>
    </row>
    <row r="683" spans="1:4" ht="14.5">
      <c r="A683" s="2"/>
      <c r="B683" s="2"/>
      <c r="C683" s="2"/>
      <c r="D683" s="4"/>
    </row>
    <row r="684" spans="1:4" ht="14.5">
      <c r="A684" s="2"/>
      <c r="B684" s="2"/>
      <c r="C684" s="2"/>
      <c r="D684" s="4"/>
    </row>
    <row r="685" spans="1:4" ht="14.5">
      <c r="A685" s="2"/>
      <c r="B685" s="2"/>
      <c r="C685" s="2"/>
      <c r="D685" s="4"/>
    </row>
    <row r="686" spans="1:4" ht="14.5">
      <c r="A686" s="2"/>
      <c r="B686" s="2"/>
      <c r="C686" s="2"/>
      <c r="D686" s="4"/>
    </row>
    <row r="687" spans="1:4" ht="14.5">
      <c r="A687" s="2"/>
      <c r="B687" s="2"/>
      <c r="C687" s="2"/>
      <c r="D687" s="4"/>
    </row>
    <row r="688" spans="1:4" ht="14.5">
      <c r="A688" s="2"/>
      <c r="B688" s="2"/>
      <c r="C688" s="2"/>
      <c r="D688" s="4"/>
    </row>
    <row r="689" spans="1:4" ht="14.5">
      <c r="A689" s="2"/>
      <c r="B689" s="2"/>
      <c r="C689" s="2"/>
      <c r="D689" s="4"/>
    </row>
    <row r="690" spans="1:4" ht="14.5">
      <c r="A690" s="2"/>
      <c r="B690" s="2"/>
      <c r="C690" s="2"/>
      <c r="D690" s="4"/>
    </row>
    <row r="691" spans="1:4" ht="14.5">
      <c r="A691" s="2"/>
      <c r="B691" s="2"/>
      <c r="C691" s="2"/>
      <c r="D691" s="4"/>
    </row>
    <row r="692" spans="1:4" ht="14.5">
      <c r="A692" s="2"/>
      <c r="B692" s="2"/>
      <c r="C692" s="2"/>
      <c r="D692" s="4"/>
    </row>
    <row r="693" spans="1:4" ht="14.5">
      <c r="A693" s="2"/>
      <c r="B693" s="2"/>
      <c r="C693" s="2"/>
      <c r="D693" s="4"/>
    </row>
    <row r="694" spans="1:4" ht="14.5">
      <c r="A694" s="2"/>
      <c r="B694" s="2"/>
      <c r="C694" s="2"/>
      <c r="D694" s="4"/>
    </row>
    <row r="695" spans="1:4" ht="14.5">
      <c r="A695" s="2"/>
      <c r="B695" s="2"/>
      <c r="C695" s="2"/>
      <c r="D695" s="4"/>
    </row>
    <row r="696" spans="1:4" ht="14.5">
      <c r="A696" s="2"/>
      <c r="B696" s="2"/>
      <c r="C696" s="2"/>
      <c r="D696" s="4"/>
    </row>
    <row r="697" spans="1:4" ht="14.5">
      <c r="A697" s="2"/>
      <c r="B697" s="2"/>
      <c r="C697" s="2"/>
      <c r="D697" s="4"/>
    </row>
    <row r="698" spans="1:4" ht="14.5">
      <c r="A698" s="2"/>
      <c r="B698" s="2"/>
      <c r="C698" s="2"/>
      <c r="D698" s="4"/>
    </row>
    <row r="699" spans="1:4" ht="14.5">
      <c r="A699" s="2"/>
      <c r="B699" s="2"/>
      <c r="C699" s="2"/>
      <c r="D699" s="4"/>
    </row>
    <row r="700" spans="1:4" ht="14.5">
      <c r="A700" s="2"/>
      <c r="B700" s="2"/>
      <c r="C700" s="2"/>
      <c r="D700" s="4"/>
    </row>
    <row r="701" spans="1:4" ht="14.5">
      <c r="A701" s="2"/>
      <c r="B701" s="2"/>
      <c r="C701" s="2"/>
      <c r="D701" s="4"/>
    </row>
    <row r="702" spans="1:4" ht="14.5">
      <c r="A702" s="2"/>
      <c r="B702" s="2"/>
      <c r="C702" s="2"/>
      <c r="D702" s="4"/>
    </row>
    <row r="703" spans="1:4" ht="14.5">
      <c r="A703" s="2"/>
      <c r="B703" s="2"/>
      <c r="C703" s="2"/>
      <c r="D703" s="4"/>
    </row>
    <row r="704" spans="1:4" ht="14.5">
      <c r="A704" s="2"/>
      <c r="B704" s="2"/>
      <c r="C704" s="2"/>
      <c r="D704" s="4"/>
    </row>
    <row r="705" spans="1:4" ht="14.5">
      <c r="A705" s="2"/>
      <c r="B705" s="2"/>
      <c r="C705" s="2"/>
      <c r="D705" s="4"/>
    </row>
    <row r="706" spans="1:4" ht="14.5">
      <c r="A706" s="2"/>
      <c r="B706" s="2"/>
      <c r="C706" s="2"/>
      <c r="D706" s="4"/>
    </row>
    <row r="707" spans="1:4" ht="14.5">
      <c r="A707" s="2"/>
      <c r="B707" s="2"/>
      <c r="C707" s="2"/>
      <c r="D707" s="4"/>
    </row>
    <row r="708" spans="1:4" ht="14.5">
      <c r="A708" s="2"/>
      <c r="B708" s="2"/>
      <c r="C708" s="2"/>
      <c r="D708" s="4"/>
    </row>
    <row r="709" spans="1:4" ht="14.5">
      <c r="A709" s="2"/>
      <c r="B709" s="2"/>
      <c r="C709" s="2"/>
      <c r="D709" s="4"/>
    </row>
    <row r="710" spans="1:4" ht="14.5">
      <c r="A710" s="2"/>
      <c r="B710" s="2"/>
      <c r="C710" s="2"/>
      <c r="D710" s="4"/>
    </row>
    <row r="711" spans="1:4" ht="14.5">
      <c r="A711" s="2"/>
      <c r="B711" s="2"/>
      <c r="C711" s="2"/>
      <c r="D711" s="4"/>
    </row>
    <row r="712" spans="1:4" ht="14.5">
      <c r="A712" s="2"/>
      <c r="B712" s="2"/>
      <c r="C712" s="2"/>
      <c r="D712" s="4"/>
    </row>
    <row r="713" spans="1:4" ht="14.5">
      <c r="A713" s="2"/>
      <c r="B713" s="2"/>
      <c r="C713" s="2"/>
      <c r="D713" s="4"/>
    </row>
    <row r="714" spans="1:4" ht="14.5">
      <c r="A714" s="2"/>
      <c r="B714" s="2"/>
      <c r="C714" s="2"/>
      <c r="D714" s="4"/>
    </row>
    <row r="715" spans="1:4" ht="14.5">
      <c r="A715" s="2"/>
      <c r="B715" s="2"/>
      <c r="C715" s="2"/>
      <c r="D715" s="4"/>
    </row>
    <row r="716" spans="1:4" ht="14.5">
      <c r="A716" s="2"/>
      <c r="B716" s="2"/>
      <c r="C716" s="2"/>
      <c r="D716" s="4"/>
    </row>
    <row r="717" spans="1:4" ht="14.5">
      <c r="A717" s="2"/>
      <c r="B717" s="2"/>
      <c r="C717" s="2"/>
      <c r="D717" s="4"/>
    </row>
    <row r="718" spans="1:4" ht="14.5">
      <c r="A718" s="2"/>
      <c r="B718" s="2"/>
      <c r="C718" s="2"/>
      <c r="D718" s="4"/>
    </row>
    <row r="719" spans="1:4" ht="14.5">
      <c r="A719" s="2"/>
      <c r="B719" s="2"/>
      <c r="C719" s="2"/>
      <c r="D719" s="4"/>
    </row>
    <row r="720" spans="1:4" ht="14.5">
      <c r="A720" s="2"/>
      <c r="B720" s="2"/>
      <c r="C720" s="2"/>
      <c r="D720" s="4"/>
    </row>
    <row r="721" spans="1:4" ht="14.5">
      <c r="A721" s="2"/>
      <c r="B721" s="2"/>
      <c r="C721" s="2"/>
      <c r="D721" s="4"/>
    </row>
    <row r="722" spans="1:4" ht="14.5">
      <c r="A722" s="2"/>
      <c r="B722" s="2"/>
      <c r="C722" s="2"/>
      <c r="D722" s="4"/>
    </row>
    <row r="723" spans="1:4" ht="14.5">
      <c r="A723" s="2"/>
      <c r="B723" s="2"/>
      <c r="C723" s="2"/>
      <c r="D723" s="4"/>
    </row>
    <row r="724" spans="1:4" ht="14.5">
      <c r="A724" s="2"/>
      <c r="B724" s="2"/>
      <c r="C724" s="2"/>
      <c r="D724" s="4"/>
    </row>
    <row r="725" spans="1:4" ht="14.5">
      <c r="A725" s="2"/>
      <c r="B725" s="2"/>
      <c r="C725" s="2"/>
      <c r="D725" s="4"/>
    </row>
    <row r="726" spans="1:4" ht="14.5">
      <c r="A726" s="2"/>
      <c r="B726" s="2"/>
      <c r="C726" s="2"/>
      <c r="D726" s="4"/>
    </row>
    <row r="727" spans="1:4" ht="14.5">
      <c r="A727" s="2"/>
      <c r="B727" s="2"/>
      <c r="C727" s="2"/>
      <c r="D727" s="4"/>
    </row>
    <row r="728" spans="1:4" ht="14.5">
      <c r="A728" s="2"/>
      <c r="B728" s="2"/>
      <c r="C728" s="2"/>
      <c r="D728" s="4"/>
    </row>
    <row r="729" spans="1:4" ht="14.5">
      <c r="A729" s="2"/>
      <c r="B729" s="2"/>
      <c r="C729" s="2"/>
      <c r="D729" s="4"/>
    </row>
    <row r="730" spans="1:4" ht="14.5">
      <c r="A730" s="2"/>
      <c r="B730" s="2"/>
      <c r="C730" s="2"/>
      <c r="D730" s="4"/>
    </row>
    <row r="731" spans="1:4" ht="14.5">
      <c r="A731" s="2"/>
      <c r="B731" s="2"/>
      <c r="C731" s="2"/>
      <c r="D731" s="4"/>
    </row>
    <row r="732" spans="1:4" ht="14.5">
      <c r="A732" s="2"/>
      <c r="B732" s="2"/>
      <c r="C732" s="2"/>
      <c r="D732" s="4"/>
    </row>
    <row r="733" spans="1:4" ht="14.5">
      <c r="A733" s="2"/>
      <c r="B733" s="2"/>
      <c r="C733" s="2"/>
      <c r="D733" s="4"/>
    </row>
    <row r="734" spans="1:4" ht="14.5">
      <c r="A734" s="2"/>
      <c r="B734" s="2"/>
      <c r="C734" s="2"/>
      <c r="D734" s="4"/>
    </row>
    <row r="735" spans="1:4" ht="14.5">
      <c r="A735" s="2"/>
      <c r="B735" s="2"/>
      <c r="C735" s="2"/>
      <c r="D735" s="4"/>
    </row>
    <row r="736" spans="1:4" ht="14.5">
      <c r="A736" s="2"/>
      <c r="B736" s="2"/>
      <c r="C736" s="2"/>
      <c r="D736" s="4"/>
    </row>
    <row r="737" spans="1:4" ht="14.5">
      <c r="A737" s="2"/>
      <c r="B737" s="2"/>
      <c r="C737" s="2"/>
      <c r="D737" s="4"/>
    </row>
    <row r="738" spans="1:4" ht="14.5">
      <c r="A738" s="2"/>
      <c r="B738" s="2"/>
      <c r="C738" s="2"/>
      <c r="D738" s="4"/>
    </row>
    <row r="739" spans="1:4" ht="14.5">
      <c r="A739" s="2"/>
      <c r="B739" s="2"/>
      <c r="C739" s="2"/>
      <c r="D739" s="4"/>
    </row>
    <row r="740" spans="1:4" ht="14.5">
      <c r="A740" s="2"/>
      <c r="B740" s="2"/>
      <c r="C740" s="2"/>
      <c r="D740" s="4"/>
    </row>
    <row r="741" spans="1:4" ht="14.5">
      <c r="A741" s="2"/>
      <c r="B741" s="2"/>
      <c r="C741" s="2"/>
      <c r="D741" s="4"/>
    </row>
    <row r="742" spans="1:4" ht="14.5">
      <c r="A742" s="2"/>
      <c r="B742" s="2"/>
      <c r="C742" s="2"/>
      <c r="D742" s="4"/>
    </row>
    <row r="743" spans="1:4" ht="14.5">
      <c r="A743" s="2"/>
      <c r="B743" s="2"/>
      <c r="C743" s="2"/>
      <c r="D743" s="4"/>
    </row>
    <row r="744" spans="1:4" ht="14.5">
      <c r="A744" s="2"/>
      <c r="B744" s="2"/>
      <c r="C744" s="2"/>
      <c r="D744" s="4"/>
    </row>
    <row r="745" spans="1:4" ht="14.5">
      <c r="A745" s="2"/>
      <c r="B745" s="2"/>
      <c r="C745" s="2"/>
      <c r="D745" s="4"/>
    </row>
    <row r="746" spans="1:4" ht="14.5">
      <c r="A746" s="2"/>
      <c r="B746" s="2"/>
      <c r="C746" s="2"/>
      <c r="D746" s="4"/>
    </row>
    <row r="747" spans="1:4" ht="14.5">
      <c r="A747" s="2"/>
      <c r="B747" s="2"/>
      <c r="C747" s="2"/>
      <c r="D747" s="4"/>
    </row>
    <row r="748" spans="1:4" ht="14.5">
      <c r="A748" s="2"/>
      <c r="B748" s="2"/>
      <c r="C748" s="2"/>
      <c r="D748" s="4"/>
    </row>
    <row r="749" spans="1:4" ht="14.5">
      <c r="A749" s="2"/>
      <c r="B749" s="2"/>
      <c r="C749" s="2"/>
      <c r="D749" s="4"/>
    </row>
    <row r="750" spans="1:4" ht="14.5">
      <c r="A750" s="2"/>
      <c r="B750" s="2"/>
      <c r="C750" s="2"/>
      <c r="D750" s="4"/>
    </row>
    <row r="751" spans="1:4" ht="14.5">
      <c r="A751" s="2"/>
      <c r="B751" s="2"/>
      <c r="C751" s="2"/>
      <c r="D751" s="4"/>
    </row>
    <row r="752" spans="1:4" ht="14.5">
      <c r="A752" s="2"/>
      <c r="B752" s="2"/>
      <c r="C752" s="2"/>
      <c r="D752" s="4"/>
    </row>
    <row r="753" spans="1:4" ht="14.5">
      <c r="A753" s="2"/>
      <c r="B753" s="2"/>
      <c r="C753" s="2"/>
      <c r="D753" s="4"/>
    </row>
    <row r="754" spans="1:4" ht="14.5">
      <c r="A754" s="2"/>
      <c r="B754" s="2"/>
      <c r="C754" s="2"/>
      <c r="D754" s="4"/>
    </row>
    <row r="755" spans="1:4" ht="14.5">
      <c r="A755" s="2"/>
      <c r="B755" s="2"/>
      <c r="C755" s="2"/>
      <c r="D755" s="4"/>
    </row>
    <row r="756" spans="1:4" ht="14.5">
      <c r="A756" s="2"/>
      <c r="B756" s="2"/>
      <c r="C756" s="2"/>
      <c r="D756" s="4"/>
    </row>
    <row r="757" spans="1:4" ht="14.5">
      <c r="A757" s="2"/>
      <c r="B757" s="2"/>
      <c r="C757" s="2"/>
      <c r="D757" s="4"/>
    </row>
    <row r="758" spans="1:4" ht="14.5">
      <c r="A758" s="2"/>
      <c r="B758" s="2"/>
      <c r="C758" s="2"/>
      <c r="D758" s="4"/>
    </row>
    <row r="759" spans="1:4" ht="14.5">
      <c r="A759" s="2"/>
      <c r="B759" s="2"/>
      <c r="C759" s="2"/>
      <c r="D759" s="2"/>
    </row>
    <row r="760" spans="1:4" ht="14.5">
      <c r="A760" s="2"/>
      <c r="B760" s="2"/>
      <c r="C760" s="2"/>
      <c r="D760" s="4"/>
    </row>
    <row r="761" spans="1:4" ht="14.5">
      <c r="A761" s="2"/>
      <c r="B761" s="2"/>
      <c r="C761" s="2"/>
      <c r="D761" s="4"/>
    </row>
    <row r="762" spans="1:4" ht="14.5">
      <c r="A762" s="2"/>
      <c r="B762" s="2"/>
      <c r="C762" s="2"/>
      <c r="D762" s="4"/>
    </row>
    <row r="763" spans="1:4" ht="14.5">
      <c r="A763" s="2"/>
      <c r="B763" s="2"/>
      <c r="C763" s="2"/>
      <c r="D763" s="4"/>
    </row>
    <row r="764" spans="1:4" ht="14.5">
      <c r="A764" s="2"/>
      <c r="B764" s="2"/>
      <c r="C764" s="2"/>
      <c r="D764" s="4"/>
    </row>
    <row r="765" spans="1:4" ht="14.5">
      <c r="A765" s="2"/>
      <c r="B765" s="2"/>
      <c r="C765" s="2"/>
      <c r="D765" s="4"/>
    </row>
    <row r="766" spans="1:4" ht="14.5">
      <c r="A766" s="2"/>
      <c r="B766" s="2"/>
      <c r="C766" s="2"/>
      <c r="D766" s="4"/>
    </row>
    <row r="767" spans="1:4" ht="14.5">
      <c r="A767" s="2"/>
      <c r="B767" s="2"/>
      <c r="C767" s="2"/>
      <c r="D767" s="4"/>
    </row>
    <row r="768" spans="1:4" ht="14.5">
      <c r="A768" s="2"/>
      <c r="B768" s="2"/>
      <c r="C768" s="2"/>
      <c r="D768" s="4"/>
    </row>
    <row r="769" spans="1:4" ht="14.5">
      <c r="A769" s="2"/>
      <c r="B769" s="2"/>
      <c r="C769" s="2"/>
      <c r="D769" s="4"/>
    </row>
    <row r="770" spans="1:4" ht="14.5">
      <c r="A770" s="2"/>
      <c r="B770" s="2"/>
      <c r="C770" s="2"/>
      <c r="D770" s="4"/>
    </row>
    <row r="771" spans="1:4" ht="14.5">
      <c r="A771" s="2"/>
      <c r="B771" s="2"/>
      <c r="C771" s="2"/>
      <c r="D771" s="4"/>
    </row>
    <row r="772" spans="1:4" ht="14.5">
      <c r="A772" s="2"/>
      <c r="B772" s="2"/>
      <c r="C772" s="2"/>
      <c r="D772" s="4"/>
    </row>
    <row r="773" spans="1:4" ht="14.5">
      <c r="A773" s="2"/>
      <c r="B773" s="2"/>
      <c r="C773" s="2"/>
      <c r="D773" s="4"/>
    </row>
    <row r="774" spans="1:4" ht="14.5">
      <c r="A774" s="2"/>
      <c r="B774" s="2"/>
      <c r="C774" s="2"/>
      <c r="D774" s="4"/>
    </row>
    <row r="775" spans="1:4" ht="14.5">
      <c r="A775" s="2"/>
      <c r="B775" s="2"/>
      <c r="C775" s="2"/>
      <c r="D775" s="4"/>
    </row>
    <row r="776" spans="1:4" ht="14.5">
      <c r="A776" s="2"/>
      <c r="B776" s="2"/>
      <c r="C776" s="2"/>
      <c r="D776" s="4"/>
    </row>
    <row r="777" spans="1:4" ht="14.5">
      <c r="A777" s="2"/>
      <c r="B777" s="2"/>
      <c r="C777" s="2"/>
      <c r="D777" s="4"/>
    </row>
    <row r="778" spans="1:4" ht="14.5">
      <c r="A778" s="2"/>
      <c r="B778" s="2"/>
      <c r="C778" s="2"/>
      <c r="D778" s="4"/>
    </row>
    <row r="779" spans="1:4" ht="14.5">
      <c r="A779" s="2"/>
      <c r="B779" s="2"/>
      <c r="C779" s="2"/>
      <c r="D779" s="4"/>
    </row>
    <row r="780" spans="1:4" ht="14.5">
      <c r="A780" s="2"/>
      <c r="B780" s="2"/>
      <c r="C780" s="2"/>
      <c r="D780" s="4"/>
    </row>
    <row r="781" spans="1:4" ht="14.5">
      <c r="A781" s="2"/>
      <c r="B781" s="2"/>
      <c r="C781" s="2"/>
      <c r="D781" s="4"/>
    </row>
    <row r="782" spans="1:4" ht="14.5">
      <c r="A782" s="2"/>
      <c r="B782" s="2"/>
      <c r="C782" s="2"/>
      <c r="D782" s="4"/>
    </row>
    <row r="783" spans="1:4" ht="14.5">
      <c r="A783" s="2"/>
      <c r="B783" s="2"/>
      <c r="C783" s="2"/>
      <c r="D783" s="4"/>
    </row>
    <row r="784" spans="1:4" ht="14.5">
      <c r="A784" s="2"/>
      <c r="B784" s="2"/>
      <c r="C784" s="2"/>
      <c r="D784" s="4"/>
    </row>
    <row r="785" spans="1:4" ht="14.5">
      <c r="A785" s="2"/>
      <c r="B785" s="2"/>
      <c r="C785" s="2"/>
      <c r="D785" s="4"/>
    </row>
    <row r="786" spans="1:4" ht="14.5">
      <c r="A786" s="2"/>
      <c r="B786" s="2"/>
      <c r="C786" s="2"/>
      <c r="D786" s="4"/>
    </row>
    <row r="787" spans="1:4" ht="14.5">
      <c r="A787" s="2"/>
      <c r="B787" s="2"/>
      <c r="C787" s="2"/>
      <c r="D787" s="4"/>
    </row>
    <row r="788" spans="1:4" ht="14.5">
      <c r="A788" s="2"/>
      <c r="B788" s="2"/>
      <c r="C788" s="2"/>
      <c r="D788" s="4"/>
    </row>
    <row r="789" spans="1:4" ht="14.5">
      <c r="A789" s="2"/>
      <c r="B789" s="2"/>
      <c r="C789" s="2"/>
      <c r="D789" s="4"/>
    </row>
    <row r="790" spans="1:4" ht="14.5">
      <c r="A790" s="2"/>
      <c r="B790" s="2"/>
      <c r="C790" s="2"/>
      <c r="D790" s="4"/>
    </row>
  </sheetData>
  <autoFilter ref="G2:J158" xr:uid="{BCF302FC-A822-432A-A734-67DC9AF70D1A}"/>
  <sortState ref="G168:I202">
    <sortCondition ref="G168:G202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75467-4D73-49CF-9F3C-6EE93D61E751}">
  <dimension ref="A1:AB40"/>
  <sheetViews>
    <sheetView workbookViewId="0">
      <selection activeCell="D9" sqref="D9"/>
    </sheetView>
  </sheetViews>
  <sheetFormatPr defaultRowHeight="14"/>
  <cols>
    <col min="1" max="1" width="10.83203125" customWidth="1"/>
    <col min="2" max="2" width="17" customWidth="1"/>
    <col min="3" max="3" width="18.08203125" customWidth="1"/>
    <col min="4" max="4" width="18.25" customWidth="1"/>
    <col min="6" max="6" width="10.83203125" bestFit="1" customWidth="1"/>
    <col min="7" max="7" width="13.33203125" customWidth="1"/>
    <col min="8" max="9" width="11.08203125" bestFit="1" customWidth="1"/>
    <col min="10" max="10" width="11.83203125" customWidth="1"/>
    <col min="13" max="13" width="9.75" bestFit="1" customWidth="1"/>
    <col min="14" max="16" width="15" bestFit="1" customWidth="1"/>
    <col min="19" max="19" width="11.25" customWidth="1"/>
    <col min="20" max="20" width="12.83203125" customWidth="1"/>
    <col min="21" max="21" width="13.08203125" customWidth="1"/>
    <col min="22" max="22" width="14.25" customWidth="1"/>
    <col min="25" max="25" width="12.25" customWidth="1"/>
    <col min="26" max="26" width="11.08203125" customWidth="1"/>
    <col min="27" max="27" width="10.58203125" customWidth="1"/>
    <col min="28" max="28" width="12.08203125" customWidth="1"/>
  </cols>
  <sheetData>
    <row r="1" spans="1:28">
      <c r="A1" s="227" t="s">
        <v>586</v>
      </c>
      <c r="B1" s="227"/>
      <c r="C1" s="227"/>
      <c r="D1" s="227"/>
      <c r="G1" s="228" t="s">
        <v>587</v>
      </c>
      <c r="H1" s="228"/>
      <c r="I1" s="228"/>
      <c r="J1" s="228"/>
      <c r="M1" s="228" t="s">
        <v>588</v>
      </c>
      <c r="N1" s="228"/>
      <c r="O1" s="228"/>
      <c r="P1" s="228"/>
      <c r="S1" s="228" t="s">
        <v>589</v>
      </c>
      <c r="T1" s="228"/>
      <c r="U1" s="228"/>
      <c r="V1" s="228"/>
      <c r="Y1" s="228" t="s">
        <v>590</v>
      </c>
      <c r="Z1" s="228"/>
      <c r="AA1" s="228"/>
      <c r="AB1" s="228"/>
    </row>
    <row r="2" spans="1:28">
      <c r="B2" s="58">
        <v>2023</v>
      </c>
      <c r="C2" s="58">
        <v>2024</v>
      </c>
      <c r="D2" s="58">
        <v>2025</v>
      </c>
      <c r="H2" s="58">
        <v>2023</v>
      </c>
      <c r="I2" s="58">
        <v>2024</v>
      </c>
      <c r="J2" s="58">
        <v>2025</v>
      </c>
      <c r="N2" s="58">
        <v>2023</v>
      </c>
      <c r="O2" s="58">
        <v>2024</v>
      </c>
      <c r="P2" s="58">
        <v>2025</v>
      </c>
      <c r="T2" s="58">
        <v>2023</v>
      </c>
      <c r="U2" s="58">
        <v>2024</v>
      </c>
      <c r="V2" s="58">
        <v>2025</v>
      </c>
      <c r="Z2" s="58">
        <v>2023</v>
      </c>
      <c r="AA2" s="58">
        <v>2024</v>
      </c>
      <c r="AB2" s="58">
        <v>2025</v>
      </c>
    </row>
    <row r="3" spans="1:28">
      <c r="A3" t="s">
        <v>591</v>
      </c>
      <c r="B3" s="53">
        <v>1706433.02</v>
      </c>
      <c r="C3" s="52">
        <v>1904219.42</v>
      </c>
      <c r="D3" s="52">
        <v>2018983.33</v>
      </c>
      <c r="G3" t="s">
        <v>591</v>
      </c>
      <c r="H3" s="52">
        <v>89.66</v>
      </c>
      <c r="I3" s="52">
        <v>4085.19</v>
      </c>
      <c r="J3" s="52">
        <v>4335.74</v>
      </c>
      <c r="M3" t="s">
        <v>591</v>
      </c>
      <c r="N3" s="52">
        <v>1034853.68</v>
      </c>
      <c r="O3" s="52">
        <v>992095.74</v>
      </c>
      <c r="P3" s="52">
        <v>1402426.62</v>
      </c>
      <c r="S3" t="s">
        <v>591</v>
      </c>
      <c r="T3" s="52">
        <v>27.37</v>
      </c>
      <c r="U3" s="52">
        <v>58.35</v>
      </c>
      <c r="V3" s="52">
        <v>665.49</v>
      </c>
      <c r="Y3" t="s">
        <v>591</v>
      </c>
      <c r="Z3" s="55">
        <v>208.87</v>
      </c>
      <c r="AA3" s="55">
        <v>229.04</v>
      </c>
      <c r="AB3" s="55">
        <v>234.06</v>
      </c>
    </row>
    <row r="4" spans="1:28">
      <c r="A4" t="s">
        <v>592</v>
      </c>
      <c r="B4" s="53">
        <v>2278222.36</v>
      </c>
      <c r="C4" s="52">
        <v>2589082.11</v>
      </c>
      <c r="D4" s="52">
        <v>2709242.46</v>
      </c>
      <c r="G4" t="s">
        <v>592</v>
      </c>
      <c r="H4" s="52" t="s">
        <v>593</v>
      </c>
      <c r="I4" s="52" t="s">
        <v>593</v>
      </c>
      <c r="J4" s="52" t="s">
        <v>593</v>
      </c>
      <c r="M4" t="s">
        <v>592</v>
      </c>
      <c r="N4" s="52">
        <v>816929.61</v>
      </c>
      <c r="O4" s="52">
        <v>986282.16</v>
      </c>
      <c r="P4" s="52">
        <v>1061554.78</v>
      </c>
      <c r="S4" t="s">
        <v>592</v>
      </c>
      <c r="T4" s="52">
        <v>67.98</v>
      </c>
      <c r="U4" s="52">
        <v>77.62</v>
      </c>
      <c r="V4" s="52">
        <v>26.78</v>
      </c>
      <c r="Y4" t="s">
        <v>592</v>
      </c>
      <c r="Z4" s="55">
        <v>208.87</v>
      </c>
      <c r="AA4" s="55">
        <v>229.04</v>
      </c>
      <c r="AB4" s="55">
        <v>234.06</v>
      </c>
    </row>
    <row r="5" spans="1:28">
      <c r="A5" t="s">
        <v>594</v>
      </c>
      <c r="B5" s="53">
        <v>1393693.14</v>
      </c>
      <c r="C5" s="52">
        <v>1614150.71</v>
      </c>
      <c r="G5" t="s">
        <v>594</v>
      </c>
      <c r="H5" s="52" t="s">
        <v>593</v>
      </c>
      <c r="I5" s="52" t="s">
        <v>593</v>
      </c>
      <c r="J5" s="52" t="s">
        <v>593</v>
      </c>
      <c r="M5" t="s">
        <v>594</v>
      </c>
      <c r="N5" s="52">
        <v>620919.44999999995</v>
      </c>
      <c r="O5" s="52">
        <v>767488.82</v>
      </c>
      <c r="P5" s="52" t="s">
        <v>593</v>
      </c>
      <c r="S5" t="s">
        <v>594</v>
      </c>
      <c r="T5" s="52">
        <v>11.65</v>
      </c>
      <c r="U5" s="52">
        <v>20.46</v>
      </c>
      <c r="V5" s="55" t="s">
        <v>593</v>
      </c>
      <c r="Y5" t="s">
        <v>594</v>
      </c>
      <c r="Z5" s="55">
        <v>208.87</v>
      </c>
      <c r="AA5" s="55">
        <v>229.04</v>
      </c>
      <c r="AB5" s="55" t="s">
        <v>593</v>
      </c>
    </row>
    <row r="6" spans="1:28">
      <c r="A6" t="s">
        <v>595</v>
      </c>
      <c r="B6" s="53">
        <v>1593426.19</v>
      </c>
      <c r="C6" s="52">
        <v>1693008.07</v>
      </c>
      <c r="G6" t="s">
        <v>595</v>
      </c>
      <c r="H6" s="52" t="s">
        <v>593</v>
      </c>
      <c r="I6" s="52">
        <v>4068.11</v>
      </c>
      <c r="J6" s="52" t="s">
        <v>593</v>
      </c>
      <c r="M6" t="s">
        <v>595</v>
      </c>
      <c r="N6" s="52">
        <v>535790.86</v>
      </c>
      <c r="O6" s="52">
        <v>894229.3</v>
      </c>
      <c r="P6" s="52" t="s">
        <v>593</v>
      </c>
      <c r="S6" t="s">
        <v>595</v>
      </c>
      <c r="T6" s="52">
        <v>64.739999999999995</v>
      </c>
      <c r="U6" s="52">
        <v>65.89</v>
      </c>
      <c r="V6" s="55" t="s">
        <v>593</v>
      </c>
      <c r="Y6" t="s">
        <v>595</v>
      </c>
      <c r="Z6" s="55">
        <v>208.87</v>
      </c>
      <c r="AA6" s="55">
        <v>229.04</v>
      </c>
      <c r="AB6" s="55" t="s">
        <v>593</v>
      </c>
    </row>
    <row r="7" spans="1:28">
      <c r="A7" t="s">
        <v>596</v>
      </c>
      <c r="B7" s="53">
        <v>1771349.01</v>
      </c>
      <c r="C7" s="52">
        <v>1969599.04</v>
      </c>
      <c r="G7" t="s">
        <v>596</v>
      </c>
      <c r="H7" s="52" t="s">
        <v>593</v>
      </c>
      <c r="I7" s="52" t="s">
        <v>593</v>
      </c>
      <c r="J7" s="52" t="s">
        <v>593</v>
      </c>
      <c r="M7" t="s">
        <v>596</v>
      </c>
      <c r="N7" s="52">
        <v>760280.59</v>
      </c>
      <c r="O7" s="52">
        <v>886454.22</v>
      </c>
      <c r="P7" s="52" t="s">
        <v>593</v>
      </c>
      <c r="S7" t="s">
        <v>596</v>
      </c>
      <c r="T7" s="52">
        <v>68.900000000000006</v>
      </c>
      <c r="U7" s="52">
        <v>144.33000000000001</v>
      </c>
      <c r="V7" s="55" t="s">
        <v>593</v>
      </c>
      <c r="Y7" t="s">
        <v>596</v>
      </c>
      <c r="Z7" s="55">
        <v>208.87</v>
      </c>
      <c r="AA7" s="55">
        <v>229.04</v>
      </c>
      <c r="AB7" s="55" t="s">
        <v>593</v>
      </c>
    </row>
    <row r="8" spans="1:28">
      <c r="A8" t="s">
        <v>597</v>
      </c>
      <c r="B8" s="53">
        <v>1654426.71</v>
      </c>
      <c r="C8" s="52">
        <v>2115020.9900000002</v>
      </c>
      <c r="G8" t="s">
        <v>597</v>
      </c>
      <c r="H8" s="52" t="s">
        <v>593</v>
      </c>
      <c r="I8" s="52" t="s">
        <v>593</v>
      </c>
      <c r="J8" s="52" t="s">
        <v>593</v>
      </c>
      <c r="M8" t="s">
        <v>597</v>
      </c>
      <c r="N8" s="52">
        <v>730662.67</v>
      </c>
      <c r="O8" s="52">
        <v>915939.21</v>
      </c>
      <c r="P8" s="52" t="s">
        <v>593</v>
      </c>
      <c r="S8" t="s">
        <v>597</v>
      </c>
      <c r="T8" s="52">
        <v>147.72999999999999</v>
      </c>
      <c r="U8" s="52">
        <v>27.92</v>
      </c>
      <c r="V8" s="55" t="s">
        <v>593</v>
      </c>
      <c r="Y8" t="s">
        <v>597</v>
      </c>
      <c r="Z8" s="55">
        <v>208.87</v>
      </c>
      <c r="AA8" s="55">
        <v>229.04</v>
      </c>
      <c r="AB8" s="55" t="s">
        <v>593</v>
      </c>
    </row>
    <row r="9" spans="1:28">
      <c r="A9" t="s">
        <v>598</v>
      </c>
      <c r="B9" s="53">
        <v>2279166.3199999998</v>
      </c>
      <c r="C9" s="52">
        <v>2522085.5</v>
      </c>
      <c r="G9" t="s">
        <v>598</v>
      </c>
      <c r="H9" s="52" t="s">
        <v>593</v>
      </c>
      <c r="I9" s="52">
        <v>3946.98</v>
      </c>
      <c r="J9" s="52" t="s">
        <v>593</v>
      </c>
      <c r="M9" t="s">
        <v>598</v>
      </c>
      <c r="N9" s="52">
        <v>600464.19999999995</v>
      </c>
      <c r="O9" s="52">
        <v>834758.75</v>
      </c>
      <c r="P9" s="52" t="s">
        <v>593</v>
      </c>
      <c r="S9" t="s">
        <v>598</v>
      </c>
      <c r="T9" s="55" t="s">
        <v>593</v>
      </c>
      <c r="U9" s="52">
        <v>27.31</v>
      </c>
      <c r="V9" s="55" t="s">
        <v>593</v>
      </c>
      <c r="Y9" t="s">
        <v>598</v>
      </c>
      <c r="Z9" s="55">
        <v>208.87</v>
      </c>
      <c r="AA9" s="55">
        <v>229.04</v>
      </c>
      <c r="AB9" s="55" t="s">
        <v>593</v>
      </c>
    </row>
    <row r="10" spans="1:28">
      <c r="A10" t="s">
        <v>599</v>
      </c>
      <c r="B10" s="53">
        <v>1413640.46</v>
      </c>
      <c r="C10" s="52">
        <v>1792817.09</v>
      </c>
      <c r="G10" t="s">
        <v>599</v>
      </c>
      <c r="H10" s="52" t="s">
        <v>593</v>
      </c>
      <c r="I10" s="52" t="s">
        <v>593</v>
      </c>
      <c r="J10" s="52" t="s">
        <v>593</v>
      </c>
      <c r="M10" t="s">
        <v>599</v>
      </c>
      <c r="N10" s="52">
        <v>715880.5</v>
      </c>
      <c r="O10" s="52">
        <v>884779.69</v>
      </c>
      <c r="P10" s="52" t="s">
        <v>593</v>
      </c>
      <c r="S10" t="s">
        <v>599</v>
      </c>
      <c r="T10" s="52">
        <v>40.17</v>
      </c>
      <c r="U10" s="52">
        <v>730.98</v>
      </c>
      <c r="V10" s="55" t="s">
        <v>593</v>
      </c>
      <c r="Y10" t="s">
        <v>599</v>
      </c>
      <c r="Z10" s="55">
        <v>208.87</v>
      </c>
      <c r="AA10" s="55">
        <v>229.04</v>
      </c>
      <c r="AB10" s="55" t="s">
        <v>593</v>
      </c>
    </row>
    <row r="11" spans="1:28">
      <c r="A11" t="s">
        <v>600</v>
      </c>
      <c r="B11" s="53">
        <v>1493635.01</v>
      </c>
      <c r="C11" s="52">
        <v>1967474.99</v>
      </c>
      <c r="G11" t="s">
        <v>600</v>
      </c>
      <c r="H11" s="52" t="s">
        <v>593</v>
      </c>
      <c r="I11" s="52" t="s">
        <v>593</v>
      </c>
      <c r="J11" s="52" t="s">
        <v>593</v>
      </c>
      <c r="M11" t="s">
        <v>600</v>
      </c>
      <c r="N11" s="52">
        <v>601231.81999999995</v>
      </c>
      <c r="O11" s="52">
        <v>812415.94</v>
      </c>
      <c r="P11" s="52" t="s">
        <v>593</v>
      </c>
      <c r="S11" t="s">
        <v>600</v>
      </c>
      <c r="T11" s="52">
        <v>839.66</v>
      </c>
      <c r="U11" s="52">
        <v>546.01</v>
      </c>
      <c r="V11" s="55" t="s">
        <v>593</v>
      </c>
      <c r="Y11" t="s">
        <v>600</v>
      </c>
      <c r="Z11" s="55">
        <v>208.87</v>
      </c>
      <c r="AA11" s="55">
        <v>229.04</v>
      </c>
      <c r="AB11" s="55" t="s">
        <v>593</v>
      </c>
    </row>
    <row r="12" spans="1:28">
      <c r="A12" t="s">
        <v>601</v>
      </c>
      <c r="B12" s="53">
        <v>1338405.56</v>
      </c>
      <c r="C12" s="52">
        <v>1561689.66</v>
      </c>
      <c r="G12" t="s">
        <v>601</v>
      </c>
      <c r="H12" s="52">
        <v>2550.31</v>
      </c>
      <c r="I12" s="52">
        <v>6555.26</v>
      </c>
      <c r="J12" s="52" t="s">
        <v>593</v>
      </c>
      <c r="M12" t="s">
        <v>601</v>
      </c>
      <c r="N12" s="52">
        <v>632835.39</v>
      </c>
      <c r="O12" s="52">
        <v>898656.67</v>
      </c>
      <c r="P12" s="52" t="s">
        <v>593</v>
      </c>
      <c r="S12" t="s">
        <v>601</v>
      </c>
      <c r="T12" s="52">
        <v>1947.25</v>
      </c>
      <c r="U12" s="52">
        <v>1959.78</v>
      </c>
      <c r="V12" s="55" t="s">
        <v>593</v>
      </c>
      <c r="Y12" t="s">
        <v>601</v>
      </c>
      <c r="Z12" s="55">
        <v>208.87</v>
      </c>
      <c r="AA12" s="55">
        <v>229.04</v>
      </c>
      <c r="AB12" s="55" t="s">
        <v>593</v>
      </c>
    </row>
    <row r="13" spans="1:28">
      <c r="A13" t="s">
        <v>602</v>
      </c>
      <c r="B13" s="53">
        <v>1736533.62</v>
      </c>
      <c r="C13" s="52">
        <v>1999034.08</v>
      </c>
      <c r="G13" t="s">
        <v>602</v>
      </c>
      <c r="H13" s="52" t="s">
        <v>593</v>
      </c>
      <c r="I13" s="52" t="s">
        <v>593</v>
      </c>
      <c r="J13" s="52" t="s">
        <v>593</v>
      </c>
      <c r="M13" t="s">
        <v>602</v>
      </c>
      <c r="N13" s="52">
        <v>742018.91</v>
      </c>
      <c r="O13" s="52">
        <v>973313.09</v>
      </c>
      <c r="P13" s="52" t="s">
        <v>593</v>
      </c>
      <c r="S13" t="s">
        <v>602</v>
      </c>
      <c r="T13" s="52">
        <v>5.39</v>
      </c>
      <c r="U13" s="52">
        <v>252.11</v>
      </c>
      <c r="V13" s="55" t="s">
        <v>593</v>
      </c>
      <c r="Y13" t="s">
        <v>602</v>
      </c>
      <c r="Z13" s="55">
        <v>208.87</v>
      </c>
      <c r="AA13" s="55">
        <v>229.04</v>
      </c>
      <c r="AB13" s="55" t="s">
        <v>593</v>
      </c>
    </row>
    <row r="14" spans="1:28">
      <c r="A14" t="s">
        <v>603</v>
      </c>
      <c r="B14" s="53">
        <v>2969510.78</v>
      </c>
      <c r="C14" s="52">
        <v>3469919.06</v>
      </c>
      <c r="G14" t="s">
        <v>603</v>
      </c>
      <c r="H14" s="52" t="s">
        <v>593</v>
      </c>
      <c r="I14" s="52" t="s">
        <v>593</v>
      </c>
      <c r="J14" s="52" t="s">
        <v>593</v>
      </c>
      <c r="M14" t="s">
        <v>603</v>
      </c>
      <c r="N14" s="52">
        <v>908595.68</v>
      </c>
      <c r="O14" s="52">
        <v>1057413.33</v>
      </c>
      <c r="P14" s="52" t="s">
        <v>593</v>
      </c>
      <c r="S14" t="s">
        <v>603</v>
      </c>
      <c r="T14" s="52">
        <v>172.54</v>
      </c>
      <c r="U14" s="52">
        <v>883.55</v>
      </c>
      <c r="V14" s="55" t="s">
        <v>593</v>
      </c>
      <c r="Y14" t="s">
        <v>603</v>
      </c>
      <c r="Z14" s="55">
        <v>208.87</v>
      </c>
      <c r="AA14" s="55">
        <v>229.04</v>
      </c>
      <c r="AB14" s="55" t="s">
        <v>593</v>
      </c>
    </row>
    <row r="25" spans="1:7">
      <c r="D25" s="54" t="s">
        <v>604</v>
      </c>
      <c r="E25" s="54"/>
    </row>
    <row r="28" spans="1:7">
      <c r="A28" t="s">
        <v>605</v>
      </c>
      <c r="C28" t="s">
        <v>533</v>
      </c>
      <c r="D28" s="6">
        <v>60000</v>
      </c>
      <c r="E28">
        <v>12</v>
      </c>
      <c r="F28" s="56">
        <v>45694</v>
      </c>
      <c r="G28" s="5">
        <f>D28/E28</f>
        <v>5000</v>
      </c>
    </row>
    <row r="29" spans="1:7">
      <c r="A29" t="s">
        <v>606</v>
      </c>
      <c r="C29" t="s">
        <v>495</v>
      </c>
      <c r="D29" s="6">
        <v>96000</v>
      </c>
      <c r="E29">
        <v>12</v>
      </c>
      <c r="F29" s="56">
        <v>45687</v>
      </c>
      <c r="G29" s="5">
        <f>D29/E29</f>
        <v>8000</v>
      </c>
    </row>
    <row r="30" spans="1:7">
      <c r="A30" t="s">
        <v>607</v>
      </c>
      <c r="C30" t="s">
        <v>533</v>
      </c>
      <c r="D30" s="6">
        <v>120000</v>
      </c>
      <c r="E30">
        <v>12</v>
      </c>
      <c r="F30" s="56">
        <v>45687</v>
      </c>
      <c r="G30" s="5">
        <f t="shared" ref="G30:G40" si="0">D30/E30</f>
        <v>10000</v>
      </c>
    </row>
    <row r="31" spans="1:7">
      <c r="A31" t="s">
        <v>608</v>
      </c>
      <c r="C31" t="s">
        <v>495</v>
      </c>
      <c r="D31" s="6">
        <v>84000</v>
      </c>
      <c r="E31">
        <v>12</v>
      </c>
      <c r="F31" s="56">
        <v>45688</v>
      </c>
      <c r="G31" s="5">
        <f t="shared" si="0"/>
        <v>7000</v>
      </c>
    </row>
    <row r="32" spans="1:7">
      <c r="A32" t="s">
        <v>609</v>
      </c>
      <c r="C32" t="s">
        <v>533</v>
      </c>
      <c r="D32" s="6">
        <v>36000</v>
      </c>
      <c r="E32">
        <v>12</v>
      </c>
      <c r="F32" s="56">
        <v>45694</v>
      </c>
      <c r="G32" s="5">
        <f t="shared" si="0"/>
        <v>3000</v>
      </c>
    </row>
    <row r="33" spans="4:7">
      <c r="D33" s="6"/>
      <c r="F33" s="56"/>
      <c r="G33" s="5" t="e">
        <f t="shared" si="0"/>
        <v>#DIV/0!</v>
      </c>
    </row>
    <row r="34" spans="4:7">
      <c r="D34" s="6"/>
      <c r="F34" s="56"/>
      <c r="G34" s="5" t="e">
        <f t="shared" si="0"/>
        <v>#DIV/0!</v>
      </c>
    </row>
    <row r="35" spans="4:7">
      <c r="D35" s="6"/>
      <c r="F35" s="56"/>
      <c r="G35" s="5" t="e">
        <f t="shared" si="0"/>
        <v>#DIV/0!</v>
      </c>
    </row>
    <row r="36" spans="4:7">
      <c r="D36" s="6"/>
      <c r="F36" s="56"/>
      <c r="G36" s="5" t="e">
        <f t="shared" si="0"/>
        <v>#DIV/0!</v>
      </c>
    </row>
    <row r="37" spans="4:7">
      <c r="D37" s="6"/>
      <c r="F37" s="56"/>
      <c r="G37" s="5" t="e">
        <f t="shared" si="0"/>
        <v>#DIV/0!</v>
      </c>
    </row>
    <row r="38" spans="4:7">
      <c r="D38" s="6"/>
      <c r="F38" s="56"/>
      <c r="G38" s="5" t="e">
        <f t="shared" si="0"/>
        <v>#DIV/0!</v>
      </c>
    </row>
    <row r="39" spans="4:7">
      <c r="D39" s="6"/>
      <c r="F39" s="56"/>
      <c r="G39" s="5" t="e">
        <f t="shared" si="0"/>
        <v>#DIV/0!</v>
      </c>
    </row>
    <row r="40" spans="4:7">
      <c r="D40" s="6"/>
      <c r="F40" s="56"/>
      <c r="G40" s="5" t="e">
        <f t="shared" si="0"/>
        <v>#DIV/0!</v>
      </c>
    </row>
  </sheetData>
  <mergeCells count="5">
    <mergeCell ref="A1:D1"/>
    <mergeCell ref="G1:J1"/>
    <mergeCell ref="M1:P1"/>
    <mergeCell ref="S1:V1"/>
    <mergeCell ref="Y1:AB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workbookViewId="0">
      <selection activeCell="B19" sqref="B19"/>
    </sheetView>
  </sheetViews>
  <sheetFormatPr defaultRowHeight="14"/>
  <cols>
    <col min="1" max="1" width="37" customWidth="1"/>
  </cols>
  <sheetData>
    <row r="1" spans="1:21">
      <c r="T1" s="226" t="s">
        <v>0</v>
      </c>
      <c r="U1" s="226"/>
    </row>
    <row r="2" spans="1:21">
      <c r="A2" t="s">
        <v>1</v>
      </c>
      <c r="B2" s="1" t="s">
        <v>2</v>
      </c>
      <c r="T2" t="s">
        <v>3</v>
      </c>
      <c r="U2" t="s">
        <v>4</v>
      </c>
    </row>
    <row r="3" spans="1:21">
      <c r="A3" t="s">
        <v>5</v>
      </c>
      <c r="B3" s="1" t="s">
        <v>6</v>
      </c>
    </row>
    <row r="4" spans="1:21">
      <c r="A4" t="s">
        <v>7</v>
      </c>
      <c r="B4" s="1" t="s">
        <v>8</v>
      </c>
    </row>
    <row r="5" spans="1:21">
      <c r="A5" t="s">
        <v>9</v>
      </c>
      <c r="B5" s="1" t="s">
        <v>10</v>
      </c>
    </row>
    <row r="6" spans="1:21">
      <c r="A6" t="s">
        <v>11</v>
      </c>
      <c r="B6" s="35" t="s">
        <v>12</v>
      </c>
    </row>
    <row r="7" spans="1:21" ht="28">
      <c r="A7" s="22" t="s">
        <v>13</v>
      </c>
      <c r="B7" s="35" t="s">
        <v>14</v>
      </c>
    </row>
    <row r="8" spans="1:21">
      <c r="A8" t="s">
        <v>15</v>
      </c>
      <c r="B8" s="35" t="s">
        <v>16</v>
      </c>
    </row>
    <row r="9" spans="1:21">
      <c r="A9" t="s">
        <v>17</v>
      </c>
      <c r="B9" t="s">
        <v>18</v>
      </c>
    </row>
    <row r="10" spans="1:21">
      <c r="A10" t="s">
        <v>19</v>
      </c>
      <c r="B10" s="1" t="s">
        <v>20</v>
      </c>
    </row>
    <row r="11" spans="1:21">
      <c r="A11" t="s">
        <v>21</v>
      </c>
      <c r="B11" s="1" t="s">
        <v>22</v>
      </c>
    </row>
    <row r="12" spans="1:21">
      <c r="A12" t="s">
        <v>23</v>
      </c>
      <c r="B12" s="1" t="s">
        <v>24</v>
      </c>
    </row>
    <row r="13" spans="1:21">
      <c r="A13" t="s">
        <v>25</v>
      </c>
      <c r="B13" s="1" t="s">
        <v>26</v>
      </c>
    </row>
    <row r="14" spans="1:21">
      <c r="A14" t="s">
        <v>27</v>
      </c>
      <c r="B14" s="1" t="s">
        <v>28</v>
      </c>
    </row>
    <row r="15" spans="1:21">
      <c r="A15" t="s">
        <v>29</v>
      </c>
      <c r="B15" s="1" t="s">
        <v>30</v>
      </c>
    </row>
    <row r="16" spans="1:21">
      <c r="A16" t="s">
        <v>660</v>
      </c>
      <c r="B16" t="s">
        <v>661</v>
      </c>
    </row>
    <row r="17" spans="1:2">
      <c r="A17" t="s">
        <v>904</v>
      </c>
      <c r="B17" t="s">
        <v>903</v>
      </c>
    </row>
    <row r="18" spans="1:2">
      <c r="A18" t="s">
        <v>958</v>
      </c>
      <c r="B18" t="s">
        <v>957</v>
      </c>
    </row>
    <row r="19" spans="1:2">
      <c r="A19" t="s">
        <v>962</v>
      </c>
      <c r="B19" t="s">
        <v>961</v>
      </c>
    </row>
  </sheetData>
  <mergeCells count="1">
    <mergeCell ref="T1:U1"/>
  </mergeCells>
  <hyperlinks>
    <hyperlink ref="B2" r:id="rId1" xr:uid="{8C3D8D0B-DA3F-46BD-BAA3-801512CEECA1}"/>
    <hyperlink ref="B3" r:id="rId2" xr:uid="{CF6C1C96-378C-4D0F-935C-3574540200AC}"/>
    <hyperlink ref="B4" r:id="rId3" xr:uid="{B95E68A4-AA10-4FF5-89C0-EB4D7BAF98B0}"/>
    <hyperlink ref="B5" r:id="rId4" xr:uid="{8F202A52-CD9F-4A04-81B9-986F397A3661}"/>
    <hyperlink ref="B6" r:id="rId5" xr:uid="{61A176A5-BCB2-40A0-9583-BF019390728F}"/>
    <hyperlink ref="B7" r:id="rId6" xr:uid="{E37EE94B-5849-40FE-A55D-D3F10ED00C18}"/>
    <hyperlink ref="B8" r:id="rId7" xr:uid="{BF2BED76-FFC6-4A28-AA45-AD86A21A9835}"/>
    <hyperlink ref="B10" r:id="rId8" location=":~:text=Cadastro%20no%20SUS%20pode%20aumentar,registro%20do%20paciente%20no%20SUS" xr:uid="{46653429-CAD4-45B0-92D9-751F76D69083}"/>
    <hyperlink ref="B11" r:id="rId9" xr:uid="{81AC49FD-0721-4959-9FB7-ECB75EA2A54C}"/>
    <hyperlink ref="B12" r:id="rId10" xr:uid="{299BC4C0-BA99-4576-8CB6-79F97E4C06ED}"/>
    <hyperlink ref="B13" r:id="rId11" xr:uid="{50D9422A-4262-4F4F-A071-BE5F55478CE7}"/>
    <hyperlink ref="B14" r:id="rId12" xr:uid="{66F9BF47-E77F-4AAC-9B06-B443B977DC40}"/>
    <hyperlink ref="B15" r:id="rId13" xr:uid="{2D54F771-246B-4E87-884D-83CA99606C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Gestão com IDS e ODS</vt:lpstr>
      <vt:lpstr>Metas 2030</vt:lpstr>
      <vt:lpstr>Vantagens</vt:lpstr>
      <vt:lpstr>Dashboard</vt:lpstr>
      <vt:lpstr>Comparativo</vt:lpstr>
      <vt:lpstr>Tabela Dinamica</vt:lpstr>
      <vt:lpstr>Eixos WELL</vt:lpstr>
      <vt:lpstr>Econômico</vt:lpstr>
      <vt:lpstr>Infraestrutura</vt:lpstr>
      <vt:lpstr>Educação</vt:lpstr>
      <vt:lpstr>Saúde</vt:lpstr>
      <vt:lpstr>Sustentabilidade</vt:lpstr>
      <vt:lpstr>Transparência</vt:lpstr>
      <vt:lpstr>Dados Tabela Din</vt:lpstr>
      <vt:lpstr>ODS Municipios</vt:lpstr>
      <vt:lpstr>Planilha1</vt:lpstr>
      <vt:lpstr>Estudos ODS</vt:lpstr>
      <vt:lpstr>ImagensODS</vt:lpstr>
      <vt:lpstr>Tabela Dados</vt:lpstr>
      <vt:lpstr>Planejamento Estratégico </vt:lpstr>
      <vt:lpstr>Cargos e Salários</vt:lpstr>
      <vt:lpstr>Repasses Governo Fed</vt:lpstr>
      <vt:lpstr>Fontes de Estudos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Policeno</dc:creator>
  <cp:keywords/>
  <dc:description/>
  <cp:lastModifiedBy>DELL</cp:lastModifiedBy>
  <cp:revision/>
  <cp:lastPrinted>2025-08-18T19:20:33Z</cp:lastPrinted>
  <dcterms:created xsi:type="dcterms:W3CDTF">2025-03-14T20:14:03Z</dcterms:created>
  <dcterms:modified xsi:type="dcterms:W3CDTF">2025-09-17T17:49:27Z</dcterms:modified>
  <cp:category/>
  <cp:contentStatus/>
</cp:coreProperties>
</file>