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ey\Documents\CSCI233\Final Database\"/>
    </mc:Choice>
  </mc:AlternateContent>
  <bookViews>
    <workbookView xWindow="0" yWindow="0" windowWidth="23040" windowHeight="9408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9" i="1" l="1"/>
  <c r="O50" i="1"/>
  <c r="O51" i="1"/>
  <c r="N49" i="1"/>
  <c r="N50" i="1"/>
  <c r="N51" i="1"/>
  <c r="D51" i="1"/>
  <c r="E51" i="1"/>
  <c r="F51" i="1"/>
  <c r="G51" i="1"/>
  <c r="H51" i="1"/>
  <c r="I51" i="1"/>
  <c r="J51" i="1"/>
  <c r="K51" i="1"/>
  <c r="L51" i="1"/>
  <c r="M51" i="1"/>
  <c r="C51" i="1"/>
  <c r="D50" i="1"/>
  <c r="E50" i="1"/>
  <c r="F50" i="1"/>
  <c r="G50" i="1"/>
  <c r="H50" i="1"/>
  <c r="I50" i="1"/>
  <c r="J50" i="1"/>
  <c r="K50" i="1"/>
  <c r="L50" i="1"/>
  <c r="M50" i="1"/>
  <c r="C50" i="1"/>
  <c r="D49" i="1"/>
  <c r="E49" i="1"/>
  <c r="F49" i="1"/>
  <c r="G49" i="1"/>
  <c r="H49" i="1"/>
  <c r="I49" i="1"/>
  <c r="J49" i="1"/>
  <c r="K49" i="1"/>
  <c r="L49" i="1"/>
  <c r="M49" i="1"/>
  <c r="C49" i="1"/>
  <c r="M48" i="1"/>
  <c r="L48" i="1"/>
  <c r="K48" i="1"/>
  <c r="O44" i="1"/>
  <c r="O45" i="1"/>
  <c r="O46" i="1"/>
  <c r="N44" i="1"/>
  <c r="N45" i="1"/>
  <c r="N46" i="1"/>
  <c r="D46" i="1"/>
  <c r="E46" i="1"/>
  <c r="F46" i="1"/>
  <c r="G46" i="1"/>
  <c r="H46" i="1"/>
  <c r="I46" i="1"/>
  <c r="J46" i="1"/>
  <c r="K46" i="1"/>
  <c r="L46" i="1"/>
  <c r="M46" i="1"/>
  <c r="C46" i="1"/>
  <c r="D45" i="1"/>
  <c r="E45" i="1"/>
  <c r="F45" i="1"/>
  <c r="G45" i="1"/>
  <c r="H45" i="1"/>
  <c r="I45" i="1"/>
  <c r="J45" i="1"/>
  <c r="K45" i="1"/>
  <c r="L45" i="1"/>
  <c r="M45" i="1"/>
  <c r="C45" i="1"/>
  <c r="D44" i="1"/>
  <c r="E44" i="1"/>
  <c r="F44" i="1"/>
  <c r="G44" i="1"/>
  <c r="H44" i="1"/>
  <c r="I44" i="1"/>
  <c r="J44" i="1"/>
  <c r="K44" i="1"/>
  <c r="L44" i="1"/>
  <c r="M44" i="1"/>
  <c r="C44" i="1"/>
  <c r="M43" i="1"/>
  <c r="L43" i="1"/>
  <c r="K43" i="1"/>
  <c r="J43" i="1"/>
  <c r="I43" i="1"/>
  <c r="H43" i="1"/>
  <c r="G43" i="1"/>
  <c r="F43" i="1"/>
  <c r="E43" i="1"/>
  <c r="D43" i="1"/>
  <c r="C43" i="1"/>
  <c r="B43" i="1"/>
  <c r="O39" i="1"/>
  <c r="O40" i="1"/>
  <c r="O41" i="1"/>
  <c r="N39" i="1"/>
  <c r="N40" i="1"/>
  <c r="N41" i="1"/>
  <c r="D41" i="1"/>
  <c r="E41" i="1"/>
  <c r="F41" i="1"/>
  <c r="G41" i="1"/>
  <c r="H41" i="1"/>
  <c r="I41" i="1"/>
  <c r="J41" i="1"/>
  <c r="K41" i="1"/>
  <c r="L41" i="1"/>
  <c r="M41" i="1"/>
  <c r="C41" i="1"/>
  <c r="D40" i="1"/>
  <c r="E40" i="1"/>
  <c r="F40" i="1"/>
  <c r="G40" i="1"/>
  <c r="H40" i="1"/>
  <c r="I40" i="1"/>
  <c r="J40" i="1"/>
  <c r="K40" i="1"/>
  <c r="L40" i="1"/>
  <c r="M40" i="1"/>
  <c r="C40" i="1"/>
  <c r="D39" i="1"/>
  <c r="E39" i="1"/>
  <c r="F39" i="1"/>
  <c r="G39" i="1"/>
  <c r="H39" i="1"/>
  <c r="I39" i="1"/>
  <c r="J39" i="1"/>
  <c r="K39" i="1"/>
  <c r="L39" i="1"/>
  <c r="M39" i="1"/>
  <c r="C39" i="1"/>
  <c r="M38" i="1"/>
  <c r="L38" i="1"/>
  <c r="K38" i="1"/>
  <c r="J38" i="1"/>
  <c r="I38" i="1"/>
  <c r="H38" i="1"/>
  <c r="G38" i="1"/>
  <c r="F38" i="1"/>
  <c r="E38" i="1"/>
  <c r="D38" i="1"/>
  <c r="C38" i="1"/>
  <c r="B38" i="1"/>
  <c r="O34" i="1"/>
  <c r="O35" i="1"/>
  <c r="O36" i="1"/>
  <c r="N34" i="1"/>
  <c r="N35" i="1"/>
  <c r="N36" i="1"/>
  <c r="D35" i="1"/>
  <c r="E35" i="1"/>
  <c r="F35" i="1"/>
  <c r="G35" i="1"/>
  <c r="H35" i="1"/>
  <c r="I35" i="1"/>
  <c r="J35" i="1"/>
  <c r="K35" i="1"/>
  <c r="L35" i="1"/>
  <c r="M35" i="1"/>
  <c r="C35" i="1"/>
  <c r="D36" i="1"/>
  <c r="E36" i="1"/>
  <c r="F36" i="1"/>
  <c r="G36" i="1"/>
  <c r="H36" i="1"/>
  <c r="I36" i="1"/>
  <c r="J36" i="1"/>
  <c r="K36" i="1"/>
  <c r="L36" i="1"/>
  <c r="M36" i="1"/>
  <c r="C36" i="1"/>
  <c r="D34" i="1"/>
  <c r="E34" i="1"/>
  <c r="F34" i="1"/>
  <c r="G34" i="1"/>
  <c r="H34" i="1"/>
  <c r="I34" i="1"/>
  <c r="J34" i="1"/>
  <c r="K34" i="1"/>
  <c r="L34" i="1"/>
  <c r="M34" i="1"/>
  <c r="C34" i="1"/>
  <c r="M33" i="1"/>
  <c r="L33" i="1"/>
  <c r="K33" i="1"/>
  <c r="J33" i="1"/>
  <c r="I33" i="1"/>
  <c r="H33" i="1"/>
  <c r="G33" i="1"/>
  <c r="F33" i="1"/>
  <c r="E33" i="1"/>
  <c r="D33" i="1"/>
  <c r="C33" i="1"/>
  <c r="B33" i="1"/>
  <c r="O29" i="1"/>
  <c r="O30" i="1"/>
  <c r="O31" i="1"/>
  <c r="N29" i="1"/>
  <c r="N30" i="1"/>
  <c r="N31" i="1"/>
  <c r="M31" i="1"/>
  <c r="M30" i="1"/>
  <c r="M29" i="1"/>
  <c r="M28" i="1"/>
  <c r="H31" i="1"/>
  <c r="I31" i="1"/>
  <c r="J31" i="1"/>
  <c r="K31" i="1"/>
  <c r="L31" i="1"/>
  <c r="G31" i="1"/>
  <c r="H30" i="1"/>
  <c r="I30" i="1"/>
  <c r="J30" i="1"/>
  <c r="K30" i="1"/>
  <c r="L30" i="1"/>
  <c r="G30" i="1"/>
  <c r="H29" i="1"/>
  <c r="I29" i="1"/>
  <c r="J29" i="1"/>
  <c r="K29" i="1"/>
  <c r="L29" i="1"/>
  <c r="G29" i="1"/>
  <c r="L28" i="1"/>
  <c r="K28" i="1"/>
  <c r="J28" i="1"/>
  <c r="O24" i="1"/>
  <c r="O25" i="1"/>
  <c r="O26" i="1"/>
  <c r="N24" i="1"/>
  <c r="N25" i="1"/>
  <c r="N26" i="1"/>
  <c r="D26" i="1"/>
  <c r="E26" i="1"/>
  <c r="F26" i="1"/>
  <c r="G26" i="1"/>
  <c r="H26" i="1"/>
  <c r="I26" i="1"/>
  <c r="J26" i="1"/>
  <c r="K26" i="1"/>
  <c r="L26" i="1"/>
  <c r="M26" i="1"/>
  <c r="C26" i="1"/>
  <c r="D25" i="1"/>
  <c r="E25" i="1"/>
  <c r="F25" i="1"/>
  <c r="G25" i="1"/>
  <c r="H25" i="1"/>
  <c r="I25" i="1"/>
  <c r="J25" i="1"/>
  <c r="K25" i="1"/>
  <c r="L25" i="1"/>
  <c r="M25" i="1"/>
  <c r="C25" i="1"/>
  <c r="D24" i="1"/>
  <c r="E24" i="1"/>
  <c r="F24" i="1"/>
  <c r="G24" i="1"/>
  <c r="H24" i="1"/>
  <c r="I24" i="1"/>
  <c r="J24" i="1"/>
  <c r="K24" i="1"/>
  <c r="L24" i="1"/>
  <c r="M24" i="1"/>
  <c r="C24" i="1"/>
  <c r="N19" i="1"/>
  <c r="O19" i="1"/>
  <c r="O16" i="1"/>
  <c r="O20" i="1"/>
  <c r="O21" i="1"/>
  <c r="N20" i="1"/>
  <c r="N21" i="1"/>
  <c r="I21" i="1"/>
  <c r="J21" i="1"/>
  <c r="K21" i="1"/>
  <c r="L21" i="1"/>
  <c r="M21" i="1"/>
  <c r="H21" i="1"/>
  <c r="L20" i="1"/>
  <c r="M20" i="1"/>
  <c r="I20" i="1"/>
  <c r="J20" i="1"/>
  <c r="K20" i="1"/>
  <c r="H20" i="1"/>
  <c r="H19" i="1"/>
  <c r="I19" i="1"/>
  <c r="J19" i="1"/>
  <c r="K19" i="1"/>
  <c r="L19" i="1"/>
  <c r="M19" i="1"/>
  <c r="G19" i="1"/>
  <c r="C14" i="1"/>
  <c r="D14" i="1"/>
  <c r="E14" i="1"/>
  <c r="F14" i="1"/>
  <c r="G14" i="1"/>
  <c r="H14" i="1"/>
  <c r="I14" i="1"/>
  <c r="J14" i="1"/>
  <c r="K14" i="1"/>
  <c r="L14" i="1"/>
  <c r="M14" i="1"/>
  <c r="O14" i="1"/>
  <c r="C15" i="1"/>
  <c r="D15" i="1"/>
  <c r="E15" i="1"/>
  <c r="F15" i="1"/>
  <c r="G15" i="1"/>
  <c r="H15" i="1"/>
  <c r="I15" i="1"/>
  <c r="J15" i="1"/>
  <c r="K15" i="1"/>
  <c r="L15" i="1"/>
  <c r="M15" i="1"/>
  <c r="O15" i="1"/>
  <c r="C16" i="1"/>
  <c r="D16" i="1"/>
  <c r="E16" i="1"/>
  <c r="F16" i="1"/>
  <c r="G16" i="1"/>
  <c r="H16" i="1"/>
  <c r="I16" i="1"/>
  <c r="J16" i="1"/>
  <c r="K16" i="1"/>
  <c r="L16" i="1"/>
  <c r="M16" i="1"/>
  <c r="N14" i="1"/>
  <c r="N15" i="1"/>
  <c r="N16" i="1"/>
  <c r="C9" i="1"/>
  <c r="D9" i="1"/>
  <c r="E9" i="1"/>
  <c r="F9" i="1"/>
  <c r="G9" i="1"/>
  <c r="H9" i="1"/>
  <c r="I9" i="1"/>
  <c r="J9" i="1"/>
  <c r="K9" i="1"/>
  <c r="L9" i="1"/>
  <c r="M9" i="1"/>
  <c r="O9" i="1"/>
  <c r="C10" i="1"/>
  <c r="D10" i="1"/>
  <c r="E10" i="1"/>
  <c r="F10" i="1"/>
  <c r="G10" i="1"/>
  <c r="H10" i="1"/>
  <c r="I10" i="1"/>
  <c r="J10" i="1"/>
  <c r="K10" i="1"/>
  <c r="L10" i="1"/>
  <c r="M10" i="1"/>
  <c r="O10" i="1"/>
  <c r="C11" i="1"/>
  <c r="D11" i="1"/>
  <c r="E11" i="1"/>
  <c r="F11" i="1"/>
  <c r="G11" i="1"/>
  <c r="H11" i="1"/>
  <c r="I11" i="1"/>
  <c r="J11" i="1"/>
  <c r="K11" i="1"/>
  <c r="L11" i="1"/>
  <c r="M11" i="1"/>
  <c r="O11" i="1"/>
  <c r="N9" i="1"/>
  <c r="N10" i="1"/>
  <c r="N11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O6" i="1"/>
  <c r="N6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<sst xmlns="http://schemas.openxmlformats.org/spreadsheetml/2006/main" count="65" uniqueCount="65">
  <si>
    <t>Nestle S.A. (stock price)</t>
  </si>
  <si>
    <t xml:space="preserve">Nestle S.A. (dividend) </t>
  </si>
  <si>
    <t>Company Name</t>
  </si>
  <si>
    <t>price of stock and dividend for 2005</t>
  </si>
  <si>
    <t>price of stock and dividend for 2006</t>
  </si>
  <si>
    <t>price of stock and dividend for 2007</t>
  </si>
  <si>
    <t>price of stock and dividend for 2008</t>
  </si>
  <si>
    <t>price of stock and dividend for 2009</t>
  </si>
  <si>
    <t>price of stock and dividend for 2010</t>
  </si>
  <si>
    <t>price of stock and dividend for 2011</t>
  </si>
  <si>
    <t>price of stock and dividend for 2012</t>
  </si>
  <si>
    <t>price of stock and dividend for 2013</t>
  </si>
  <si>
    <t>price of stock and dividend for 2014</t>
  </si>
  <si>
    <t>price of stock and dividend for 2015</t>
  </si>
  <si>
    <t>price of stock and dividend for 2016</t>
  </si>
  <si>
    <t>Pepsico, Inc. (stock price)</t>
  </si>
  <si>
    <t>Pepsico, Inc. (dividend)</t>
  </si>
  <si>
    <t>Tyson Foods, Inc. (stock price)</t>
  </si>
  <si>
    <t>Tyson Foods, Inc. (dividend)</t>
  </si>
  <si>
    <t>JBS S.A. (stock price)</t>
  </si>
  <si>
    <t>JBS S.A. (dividend)</t>
  </si>
  <si>
    <t>The Coca-Cola Company (stock price)</t>
  </si>
  <si>
    <t>The Coca-Cola Company (dividend)</t>
  </si>
  <si>
    <t>Pepsico, Inc. (current dividend yield)</t>
  </si>
  <si>
    <t>Pepsico, Inc. (capital gains yield)</t>
  </si>
  <si>
    <t>Pepsico, Inc. (rate of return)</t>
  </si>
  <si>
    <t>variance</t>
  </si>
  <si>
    <t>standard deviation</t>
  </si>
  <si>
    <t>Tyson Foods, Inc. (current dividend yield)</t>
  </si>
  <si>
    <t>Tyson Foods, Inc. (capital gains yield)</t>
  </si>
  <si>
    <t>Tyson Foods, Inc. (rate of return)</t>
  </si>
  <si>
    <t xml:space="preserve">Nestle S.A. (current dividend yield) </t>
  </si>
  <si>
    <t xml:space="preserve">Nestle S.A. (capital gains yield) </t>
  </si>
  <si>
    <t xml:space="preserve">Nestle S.A. (rate of return) </t>
  </si>
  <si>
    <t>JBS S.A. (current dividend yield)</t>
  </si>
  <si>
    <t>JBS S.A. (capital gains yield)</t>
  </si>
  <si>
    <t>JBS S.A. (rate of return)</t>
  </si>
  <si>
    <t>The Coca-Cola Company (current dividend yield)</t>
  </si>
  <si>
    <t>The Coca-Cola Company (capital gains yield)</t>
  </si>
  <si>
    <t>The Coca-Cola Company (rate of return)</t>
  </si>
  <si>
    <t>Anheuser-Busch InBev (stock price)</t>
  </si>
  <si>
    <t>Anheuser-Busch InBev (dividend)</t>
  </si>
  <si>
    <t>Anheuser-Busch InBev (current dividend yield)</t>
  </si>
  <si>
    <t>Anheuser-Busch InBev (capital gains yield)</t>
  </si>
  <si>
    <t>Anheuser-Busch InBev (rate of return)</t>
  </si>
  <si>
    <t>General Mills, Inc. (stock price)</t>
  </si>
  <si>
    <t>General Mills, Inc. (dividend)</t>
  </si>
  <si>
    <t>General Mills, Inc. (capital gains yield)</t>
  </si>
  <si>
    <t>General Mills, Inc. (rate of return)</t>
  </si>
  <si>
    <t>General Mills, Inc.  (current dividend yield)</t>
  </si>
  <si>
    <t>Conagra Brands, Inc. (stock price)</t>
  </si>
  <si>
    <t>Conagra Brands, Inc. (dividend)</t>
  </si>
  <si>
    <t>Conagra Brands, Inc.  (current dividend yield)</t>
  </si>
  <si>
    <t>Conagra Brands, Inc. (capital gains yield)</t>
  </si>
  <si>
    <t>Conmagra Brands, Inc. (rate of return)</t>
  </si>
  <si>
    <t>Kellogg Company (stock price)</t>
  </si>
  <si>
    <t>Kellogg Company (dividend)</t>
  </si>
  <si>
    <t>Kellogg Company  (current dividend yield)</t>
  </si>
  <si>
    <t>Kellogg Company (capital gains yield)</t>
  </si>
  <si>
    <t>Kellogg Company (rate of return)</t>
  </si>
  <si>
    <t>Dean Foods Company (stock price)</t>
  </si>
  <si>
    <t>Dean Foods Company (dividend)</t>
  </si>
  <si>
    <t>Dean Foods Company  (current dividend yield)</t>
  </si>
  <si>
    <t>Dean Foods Company (capital gains yield)</t>
  </si>
  <si>
    <t>Dean Foods Company (rate of return)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</si>
</sst>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0.000000%"/>
    <numFmt numFmtId="185" formatCode="0.000000000000"/>
    <numFmt numFmtId="186" formatCode="0.0000000000000"/>
    <numFmt numFmtId="187" formatCode="0.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72" fontId="0" fillId="0" borderId="0" xfId="1" applyNumberFormat="1" applyFont="1"/>
    <xf numFmtId="0" fontId="0" fillId="0" borderId="0" xfId="0" applyAlignment="1">
      <alignment horizontal="center" wrapText="1"/>
    </xf>
    <xf numFmtId="185" fontId="0" fillId="0" borderId="0" xfId="0" applyNumberFormat="1"/>
    <xf numFmtId="186" fontId="0" fillId="0" borderId="0" xfId="0" applyNumberFormat="1"/>
    <xf numFmtId="18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pane ySplit="1" topLeftCell="A29" activePane="bottomLeft" state="frozen"/>
      <selection pane="bottomLeft" activeCell="A52" sqref="A52"/>
    </sheetView>
  </sheetViews>
  <sheetFormatPr defaultColWidth="17.5546875" defaultRowHeight="14.4" x14ac:dyDescent="0.3"/>
  <cols>
    <col min="1" max="1" width="28.44140625" customWidth="1"/>
  </cols>
  <sheetData>
    <row r="1" spans="1:16" s="2" customFormat="1" ht="28.8" x14ac:dyDescent="0.3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4" t="s">
        <v>26</v>
      </c>
      <c r="O1" s="1" t="s">
        <v>27</v>
      </c>
    </row>
    <row r="2" spans="1:16" x14ac:dyDescent="0.3">
      <c r="A2" t="s">
        <v>15</v>
      </c>
      <c r="B2">
        <v>59.08</v>
      </c>
      <c r="C2">
        <v>62.55</v>
      </c>
      <c r="D2">
        <v>75.900000000000006</v>
      </c>
      <c r="E2">
        <v>54.77</v>
      </c>
      <c r="F2">
        <v>60.8</v>
      </c>
      <c r="G2">
        <v>65.33</v>
      </c>
      <c r="H2">
        <v>66.349999999999994</v>
      </c>
      <c r="I2">
        <v>68.430000000000007</v>
      </c>
      <c r="J2">
        <v>82.94</v>
      </c>
      <c r="K2">
        <v>94.56</v>
      </c>
      <c r="L2">
        <v>99.92</v>
      </c>
      <c r="M2">
        <v>104.63</v>
      </c>
    </row>
    <row r="3" spans="1:16" x14ac:dyDescent="0.3">
      <c r="A3" t="s">
        <v>16</v>
      </c>
      <c r="B3">
        <v>1.01</v>
      </c>
      <c r="C3">
        <v>1.1599999999999999</v>
      </c>
      <c r="D3">
        <v>1.425</v>
      </c>
      <c r="E3">
        <v>1.65</v>
      </c>
      <c r="F3">
        <v>1.7750000000000001</v>
      </c>
      <c r="G3">
        <v>1.89</v>
      </c>
      <c r="H3">
        <v>2.0249999999999999</v>
      </c>
      <c r="I3">
        <v>2.1280000000000001</v>
      </c>
      <c r="J3">
        <v>2.2409999999999997</v>
      </c>
      <c r="K3">
        <v>2.5329999999999999</v>
      </c>
      <c r="L3">
        <v>2.7640000000000002</v>
      </c>
      <c r="M3">
        <v>2.9619999999999997</v>
      </c>
    </row>
    <row r="4" spans="1:16" x14ac:dyDescent="0.3">
      <c r="A4" t="s">
        <v>23</v>
      </c>
      <c r="C4">
        <f>C3/C2</f>
        <v>1.8545163868904875E-2</v>
      </c>
      <c r="D4">
        <f t="shared" ref="D4:M4" si="0">D3/D2</f>
        <v>1.8774703557312252E-2</v>
      </c>
      <c r="E4">
        <f t="shared" si="0"/>
        <v>3.0125981376666056E-2</v>
      </c>
      <c r="F4">
        <f t="shared" si="0"/>
        <v>2.9194078947368425E-2</v>
      </c>
      <c r="G4">
        <f t="shared" si="0"/>
        <v>2.8930047451400581E-2</v>
      </c>
      <c r="H4">
        <f t="shared" si="0"/>
        <v>3.0519969856819897E-2</v>
      </c>
      <c r="I4">
        <f t="shared" si="0"/>
        <v>3.1097471869063274E-2</v>
      </c>
      <c r="J4">
        <f t="shared" si="0"/>
        <v>2.7019532191945982E-2</v>
      </c>
      <c r="K4">
        <f t="shared" si="0"/>
        <v>2.6787225042301181E-2</v>
      </c>
      <c r="L4">
        <f t="shared" si="0"/>
        <v>2.7662129703763014E-2</v>
      </c>
      <c r="M4">
        <f t="shared" si="0"/>
        <v>2.8309280321131607E-2</v>
      </c>
      <c r="N4" s="7">
        <f>_xlfn.VAR.S(C4:M4)</f>
        <v>1.8882822195959909E-5</v>
      </c>
      <c r="O4">
        <f>SQRT(N4)</f>
        <v>4.3454369395907596E-3</v>
      </c>
      <c r="P4" s="7"/>
    </row>
    <row r="5" spans="1:16" x14ac:dyDescent="0.3">
      <c r="A5" t="s">
        <v>24</v>
      </c>
      <c r="C5">
        <f>(C2-B2)/B2</f>
        <v>5.8733920108327675E-2</v>
      </c>
      <c r="D5">
        <f t="shared" ref="D5:M5" si="1">(D2-C2)/C2</f>
        <v>0.21342925659472436</v>
      </c>
      <c r="E5">
        <f t="shared" si="1"/>
        <v>-0.27839262187088276</v>
      </c>
      <c r="F5">
        <f t="shared" si="1"/>
        <v>0.11009676830381585</v>
      </c>
      <c r="G5">
        <f t="shared" si="1"/>
        <v>7.4506578947368438E-2</v>
      </c>
      <c r="H5">
        <f t="shared" si="1"/>
        <v>1.561304148170819E-2</v>
      </c>
      <c r="I5">
        <f t="shared" si="1"/>
        <v>3.1348907309721369E-2</v>
      </c>
      <c r="J5">
        <f t="shared" si="1"/>
        <v>0.21204150226508825</v>
      </c>
      <c r="K5">
        <f t="shared" si="1"/>
        <v>0.14010127803231257</v>
      </c>
      <c r="L5">
        <f t="shared" si="1"/>
        <v>5.6683587140439924E-2</v>
      </c>
      <c r="M5">
        <f t="shared" si="1"/>
        <v>4.7137710168134443E-2</v>
      </c>
      <c r="N5">
        <f>_xlfn.VAR.S(C5:M5)</f>
        <v>1.7323094647917418E-2</v>
      </c>
      <c r="O5">
        <f>SQRT(N5)</f>
        <v>0.1316172277778157</v>
      </c>
    </row>
    <row r="6" spans="1:16" x14ac:dyDescent="0.3">
      <c r="A6" t="s">
        <v>25</v>
      </c>
      <c r="C6">
        <f>(C2-B2+C3)/B2</f>
        <v>7.8368314150304652E-2</v>
      </c>
      <c r="D6">
        <f t="shared" ref="D6:M6" si="2">(D2-C2+D3)/C2</f>
        <v>0.23621103117506012</v>
      </c>
      <c r="E6">
        <f t="shared" si="2"/>
        <v>-0.25665349143610017</v>
      </c>
      <c r="F6">
        <f t="shared" si="2"/>
        <v>0.14250502099689599</v>
      </c>
      <c r="G6">
        <f t="shared" si="2"/>
        <v>0.10559210526315792</v>
      </c>
      <c r="H6">
        <f t="shared" si="2"/>
        <v>4.6609520893923097E-2</v>
      </c>
      <c r="I6">
        <f t="shared" si="2"/>
        <v>6.342125094197458E-2</v>
      </c>
      <c r="J6">
        <f t="shared" si="2"/>
        <v>0.24479029665351437</v>
      </c>
      <c r="K6">
        <f t="shared" si="2"/>
        <v>0.17064142753797931</v>
      </c>
      <c r="L6">
        <f t="shared" si="2"/>
        <v>8.5913705583756328E-2</v>
      </c>
      <c r="M6">
        <f t="shared" si="2"/>
        <v>7.678142514011202E-2</v>
      </c>
      <c r="N6">
        <f>_xlfn.VAR.S(C6,D6,E6,F6,G6,H6,I6,J6,K6,L6,M6)</f>
        <v>1.7792357486833603E-2</v>
      </c>
      <c r="O6">
        <f>_xlfn.STDEV.S(C6:M6)</f>
        <v>0.13338799603725068</v>
      </c>
      <c r="P6" s="3"/>
    </row>
    <row r="7" spans="1:16" x14ac:dyDescent="0.3">
      <c r="A7" t="s">
        <v>17</v>
      </c>
      <c r="B7">
        <v>17.100000000000001</v>
      </c>
      <c r="C7">
        <v>16.45</v>
      </c>
      <c r="D7">
        <v>15.33</v>
      </c>
      <c r="E7">
        <v>8.76</v>
      </c>
      <c r="F7">
        <v>12.27</v>
      </c>
      <c r="G7">
        <v>17.22</v>
      </c>
      <c r="H7">
        <v>20.64</v>
      </c>
      <c r="I7">
        <v>19.399999999999999</v>
      </c>
      <c r="J7">
        <v>33.46</v>
      </c>
      <c r="K7">
        <v>40.090000000000003</v>
      </c>
      <c r="L7">
        <v>53.33</v>
      </c>
      <c r="M7">
        <v>61.68</v>
      </c>
    </row>
    <row r="8" spans="1:16" x14ac:dyDescent="0.3">
      <c r="A8" t="s">
        <v>18</v>
      </c>
      <c r="B8">
        <v>0.08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0.27</v>
      </c>
      <c r="J8">
        <v>0.22499999999999998</v>
      </c>
      <c r="K8">
        <v>0.32499999999999996</v>
      </c>
      <c r="L8">
        <v>0.44999999999999996</v>
      </c>
      <c r="M8">
        <v>0.67499999999999993</v>
      </c>
    </row>
    <row r="9" spans="1:16" x14ac:dyDescent="0.3">
      <c r="A9" t="s">
        <v>28</v>
      </c>
      <c r="C9">
        <f>C8/C7</f>
        <v>9.7264437689969611E-3</v>
      </c>
      <c r="D9">
        <f t="shared" ref="D9:M9" si="3">D8/D7</f>
        <v>1.0437051532941943E-2</v>
      </c>
      <c r="E9">
        <f t="shared" si="3"/>
        <v>1.8264840182648404E-2</v>
      </c>
      <c r="F9">
        <f t="shared" si="3"/>
        <v>1.3039934800325999E-2</v>
      </c>
      <c r="G9">
        <f t="shared" si="3"/>
        <v>9.2915214866434379E-3</v>
      </c>
      <c r="H9">
        <f t="shared" si="3"/>
        <v>7.7519379844961239E-3</v>
      </c>
      <c r="I9">
        <f t="shared" si="3"/>
        <v>1.3917525773195879E-2</v>
      </c>
      <c r="J9">
        <f t="shared" si="3"/>
        <v>6.7244471010161379E-3</v>
      </c>
      <c r="K9">
        <f t="shared" si="3"/>
        <v>8.1067597904714381E-3</v>
      </c>
      <c r="L9">
        <f t="shared" si="3"/>
        <v>8.4380273767110433E-3</v>
      </c>
      <c r="M9">
        <f t="shared" si="3"/>
        <v>1.0943579766536964E-2</v>
      </c>
      <c r="N9" s="6">
        <f t="shared" ref="N9:N51" si="4">_xlfn.VAR.S(C9,D9,E9,F9,G9,H9,I9,J9,K9,L9,M9)</f>
        <v>1.1235042886667936E-5</v>
      </c>
      <c r="O9">
        <f t="shared" ref="O9:O51" si="5">_xlfn.STDEV.S(C9:M9)</f>
        <v>3.3518715498461358E-3</v>
      </c>
    </row>
    <row r="10" spans="1:16" x14ac:dyDescent="0.3">
      <c r="A10" t="s">
        <v>29</v>
      </c>
      <c r="C10">
        <f>(C7-B7)/B7</f>
        <v>-3.8011695906432871E-2</v>
      </c>
      <c r="D10">
        <f t="shared" ref="D10:M10" si="6">(D7-C7)/C7</f>
        <v>-6.8085106382978683E-2</v>
      </c>
      <c r="E10">
        <f t="shared" si="6"/>
        <v>-0.4285714285714286</v>
      </c>
      <c r="F10">
        <f t="shared" si="6"/>
        <v>0.40068493150684931</v>
      </c>
      <c r="G10">
        <f t="shared" si="6"/>
        <v>0.40342298288508555</v>
      </c>
      <c r="H10">
        <f t="shared" si="6"/>
        <v>0.1986062717770036</v>
      </c>
      <c r="I10">
        <f t="shared" si="6"/>
        <v>-6.0077519379845054E-2</v>
      </c>
      <c r="J10">
        <f t="shared" si="6"/>
        <v>0.72474226804123731</v>
      </c>
      <c r="K10">
        <f t="shared" si="6"/>
        <v>0.19814704124327562</v>
      </c>
      <c r="L10">
        <f t="shared" si="6"/>
        <v>0.33025692192566708</v>
      </c>
      <c r="M10">
        <f t="shared" si="6"/>
        <v>0.15657228576786053</v>
      </c>
      <c r="N10">
        <f t="shared" si="4"/>
        <v>9.5384198649768687E-2</v>
      </c>
      <c r="O10">
        <f t="shared" si="5"/>
        <v>0.30884332379018442</v>
      </c>
    </row>
    <row r="11" spans="1:16" x14ac:dyDescent="0.3">
      <c r="A11" t="s">
        <v>30</v>
      </c>
      <c r="C11">
        <f>(C7-B7+C8)/B7</f>
        <v>-2.8654970760234037E-2</v>
      </c>
      <c r="D11">
        <f t="shared" ref="D11:M11" si="7">(D7-C7+D8)/C7</f>
        <v>-5.8358662613981718E-2</v>
      </c>
      <c r="E11">
        <f t="shared" si="7"/>
        <v>-0.41813437703848666</v>
      </c>
      <c r="F11">
        <f t="shared" si="7"/>
        <v>0.41894977168949771</v>
      </c>
      <c r="G11">
        <f t="shared" si="7"/>
        <v>0.41646291768541155</v>
      </c>
      <c r="H11">
        <f t="shared" si="7"/>
        <v>0.20789779326364705</v>
      </c>
      <c r="I11">
        <f t="shared" si="7"/>
        <v>-4.6996124031007849E-2</v>
      </c>
      <c r="J11">
        <f t="shared" si="7"/>
        <v>0.73634020618556717</v>
      </c>
      <c r="K11">
        <f t="shared" si="7"/>
        <v>0.20786013150029894</v>
      </c>
      <c r="L11">
        <f t="shared" si="7"/>
        <v>0.34148166625093523</v>
      </c>
      <c r="M11">
        <f t="shared" si="7"/>
        <v>0.1692293268329271</v>
      </c>
      <c r="N11">
        <f t="shared" si="4"/>
        <v>9.5981205050720234E-2</v>
      </c>
      <c r="O11">
        <f t="shared" si="5"/>
        <v>0.30980833599294944</v>
      </c>
    </row>
    <row r="12" spans="1:16" x14ac:dyDescent="0.3">
      <c r="A12" t="s">
        <v>0</v>
      </c>
      <c r="B12">
        <v>29.9</v>
      </c>
      <c r="C12">
        <v>35.6</v>
      </c>
      <c r="D12">
        <v>45.8</v>
      </c>
      <c r="E12">
        <v>39.700000000000003</v>
      </c>
      <c r="F12">
        <v>48.35</v>
      </c>
      <c r="G12">
        <v>58.82</v>
      </c>
      <c r="H12">
        <v>57.71</v>
      </c>
      <c r="I12">
        <v>65.17</v>
      </c>
      <c r="J12">
        <v>73.59</v>
      </c>
      <c r="K12">
        <v>72.95</v>
      </c>
      <c r="L12">
        <v>74.42</v>
      </c>
      <c r="M12">
        <v>69.86</v>
      </c>
    </row>
    <row r="13" spans="1:16" x14ac:dyDescent="0.3">
      <c r="A13" t="s">
        <v>1</v>
      </c>
      <c r="B13">
        <v>1.6759999999999999</v>
      </c>
      <c r="C13">
        <v>1.125</v>
      </c>
      <c r="D13">
        <v>1.37401</v>
      </c>
      <c r="E13">
        <v>1.8731100000000001</v>
      </c>
      <c r="F13">
        <v>1.23695</v>
      </c>
      <c r="G13">
        <v>1.1690199999999999</v>
      </c>
      <c r="H13">
        <v>2.0824699999999998</v>
      </c>
      <c r="I13">
        <v>2.1052200000000001</v>
      </c>
      <c r="J13">
        <v>2.1635399999999998</v>
      </c>
      <c r="K13">
        <v>2.42197</v>
      </c>
      <c r="L13">
        <v>2.2762500000000001</v>
      </c>
      <c r="M13">
        <v>2.3197299999999998</v>
      </c>
    </row>
    <row r="14" spans="1:16" x14ac:dyDescent="0.3">
      <c r="A14" t="s">
        <v>31</v>
      </c>
      <c r="C14">
        <f>C13/C12</f>
        <v>3.1601123595505619E-2</v>
      </c>
      <c r="D14">
        <f t="shared" ref="D14:M14" si="8">D13/D12</f>
        <v>3.0000218340611354E-2</v>
      </c>
      <c r="E14">
        <f t="shared" si="8"/>
        <v>4.71816120906801E-2</v>
      </c>
      <c r="F14">
        <f t="shared" si="8"/>
        <v>2.5583247156153049E-2</v>
      </c>
      <c r="G14">
        <f t="shared" si="8"/>
        <v>1.9874532471948318E-2</v>
      </c>
      <c r="H14">
        <f t="shared" si="8"/>
        <v>3.6085080575290238E-2</v>
      </c>
      <c r="I14">
        <f t="shared" si="8"/>
        <v>3.2303513886757708E-2</v>
      </c>
      <c r="J14">
        <f t="shared" si="8"/>
        <v>2.9399918467183036E-2</v>
      </c>
      <c r="K14">
        <f t="shared" si="8"/>
        <v>3.3200411240575732E-2</v>
      </c>
      <c r="L14">
        <f t="shared" si="8"/>
        <v>3.05865358774523E-2</v>
      </c>
      <c r="M14">
        <f t="shared" si="8"/>
        <v>3.3205410821643286E-2</v>
      </c>
      <c r="N14" s="6">
        <f t="shared" si="4"/>
        <v>4.5046712579577262E-5</v>
      </c>
      <c r="O14">
        <f t="shared" si="5"/>
        <v>6.7116847795152942E-3</v>
      </c>
    </row>
    <row r="15" spans="1:16" x14ac:dyDescent="0.3">
      <c r="A15" t="s">
        <v>32</v>
      </c>
      <c r="C15">
        <f>(C12-B12)/B12</f>
        <v>0.19063545150501682</v>
      </c>
      <c r="D15">
        <f t="shared" ref="D15:M15" si="9">(D12-C12)/C12</f>
        <v>0.28651685393258414</v>
      </c>
      <c r="E15">
        <f t="shared" si="9"/>
        <v>-0.13318777292576409</v>
      </c>
      <c r="F15">
        <f t="shared" si="9"/>
        <v>0.2178841309823677</v>
      </c>
      <c r="G15">
        <f t="shared" si="9"/>
        <v>0.21654601861427092</v>
      </c>
      <c r="H15">
        <f t="shared" si="9"/>
        <v>-1.8871132267936068E-2</v>
      </c>
      <c r="I15">
        <f t="shared" si="9"/>
        <v>0.12926702477906776</v>
      </c>
      <c r="J15">
        <f t="shared" si="9"/>
        <v>0.12920055240141171</v>
      </c>
      <c r="K15">
        <f t="shared" si="9"/>
        <v>-8.6968338089414392E-3</v>
      </c>
      <c r="L15">
        <f t="shared" si="9"/>
        <v>2.0150788211103478E-2</v>
      </c>
      <c r="M15">
        <f t="shared" si="9"/>
        <v>-6.1273851115291621E-2</v>
      </c>
      <c r="N15">
        <f t="shared" si="4"/>
        <v>1.8331933941034353E-2</v>
      </c>
      <c r="O15">
        <f t="shared" si="5"/>
        <v>0.13539547238011451</v>
      </c>
    </row>
    <row r="16" spans="1:16" x14ac:dyDescent="0.3">
      <c r="A16" t="s">
        <v>33</v>
      </c>
      <c r="C16">
        <f>(C12-B12+C13)/B12</f>
        <v>0.22826086956521749</v>
      </c>
      <c r="D16">
        <f t="shared" ref="D16:M16" si="10">(D12-C12+D13)/C12</f>
        <v>0.32511264044943805</v>
      </c>
      <c r="E16">
        <f t="shared" si="10"/>
        <v>-9.2290174672488956E-2</v>
      </c>
      <c r="F16">
        <f t="shared" si="10"/>
        <v>0.2490415617128463</v>
      </c>
      <c r="G16">
        <f t="shared" si="10"/>
        <v>0.24072430196483968</v>
      </c>
      <c r="H16">
        <f t="shared" si="10"/>
        <v>1.6532981978918743E-2</v>
      </c>
      <c r="I16">
        <f t="shared" si="10"/>
        <v>0.16574631779587592</v>
      </c>
      <c r="J16">
        <f t="shared" si="10"/>
        <v>0.16239895657511125</v>
      </c>
      <c r="K16">
        <f t="shared" si="10"/>
        <v>2.4214838972686496E-2</v>
      </c>
      <c r="L16">
        <f t="shared" si="10"/>
        <v>5.135366689513364E-2</v>
      </c>
      <c r="M16">
        <f t="shared" si="10"/>
        <v>-3.0103063692555797E-2</v>
      </c>
      <c r="N16">
        <f t="shared" si="4"/>
        <v>1.810586141329875E-2</v>
      </c>
      <c r="O16">
        <f>_xlfn.STDEV.S(C16:M16)</f>
        <v>0.13455802247840429</v>
      </c>
    </row>
    <row r="17" spans="1:15" x14ac:dyDescent="0.3">
      <c r="A17" t="s">
        <v>19</v>
      </c>
      <c r="G17">
        <v>8.67</v>
      </c>
      <c r="H17">
        <v>6.31</v>
      </c>
      <c r="I17">
        <v>6</v>
      </c>
      <c r="J17">
        <v>7.34</v>
      </c>
      <c r="K17">
        <v>8.48</v>
      </c>
      <c r="L17">
        <v>6.2</v>
      </c>
      <c r="M17">
        <v>7</v>
      </c>
    </row>
    <row r="18" spans="1:15" x14ac:dyDescent="0.3">
      <c r="A18" t="s">
        <v>20</v>
      </c>
      <c r="G18">
        <v>0.06</v>
      </c>
      <c r="H18">
        <v>0</v>
      </c>
      <c r="I18">
        <v>0</v>
      </c>
      <c r="J18">
        <v>5.8999999999999997E-2</v>
      </c>
      <c r="K18">
        <v>6.8000000000000005E-2</v>
      </c>
      <c r="L18">
        <v>0.114</v>
      </c>
      <c r="M18">
        <v>0.22800000000000001</v>
      </c>
    </row>
    <row r="19" spans="1:15" x14ac:dyDescent="0.3">
      <c r="A19" t="s">
        <v>34</v>
      </c>
      <c r="G19">
        <f>G18/G17</f>
        <v>6.920415224913495E-3</v>
      </c>
      <c r="H19">
        <f t="shared" ref="H19:M19" si="11">H18/H17</f>
        <v>0</v>
      </c>
      <c r="I19">
        <f t="shared" si="11"/>
        <v>0</v>
      </c>
      <c r="J19">
        <f t="shared" si="11"/>
        <v>8.0381471389645767E-3</v>
      </c>
      <c r="K19">
        <f t="shared" si="11"/>
        <v>8.0188679245283018E-3</v>
      </c>
      <c r="L19">
        <f t="shared" si="11"/>
        <v>1.8387096774193548E-2</v>
      </c>
      <c r="M19">
        <f t="shared" si="11"/>
        <v>3.2571428571428571E-2</v>
      </c>
      <c r="N19">
        <f t="shared" si="4"/>
        <v>1.3247621111859068E-4</v>
      </c>
      <c r="O19">
        <f>_xlfn.STDEV.S(G19:M19)</f>
        <v>1.1509831063859742E-2</v>
      </c>
    </row>
    <row r="20" spans="1:15" x14ac:dyDescent="0.3">
      <c r="A20" t="s">
        <v>35</v>
      </c>
      <c r="H20">
        <f>(H17-G17)/G17</f>
        <v>-0.27220299884659749</v>
      </c>
      <c r="I20">
        <f t="shared" ref="I20:M20" si="12">(I17-H17)/H17</f>
        <v>-4.9128367670364444E-2</v>
      </c>
      <c r="J20">
        <f t="shared" si="12"/>
        <v>0.2233333333333333</v>
      </c>
      <c r="K20">
        <f t="shared" si="12"/>
        <v>0.15531335149863768</v>
      </c>
      <c r="L20">
        <f t="shared" si="12"/>
        <v>-0.26886792452830188</v>
      </c>
      <c r="M20">
        <f t="shared" si="12"/>
        <v>0.1290322580645161</v>
      </c>
      <c r="N20">
        <f t="shared" si="4"/>
        <v>4.766248676816754E-2</v>
      </c>
      <c r="O20">
        <f t="shared" si="5"/>
        <v>0.21831739914209206</v>
      </c>
    </row>
    <row r="21" spans="1:15" x14ac:dyDescent="0.3">
      <c r="A21" t="s">
        <v>36</v>
      </c>
      <c r="H21">
        <f>(H17-G17+H18)/G17</f>
        <v>-0.27220299884659749</v>
      </c>
      <c r="I21">
        <f t="shared" ref="I21:M21" si="13">(I17-H17+I18)/H17</f>
        <v>-4.9128367670364444E-2</v>
      </c>
      <c r="J21">
        <f t="shared" si="13"/>
        <v>0.23316666666666663</v>
      </c>
      <c r="K21">
        <f t="shared" si="13"/>
        <v>0.16457765667574942</v>
      </c>
      <c r="L21">
        <f t="shared" si="13"/>
        <v>-0.25542452830188683</v>
      </c>
      <c r="M21">
        <f t="shared" si="13"/>
        <v>0.16580645161290319</v>
      </c>
      <c r="N21">
        <f t="shared" si="4"/>
        <v>5.0132995027059112E-2</v>
      </c>
      <c r="O21">
        <f t="shared" si="5"/>
        <v>0.22390398617947629</v>
      </c>
    </row>
    <row r="22" spans="1:15" x14ac:dyDescent="0.3">
      <c r="A22" t="s">
        <v>21</v>
      </c>
      <c r="B22">
        <v>20.16</v>
      </c>
      <c r="C22">
        <v>24.13</v>
      </c>
      <c r="D22">
        <v>30.68</v>
      </c>
      <c r="E22">
        <v>22.64</v>
      </c>
      <c r="F22">
        <v>28.5</v>
      </c>
      <c r="G22">
        <v>32.880000000000003</v>
      </c>
      <c r="H22">
        <v>34.99</v>
      </c>
      <c r="I22">
        <v>36.25</v>
      </c>
      <c r="J22">
        <v>41.31</v>
      </c>
      <c r="K22">
        <v>42.22</v>
      </c>
      <c r="L22">
        <v>42.96</v>
      </c>
      <c r="M22">
        <v>42</v>
      </c>
    </row>
    <row r="23" spans="1:15" x14ac:dyDescent="0.3">
      <c r="A23" t="s">
        <v>22</v>
      </c>
      <c r="B23">
        <f>0.14*4</f>
        <v>0.56000000000000005</v>
      </c>
      <c r="C23">
        <f>0.155*4</f>
        <v>0.62</v>
      </c>
      <c r="D23">
        <f>0.17*4</f>
        <v>0.68</v>
      </c>
      <c r="E23">
        <f>0.19*4</f>
        <v>0.76</v>
      </c>
      <c r="F23">
        <f>0.205*4</f>
        <v>0.82</v>
      </c>
      <c r="G23">
        <f>0.22*4</f>
        <v>0.88</v>
      </c>
      <c r="H23">
        <f>0.235*4</f>
        <v>0.94</v>
      </c>
      <c r="I23">
        <f>0.255*4</f>
        <v>1.02</v>
      </c>
      <c r="J23">
        <f>0.28*4</f>
        <v>1.1200000000000001</v>
      </c>
      <c r="K23">
        <f>0.305*4</f>
        <v>1.22</v>
      </c>
      <c r="L23" s="1">
        <f>0.33*4</f>
        <v>1.32</v>
      </c>
      <c r="M23">
        <f>0.35*4</f>
        <v>1.4</v>
      </c>
    </row>
    <row r="24" spans="1:15" x14ac:dyDescent="0.3">
      <c r="A24" t="s">
        <v>37</v>
      </c>
      <c r="C24">
        <f>C23/C22</f>
        <v>2.5694156651471199E-2</v>
      </c>
      <c r="D24">
        <f t="shared" ref="D24:M24" si="14">D23/D22</f>
        <v>2.2164276401564539E-2</v>
      </c>
      <c r="E24">
        <f t="shared" si="14"/>
        <v>3.3568904593639579E-2</v>
      </c>
      <c r="F24">
        <f t="shared" si="14"/>
        <v>2.8771929824561403E-2</v>
      </c>
      <c r="G24">
        <f t="shared" si="14"/>
        <v>2.6763990267639901E-2</v>
      </c>
      <c r="H24">
        <f t="shared" si="14"/>
        <v>2.6864818519577019E-2</v>
      </c>
      <c r="I24">
        <f t="shared" si="14"/>
        <v>2.8137931034482758E-2</v>
      </c>
      <c r="J24">
        <f t="shared" si="14"/>
        <v>2.71120793996611E-2</v>
      </c>
      <c r="K24">
        <f t="shared" si="14"/>
        <v>2.8896257697773566E-2</v>
      </c>
      <c r="L24">
        <f t="shared" si="14"/>
        <v>3.0726256983240226E-2</v>
      </c>
      <c r="M24">
        <f t="shared" si="14"/>
        <v>3.3333333333333333E-2</v>
      </c>
      <c r="N24" s="6">
        <f t="shared" si="4"/>
        <v>1.0980581202201007E-5</v>
      </c>
      <c r="O24">
        <f t="shared" si="5"/>
        <v>3.3136960032871163E-3</v>
      </c>
    </row>
    <row r="25" spans="1:15" x14ac:dyDescent="0.3">
      <c r="A25" t="s">
        <v>38</v>
      </c>
      <c r="C25">
        <f>(C22-B22)/B22</f>
        <v>0.19692460317460311</v>
      </c>
      <c r="D25">
        <f t="shared" ref="D25:M25" si="15">(D22-C22)/C22</f>
        <v>0.27144633236634896</v>
      </c>
      <c r="E25">
        <f t="shared" si="15"/>
        <v>-0.26205997392438068</v>
      </c>
      <c r="F25">
        <f t="shared" si="15"/>
        <v>0.25883392226148405</v>
      </c>
      <c r="G25">
        <f t="shared" si="15"/>
        <v>0.15368421052631587</v>
      </c>
      <c r="H25">
        <f t="shared" si="15"/>
        <v>6.4172749391727471E-2</v>
      </c>
      <c r="I25">
        <f t="shared" si="15"/>
        <v>3.6010288653901053E-2</v>
      </c>
      <c r="J25">
        <f t="shared" si="15"/>
        <v>0.1395862068965518</v>
      </c>
      <c r="K25">
        <f t="shared" si="15"/>
        <v>2.2028564512224558E-2</v>
      </c>
      <c r="L25">
        <f t="shared" si="15"/>
        <v>1.752723827569877E-2</v>
      </c>
      <c r="M25">
        <f t="shared" si="15"/>
        <v>-2.2346368715083817E-2</v>
      </c>
      <c r="N25">
        <f t="shared" si="4"/>
        <v>2.2821184878932217E-2</v>
      </c>
      <c r="O25">
        <f t="shared" si="5"/>
        <v>0.15106682256184584</v>
      </c>
    </row>
    <row r="26" spans="1:15" x14ac:dyDescent="0.3">
      <c r="A26" t="s">
        <v>39</v>
      </c>
      <c r="C26">
        <f>(C22-B22+C23)/B22</f>
        <v>0.22767857142857137</v>
      </c>
      <c r="D26">
        <f t="shared" ref="D26:M26" si="16">(D22-C22+D23)/C22</f>
        <v>0.29962702030667221</v>
      </c>
      <c r="E26">
        <f t="shared" si="16"/>
        <v>-0.23728813559322032</v>
      </c>
      <c r="F26">
        <f t="shared" si="16"/>
        <v>0.29505300353356889</v>
      </c>
      <c r="G26">
        <f t="shared" si="16"/>
        <v>0.18456140350877201</v>
      </c>
      <c r="H26">
        <f t="shared" si="16"/>
        <v>9.2761557177615542E-2</v>
      </c>
      <c r="I26">
        <f t="shared" si="16"/>
        <v>6.5161474707059103E-2</v>
      </c>
      <c r="J26">
        <f t="shared" si="16"/>
        <v>0.17048275862068973</v>
      </c>
      <c r="K26">
        <f t="shared" si="16"/>
        <v>5.1561365286855391E-2</v>
      </c>
      <c r="L26">
        <f t="shared" si="16"/>
        <v>4.8792041686404601E-2</v>
      </c>
      <c r="M26">
        <f t="shared" si="16"/>
        <v>1.0242085661080052E-2</v>
      </c>
      <c r="N26">
        <f t="shared" si="4"/>
        <v>2.3329850030627389E-2</v>
      </c>
      <c r="O26">
        <f t="shared" si="5"/>
        <v>0.1527411209551226</v>
      </c>
    </row>
    <row r="27" spans="1:15" x14ac:dyDescent="0.3">
      <c r="A27" t="s">
        <v>40</v>
      </c>
      <c r="F27">
        <v>52.03</v>
      </c>
      <c r="G27">
        <v>57.09</v>
      </c>
      <c r="H27">
        <v>60.99</v>
      </c>
      <c r="I27">
        <v>87.41</v>
      </c>
      <c r="J27">
        <v>106.46</v>
      </c>
      <c r="K27">
        <v>112.32</v>
      </c>
      <c r="L27">
        <v>125</v>
      </c>
      <c r="M27">
        <v>105.44</v>
      </c>
    </row>
    <row r="28" spans="1:15" x14ac:dyDescent="0.3">
      <c r="A28" t="s">
        <v>41</v>
      </c>
      <c r="G28">
        <v>0.52400000000000002</v>
      </c>
      <c r="H28">
        <v>1.1579999999999999</v>
      </c>
      <c r="I28">
        <v>1.5740000000000001</v>
      </c>
      <c r="J28">
        <f>0.816+2.213</f>
        <v>3.0289999999999999</v>
      </c>
      <c r="K28">
        <f>2+1.253</f>
        <v>3.2530000000000001</v>
      </c>
      <c r="L28">
        <f>1.77+2.174</f>
        <v>3.944</v>
      </c>
      <c r="M28">
        <f>1.749+2.263</f>
        <v>4.0120000000000005</v>
      </c>
    </row>
    <row r="29" spans="1:15" x14ac:dyDescent="0.3">
      <c r="A29" t="s">
        <v>42</v>
      </c>
      <c r="G29">
        <f>G28/G27</f>
        <v>9.1784901033455952E-3</v>
      </c>
      <c r="H29">
        <f t="shared" ref="H29:M29" si="17">H28/H27</f>
        <v>1.8986719134284308E-2</v>
      </c>
      <c r="I29">
        <f t="shared" si="17"/>
        <v>1.8007093009953096E-2</v>
      </c>
      <c r="J29">
        <f t="shared" si="17"/>
        <v>2.8452000751455948E-2</v>
      </c>
      <c r="K29">
        <f t="shared" si="17"/>
        <v>2.896189458689459E-2</v>
      </c>
      <c r="L29">
        <f t="shared" si="17"/>
        <v>3.1551999999999997E-2</v>
      </c>
      <c r="M29">
        <f t="shared" si="17"/>
        <v>3.8050075872534145E-2</v>
      </c>
      <c r="N29" s="6">
        <f t="shared" si="4"/>
        <v>9.5959610825965391E-5</v>
      </c>
      <c r="O29">
        <f t="shared" si="5"/>
        <v>9.7958976528935513E-3</v>
      </c>
    </row>
    <row r="30" spans="1:15" x14ac:dyDescent="0.3">
      <c r="A30" t="s">
        <v>43</v>
      </c>
      <c r="G30">
        <f>(G27-F27)/F27</f>
        <v>9.7251585623678694E-2</v>
      </c>
      <c r="H30">
        <f t="shared" ref="H30:M30" si="18">(H27-G27)/G27</f>
        <v>6.8313189700472912E-2</v>
      </c>
      <c r="I30">
        <f t="shared" si="18"/>
        <v>0.43318576815871446</v>
      </c>
      <c r="J30">
        <f t="shared" si="18"/>
        <v>0.21793845097814893</v>
      </c>
      <c r="K30">
        <f t="shared" si="18"/>
        <v>5.5044148036821339E-2</v>
      </c>
      <c r="L30">
        <f t="shared" si="18"/>
        <v>0.11289173789173795</v>
      </c>
      <c r="M30">
        <f t="shared" si="18"/>
        <v>-0.15648000000000001</v>
      </c>
      <c r="N30">
        <f t="shared" si="4"/>
        <v>3.1926197512129363E-2</v>
      </c>
      <c r="O30">
        <f t="shared" si="5"/>
        <v>0.17867903489813616</v>
      </c>
    </row>
    <row r="31" spans="1:15" x14ac:dyDescent="0.3">
      <c r="A31" t="s">
        <v>44</v>
      </c>
      <c r="G31">
        <f>(G27-F27+G28)/F27</f>
        <v>0.10732269844320588</v>
      </c>
      <c r="H31">
        <f t="shared" ref="H31:M31" si="19">(H27-G27+H28)/G27</f>
        <v>8.8596952180767172E-2</v>
      </c>
      <c r="I31">
        <f t="shared" si="19"/>
        <v>0.4589932775864895</v>
      </c>
      <c r="J31">
        <f t="shared" si="19"/>
        <v>0.25259123670060629</v>
      </c>
      <c r="K31">
        <f t="shared" si="19"/>
        <v>8.5600225436783764E-2</v>
      </c>
      <c r="L31">
        <f t="shared" si="19"/>
        <v>0.14800569800569807</v>
      </c>
      <c r="M31">
        <f t="shared" si="19"/>
        <v>-0.12438400000000001</v>
      </c>
      <c r="N31">
        <f t="shared" si="4"/>
        <v>3.1812202784829512E-2</v>
      </c>
      <c r="O31">
        <f t="shared" si="5"/>
        <v>0.17835975662920578</v>
      </c>
    </row>
    <row r="32" spans="1:15" x14ac:dyDescent="0.3">
      <c r="A32" t="s">
        <v>45</v>
      </c>
      <c r="B32">
        <v>24.66</v>
      </c>
      <c r="C32">
        <v>28.8</v>
      </c>
      <c r="D32">
        <v>28.5</v>
      </c>
      <c r="E32">
        <v>30.38</v>
      </c>
      <c r="F32">
        <v>35.4</v>
      </c>
      <c r="G32">
        <v>35.590000000000003</v>
      </c>
      <c r="H32">
        <v>40.409999999999997</v>
      </c>
      <c r="I32">
        <v>40.42</v>
      </c>
      <c r="J32">
        <v>49.91</v>
      </c>
      <c r="K32">
        <v>53.33</v>
      </c>
      <c r="L32">
        <v>57.66</v>
      </c>
      <c r="M32">
        <v>61.77</v>
      </c>
    </row>
    <row r="33" spans="1:15" x14ac:dyDescent="0.3">
      <c r="A33" t="s">
        <v>46</v>
      </c>
      <c r="B33">
        <f>0.155+0.165</f>
        <v>0.32</v>
      </c>
      <c r="C33">
        <f>0.17*2+0.175*2</f>
        <v>0.69</v>
      </c>
      <c r="D33">
        <f>0.185*2+0.195*2</f>
        <v>0.76</v>
      </c>
      <c r="E33">
        <f>0.195*2+0.215*2</f>
        <v>0.82000000000000006</v>
      </c>
      <c r="F33">
        <f>0.215*2+0.235*2</f>
        <v>0.89999999999999991</v>
      </c>
      <c r="G33">
        <f>0.245*2+0.28*2</f>
        <v>1.05</v>
      </c>
      <c r="H33">
        <f>0.28*2+0.305*2</f>
        <v>1.17</v>
      </c>
      <c r="I33">
        <f>0.305*2+0.33*2</f>
        <v>1.27</v>
      </c>
      <c r="J33">
        <f>0.33*2+0.38*2</f>
        <v>1.42</v>
      </c>
      <c r="K33">
        <f>0.41*4</f>
        <v>1.64</v>
      </c>
      <c r="L33">
        <f>0.41+0.44*3</f>
        <v>1.73</v>
      </c>
      <c r="M33">
        <f>0.44+0.48*3</f>
        <v>1.88</v>
      </c>
    </row>
    <row r="34" spans="1:15" x14ac:dyDescent="0.3">
      <c r="A34" t="s">
        <v>49</v>
      </c>
      <c r="C34">
        <f>C33/C32</f>
        <v>2.3958333333333331E-2</v>
      </c>
      <c r="D34">
        <f t="shared" ref="D34:M34" si="20">D33/D32</f>
        <v>2.6666666666666668E-2</v>
      </c>
      <c r="E34">
        <f t="shared" si="20"/>
        <v>2.6991441737985521E-2</v>
      </c>
      <c r="F34">
        <f t="shared" si="20"/>
        <v>2.542372881355932E-2</v>
      </c>
      <c r="G34">
        <f t="shared" si="20"/>
        <v>2.9502669289126156E-2</v>
      </c>
      <c r="H34">
        <f t="shared" si="20"/>
        <v>2.8953229398663696E-2</v>
      </c>
      <c r="I34">
        <f t="shared" si="20"/>
        <v>3.1420089064819398E-2</v>
      </c>
      <c r="J34">
        <f t="shared" si="20"/>
        <v>2.845121218192747E-2</v>
      </c>
      <c r="K34">
        <f t="shared" si="20"/>
        <v>3.0751921995124696E-2</v>
      </c>
      <c r="L34">
        <f t="shared" si="20"/>
        <v>3.0003468609087758E-2</v>
      </c>
      <c r="M34">
        <f t="shared" si="20"/>
        <v>3.0435486482111054E-2</v>
      </c>
      <c r="N34">
        <f t="shared" si="4"/>
        <v>5.6464154048836284E-6</v>
      </c>
      <c r="O34">
        <f t="shared" si="5"/>
        <v>2.3762187199169249E-3</v>
      </c>
    </row>
    <row r="35" spans="1:15" x14ac:dyDescent="0.3">
      <c r="A35" t="s">
        <v>47</v>
      </c>
      <c r="C35">
        <f>(C32-B32)/B32</f>
        <v>0.16788321167883213</v>
      </c>
      <c r="D35">
        <f t="shared" ref="D35:M35" si="21">(D32-C32)/C32</f>
        <v>-1.041666666666669E-2</v>
      </c>
      <c r="E35">
        <f t="shared" si="21"/>
        <v>6.5964912280701726E-2</v>
      </c>
      <c r="F35">
        <f t="shared" si="21"/>
        <v>0.16524028966425278</v>
      </c>
      <c r="G35">
        <f t="shared" si="21"/>
        <v>5.3672316384182159E-3</v>
      </c>
      <c r="H35">
        <f t="shared" si="21"/>
        <v>0.13543130092722655</v>
      </c>
      <c r="I35">
        <f t="shared" si="21"/>
        <v>2.4746349913400438E-4</v>
      </c>
      <c r="J35">
        <f t="shared" si="21"/>
        <v>0.23478476001979204</v>
      </c>
      <c r="K35">
        <f t="shared" si="21"/>
        <v>6.8523342015628166E-2</v>
      </c>
      <c r="L35">
        <f t="shared" si="21"/>
        <v>8.119257453590846E-2</v>
      </c>
      <c r="M35">
        <f t="shared" si="21"/>
        <v>7.1279916753382008E-2</v>
      </c>
      <c r="N35">
        <f t="shared" si="4"/>
        <v>6.1520358190832736E-3</v>
      </c>
      <c r="O35">
        <f t="shared" si="5"/>
        <v>7.8434914541186784E-2</v>
      </c>
    </row>
    <row r="36" spans="1:15" x14ac:dyDescent="0.3">
      <c r="A36" t="s">
        <v>48</v>
      </c>
      <c r="C36">
        <f>(C32-B32+C33)/B32</f>
        <v>0.19586374695863748</v>
      </c>
      <c r="D36">
        <f t="shared" ref="D36:M36" si="22">(D32-C32+D33)/C32</f>
        <v>1.5972222222222197E-2</v>
      </c>
      <c r="E36">
        <f t="shared" si="22"/>
        <v>9.4736842105263133E-2</v>
      </c>
      <c r="F36">
        <f t="shared" si="22"/>
        <v>0.19486504279131009</v>
      </c>
      <c r="G36">
        <f t="shared" si="22"/>
        <v>3.5028248587570761E-2</v>
      </c>
      <c r="H36">
        <f t="shared" si="22"/>
        <v>0.16830570384939569</v>
      </c>
      <c r="I36">
        <f t="shared" si="22"/>
        <v>3.1675327889136483E-2</v>
      </c>
      <c r="J36">
        <f t="shared" si="22"/>
        <v>0.26991588322612553</v>
      </c>
      <c r="K36">
        <f t="shared" si="22"/>
        <v>0.10138248847926271</v>
      </c>
      <c r="L36">
        <f t="shared" si="22"/>
        <v>0.11363210200637539</v>
      </c>
      <c r="M36">
        <f t="shared" si="22"/>
        <v>0.10388484217828663</v>
      </c>
      <c r="N36">
        <f t="shared" si="4"/>
        <v>6.3294090331807691E-3</v>
      </c>
      <c r="O36">
        <f t="shared" si="5"/>
        <v>7.9557583128076287E-2</v>
      </c>
    </row>
    <row r="37" spans="1:15" x14ac:dyDescent="0.3">
      <c r="A37" t="s">
        <v>50</v>
      </c>
      <c r="B37">
        <v>20.28</v>
      </c>
      <c r="C37">
        <v>27</v>
      </c>
      <c r="D37">
        <v>18.510000000000002</v>
      </c>
      <c r="E37">
        <v>12.84</v>
      </c>
      <c r="F37">
        <v>17.940000000000001</v>
      </c>
      <c r="G37">
        <v>17.57</v>
      </c>
      <c r="H37">
        <v>20.54</v>
      </c>
      <c r="I37">
        <v>22.96</v>
      </c>
      <c r="J37">
        <v>26.23</v>
      </c>
      <c r="K37">
        <v>28.23</v>
      </c>
      <c r="L37">
        <v>32.81</v>
      </c>
      <c r="M37">
        <v>38.44</v>
      </c>
    </row>
    <row r="38" spans="1:15" x14ac:dyDescent="0.3">
      <c r="A38" t="s">
        <v>51</v>
      </c>
      <c r="B38">
        <f>0.21245*4</f>
        <v>0.8498</v>
      </c>
      <c r="C38">
        <f>0.21245+0.14008*3</f>
        <v>0.63269000000000009</v>
      </c>
      <c r="D38">
        <f>0.14008*3+0.14786</f>
        <v>0.56810000000000005</v>
      </c>
      <c r="E38">
        <f>0.14786*4</f>
        <v>0.59143999999999997</v>
      </c>
      <c r="F38">
        <f>0.14786*3+0.15564</f>
        <v>0.59921999999999997</v>
      </c>
      <c r="G38">
        <f>0.15564*3+0.17899</f>
        <v>0.64590999999999998</v>
      </c>
      <c r="H38">
        <f>0.17899*3+0.18677</f>
        <v>0.72374000000000005</v>
      </c>
      <c r="I38">
        <f>0.18677*3+0.19455</f>
        <v>0.75485999999999998</v>
      </c>
      <c r="J38">
        <f>0.19455*4</f>
        <v>0.7782</v>
      </c>
      <c r="K38">
        <f>0.19455*4</f>
        <v>0.7782</v>
      </c>
      <c r="L38">
        <f>0.19455*4</f>
        <v>0.7782</v>
      </c>
      <c r="M38">
        <f>0.19455*4</f>
        <v>0.7782</v>
      </c>
    </row>
    <row r="39" spans="1:15" x14ac:dyDescent="0.3">
      <c r="A39" t="s">
        <v>52</v>
      </c>
      <c r="C39">
        <f>C38/C37</f>
        <v>2.3432962962962964E-2</v>
      </c>
      <c r="D39">
        <f t="shared" ref="D39:M39" si="23">D38/D37</f>
        <v>3.0691518098325231E-2</v>
      </c>
      <c r="E39">
        <f t="shared" si="23"/>
        <v>4.6062305295950151E-2</v>
      </c>
      <c r="F39">
        <f t="shared" si="23"/>
        <v>3.3401337792642136E-2</v>
      </c>
      <c r="G39">
        <f t="shared" si="23"/>
        <v>3.6762094479225953E-2</v>
      </c>
      <c r="H39">
        <f t="shared" si="23"/>
        <v>3.5235637779941584E-2</v>
      </c>
      <c r="I39">
        <f t="shared" si="23"/>
        <v>3.2877177700348433E-2</v>
      </c>
      <c r="J39">
        <f t="shared" si="23"/>
        <v>2.9668318719024016E-2</v>
      </c>
      <c r="K39">
        <f t="shared" si="23"/>
        <v>2.7566418703506908E-2</v>
      </c>
      <c r="L39">
        <f t="shared" si="23"/>
        <v>2.3718378543127094E-2</v>
      </c>
      <c r="M39">
        <f t="shared" si="23"/>
        <v>2.0244536940686786E-2</v>
      </c>
      <c r="N39" s="5">
        <f t="shared" si="4"/>
        <v>5.267626141260556E-5</v>
      </c>
      <c r="O39">
        <f t="shared" si="5"/>
        <v>7.2578413741694273E-3</v>
      </c>
    </row>
    <row r="40" spans="1:15" x14ac:dyDescent="0.3">
      <c r="A40" t="s">
        <v>53</v>
      </c>
      <c r="C40">
        <f>(C37-B37)/B37</f>
        <v>0.33136094674556205</v>
      </c>
      <c r="D40">
        <f t="shared" ref="D40:M40" si="24">(D37-C37)/C37</f>
        <v>-0.31444444444444436</v>
      </c>
      <c r="E40">
        <f t="shared" si="24"/>
        <v>-0.30632090761750413</v>
      </c>
      <c r="F40">
        <f t="shared" si="24"/>
        <v>0.39719626168224309</v>
      </c>
      <c r="G40">
        <f t="shared" si="24"/>
        <v>-2.062430323299894E-2</v>
      </c>
      <c r="H40">
        <f t="shared" si="24"/>
        <v>0.16903813318155941</v>
      </c>
      <c r="I40">
        <f t="shared" si="24"/>
        <v>0.11781888997078879</v>
      </c>
      <c r="J40">
        <f t="shared" si="24"/>
        <v>0.14242160278745641</v>
      </c>
      <c r="K40">
        <f t="shared" si="24"/>
        <v>7.624857033930614E-2</v>
      </c>
      <c r="L40">
        <f t="shared" si="24"/>
        <v>0.16223875309953956</v>
      </c>
      <c r="M40">
        <f t="shared" si="24"/>
        <v>0.17159402621152073</v>
      </c>
      <c r="N40">
        <f t="shared" si="4"/>
        <v>5.0697577226422597E-2</v>
      </c>
      <c r="O40">
        <f t="shared" si="5"/>
        <v>0.225161224962076</v>
      </c>
    </row>
    <row r="41" spans="1:15" x14ac:dyDescent="0.3">
      <c r="A41" t="s">
        <v>54</v>
      </c>
      <c r="C41">
        <f>(C37-B37+C38)/B37</f>
        <v>0.36255867850098611</v>
      </c>
      <c r="D41">
        <f t="shared" ref="D41:M41" si="25">(D37-C37+D38)/C37</f>
        <v>-0.29340370370370361</v>
      </c>
      <c r="E41">
        <f t="shared" si="25"/>
        <v>-0.27436844948676398</v>
      </c>
      <c r="F41">
        <f t="shared" si="25"/>
        <v>0.44386448598130851</v>
      </c>
      <c r="G41">
        <f t="shared" si="25"/>
        <v>1.5379598662207301E-2</v>
      </c>
      <c r="H41">
        <f t="shared" si="25"/>
        <v>0.21022993739328397</v>
      </c>
      <c r="I41">
        <f t="shared" si="25"/>
        <v>0.15456962025316465</v>
      </c>
      <c r="J41">
        <f t="shared" si="25"/>
        <v>0.17631533101045294</v>
      </c>
      <c r="K41">
        <f t="shared" si="25"/>
        <v>0.10591688905833016</v>
      </c>
      <c r="L41">
        <f t="shared" si="25"/>
        <v>0.18980517180304646</v>
      </c>
      <c r="M41">
        <f t="shared" si="25"/>
        <v>0.19531240475464781</v>
      </c>
      <c r="N41">
        <f t="shared" si="4"/>
        <v>5.2424443209888892E-2</v>
      </c>
      <c r="O41">
        <f t="shared" si="5"/>
        <v>0.22896384694944505</v>
      </c>
    </row>
    <row r="42" spans="1:15" x14ac:dyDescent="0.3">
      <c r="A42" t="s">
        <v>55</v>
      </c>
      <c r="B42">
        <v>43.22</v>
      </c>
      <c r="C42">
        <v>50.06</v>
      </c>
      <c r="D42">
        <v>52.43</v>
      </c>
      <c r="E42">
        <v>43.85</v>
      </c>
      <c r="F42">
        <v>53.2</v>
      </c>
      <c r="G42">
        <v>51.08</v>
      </c>
      <c r="H42">
        <v>50.57</v>
      </c>
      <c r="I42">
        <v>55.85</v>
      </c>
      <c r="J42">
        <v>61.07</v>
      </c>
      <c r="K42">
        <v>65.44</v>
      </c>
      <c r="L42">
        <v>72.27</v>
      </c>
      <c r="M42">
        <v>73.709999999999994</v>
      </c>
    </row>
    <row r="43" spans="1:15" x14ac:dyDescent="0.3">
      <c r="A43" t="s">
        <v>56</v>
      </c>
      <c r="B43">
        <f>0.253*2+0.278*2</f>
        <v>1.0620000000000001</v>
      </c>
      <c r="C43">
        <f>0.278*2+0.291*2</f>
        <v>1.1379999999999999</v>
      </c>
      <c r="D43">
        <f>0.291*2+0.31*2</f>
        <v>1.202</v>
      </c>
      <c r="E43">
        <f>0.31*2+0.34*2</f>
        <v>1.3</v>
      </c>
      <c r="F43">
        <f>0.34*2+0.375*2</f>
        <v>1.4300000000000002</v>
      </c>
      <c r="G43">
        <f>0.375*2+0.405*2</f>
        <v>1.56</v>
      </c>
      <c r="H43">
        <f>0.405*2+0.43*2</f>
        <v>1.67</v>
      </c>
      <c r="I43">
        <f>0.43*2+0.44*2</f>
        <v>1.74</v>
      </c>
      <c r="J43">
        <f>0.44*2+0.46*2</f>
        <v>1.8</v>
      </c>
      <c r="K43">
        <f>0.46*2+0.49*2</f>
        <v>1.9</v>
      </c>
      <c r="L43">
        <f>0.49*2+0.5*2</f>
        <v>1.98</v>
      </c>
      <c r="M43">
        <f>0.5*2+0.52*2</f>
        <v>2.04</v>
      </c>
    </row>
    <row r="44" spans="1:15" x14ac:dyDescent="0.3">
      <c r="A44" t="s">
        <v>57</v>
      </c>
      <c r="C44">
        <f>C43/C42</f>
        <v>2.2732720735117857E-2</v>
      </c>
      <c r="D44">
        <f t="shared" ref="D44:M44" si="26">D43/D42</f>
        <v>2.2925805836353234E-2</v>
      </c>
      <c r="E44">
        <f t="shared" si="26"/>
        <v>2.9646522234891677E-2</v>
      </c>
      <c r="F44">
        <f t="shared" si="26"/>
        <v>2.6879699248120302E-2</v>
      </c>
      <c r="G44">
        <f t="shared" si="26"/>
        <v>3.054032889584965E-2</v>
      </c>
      <c r="H44">
        <f t="shared" si="26"/>
        <v>3.3023531738184696E-2</v>
      </c>
      <c r="I44">
        <f t="shared" si="26"/>
        <v>3.1154879140555057E-2</v>
      </c>
      <c r="J44">
        <f t="shared" si="26"/>
        <v>2.9474373669559524E-2</v>
      </c>
      <c r="K44">
        <f t="shared" si="26"/>
        <v>2.9034229828850854E-2</v>
      </c>
      <c r="L44">
        <f t="shared" si="26"/>
        <v>2.7397260273972605E-2</v>
      </c>
      <c r="M44">
        <f t="shared" si="26"/>
        <v>2.7676027676027677E-2</v>
      </c>
      <c r="N44" s="6">
        <f t="shared" si="4"/>
        <v>1.0225029775640383E-5</v>
      </c>
      <c r="O44">
        <f t="shared" si="5"/>
        <v>3.1976600469156165E-3</v>
      </c>
    </row>
    <row r="45" spans="1:15" x14ac:dyDescent="0.3">
      <c r="A45" t="s">
        <v>58</v>
      </c>
      <c r="C45">
        <f>(C42-B42)/B42</f>
        <v>0.15826006478482194</v>
      </c>
      <c r="D45">
        <f t="shared" ref="D45:M45" si="27">(D42-C42)/C42</f>
        <v>4.734318817419092E-2</v>
      </c>
      <c r="E45">
        <f t="shared" si="27"/>
        <v>-0.16364676711806214</v>
      </c>
      <c r="F45">
        <f t="shared" si="27"/>
        <v>0.21322690992018248</v>
      </c>
      <c r="G45">
        <f t="shared" si="27"/>
        <v>-3.9849624060150461E-2</v>
      </c>
      <c r="H45">
        <f t="shared" si="27"/>
        <v>-9.9843382928738855E-3</v>
      </c>
      <c r="I45">
        <f t="shared" si="27"/>
        <v>0.10440972908839236</v>
      </c>
      <c r="J45">
        <f t="shared" si="27"/>
        <v>9.346463742166515E-2</v>
      </c>
      <c r="K45">
        <f t="shared" si="27"/>
        <v>7.1557229408875017E-2</v>
      </c>
      <c r="L45">
        <f t="shared" si="27"/>
        <v>0.10437041564792174</v>
      </c>
      <c r="M45">
        <f t="shared" si="27"/>
        <v>1.9925280199252771E-2</v>
      </c>
      <c r="N45">
        <f t="shared" si="4"/>
        <v>1.0464232280285975E-2</v>
      </c>
      <c r="O45">
        <f t="shared" si="5"/>
        <v>0.10229483017379704</v>
      </c>
    </row>
    <row r="46" spans="1:15" x14ac:dyDescent="0.3">
      <c r="A46" t="s">
        <v>59</v>
      </c>
      <c r="C46">
        <f>(C42-B42+C43)/B42</f>
        <v>0.18459046737621479</v>
      </c>
      <c r="D46">
        <f t="shared" ref="D46:M46" si="28">(D42-C42+D43)/C42</f>
        <v>7.1354374750299585E-2</v>
      </c>
      <c r="E46">
        <f t="shared" si="28"/>
        <v>-0.13885180240320424</v>
      </c>
      <c r="F46">
        <f t="shared" si="28"/>
        <v>0.2458380843785633</v>
      </c>
      <c r="G46">
        <f t="shared" si="28"/>
        <v>-1.0526315789473769E-2</v>
      </c>
      <c r="H46">
        <f t="shared" si="28"/>
        <v>2.2709475332811313E-2</v>
      </c>
      <c r="I46">
        <f t="shared" si="28"/>
        <v>0.13881748071979438</v>
      </c>
      <c r="J46">
        <f t="shared" si="28"/>
        <v>0.12569382273948074</v>
      </c>
      <c r="K46">
        <f t="shared" si="28"/>
        <v>0.10266906828229896</v>
      </c>
      <c r="L46">
        <f t="shared" si="28"/>
        <v>0.13462713936430315</v>
      </c>
      <c r="M46">
        <f t="shared" si="28"/>
        <v>4.8152760481527578E-2</v>
      </c>
      <c r="N46">
        <f t="shared" si="4"/>
        <v>1.0776449015433991E-2</v>
      </c>
      <c r="O46">
        <f t="shared" si="5"/>
        <v>0.10380967688724395</v>
      </c>
    </row>
    <row r="47" spans="1:15" x14ac:dyDescent="0.3">
      <c r="A47" t="s">
        <v>60</v>
      </c>
      <c r="B47">
        <v>33.630000000000003</v>
      </c>
      <c r="C47">
        <v>37.75</v>
      </c>
      <c r="D47">
        <v>23.09</v>
      </c>
      <c r="E47">
        <v>16.04</v>
      </c>
      <c r="F47">
        <v>16.11</v>
      </c>
      <c r="G47">
        <v>7.89</v>
      </c>
      <c r="H47">
        <v>10</v>
      </c>
      <c r="I47">
        <v>14.74</v>
      </c>
      <c r="J47">
        <v>17.190000000000001</v>
      </c>
      <c r="K47">
        <v>19.38</v>
      </c>
      <c r="L47">
        <v>17.149999999999999</v>
      </c>
      <c r="M47">
        <v>21.78</v>
      </c>
    </row>
    <row r="48" spans="1:15" x14ac:dyDescent="0.3">
      <c r="A48" t="s">
        <v>61</v>
      </c>
      <c r="B48">
        <v>5.4107099999999999</v>
      </c>
      <c r="C48">
        <v>0</v>
      </c>
      <c r="D48">
        <v>13.392860000000001</v>
      </c>
      <c r="E48">
        <v>0</v>
      </c>
      <c r="F48">
        <v>0</v>
      </c>
      <c r="G48">
        <v>8.9289999999999994E-2</v>
      </c>
      <c r="H48">
        <v>0</v>
      </c>
      <c r="I48">
        <v>0</v>
      </c>
      <c r="J48">
        <v>0</v>
      </c>
      <c r="K48">
        <f>0.07*4</f>
        <v>0.28000000000000003</v>
      </c>
      <c r="L48">
        <f>0.07*4</f>
        <v>0.28000000000000003</v>
      </c>
      <c r="M48">
        <f>0.09*4</f>
        <v>0.36</v>
      </c>
    </row>
    <row r="49" spans="1:15" x14ac:dyDescent="0.3">
      <c r="A49" t="s">
        <v>62</v>
      </c>
      <c r="C49">
        <f>C48/C47</f>
        <v>0</v>
      </c>
      <c r="D49">
        <f t="shared" ref="D49:M49" si="29">D48/D47</f>
        <v>0.58002858380251199</v>
      </c>
      <c r="E49">
        <f t="shared" si="29"/>
        <v>0</v>
      </c>
      <c r="F49">
        <f t="shared" si="29"/>
        <v>0</v>
      </c>
      <c r="G49">
        <f t="shared" si="29"/>
        <v>1.1316856780735107E-2</v>
      </c>
      <c r="H49">
        <f t="shared" si="29"/>
        <v>0</v>
      </c>
      <c r="I49">
        <f t="shared" si="29"/>
        <v>0</v>
      </c>
      <c r="J49">
        <f t="shared" si="29"/>
        <v>0</v>
      </c>
      <c r="K49">
        <f t="shared" si="29"/>
        <v>1.4447884416924666E-2</v>
      </c>
      <c r="L49">
        <f t="shared" si="29"/>
        <v>1.6326530612244899E-2</v>
      </c>
      <c r="M49">
        <f t="shared" si="29"/>
        <v>1.6528925619834708E-2</v>
      </c>
      <c r="N49">
        <f t="shared" si="4"/>
        <v>3.0023043473531585E-2</v>
      </c>
      <c r="O49">
        <f t="shared" si="5"/>
        <v>0.17327158876610899</v>
      </c>
    </row>
    <row r="50" spans="1:15" x14ac:dyDescent="0.3">
      <c r="A50" t="s">
        <v>63</v>
      </c>
      <c r="C50">
        <f>(C47-B47)/B47</f>
        <v>0.1225096639904846</v>
      </c>
      <c r="D50">
        <f t="shared" ref="D50:M50" si="30">(D47-C47)/C47</f>
        <v>-0.38834437086092716</v>
      </c>
      <c r="E50">
        <f t="shared" si="30"/>
        <v>-0.30532698137721959</v>
      </c>
      <c r="F50">
        <f t="shared" si="30"/>
        <v>4.3640897755611151E-3</v>
      </c>
      <c r="G50">
        <f t="shared" si="30"/>
        <v>-0.51024208566107998</v>
      </c>
      <c r="H50">
        <f t="shared" si="30"/>
        <v>0.26742712294043097</v>
      </c>
      <c r="I50">
        <f t="shared" si="30"/>
        <v>0.47400000000000003</v>
      </c>
      <c r="J50">
        <f t="shared" si="30"/>
        <v>0.16621438263229316</v>
      </c>
      <c r="K50">
        <f t="shared" si="30"/>
        <v>0.12739965095986025</v>
      </c>
      <c r="L50">
        <f t="shared" si="30"/>
        <v>-0.11506707946336432</v>
      </c>
      <c r="M50">
        <f t="shared" si="30"/>
        <v>0.26997084548104971</v>
      </c>
      <c r="N50">
        <f t="shared" si="4"/>
        <v>9.4442754121703443E-2</v>
      </c>
      <c r="O50">
        <f t="shared" si="5"/>
        <v>0.30731539844547889</v>
      </c>
    </row>
    <row r="51" spans="1:15" x14ac:dyDescent="0.3">
      <c r="A51" t="s">
        <v>64</v>
      </c>
      <c r="C51">
        <f>(C47-B47+C48)/B47</f>
        <v>0.1225096639904846</v>
      </c>
      <c r="D51">
        <f t="shared" ref="D51:M51" si="31">(D47-C47+D48)/C47</f>
        <v>-3.3566622516556281E-2</v>
      </c>
      <c r="E51">
        <f t="shared" si="31"/>
        <v>-0.30532698137721959</v>
      </c>
      <c r="F51">
        <f t="shared" si="31"/>
        <v>4.3640897755611151E-3</v>
      </c>
      <c r="G51">
        <f t="shared" si="31"/>
        <v>-0.5046995654872749</v>
      </c>
      <c r="H51">
        <f t="shared" si="31"/>
        <v>0.26742712294043097</v>
      </c>
      <c r="I51">
        <f t="shared" si="31"/>
        <v>0.47400000000000003</v>
      </c>
      <c r="J51">
        <f t="shared" si="31"/>
        <v>0.16621438263229316</v>
      </c>
      <c r="K51">
        <f t="shared" si="31"/>
        <v>0.14368819080860953</v>
      </c>
      <c r="L51">
        <f t="shared" si="31"/>
        <v>-0.10061919504643965</v>
      </c>
      <c r="M51">
        <f t="shared" si="31"/>
        <v>0.29096209912536464</v>
      </c>
      <c r="N51">
        <f t="shared" si="4"/>
        <v>7.7829819729113972E-2</v>
      </c>
      <c r="O51">
        <f t="shared" si="5"/>
        <v>0.27897996295274319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2017-04-26T22:18:09Z</dcterms:created>
  <dcterms:modified xsi:type="dcterms:W3CDTF">2017-05-03T15:22:53Z</dcterms:modified>
</cp:coreProperties>
</file>