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Gert\Mijn documenten\BrandNewDay\"/>
    </mc:Choice>
  </mc:AlternateContent>
  <xr:revisionPtr revIDLastSave="0" documentId="13_ncr:1_{E6A458A2-EE93-49B5-923D-970A4F3F8A11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Invoer en totaal" sheetId="1" r:id="rId1"/>
    <sheet name="Rendement berekening" sheetId="2" r:id="rId2"/>
    <sheet name="Rabobank" sheetId="4" r:id="rId3"/>
    <sheet name="Changelo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4" l="1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B23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B22" i="4"/>
  <c r="E32" i="4"/>
  <c r="E31" i="4"/>
  <c r="C31" i="4"/>
  <c r="B31" i="4"/>
  <c r="C30" i="4"/>
  <c r="E30" i="4"/>
  <c r="B30" i="4"/>
  <c r="C29" i="4"/>
  <c r="D29" i="4"/>
  <c r="E29" i="4"/>
  <c r="F29" i="4"/>
  <c r="B29" i="4"/>
  <c r="B4" i="4"/>
  <c r="B6" i="4"/>
  <c r="B3" i="4"/>
  <c r="B13" i="4" s="1"/>
  <c r="I13" i="4" l="1"/>
  <c r="W13" i="4"/>
  <c r="V13" i="4"/>
  <c r="G13" i="4"/>
  <c r="D13" i="4"/>
  <c r="U13" i="4"/>
  <c r="O13" i="4"/>
  <c r="N13" i="4"/>
  <c r="H13" i="4"/>
  <c r="AC13" i="4"/>
  <c r="M13" i="4"/>
  <c r="AB13" i="4"/>
  <c r="L13" i="4"/>
  <c r="Y13" i="4"/>
  <c r="F13" i="4"/>
  <c r="AE13" i="4"/>
  <c r="T13" i="4"/>
  <c r="AD13" i="4"/>
  <c r="Q13" i="4"/>
  <c r="E13" i="4"/>
  <c r="AA13" i="4"/>
  <c r="S13" i="4"/>
  <c r="K13" i="4"/>
  <c r="C13" i="4"/>
  <c r="Z13" i="4"/>
  <c r="R13" i="4"/>
  <c r="J13" i="4"/>
  <c r="X13" i="4"/>
  <c r="P13" i="4"/>
  <c r="D3" i="1"/>
  <c r="E6" i="1" l="1"/>
  <c r="E3" i="2" s="1"/>
  <c r="C4" i="1"/>
  <c r="D4" i="1"/>
  <c r="E4" i="1"/>
  <c r="E4" i="2" s="1"/>
  <c r="E3" i="1"/>
  <c r="E5" i="1" l="1"/>
  <c r="E6" i="2"/>
  <c r="E7" i="2" s="1"/>
  <c r="E5" i="2"/>
  <c r="D6" i="1"/>
  <c r="C6" i="1"/>
  <c r="C3" i="2" s="1"/>
  <c r="B4" i="2"/>
  <c r="B3" i="2"/>
  <c r="B6" i="2"/>
  <c r="D6" i="2"/>
  <c r="D3" i="2" l="1"/>
  <c r="E8" i="2"/>
  <c r="E9" i="2" s="1"/>
  <c r="B7" i="2"/>
  <c r="C3" i="1"/>
  <c r="C6" i="2" s="1"/>
  <c r="B5" i="1"/>
  <c r="B5" i="4" s="1"/>
  <c r="C4" i="2" l="1"/>
  <c r="C5" i="1"/>
  <c r="C7" i="2" l="1"/>
  <c r="C5" i="2"/>
  <c r="C8" i="2" s="1"/>
  <c r="D5" i="1"/>
  <c r="D4" i="2"/>
  <c r="B5" i="2"/>
  <c r="B8" i="2" s="1"/>
  <c r="C9" i="2" l="1"/>
  <c r="B9" i="2"/>
  <c r="B7" i="1" s="1"/>
  <c r="D7" i="2"/>
  <c r="D5" i="2"/>
  <c r="D8" i="2" s="1"/>
  <c r="E7" i="1" l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B7" i="4"/>
  <c r="B12" i="4" s="1"/>
  <c r="D9" i="2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C7" i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D7" i="1"/>
  <c r="C12" i="4" l="1"/>
  <c r="B14" i="4"/>
  <c r="B15" i="4" l="1"/>
  <c r="B16" i="4" s="1"/>
  <c r="B17" i="4" s="1"/>
  <c r="D12" i="4"/>
  <c r="C14" i="4"/>
  <c r="B19" i="4" l="1"/>
  <c r="B20" i="4" s="1"/>
  <c r="B21" i="4" s="1"/>
  <c r="B15" i="1" s="1"/>
  <c r="C15" i="4"/>
  <c r="C16" i="4" s="1"/>
  <c r="C17" i="4" s="1"/>
  <c r="E12" i="4"/>
  <c r="D14" i="4"/>
  <c r="C19" i="4" l="1"/>
  <c r="C20" i="4" s="1"/>
  <c r="D15" i="4"/>
  <c r="D16" i="4" s="1"/>
  <c r="D17" i="4" s="1"/>
  <c r="F12" i="4"/>
  <c r="E14" i="4"/>
  <c r="B18" i="4"/>
  <c r="C18" i="4" l="1"/>
  <c r="C21" i="4"/>
  <c r="C15" i="1" s="1"/>
  <c r="D19" i="4"/>
  <c r="D20" i="4" s="1"/>
  <c r="E15" i="4"/>
  <c r="E16" i="4" s="1"/>
  <c r="E17" i="4" s="1"/>
  <c r="G12" i="4"/>
  <c r="F14" i="4"/>
  <c r="D18" i="4" l="1"/>
  <c r="D21" i="4"/>
  <c r="D15" i="1" s="1"/>
  <c r="E19" i="4"/>
  <c r="E20" i="4" s="1"/>
  <c r="H12" i="4"/>
  <c r="G14" i="4"/>
  <c r="F15" i="4"/>
  <c r="F16" i="4" s="1"/>
  <c r="F17" i="4" s="1"/>
  <c r="E18" i="4" l="1"/>
  <c r="E21" i="4"/>
  <c r="E15" i="1" s="1"/>
  <c r="F19" i="4"/>
  <c r="F20" i="4" s="1"/>
  <c r="G15" i="4"/>
  <c r="G16" i="4" s="1"/>
  <c r="G17" i="4" s="1"/>
  <c r="I12" i="4"/>
  <c r="H14" i="4"/>
  <c r="F18" i="4" l="1"/>
  <c r="F21" i="4"/>
  <c r="F15" i="1" s="1"/>
  <c r="H15" i="4"/>
  <c r="H16" i="4" s="1"/>
  <c r="H17" i="4" s="1"/>
  <c r="G19" i="4"/>
  <c r="G20" i="4" s="1"/>
  <c r="J12" i="4"/>
  <c r="I14" i="4"/>
  <c r="G18" i="4" l="1"/>
  <c r="G21" i="4"/>
  <c r="G15" i="1" s="1"/>
  <c r="H19" i="4"/>
  <c r="H20" i="4" s="1"/>
  <c r="I15" i="4"/>
  <c r="I16" i="4" s="1"/>
  <c r="I17" i="4" s="1"/>
  <c r="K12" i="4"/>
  <c r="J14" i="4"/>
  <c r="H18" i="4" l="1"/>
  <c r="H21" i="4"/>
  <c r="H15" i="1" s="1"/>
  <c r="I19" i="4"/>
  <c r="I20" i="4" s="1"/>
  <c r="L12" i="4"/>
  <c r="K14" i="4"/>
  <c r="J15" i="4"/>
  <c r="J16" i="4" s="1"/>
  <c r="J17" i="4" s="1"/>
  <c r="I18" i="4" l="1"/>
  <c r="I21" i="4"/>
  <c r="I15" i="1" s="1"/>
  <c r="J19" i="4"/>
  <c r="J20" i="4" s="1"/>
  <c r="K15" i="4"/>
  <c r="K16" i="4"/>
  <c r="K17" i="4" s="1"/>
  <c r="M12" i="4"/>
  <c r="L14" i="4"/>
  <c r="J18" i="4" l="1"/>
  <c r="J21" i="4"/>
  <c r="J15" i="1" s="1"/>
  <c r="L15" i="4"/>
  <c r="L16" i="4" s="1"/>
  <c r="L17" i="4" s="1"/>
  <c r="N12" i="4"/>
  <c r="M14" i="4"/>
  <c r="K19" i="4"/>
  <c r="K20" i="4" s="1"/>
  <c r="K18" i="4" l="1"/>
  <c r="K21" i="4"/>
  <c r="K15" i="1" s="1"/>
  <c r="M15" i="4"/>
  <c r="M16" i="4" s="1"/>
  <c r="M17" i="4" s="1"/>
  <c r="O12" i="4"/>
  <c r="N14" i="4"/>
  <c r="L19" i="4"/>
  <c r="L20" i="4" s="1"/>
  <c r="L18" i="4" l="1"/>
  <c r="L21" i="4"/>
  <c r="L15" i="1" s="1"/>
  <c r="M19" i="4"/>
  <c r="M20" i="4" s="1"/>
  <c r="N15" i="4"/>
  <c r="N16" i="4" s="1"/>
  <c r="N17" i="4" s="1"/>
  <c r="P12" i="4"/>
  <c r="O14" i="4"/>
  <c r="M18" i="4" l="1"/>
  <c r="M21" i="4"/>
  <c r="M15" i="1" s="1"/>
  <c r="N19" i="4"/>
  <c r="N20" i="4" s="1"/>
  <c r="O15" i="4"/>
  <c r="O16" i="4" s="1"/>
  <c r="O17" i="4" s="1"/>
  <c r="Q12" i="4"/>
  <c r="P14" i="4"/>
  <c r="N18" i="4" l="1"/>
  <c r="N21" i="4"/>
  <c r="N15" i="1" s="1"/>
  <c r="R12" i="4"/>
  <c r="Q14" i="4"/>
  <c r="P15" i="4"/>
  <c r="P16" i="4" s="1"/>
  <c r="P17" i="4" s="1"/>
  <c r="O19" i="4"/>
  <c r="O20" i="4" s="1"/>
  <c r="O18" i="4" l="1"/>
  <c r="O21" i="4"/>
  <c r="O15" i="1" s="1"/>
  <c r="P19" i="4"/>
  <c r="P20" i="4" s="1"/>
  <c r="Q15" i="4"/>
  <c r="Q16" i="4" s="1"/>
  <c r="Q17" i="4" s="1"/>
  <c r="S12" i="4"/>
  <c r="R14" i="4"/>
  <c r="P18" i="4" l="1"/>
  <c r="P21" i="4"/>
  <c r="P15" i="1" s="1"/>
  <c r="Q19" i="4"/>
  <c r="Q20" i="4" s="1"/>
  <c r="T12" i="4"/>
  <c r="S14" i="4"/>
  <c r="R15" i="4"/>
  <c r="R16" i="4" s="1"/>
  <c r="R17" i="4" s="1"/>
  <c r="Q18" i="4" l="1"/>
  <c r="Q21" i="4"/>
  <c r="Q15" i="1" s="1"/>
  <c r="R19" i="4"/>
  <c r="R20" i="4" s="1"/>
  <c r="S15" i="4"/>
  <c r="S16" i="4"/>
  <c r="S17" i="4" s="1"/>
  <c r="U12" i="4"/>
  <c r="T14" i="4"/>
  <c r="R18" i="4" l="1"/>
  <c r="R21" i="4"/>
  <c r="R15" i="1" s="1"/>
  <c r="T15" i="4"/>
  <c r="T16" i="4" s="1"/>
  <c r="T17" i="4" s="1"/>
  <c r="V12" i="4"/>
  <c r="U14" i="4"/>
  <c r="S19" i="4"/>
  <c r="S20" i="4" s="1"/>
  <c r="S18" i="4" l="1"/>
  <c r="S21" i="4"/>
  <c r="S15" i="1" s="1"/>
  <c r="U15" i="4"/>
  <c r="U16" i="4"/>
  <c r="U17" i="4" s="1"/>
  <c r="W12" i="4"/>
  <c r="V14" i="4"/>
  <c r="T19" i="4"/>
  <c r="T20" i="4" s="1"/>
  <c r="T18" i="4" l="1"/>
  <c r="T21" i="4"/>
  <c r="T15" i="1" s="1"/>
  <c r="V15" i="4"/>
  <c r="V16" i="4" s="1"/>
  <c r="V17" i="4" s="1"/>
  <c r="X12" i="4"/>
  <c r="W14" i="4"/>
  <c r="U19" i="4"/>
  <c r="U20" i="4" s="1"/>
  <c r="U18" i="4" l="1"/>
  <c r="U21" i="4"/>
  <c r="U15" i="1" s="1"/>
  <c r="W15" i="4"/>
  <c r="W16" i="4"/>
  <c r="W17" i="4" s="1"/>
  <c r="Y12" i="4"/>
  <c r="X14" i="4"/>
  <c r="V19" i="4"/>
  <c r="V20" i="4" s="1"/>
  <c r="V18" i="4" l="1"/>
  <c r="V21" i="4"/>
  <c r="V15" i="1" s="1"/>
  <c r="X15" i="4"/>
  <c r="X16" i="4" s="1"/>
  <c r="X17" i="4" s="1"/>
  <c r="Z12" i="4"/>
  <c r="Y14" i="4"/>
  <c r="W19" i="4"/>
  <c r="W20" i="4" s="1"/>
  <c r="W18" i="4" l="1"/>
  <c r="W21" i="4"/>
  <c r="W15" i="1" s="1"/>
  <c r="X19" i="4"/>
  <c r="X20" i="4" s="1"/>
  <c r="Y15" i="4"/>
  <c r="Y16" i="4" s="1"/>
  <c r="Y17" i="4" s="1"/>
  <c r="AA12" i="4"/>
  <c r="Z14" i="4"/>
  <c r="X18" i="4" l="1"/>
  <c r="X21" i="4"/>
  <c r="X15" i="1" s="1"/>
  <c r="Y19" i="4"/>
  <c r="Y20" i="4" s="1"/>
  <c r="AB12" i="4"/>
  <c r="AA14" i="4"/>
  <c r="Z15" i="4"/>
  <c r="Z16" i="4" s="1"/>
  <c r="Z17" i="4" s="1"/>
  <c r="Y18" i="4" l="1"/>
  <c r="Y21" i="4"/>
  <c r="Y15" i="1" s="1"/>
  <c r="Z19" i="4"/>
  <c r="Z20" i="4" s="1"/>
  <c r="AA15" i="4"/>
  <c r="AA16" i="4" s="1"/>
  <c r="AA17" i="4" s="1"/>
  <c r="AC12" i="4"/>
  <c r="AB14" i="4"/>
  <c r="Z18" i="4" l="1"/>
  <c r="Z21" i="4"/>
  <c r="Z15" i="1" s="1"/>
  <c r="AA19" i="4"/>
  <c r="AA20" i="4" s="1"/>
  <c r="AB15" i="4"/>
  <c r="AB16" i="4" s="1"/>
  <c r="AB17" i="4" s="1"/>
  <c r="AD12" i="4"/>
  <c r="AC14" i="4"/>
  <c r="AA18" i="4" l="1"/>
  <c r="AA21" i="4"/>
  <c r="AA15" i="1" s="1"/>
  <c r="AE12" i="4"/>
  <c r="AE14" i="4" s="1"/>
  <c r="AD14" i="4"/>
  <c r="AC15" i="4"/>
  <c r="AC16" i="4" s="1"/>
  <c r="AC17" i="4" s="1"/>
  <c r="AB19" i="4"/>
  <c r="AB20" i="4" s="1"/>
  <c r="AB18" i="4" l="1"/>
  <c r="AB21" i="4"/>
  <c r="AB15" i="1" s="1"/>
  <c r="AC19" i="4"/>
  <c r="AC20" i="4" s="1"/>
  <c r="AE15" i="4"/>
  <c r="AE16" i="4" s="1"/>
  <c r="AE17" i="4" s="1"/>
  <c r="AD15" i="4"/>
  <c r="AD16" i="4" s="1"/>
  <c r="AD17" i="4" s="1"/>
  <c r="AC18" i="4" l="1"/>
  <c r="AC21" i="4"/>
  <c r="AC15" i="1" s="1"/>
  <c r="AD19" i="4"/>
  <c r="AD20" i="4" s="1"/>
  <c r="AE19" i="4"/>
  <c r="AE20" i="4" s="1"/>
  <c r="AE18" i="4" l="1"/>
  <c r="AE21" i="4"/>
  <c r="AE15" i="1" s="1"/>
  <c r="AD18" i="4"/>
  <c r="AD21" i="4"/>
  <c r="AD15" i="1" s="1"/>
</calcChain>
</file>

<file path=xl/sharedStrings.xml><?xml version="1.0" encoding="utf-8"?>
<sst xmlns="http://schemas.openxmlformats.org/spreadsheetml/2006/main" count="158" uniqueCount="105">
  <si>
    <t>Aantal perioden / jaar</t>
  </si>
  <si>
    <t>Inleg / periode (€)</t>
  </si>
  <si>
    <t>Inleg / jaar (€)</t>
  </si>
  <si>
    <t>Resultaat zonder kosten</t>
  </si>
  <si>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</si>
  <si>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</si>
  <si>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</si>
  <si>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</si>
  <si>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</si>
  <si>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</si>
  <si>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</si>
  <si>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</si>
  <si>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</si>
  <si>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</si>
  <si>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</si>
  <si>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</si>
  <si>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</si>
  <si>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</si>
  <si>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</si>
  <si>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</si>
  <si>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</si>
  <si>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</si>
  <si>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</si>
  <si>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</si>
  <si>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</si>
  <si>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</si>
  <si>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</si>
  <si>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</si>
  <si>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</si>
  <si>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</si>
  <si>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</si>
  <si>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</si>
  <si>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</si>
  <si>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</si>
  <si>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Kosten</t>
  </si>
  <si>
    <t>Aankoop</t>
  </si>
  <si>
    <t>Verkoop</t>
  </si>
  <si>
    <t>Fonds</t>
  </si>
  <si>
    <t>Vaste kosten</t>
  </si>
  <si>
    <t>BrandNewDay</t>
  </si>
  <si>
    <t>Opbrengsten</t>
  </si>
  <si>
    <t>Inleg &amp; Rendement</t>
  </si>
  <si>
    <t>Resultaat BrandNewDay</t>
  </si>
  <si>
    <t>Geen kosten</t>
  </si>
  <si>
    <t>Rabobank</t>
  </si>
  <si>
    <t>Resultaat Rabobank</t>
  </si>
  <si>
    <t>Perioden per jaar:</t>
  </si>
  <si>
    <t>Inleg per periode</t>
  </si>
  <si>
    <t>Opbrengst = S * (( 1 + r ) ^ i -1) * ( 1+r ) / r en daarin zitten de volgende elementen;</t>
  </si>
  <si>
    <t>S = de inleg per maand;</t>
  </si>
  <si>
    <t>r = de rente die je per maand verkrijgt oftewel r/mnd = ( 1 + r ) ^ (1/12) – 1;</t>
  </si>
  <si>
    <t>i = het aantal maanden dat je gaat inleggen.</t>
  </si>
  <si>
    <t>Rente per periode:</t>
  </si>
  <si>
    <t>Eindbedrag per jaar:</t>
  </si>
  <si>
    <t>storting minus aankoopkosten</t>
  </si>
  <si>
    <t>inleg per jaar minus aankoopkosten</t>
  </si>
  <si>
    <t>werkelijk rendement over inleg per jaar. dus tov aantal perioden per jaar en minus alle kosten</t>
  </si>
  <si>
    <t>Rendement fonds / jaar :</t>
  </si>
  <si>
    <t>Rendement fonds (%) / jaar</t>
  </si>
  <si>
    <t>gemiddeld jaarlijks rendement fonds</t>
  </si>
  <si>
    <t xml:space="preserve"> </t>
  </si>
  <si>
    <t>Werkelijk rendement (%) / jaar over inleg</t>
  </si>
  <si>
    <t>Legenda</t>
  </si>
  <si>
    <t>Invoer</t>
  </si>
  <si>
    <t>Resultaat</t>
  </si>
  <si>
    <t>Commentaar</t>
  </si>
  <si>
    <t>Brand New Day</t>
  </si>
  <si>
    <t>Inleg per jaar</t>
  </si>
  <si>
    <t>Werkelijk rendement per jaar over stortingen:</t>
  </si>
  <si>
    <t>Meesman</t>
  </si>
  <si>
    <t>Resultaat Meesman</t>
  </si>
  <si>
    <t xml:space="preserve">V1.0 </t>
  </si>
  <si>
    <t>Initial release</t>
  </si>
  <si>
    <t>V1.1</t>
  </si>
  <si>
    <t>Forgot to add €5 component to Rabobank buy cost</t>
  </si>
  <si>
    <t xml:space="preserve">V1.2 </t>
  </si>
  <si>
    <t xml:space="preserve">Fixed Rabobank -&gt; removed €5, </t>
  </si>
  <si>
    <t>min</t>
  </si>
  <si>
    <t>max</t>
  </si>
  <si>
    <t>tot 100k: 0,06%, vanaf 100k: 0,03% per kwartaal</t>
  </si>
  <si>
    <t>Berekening voor het werkelijk rendement bij meerdere inlegmomenten per jaar</t>
  </si>
  <si>
    <t>LET OP: Verkoopkosten worden niet meegenomen in de berekening omdat het moment van verkoop niet bekend is</t>
  </si>
  <si>
    <t>Fonds kosten</t>
  </si>
  <si>
    <t>tm</t>
  </si>
  <si>
    <t>Rabobank berekening</t>
  </si>
  <si>
    <t>(eigen sheet ivm limieten en staffels)</t>
  </si>
  <si>
    <t>vaste kosten "hoog"</t>
  </si>
  <si>
    <t>vaste kosten "laag"</t>
  </si>
  <si>
    <t>"Hoog"</t>
  </si>
  <si>
    <t>"Laag"</t>
  </si>
  <si>
    <t>€5 per kwartaal</t>
  </si>
  <si>
    <t>€100 per kwartaal</t>
  </si>
  <si>
    <t>totaal vaste kosten incl limieten</t>
  </si>
  <si>
    <t>bedrag vaste kosten "laag"</t>
  </si>
  <si>
    <t>resultaat incl vaste kosten "hoog"</t>
  </si>
  <si>
    <t>resultaat incl fonds kosten</t>
  </si>
  <si>
    <t>resultaat incl aankoopkosten</t>
  </si>
  <si>
    <t>aankoopkosten</t>
  </si>
  <si>
    <t>resultaat zonder kosten</t>
  </si>
  <si>
    <t>totale kosten</t>
  </si>
  <si>
    <t>Resultaten</t>
  </si>
  <si>
    <t>Vaste kosten (Basisdienstverlening)</t>
  </si>
  <si>
    <t>V2.0</t>
  </si>
  <si>
    <t>Revamped whole Rabobank, now including all costs and limits</t>
  </si>
  <si>
    <t>(per jaar)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</si>
</sst>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€&quot;\ * #,##0_ ;_ &quot;€&quot;\ * \-#,##0_ ;_ &quot;€&quot;\ * &quot;-&quot;_ ;_ @_ "/>
    <numFmt numFmtId="44" formatCode="_ &quot;€&quot;\ * #,##0.00_ ;_ &quot;€&quot;\ * \-#,##0.00_ ;_ &quot;€&quot;\ * &quot;-&quot;??_ ;_ @_ "/>
    <numFmt numFmtId="164" formatCode="0.0%"/>
    <numFmt numFmtId="165" formatCode="&quot;€&quot;\ #,##0.00"/>
    <numFmt numFmtId="166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</borders>
  <cellStyleXfs count="3">
    <xf numFmtId="0" fontId="0" fillId="0" borderId="0"/>
    <xf numFmtId="0" fontId="7" fillId="2" borderId="16" applyNumberFormat="0" applyAlignment="0" applyProtection="0"/>
    <xf numFmtId="0" fontId="6" fillId="3" borderId="1" applyNumberFormat="0" applyAlignment="0" applyProtection="0"/>
  </cellStyleXfs>
  <cellXfs count="60">
    <xf numFmtId="0" fontId="0" fillId="0" borderId="0" xfId="0"/>
    <xf numFmtId="0" fontId="6" fillId="3" borderId="1" xfId="2"/>
    <xf numFmtId="0" fontId="1" fillId="0" borderId="0" xfId="0" applyFont="1"/>
    <xf numFmtId="4" fontId="0" fillId="0" borderId="0" xfId="0" applyNumberFormat="1"/>
    <xf numFmtId="165" fontId="0" fillId="0" borderId="0" xfId="0" applyNumberFormat="1"/>
    <xf numFmtId="10" fontId="6" fillId="3" borderId="1" xfId="2" applyNumberFormat="1"/>
    <xf numFmtId="165" fontId="6" fillId="3" borderId="1" xfId="2" applyNumberFormat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6" fillId="3" borderId="1" xfId="2" applyNumberFormat="1"/>
    <xf numFmtId="165" fontId="1" fillId="0" borderId="0" xfId="0" applyNumberFormat="1" applyFont="1"/>
    <xf numFmtId="4" fontId="1" fillId="0" borderId="0" xfId="0" applyNumberFormat="1" applyFont="1"/>
    <xf numFmtId="0" fontId="1" fillId="0" borderId="3" xfId="0" applyFont="1" applyBorder="1"/>
    <xf numFmtId="0" fontId="3" fillId="0" borderId="0" xfId="0" applyFont="1"/>
    <xf numFmtId="0" fontId="4" fillId="0" borderId="0" xfId="0" applyFont="1"/>
    <xf numFmtId="0" fontId="1" fillId="0" borderId="2" xfId="0" applyFont="1" applyBorder="1"/>
    <xf numFmtId="0" fontId="0" fillId="0" borderId="10" xfId="0" applyBorder="1"/>
    <xf numFmtId="0" fontId="0" fillId="0" borderId="11" xfId="0" applyBorder="1"/>
    <xf numFmtId="0" fontId="4" fillId="0" borderId="8" xfId="0" applyFont="1" applyBorder="1"/>
    <xf numFmtId="0" fontId="4" fillId="0" borderId="0" xfId="0" applyFont="1" applyAlignment="1"/>
    <xf numFmtId="0" fontId="4" fillId="0" borderId="0" xfId="0" applyFont="1" applyBorder="1"/>
    <xf numFmtId="166" fontId="6" fillId="3" borderId="1" xfId="2" applyNumberFormat="1"/>
    <xf numFmtId="0" fontId="5" fillId="0" borderId="0" xfId="0" applyFont="1"/>
    <xf numFmtId="0" fontId="6" fillId="3" borderId="13" xfId="2" applyBorder="1"/>
    <xf numFmtId="0" fontId="7" fillId="2" borderId="12" xfId="1" applyBorder="1"/>
    <xf numFmtId="0" fontId="6" fillId="3" borderId="14" xfId="2" applyBorder="1"/>
    <xf numFmtId="164" fontId="6" fillId="3" borderId="14" xfId="2" applyNumberFormat="1" applyBorder="1"/>
    <xf numFmtId="10" fontId="6" fillId="3" borderId="13" xfId="2" applyNumberFormat="1" applyBorder="1"/>
    <xf numFmtId="164" fontId="7" fillId="2" borderId="12" xfId="1" applyNumberFormat="1" applyBorder="1"/>
    <xf numFmtId="10" fontId="7" fillId="2" borderId="12" xfId="1" applyNumberFormat="1" applyBorder="1"/>
    <xf numFmtId="0" fontId="0" fillId="0" borderId="6" xfId="0" applyBorder="1" applyAlignment="1">
      <alignment horizontal="right"/>
    </xf>
    <xf numFmtId="0" fontId="1" fillId="0" borderId="17" xfId="0" applyFont="1" applyBorder="1"/>
    <xf numFmtId="10" fontId="7" fillId="2" borderId="18" xfId="1" applyNumberFormat="1" applyBorder="1"/>
    <xf numFmtId="0" fontId="4" fillId="0" borderId="2" xfId="0" applyFont="1" applyBorder="1"/>
    <xf numFmtId="0" fontId="4" fillId="0" borderId="10" xfId="0" applyFont="1" applyBorder="1"/>
    <xf numFmtId="165" fontId="7" fillId="2" borderId="16" xfId="1" applyNumberFormat="1" applyAlignment="1">
      <alignment wrapText="1"/>
    </xf>
    <xf numFmtId="165" fontId="7" fillId="2" borderId="16" xfId="1" applyNumberFormat="1"/>
    <xf numFmtId="44" fontId="7" fillId="2" borderId="16" xfId="1" applyNumberFormat="1"/>
    <xf numFmtId="44" fontId="6" fillId="3" borderId="14" xfId="2" applyNumberFormat="1" applyBorder="1"/>
    <xf numFmtId="44" fontId="6" fillId="3" borderId="1" xfId="2" applyNumberFormat="1"/>
    <xf numFmtId="44" fontId="7" fillId="2" borderId="12" xfId="1" applyNumberFormat="1" applyBorder="1"/>
    <xf numFmtId="44" fontId="6" fillId="3" borderId="15" xfId="2" applyNumberFormat="1" applyBorder="1"/>
    <xf numFmtId="0" fontId="4" fillId="0" borderId="17" xfId="0" applyFont="1" applyBorder="1"/>
    <xf numFmtId="165" fontId="0" fillId="0" borderId="0" xfId="0" applyNumberFormat="1" applyFont="1"/>
    <xf numFmtId="4" fontId="0" fillId="0" borderId="0" xfId="0" applyNumberFormat="1" applyFont="1"/>
    <xf numFmtId="0" fontId="0" fillId="0" borderId="0" xfId="0" applyFont="1"/>
    <xf numFmtId="42" fontId="7" fillId="2" borderId="16" xfId="1" applyNumberFormat="1"/>
    <xf numFmtId="0" fontId="0" fillId="0" borderId="0" xfId="0" applyBorder="1" applyAlignment="1">
      <alignment horizontal="right"/>
    </xf>
    <xf numFmtId="10" fontId="6" fillId="3" borderId="19" xfId="2" applyNumberFormat="1" applyBorder="1"/>
    <xf numFmtId="165" fontId="6" fillId="3" borderId="1" xfId="2" applyNumberFormat="1" applyBorder="1" applyAlignment="1">
      <alignment wrapText="1"/>
    </xf>
    <xf numFmtId="165" fontId="6" fillId="3" borderId="1" xfId="2" applyNumberFormat="1" applyBorder="1"/>
    <xf numFmtId="44" fontId="6" fillId="3" borderId="1" xfId="2" applyNumberFormat="1" applyBorder="1"/>
    <xf numFmtId="0" fontId="0" fillId="0" borderId="8" xfId="0" applyBorder="1" applyAlignment="1">
      <alignment horizontal="right"/>
    </xf>
    <xf numFmtId="44" fontId="6" fillId="3" borderId="1" xfId="2" applyNumberFormat="1" applyBorder="1" applyAlignment="1">
      <alignment wrapText="1"/>
    </xf>
    <xf numFmtId="44" fontId="6" fillId="3" borderId="20" xfId="2" applyNumberFormat="1" applyBorder="1"/>
    <xf numFmtId="14" fontId="0" fillId="0" borderId="0" xfId="0" applyNumberFormat="1"/>
  </cellXfs>
  <cellStyles count="3">
    <cellStyle name="Invoer" xfId="1" builtinId="20" customBuiltin="1"/>
    <cellStyle name="Standaard" xfId="0" builtinId="0"/>
    <cellStyle name="Uitvoer" xfId="2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166687</xdr:colOff>
      <xdr:row>35</xdr:row>
      <xdr:rowOff>83343</xdr:rowOff>
    </xdr:from>
    <xdr:to>
      <xdr:col>10</xdr:col>
      <xdr:colOff>488154</xdr:colOff>
      <xdr:row>131</xdr:row>
      <xdr:rowOff>119061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276825C5-1ACC-4059-BDF1-6A56666807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96" t="11998" r="34329" b="122"/>
        <a:stretch/>
      </xdr:blipFill>
      <xdr:spPr>
        <a:xfrm>
          <a:off x="166687" y="6500813"/>
          <a:ext cx="11191875" cy="171807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4"/>
  <sheetViews>
    <sheetView tabSelected="1" workbookViewId="0">
      <selection activeCell="A34" sqref="A34"/>
    </sheetView>
  </sheetViews>
  <sheetFormatPr defaultRowHeight="14.25" x14ac:dyDescent="0.45"/>
  <cols>
    <col min="1" max="1" width="33.59765625" bestFit="1" customWidth="1"/>
    <col min="2" max="31" width="13.1328125" customWidth="1"/>
  </cols>
  <sheetData>
    <row r="1" spans="1:32" ht="18.399999999999999" thickBot="1" x14ac:dyDescent="0.6">
      <c r="B1" s="17" t="s">
        <v>41</v>
      </c>
      <c r="N1" s="2" t="s">
        <v>62</v>
      </c>
    </row>
    <row r="2" spans="1:32" ht="14.65" thickBot="1" x14ac:dyDescent="0.5">
      <c r="B2" s="2" t="s">
        <v>43</v>
      </c>
      <c r="C2" s="2" t="s">
        <v>39</v>
      </c>
      <c r="D2" s="2" t="s">
        <v>44</v>
      </c>
      <c r="E2" s="2" t="s">
        <v>69</v>
      </c>
      <c r="N2" s="28" t="s">
        <v>63</v>
      </c>
    </row>
    <row r="3" spans="1:32" ht="14.65" thickBot="1" x14ac:dyDescent="0.5">
      <c r="A3" t="s">
        <v>1</v>
      </c>
      <c r="B3" s="44">
        <v>500</v>
      </c>
      <c r="C3" s="42">
        <f>B3-(B3*B25)</f>
        <v>497.5</v>
      </c>
      <c r="D3" s="43">
        <f>(B3-(B3*B27))</f>
        <v>499.5</v>
      </c>
      <c r="E3" s="43">
        <f>B3-(B3*B32)</f>
        <v>498.75</v>
      </c>
      <c r="F3" s="18" t="s">
        <v>54</v>
      </c>
      <c r="N3" s="27" t="s">
        <v>64</v>
      </c>
    </row>
    <row r="4" spans="1:32" ht="14.65" thickBot="1" x14ac:dyDescent="0.5">
      <c r="A4" t="s">
        <v>0</v>
      </c>
      <c r="B4" s="28">
        <v>12</v>
      </c>
      <c r="C4" s="29">
        <f>B4</f>
        <v>12</v>
      </c>
      <c r="D4" s="1">
        <f>B4</f>
        <v>12</v>
      </c>
      <c r="E4" s="1">
        <f>B4</f>
        <v>12</v>
      </c>
      <c r="F4" s="18"/>
      <c r="N4" s="18" t="s">
        <v>65</v>
      </c>
    </row>
    <row r="5" spans="1:32" ht="14.65" thickBot="1" x14ac:dyDescent="0.5">
      <c r="A5" t="s">
        <v>2</v>
      </c>
      <c r="B5" s="45">
        <f>B3*B4</f>
        <v>6000</v>
      </c>
      <c r="C5" s="43">
        <f>C3*C4</f>
        <v>5970</v>
      </c>
      <c r="D5" s="43">
        <f>D3*D4</f>
        <v>5994</v>
      </c>
      <c r="E5" s="43">
        <f>E3*E4</f>
        <v>5985</v>
      </c>
      <c r="F5" s="18" t="s">
        <v>55</v>
      </c>
    </row>
    <row r="6" spans="1:32" ht="14.65" thickBot="1" x14ac:dyDescent="0.5">
      <c r="A6" t="s">
        <v>58</v>
      </c>
      <c r="B6" s="32">
        <v>0.05</v>
      </c>
      <c r="C6" s="30">
        <f>B6</f>
        <v>0.05</v>
      </c>
      <c r="D6" s="13">
        <f>B6</f>
        <v>0.05</v>
      </c>
      <c r="E6" s="13">
        <f>B6</f>
        <v>0.05</v>
      </c>
      <c r="F6" s="18" t="s">
        <v>59</v>
      </c>
    </row>
    <row r="7" spans="1:32" x14ac:dyDescent="0.45">
      <c r="A7" t="s">
        <v>61</v>
      </c>
      <c r="B7" s="31">
        <f>'Rendement berekening'!B9</f>
        <v>2.688146079978404E-2</v>
      </c>
      <c r="C7" s="5">
        <f>B7-(D25+E25)</f>
        <v>2.0981460799784041E-2</v>
      </c>
      <c r="D7" s="5">
        <f>B7-(D27+E27)</f>
        <v>2.2861460799784041E-2</v>
      </c>
      <c r="E7" s="5">
        <f>B7-(D32+E32)</f>
        <v>2.1881460799784039E-2</v>
      </c>
      <c r="F7" s="18" t="s">
        <v>56</v>
      </c>
    </row>
    <row r="10" spans="1:32" ht="18" x14ac:dyDescent="0.55000000000000004">
      <c r="B10" s="17" t="s">
        <v>40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14" t="s">
        <v>3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>D12+(D12*$B$6)+$B$12</f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15" t="s">
        <v>42</v>
      </c>
      <c r="B13" s="6">
        <f>C$5+(C$5*C$7)</f>
        <v>6095.259320974711</v>
      </c>
      <c r="C13" s="6">
        <f>B13+(B13*($B$6-($D$25+$E$25)))+$B$13</f>
        <v>12459.319578004408</v>
      </c>
      <c r="D13" s="6">
        <f>C13+(C13*($B$6-($D$25+$E$25)))+$B$13</f>
        <v>19104.034892369113</v>
      </c>
      <c r="E13" s="6">
        <f>D13+(D13*($B$6-($D$25+$E$25)))+$B$13</f>
        <v>26041.782152097301</v>
      </c>
      <c r="F13" s="6">
        <f>E13+(E13*($B$6-($D$25+$E$25)))+$B$13</f>
        <v>33285.484065979501</v>
      </c>
      <c r="G13" s="6">
        <f>F13+(F13*($B$6-($D$25+$E$25)))+$B$13</f>
        <v>40848.633234263907</v>
      </c>
      <c r="H13" s="6">
        <f>G13+(G13*($B$6-($D$25+$E$25)))+$B$13</f>
        <v>48745.317280869662</v>
      </c>
      <c r="I13" s="6">
        <f>H13+(H13*($B$6-($D$25+$E$25)))+$B$13</f>
        <v>56990.245093930731</v>
      </c>
      <c r="J13" s="6">
        <f>I13+(I13*($B$6-($D$25+$E$25)))+$B$13</f>
        <v>65598.774223547793</v>
      </c>
      <c r="K13" s="6">
        <f>J13+(J13*($B$6-($D$25+$E$25)))+$B$13</f>
        <v>74586.939487780968</v>
      </c>
      <c r="L13" s="6">
        <f>K13+(K13*($B$6-($D$25+$E$25)))+$B$13</f>
        <v>83971.48284016682</v>
      </c>
      <c r="M13" s="6">
        <f>L13+(L13*($B$6-($D$25+$E$25)))+$B$13</f>
        <v>93769.884554392891</v>
      </c>
      <c r="N13" s="6">
        <f>M13+(M13*($B$6-($D$25+$E$25)))+$B$13</f>
        <v>104000.39578421634</v>
      </c>
      <c r="O13" s="6">
        <f>N13+(N13*($B$6-($D$25+$E$25)))+$B$13</f>
        <v>114682.072559275</v>
      </c>
      <c r="P13" s="6">
        <f>O13+(O13*($B$6-($D$25+$E$25)))+$B$13</f>
        <v>125834.81128011373</v>
      </c>
      <c r="Q13" s="6">
        <f>P13+(P13*($B$6-($D$25+$E$25)))+$B$13</f>
        <v>137479.38577854144</v>
      </c>
      <c r="R13" s="6">
        <f>Q13+(Q13*($B$6-($D$25+$E$25)))+$B$13</f>
        <v>149637.48601234981</v>
      </c>
      <c r="S13" s="6">
        <f>R13+(R13*($B$6-($D$25+$E$25)))+$B$13</f>
        <v>162331.75846646912</v>
      </c>
      <c r="T13" s="6">
        <f>S13+(S13*($B$6-($D$25+$E$25)))+$B$13</f>
        <v>175585.8483358151</v>
      </c>
      <c r="U13" s="6">
        <f>T13+(T13*($B$6-($D$25+$E$25)))+$B$13</f>
        <v>189424.44356839923</v>
      </c>
      <c r="V13" s="6">
        <f>U13+(U13*($B$6-($D$25+$E$25)))+$B$13</f>
        <v>203873.32085074033</v>
      </c>
      <c r="W13" s="6">
        <f>V13+(V13*($B$6-($D$25+$E$25)))+$B$13</f>
        <v>218959.39362123268</v>
      </c>
      <c r="X13" s="6">
        <f>W13+(W13*($B$6-($D$25+$E$25)))+$B$13</f>
        <v>234710.76220090373</v>
      </c>
      <c r="Y13" s="6">
        <f>X13+(X13*($B$6-($D$25+$E$25)))+$B$13</f>
        <v>251156.76613493828</v>
      </c>
      <c r="Z13" s="6">
        <f>Y13+(Y13*($B$6-($D$25+$E$25)))+$B$13</f>
        <v>268328.03884246375</v>
      </c>
      <c r="AA13" s="6">
        <f>Z13+(Z13*($B$6-($D$25+$E$25)))+$B$13</f>
        <v>286256.56467639108</v>
      </c>
      <c r="AB13" s="6">
        <f>AA13+(AA13*($B$6-($D$25+$E$25)))+$B$13</f>
        <v>304975.73849959462</v>
      </c>
      <c r="AC13" s="6">
        <f>AB13+(AB13*($B$6-($D$25+$E$25)))+$B$13</f>
        <v>324520.42788840143</v>
      </c>
      <c r="AD13" s="6">
        <f>AC13+(AC13*($B$6-($D$25+$E$25)))+$B$13</f>
        <v>344927.03807925462</v>
      </c>
      <c r="AE13" s="6">
        <f>AD13+(AD13*($B$6-($D$25+$E$25)))+$B$13</f>
        <v>366233.57977952447</v>
      </c>
    </row>
    <row r="14" spans="1:32" x14ac:dyDescent="0.45">
      <c r="A14" s="2" t="s">
        <v>70</v>
      </c>
      <c r="B14" s="6">
        <f>E$5+(E$5*E$7)</f>
        <v>6115.9605428867071</v>
      </c>
      <c r="C14" s="6">
        <f>B14+(B14*($B$6-($D$32+$E$32)))+$B$14</f>
        <v>12507.139310203316</v>
      </c>
      <c r="D14" s="6">
        <f>C14+(C14*($B$6-($D$32+$E$32)))+$B$14</f>
        <v>19185.921122049171</v>
      </c>
      <c r="E14" s="6">
        <f>D14+(D14*($B$6-($D$32+$E$32)))+$B$14</f>
        <v>26165.24811542809</v>
      </c>
      <c r="F14" s="6">
        <f>E14+(E14*($B$6-($D$32+$E$32)))+$B$14</f>
        <v>33458.644823509065</v>
      </c>
      <c r="G14" s="6">
        <f>F14+(F14*($B$6-($D$32+$E$32)))+$B$14</f>
        <v>41080.244383453683</v>
      </c>
      <c r="H14" s="6">
        <f>G14+(G14*($B$6-($D$32+$E$32)))+$B$14</f>
        <v>49044.815923595808</v>
      </c>
      <c r="I14" s="6">
        <f>H14+(H14*($B$6-($D$32+$E$32)))+$B$14</f>
        <v>57367.793183044327</v>
      </c>
      <c r="J14" s="6">
        <f>I14+(I14*($B$6-($D$32+$E$32)))+$B$14</f>
        <v>66065.304419168038</v>
      </c>
      <c r="K14" s="6">
        <f>J14+(J14*($B$6-($D$32+$E$32)))+$B$14</f>
        <v>75154.203660917308</v>
      </c>
      <c r="L14" s="6">
        <f>K14+(K14*($B$6-($D$32+$E$32)))+$B$14</f>
        <v>84652.1033685453</v>
      </c>
      <c r="M14" s="6">
        <f>L14+(L14*($B$6-($D$32+$E$32)))+$B$14</f>
        <v>94577.40856301655</v>
      </c>
      <c r="N14" s="6">
        <f>M14+(M14*($B$6-($D$32+$E$32)))+$B$14</f>
        <v>104949.352491239</v>
      </c>
      <c r="O14" s="6">
        <f>N14+(N14*($B$6-($D$32+$E$32)))+$B$14</f>
        <v>115788.03389623146</v>
      </c>
      <c r="P14" s="6">
        <f>O14+(O14*($B$6-($D$32+$E$32)))+$B$14</f>
        <v>127114.45596444859</v>
      </c>
      <c r="Q14" s="6">
        <f>P14+(P14*($B$6-($D$32+$E$32)))+$B$14</f>
        <v>138950.56702573545</v>
      </c>
      <c r="R14" s="6">
        <f>Q14+(Q14*($B$6-($D$32+$E$32)))+$B$14</f>
        <v>151319.30308478023</v>
      </c>
      <c r="S14" s="6">
        <f>R14+(R14*($B$6-($D$32+$E$32)))+$B$14</f>
        <v>164244.63226648205</v>
      </c>
      <c r="T14" s="6">
        <f>S14+(S14*($B$6-($D$32+$E$32)))+$B$14</f>
        <v>177751.60126136045</v>
      </c>
      <c r="U14" s="6">
        <f>T14+(T14*($B$6-($D$32+$E$32)))+$B$14</f>
        <v>191866.38386100839</v>
      </c>
      <c r="V14" s="6">
        <f>U14+(U14*($B$6-($D$32+$E$32)))+$B$14</f>
        <v>206616.3316776405</v>
      </c>
      <c r="W14" s="6">
        <f>V14+(V14*($B$6-($D$32+$E$32)))+$B$14</f>
        <v>222030.02714602102</v>
      </c>
      <c r="X14" s="6">
        <f>W14+(W14*($B$6-($D$32+$E$32)))+$B$14</f>
        <v>238137.33891047869</v>
      </c>
      <c r="Y14" s="6">
        <f>X14+(X14*($B$6-($D$32+$E$32)))+$B$14</f>
        <v>254969.47970433696</v>
      </c>
      <c r="Z14" s="6">
        <f>Y14+(Y14*($B$6-($D$32+$E$32)))+$B$14</f>
        <v>272559.0668339188</v>
      </c>
      <c r="AA14" s="6">
        <f>Z14+(Z14*($B$6-($D$32+$E$32)))+$B$14</f>
        <v>290940.18538433185</v>
      </c>
      <c r="AB14" s="6">
        <f>AA14+(AA14*($B$6-($D$32+$E$32)))+$B$14</f>
        <v>310148.45426951349</v>
      </c>
      <c r="AC14" s="6">
        <f>AB14+(AB14*($B$6-($D$32+$E$32)))+$B$14</f>
        <v>330221.09525452828</v>
      </c>
      <c r="AD14" s="6">
        <f>AC14+(AC14*($B$6-($D$32+$E$32)))+$B$14</f>
        <v>351197.00508386875</v>
      </c>
      <c r="AE14" s="6">
        <f>AD14+(AD14*($B$6-($D$32+$E$32)))+$B$14</f>
        <v>373116.83085552952</v>
      </c>
      <c r="AF14" s="23"/>
    </row>
    <row r="15" spans="1:32" x14ac:dyDescent="0.45">
      <c r="A15" s="2" t="s">
        <v>45</v>
      </c>
      <c r="B15" s="6">
        <f>Rabobank!B23</f>
        <v>6125.3171969997302</v>
      </c>
      <c r="C15" s="6">
        <f>Rabobank!C23</f>
        <v>12573.939991734609</v>
      </c>
      <c r="D15" s="6">
        <f>Rabobank!D23</f>
        <v>19339.480125542668</v>
      </c>
      <c r="E15" s="6">
        <f>Rabobank!E23</f>
        <v>26443.297266041136</v>
      </c>
      <c r="F15" s="6">
        <f>Rabobank!F23</f>
        <v>33902.305263564522</v>
      </c>
      <c r="G15" s="6">
        <f>Rabobank!G23</f>
        <v>41734.263660964083</v>
      </c>
      <c r="H15" s="6">
        <f>Rabobank!H23</f>
        <v>49957.819978233623</v>
      </c>
      <c r="I15" s="6">
        <f>Rabobank!I23</f>
        <v>58592.55411136664</v>
      </c>
      <c r="J15" s="6">
        <f>Rabobank!J23</f>
        <v>67659.024951156316</v>
      </c>
      <c r="K15" s="6">
        <f>Rabobank!K23</f>
        <v>77178.819332935454</v>
      </c>
      <c r="L15" s="6">
        <f>Rabobank!L23</f>
        <v>87174.603433803568</v>
      </c>
      <c r="M15" s="6">
        <f>Rabobank!M23</f>
        <v>97670.176739715083</v>
      </c>
      <c r="N15" s="6">
        <f>Rabobank!N23</f>
        <v>108679.78629467006</v>
      </c>
      <c r="O15" s="6">
        <f>Rabobank!O23</f>
        <v>120237.23681523571</v>
      </c>
      <c r="P15" s="6">
        <f>Rabobank!P23</f>
        <v>132372.55986182965</v>
      </c>
      <c r="Q15" s="6">
        <f>Rabobank!Q23</f>
        <v>145118.51571733566</v>
      </c>
      <c r="R15" s="6">
        <f>Rabobank!R23</f>
        <v>158546.04849420214</v>
      </c>
      <c r="S15" s="6">
        <f>Rabobank!S23</f>
        <v>172644.95790991196</v>
      </c>
      <c r="T15" s="6">
        <f>Rabobank!T23</f>
        <v>187448.81279640729</v>
      </c>
      <c r="U15" s="6">
        <f>Rabobank!U23</f>
        <v>202992.86042722737</v>
      </c>
      <c r="V15" s="6">
        <f>Rabobank!V23</f>
        <v>219314.11043958843</v>
      </c>
      <c r="W15" s="6">
        <f>Rabobank!W23</f>
        <v>236451.42295256758</v>
      </c>
      <c r="X15" s="6">
        <f>Rabobank!X23</f>
        <v>254445.60109119568</v>
      </c>
      <c r="Y15" s="6">
        <f>Rabobank!Y23</f>
        <v>273339.48813675519</v>
      </c>
      <c r="Z15" s="6">
        <f>Rabobank!Z23</f>
        <v>293178.06953459274</v>
      </c>
      <c r="AA15" s="6">
        <f>Rabobank!AA23</f>
        <v>314008.58000232215</v>
      </c>
      <c r="AB15" s="6">
        <f>Rabobank!AB23</f>
        <v>335880.615993438</v>
      </c>
      <c r="AC15" s="6">
        <f>Rabobank!AC23</f>
        <v>358846.25378410966</v>
      </c>
      <c r="AD15" s="6">
        <f>Rabobank!AD23</f>
        <v>382960.17346431495</v>
      </c>
      <c r="AE15" s="6">
        <f>Rabobank!AE23</f>
        <v>408279.78912853042</v>
      </c>
      <c r="AF15" s="23"/>
    </row>
    <row r="23" spans="1:9" ht="18" x14ac:dyDescent="0.55000000000000004">
      <c r="B23" s="17" t="s">
        <v>34</v>
      </c>
      <c r="C23" t="s">
        <v>104</v>
      </c>
    </row>
    <row r="24" spans="1:9" ht="14.65" thickBot="1" x14ac:dyDescent="0.5">
      <c r="B24" t="s">
        <v>35</v>
      </c>
      <c r="C24" t="s">
        <v>36</v>
      </c>
      <c r="D24" t="s">
        <v>37</v>
      </c>
      <c r="E24" t="s">
        <v>38</v>
      </c>
    </row>
    <row r="25" spans="1:9" ht="14.65" thickBot="1" x14ac:dyDescent="0.5">
      <c r="A25" s="19" t="s">
        <v>39</v>
      </c>
      <c r="B25" s="33">
        <v>5.0000000000000001E-3</v>
      </c>
      <c r="C25" s="33">
        <v>0</v>
      </c>
      <c r="D25" s="33">
        <v>5.8999999999999999E-3</v>
      </c>
      <c r="E25" s="33">
        <v>0</v>
      </c>
      <c r="F25" s="20"/>
      <c r="G25" s="20"/>
      <c r="H25" s="21"/>
      <c r="I25" s="18"/>
    </row>
    <row r="26" spans="1:9" ht="14.65" thickBot="1" x14ac:dyDescent="0.5">
      <c r="I26" s="18"/>
    </row>
    <row r="27" spans="1:9" ht="14.65" thickBot="1" x14ac:dyDescent="0.5">
      <c r="A27" s="16" t="s">
        <v>44</v>
      </c>
      <c r="B27" s="33">
        <v>1E-3</v>
      </c>
      <c r="C27" s="33">
        <v>1E-3</v>
      </c>
      <c r="D27" s="33">
        <v>1.6199999999999999E-3</v>
      </c>
      <c r="E27" s="33">
        <v>2.3999999999999998E-3</v>
      </c>
      <c r="F27" s="33">
        <v>1.1999999999999999E-3</v>
      </c>
      <c r="G27" s="7"/>
      <c r="H27" s="8"/>
      <c r="I27" s="18"/>
    </row>
    <row r="28" spans="1:9" ht="15" thickTop="1" thickBot="1" x14ac:dyDescent="0.5">
      <c r="A28" s="34" t="s">
        <v>77</v>
      </c>
      <c r="B28" s="39">
        <v>0.05</v>
      </c>
      <c r="C28" s="40">
        <v>0</v>
      </c>
      <c r="D28" s="9"/>
      <c r="E28" s="41">
        <v>20</v>
      </c>
      <c r="F28" s="24" t="s">
        <v>90</v>
      </c>
      <c r="G28" s="9"/>
      <c r="H28" s="10"/>
      <c r="I28" s="18"/>
    </row>
    <row r="29" spans="1:9" ht="15" thickTop="1" thickBot="1" x14ac:dyDescent="0.5">
      <c r="A29" s="34" t="s">
        <v>78</v>
      </c>
      <c r="B29" s="40">
        <v>150</v>
      </c>
      <c r="C29" s="40">
        <v>150</v>
      </c>
      <c r="D29" s="9"/>
      <c r="E29" s="41">
        <v>400</v>
      </c>
      <c r="F29" s="24" t="s">
        <v>91</v>
      </c>
      <c r="G29" s="9"/>
      <c r="H29" s="10"/>
      <c r="I29" s="18"/>
    </row>
    <row r="30" spans="1:9" ht="15" thickTop="1" thickBot="1" x14ac:dyDescent="0.5">
      <c r="A30" s="24"/>
      <c r="C30" s="9"/>
      <c r="D30" s="51" t="s">
        <v>83</v>
      </c>
      <c r="E30" s="50">
        <v>100000</v>
      </c>
      <c r="F30" s="24" t="s">
        <v>79</v>
      </c>
      <c r="G30" s="9"/>
      <c r="H30" s="10"/>
      <c r="I30" s="18"/>
    </row>
    <row r="31" spans="1:9" ht="15" thickTop="1" thickBot="1" x14ac:dyDescent="0.5">
      <c r="A31" s="37"/>
      <c r="B31" s="20"/>
      <c r="C31" s="20"/>
      <c r="D31" s="20"/>
      <c r="E31" s="38"/>
      <c r="F31" s="20"/>
      <c r="G31" s="20"/>
      <c r="H31" s="21"/>
      <c r="I31" s="18"/>
    </row>
    <row r="32" spans="1:9" ht="14.65" thickBot="1" x14ac:dyDescent="0.5">
      <c r="A32" s="35" t="s">
        <v>69</v>
      </c>
      <c r="B32" s="36">
        <v>2.5000000000000001E-3</v>
      </c>
      <c r="C32" s="36">
        <v>2.5000000000000001E-3</v>
      </c>
      <c r="D32" s="36">
        <v>5.0000000000000001E-3</v>
      </c>
      <c r="E32" s="36">
        <v>0</v>
      </c>
      <c r="F32" s="11"/>
      <c r="G32" s="11"/>
      <c r="H32" s="12"/>
      <c r="I32" s="18"/>
    </row>
    <row r="34" spans="2:2" x14ac:dyDescent="0.45">
      <c r="B34" s="26" t="s"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58BE-4B67-4275-825E-F7120285456B}">
  <dimension ref="A1:E14"/>
  <sheetViews>
    <sheetView workbookViewId="0">
      <selection activeCell="A16" sqref="A16"/>
    </sheetView>
  </sheetViews>
  <sheetFormatPr defaultRowHeight="14.25" x14ac:dyDescent="0.45"/>
  <cols>
    <col min="1" max="1" width="41.19921875" customWidth="1"/>
    <col min="2" max="2" width="11.73046875" bestFit="1" customWidth="1"/>
    <col min="3" max="3" width="13.73046875" customWidth="1"/>
    <col min="4" max="4" width="9.1328125" bestFit="1" customWidth="1"/>
  </cols>
  <sheetData>
    <row r="1" spans="1:5" ht="18" x14ac:dyDescent="0.55000000000000004">
      <c r="B1" s="17" t="s">
        <v>80</v>
      </c>
    </row>
    <row r="2" spans="1:5" x14ac:dyDescent="0.45">
      <c r="B2" s="2" t="s">
        <v>43</v>
      </c>
      <c r="C2" s="2" t="s">
        <v>66</v>
      </c>
      <c r="D2" s="2" t="s">
        <v>44</v>
      </c>
      <c r="E2" s="2" t="s">
        <v>69</v>
      </c>
    </row>
    <row r="3" spans="1:5" x14ac:dyDescent="0.45">
      <c r="A3" t="s">
        <v>57</v>
      </c>
      <c r="B3" s="1">
        <f>'Invoer en totaal'!B6</f>
        <v>0.05</v>
      </c>
      <c r="C3" s="1">
        <f>'Invoer en totaal'!C6</f>
        <v>0.05</v>
      </c>
      <c r="D3" s="1">
        <f>'Invoer en totaal'!D6</f>
        <v>0.05</v>
      </c>
      <c r="E3" s="1">
        <f>'Invoer en totaal'!E6</f>
        <v>0.05</v>
      </c>
    </row>
    <row r="4" spans="1:5" x14ac:dyDescent="0.45">
      <c r="A4" t="s">
        <v>46</v>
      </c>
      <c r="B4" s="1">
        <f>'Invoer en totaal'!B4</f>
        <v>12</v>
      </c>
      <c r="C4" s="1">
        <f>'Invoer en totaal'!C4</f>
        <v>12</v>
      </c>
      <c r="D4" s="1">
        <f>'Invoer en totaal'!D4</f>
        <v>12</v>
      </c>
      <c r="E4" s="1">
        <f>'Invoer en totaal'!E4</f>
        <v>12</v>
      </c>
    </row>
    <row r="5" spans="1:5" x14ac:dyDescent="0.45">
      <c r="A5" t="s">
        <v>52</v>
      </c>
      <c r="B5" s="25">
        <f>(1+B3)^(1/B4)-1</f>
        <v>4.0741237836483535E-3</v>
      </c>
      <c r="C5" s="25">
        <f t="shared" ref="C5:E5" si="0">(1+C3)^(1/C4)-1</f>
        <v>4.0741237836483535E-3</v>
      </c>
      <c r="D5" s="25">
        <f t="shared" si="0"/>
        <v>4.0741237836483535E-3</v>
      </c>
      <c r="E5" s="25">
        <f t="shared" si="0"/>
        <v>4.0741237836483535E-3</v>
      </c>
    </row>
    <row r="6" spans="1:5" x14ac:dyDescent="0.45">
      <c r="A6" t="s">
        <v>47</v>
      </c>
      <c r="B6" s="6">
        <f>'Invoer en totaal'!B3</f>
        <v>500</v>
      </c>
      <c r="C6" s="6">
        <f>'Invoer en totaal'!C3</f>
        <v>497.5</v>
      </c>
      <c r="D6" s="6">
        <f>'Invoer en totaal'!D3</f>
        <v>499.5</v>
      </c>
      <c r="E6" s="6">
        <f>'Invoer en totaal'!E3</f>
        <v>498.75</v>
      </c>
    </row>
    <row r="7" spans="1:5" x14ac:dyDescent="0.45">
      <c r="A7" t="s">
        <v>67</v>
      </c>
      <c r="B7" s="6">
        <f>B4*B6</f>
        <v>6000</v>
      </c>
      <c r="C7" s="6">
        <f t="shared" ref="C7" si="1">C4*C6</f>
        <v>5970</v>
      </c>
      <c r="D7" s="6">
        <f>D4*D6</f>
        <v>5994</v>
      </c>
      <c r="E7" s="6">
        <f>E4*E6</f>
        <v>5985</v>
      </c>
    </row>
    <row r="8" spans="1:5" x14ac:dyDescent="0.45">
      <c r="A8" t="s">
        <v>53</v>
      </c>
      <c r="B8" s="6">
        <f>B6*((1+B5)^B4-1)*(1+B5)/B5</f>
        <v>6161.2887647987036</v>
      </c>
      <c r="C8" s="6">
        <f t="shared" ref="C8" si="2">C6*((1+C5)^C4-1)*(1+C5)/C5</f>
        <v>6130.4823209747119</v>
      </c>
      <c r="D8" s="6">
        <f>D6*((1+D5)^D4-1)*(1+D5)/D5</f>
        <v>6155.1274760339056</v>
      </c>
      <c r="E8" s="6">
        <f>E6*((1+E5)^E4-1)*(1+E5)/E5</f>
        <v>6145.8855428867073</v>
      </c>
    </row>
    <row r="9" spans="1:5" x14ac:dyDescent="0.45">
      <c r="A9" t="s">
        <v>68</v>
      </c>
      <c r="B9" s="5">
        <f>(B8/B7)-1</f>
        <v>2.688146079978404E-2</v>
      </c>
      <c r="C9" s="5">
        <f t="shared" ref="C9:E9" si="3">(C8/C7)-1</f>
        <v>2.6881460799784263E-2</v>
      </c>
      <c r="D9" s="5">
        <f t="shared" si="3"/>
        <v>2.688146079978404E-2</v>
      </c>
      <c r="E9" s="5">
        <f t="shared" si="3"/>
        <v>2.688146079978404E-2</v>
      </c>
    </row>
    <row r="10" spans="1:5" x14ac:dyDescent="0.45">
      <c r="A10" t="s">
        <v>60</v>
      </c>
    </row>
    <row r="11" spans="1:5" x14ac:dyDescent="0.45">
      <c r="A11" t="s">
        <v>48</v>
      </c>
    </row>
    <row r="12" spans="1:5" x14ac:dyDescent="0.45">
      <c r="A12" t="s">
        <v>49</v>
      </c>
    </row>
    <row r="13" spans="1:5" x14ac:dyDescent="0.45">
      <c r="A13" t="s">
        <v>50</v>
      </c>
    </row>
    <row r="14" spans="1:5" x14ac:dyDescent="0.45">
      <c r="A14" t="s">
        <v>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2614-6039-482A-8779-BF762FF5EDE8}">
  <dimension ref="A1:AF34"/>
  <sheetViews>
    <sheetView zoomScaleNormal="100" workbookViewId="0"/>
  </sheetViews>
  <sheetFormatPr defaultRowHeight="14.25" x14ac:dyDescent="0.45"/>
  <cols>
    <col min="1" max="1" width="33.59765625" bestFit="1" customWidth="1"/>
    <col min="2" max="31" width="13.1328125" customWidth="1"/>
  </cols>
  <sheetData>
    <row r="1" spans="1:32" ht="18" x14ac:dyDescent="0.55000000000000004">
      <c r="B1" s="17" t="s">
        <v>84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43">
        <f>'Invoer en totaal'!B3</f>
        <v>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43">
        <f>'Invoer en totaal'!B5</f>
        <v>6000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100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7" t="s">
        <v>98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 t="shared" si="0"/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48" t="s">
        <v>97</v>
      </c>
      <c r="B13" s="6">
        <f>MIN($B$31,$B$3*$B$4*$B$29)</f>
        <v>6</v>
      </c>
      <c r="C13" s="6">
        <f t="shared" ref="C13:AE13" si="1">MIN($B$31,$B$3*$B$4*$B$29)</f>
        <v>6</v>
      </c>
      <c r="D13" s="6">
        <f t="shared" si="1"/>
        <v>6</v>
      </c>
      <c r="E13" s="6">
        <f t="shared" si="1"/>
        <v>6</v>
      </c>
      <c r="F13" s="6">
        <f t="shared" si="1"/>
        <v>6</v>
      </c>
      <c r="G13" s="6">
        <f t="shared" si="1"/>
        <v>6</v>
      </c>
      <c r="H13" s="6">
        <f t="shared" si="1"/>
        <v>6</v>
      </c>
      <c r="I13" s="6">
        <f t="shared" si="1"/>
        <v>6</v>
      </c>
      <c r="J13" s="6">
        <f t="shared" si="1"/>
        <v>6</v>
      </c>
      <c r="K13" s="6">
        <f t="shared" si="1"/>
        <v>6</v>
      </c>
      <c r="L13" s="6">
        <f t="shared" si="1"/>
        <v>6</v>
      </c>
      <c r="M13" s="6">
        <f t="shared" si="1"/>
        <v>6</v>
      </c>
      <c r="N13" s="6">
        <f t="shared" si="1"/>
        <v>6</v>
      </c>
      <c r="O13" s="6">
        <f t="shared" si="1"/>
        <v>6</v>
      </c>
      <c r="P13" s="6">
        <f t="shared" si="1"/>
        <v>6</v>
      </c>
      <c r="Q13" s="6">
        <f t="shared" si="1"/>
        <v>6</v>
      </c>
      <c r="R13" s="6">
        <f t="shared" si="1"/>
        <v>6</v>
      </c>
      <c r="S13" s="6">
        <f t="shared" si="1"/>
        <v>6</v>
      </c>
      <c r="T13" s="6">
        <f t="shared" si="1"/>
        <v>6</v>
      </c>
      <c r="U13" s="6">
        <f t="shared" si="1"/>
        <v>6</v>
      </c>
      <c r="V13" s="6">
        <f t="shared" si="1"/>
        <v>6</v>
      </c>
      <c r="W13" s="6">
        <f t="shared" si="1"/>
        <v>6</v>
      </c>
      <c r="X13" s="6">
        <f t="shared" si="1"/>
        <v>6</v>
      </c>
      <c r="Y13" s="6">
        <f t="shared" si="1"/>
        <v>6</v>
      </c>
      <c r="Z13" s="6">
        <f t="shared" si="1"/>
        <v>6</v>
      </c>
      <c r="AA13" s="6">
        <f t="shared" si="1"/>
        <v>6</v>
      </c>
      <c r="AB13" s="6">
        <f t="shared" si="1"/>
        <v>6</v>
      </c>
      <c r="AC13" s="6">
        <f t="shared" si="1"/>
        <v>6</v>
      </c>
      <c r="AD13" s="6">
        <f t="shared" si="1"/>
        <v>6</v>
      </c>
      <c r="AE13" s="6">
        <f t="shared" si="1"/>
        <v>6</v>
      </c>
    </row>
    <row r="14" spans="1:32" x14ac:dyDescent="0.45">
      <c r="A14" s="49" t="s">
        <v>96</v>
      </c>
      <c r="B14" s="6">
        <f>B12-B13</f>
        <v>6155.2887647987045</v>
      </c>
      <c r="C14" s="6">
        <f t="shared" ref="C14:AE14" si="2">C12-C13</f>
        <v>12624.641967837344</v>
      </c>
      <c r="D14" s="6">
        <f t="shared" si="2"/>
        <v>19417.462831027915</v>
      </c>
      <c r="E14" s="6">
        <f t="shared" si="2"/>
        <v>26549.924737378016</v>
      </c>
      <c r="F14" s="6">
        <f t="shared" si="2"/>
        <v>34039.009739045621</v>
      </c>
      <c r="G14" s="6">
        <f t="shared" si="2"/>
        <v>41902.548990796611</v>
      </c>
      <c r="H14" s="6">
        <f t="shared" si="2"/>
        <v>50159.265205135147</v>
      </c>
      <c r="I14" s="6">
        <f t="shared" si="2"/>
        <v>58828.817230190616</v>
      </c>
      <c r="J14" s="6">
        <f t="shared" si="2"/>
        <v>67931.846856498858</v>
      </c>
      <c r="K14" s="6">
        <f t="shared" si="2"/>
        <v>77490.027964122506</v>
      </c>
      <c r="L14" s="6">
        <f t="shared" si="2"/>
        <v>87526.118127127338</v>
      </c>
      <c r="M14" s="6">
        <f t="shared" si="2"/>
        <v>98064.01279828242</v>
      </c>
      <c r="N14" s="6">
        <f t="shared" si="2"/>
        <v>109128.80220299526</v>
      </c>
      <c r="O14" s="6">
        <f t="shared" si="2"/>
        <v>120746.83107794373</v>
      </c>
      <c r="P14" s="6">
        <f t="shared" si="2"/>
        <v>132945.76139663963</v>
      </c>
      <c r="Q14" s="6">
        <f t="shared" si="2"/>
        <v>145754.63823127031</v>
      </c>
      <c r="R14" s="6">
        <f t="shared" si="2"/>
        <v>159203.95890763251</v>
      </c>
      <c r="S14" s="6">
        <f t="shared" si="2"/>
        <v>173325.74561781282</v>
      </c>
      <c r="T14" s="6">
        <f t="shared" si="2"/>
        <v>188153.62166350216</v>
      </c>
      <c r="U14" s="6">
        <f t="shared" si="2"/>
        <v>203722.89151147596</v>
      </c>
      <c r="V14" s="6">
        <f t="shared" si="2"/>
        <v>220070.62485184844</v>
      </c>
      <c r="W14" s="6">
        <f t="shared" si="2"/>
        <v>237235.74485923955</v>
      </c>
      <c r="X14" s="6">
        <f t="shared" si="2"/>
        <v>255259.12086700022</v>
      </c>
      <c r="Y14" s="6">
        <f t="shared" si="2"/>
        <v>274183.66567514895</v>
      </c>
      <c r="Z14" s="6">
        <f t="shared" si="2"/>
        <v>294054.43772370514</v>
      </c>
      <c r="AA14" s="6">
        <f t="shared" si="2"/>
        <v>314918.74837468914</v>
      </c>
      <c r="AB14" s="6">
        <f t="shared" si="2"/>
        <v>336826.27455822233</v>
      </c>
      <c r="AC14" s="6">
        <f t="shared" si="2"/>
        <v>359829.17705093219</v>
      </c>
      <c r="AD14" s="6">
        <f t="shared" si="2"/>
        <v>383982.22466827754</v>
      </c>
      <c r="AE14" s="6">
        <f t="shared" si="2"/>
        <v>409342.92466649011</v>
      </c>
      <c r="AF14" s="23"/>
    </row>
    <row r="15" spans="1:32" x14ac:dyDescent="0.45">
      <c r="A15" s="49" t="s">
        <v>82</v>
      </c>
      <c r="B15" s="6">
        <f>B14*$D$29</f>
        <v>9.9715677989739007</v>
      </c>
      <c r="C15" s="6">
        <f t="shared" ref="C15:AE15" si="3">C14*$D$29</f>
        <v>20.451919987896495</v>
      </c>
      <c r="D15" s="6">
        <f t="shared" si="3"/>
        <v>31.45628978626522</v>
      </c>
      <c r="E15" s="6">
        <f t="shared" si="3"/>
        <v>43.010878074552387</v>
      </c>
      <c r="F15" s="6">
        <f t="shared" si="3"/>
        <v>55.143195777253901</v>
      </c>
      <c r="G15" s="6">
        <f t="shared" si="3"/>
        <v>67.882129365090506</v>
      </c>
      <c r="H15" s="6">
        <f t="shared" si="3"/>
        <v>81.258009632318931</v>
      </c>
      <c r="I15" s="6">
        <f t="shared" si="3"/>
        <v>95.30268391290879</v>
      </c>
      <c r="J15" s="6">
        <f t="shared" si="3"/>
        <v>110.04959190752814</v>
      </c>
      <c r="K15" s="6">
        <f t="shared" si="3"/>
        <v>125.53384530187846</v>
      </c>
      <c r="L15" s="6">
        <f t="shared" si="3"/>
        <v>141.79231136594629</v>
      </c>
      <c r="M15" s="6">
        <f t="shared" si="3"/>
        <v>158.86370073321751</v>
      </c>
      <c r="N15" s="6">
        <f t="shared" si="3"/>
        <v>176.7886595688523</v>
      </c>
      <c r="O15" s="6">
        <f t="shared" si="3"/>
        <v>195.60986634626883</v>
      </c>
      <c r="P15" s="6">
        <f t="shared" si="3"/>
        <v>215.37213346255618</v>
      </c>
      <c r="Q15" s="6">
        <f t="shared" si="3"/>
        <v>236.12251393465789</v>
      </c>
      <c r="R15" s="6">
        <f t="shared" si="3"/>
        <v>257.91041343036466</v>
      </c>
      <c r="S15" s="6">
        <f t="shared" si="3"/>
        <v>280.78770790085673</v>
      </c>
      <c r="T15" s="6">
        <f t="shared" si="3"/>
        <v>304.80886709487345</v>
      </c>
      <c r="U15" s="6">
        <f t="shared" si="3"/>
        <v>330.03108424859101</v>
      </c>
      <c r="V15" s="6">
        <f t="shared" si="3"/>
        <v>356.51441225999446</v>
      </c>
      <c r="W15" s="6">
        <f t="shared" si="3"/>
        <v>384.32190667196807</v>
      </c>
      <c r="X15" s="6">
        <f t="shared" si="3"/>
        <v>413.51977580454036</v>
      </c>
      <c r="Y15" s="6">
        <f t="shared" si="3"/>
        <v>444.17753839374126</v>
      </c>
      <c r="Z15" s="6">
        <f t="shared" si="3"/>
        <v>476.36818911240232</v>
      </c>
      <c r="AA15" s="6">
        <f t="shared" si="3"/>
        <v>510.16837236699638</v>
      </c>
      <c r="AB15" s="6">
        <f t="shared" si="3"/>
        <v>545.65856478432011</v>
      </c>
      <c r="AC15" s="6">
        <f t="shared" si="3"/>
        <v>582.92326682251007</v>
      </c>
      <c r="AD15" s="6">
        <f t="shared" si="3"/>
        <v>622.05120396260963</v>
      </c>
      <c r="AE15" s="6">
        <f t="shared" si="3"/>
        <v>663.13553795971393</v>
      </c>
      <c r="AF15" s="23"/>
    </row>
    <row r="16" spans="1:32" x14ac:dyDescent="0.45">
      <c r="A16" s="49" t="s">
        <v>95</v>
      </c>
      <c r="B16" s="6">
        <f>B14-B15</f>
        <v>6145.3171969997302</v>
      </c>
      <c r="C16" s="6">
        <f t="shared" ref="C16:AE16" si="4">C14-C15</f>
        <v>12604.190047849448</v>
      </c>
      <c r="D16" s="6">
        <f t="shared" si="4"/>
        <v>19386.006541241648</v>
      </c>
      <c r="E16" s="6">
        <f t="shared" si="4"/>
        <v>26506.913859303462</v>
      </c>
      <c r="F16" s="6">
        <f t="shared" si="4"/>
        <v>33983.86654326837</v>
      </c>
      <c r="G16" s="6">
        <f t="shared" si="4"/>
        <v>41834.66686143152</v>
      </c>
      <c r="H16" s="6">
        <f t="shared" si="4"/>
        <v>50078.007195502825</v>
      </c>
      <c r="I16" s="6">
        <f t="shared" si="4"/>
        <v>58733.514546277707</v>
      </c>
      <c r="J16" s="6">
        <f t="shared" si="4"/>
        <v>67821.797264591325</v>
      </c>
      <c r="K16" s="6">
        <f t="shared" si="4"/>
        <v>77364.494118820629</v>
      </c>
      <c r="L16" s="6">
        <f t="shared" si="4"/>
        <v>87384.325815761389</v>
      </c>
      <c r="M16" s="6">
        <f t="shared" si="4"/>
        <v>97905.149097549205</v>
      </c>
      <c r="N16" s="6">
        <f t="shared" si="4"/>
        <v>108952.01354342641</v>
      </c>
      <c r="O16" s="6">
        <f t="shared" si="4"/>
        <v>120551.22121159747</v>
      </c>
      <c r="P16" s="6">
        <f t="shared" si="4"/>
        <v>132730.38926317709</v>
      </c>
      <c r="Q16" s="6">
        <f t="shared" si="4"/>
        <v>145518.51571733566</v>
      </c>
      <c r="R16" s="6">
        <f t="shared" si="4"/>
        <v>158946.04849420214</v>
      </c>
      <c r="S16" s="6">
        <f t="shared" si="4"/>
        <v>173044.95790991196</v>
      </c>
      <c r="T16" s="6">
        <f t="shared" si="4"/>
        <v>187848.81279640729</v>
      </c>
      <c r="U16" s="6">
        <f t="shared" si="4"/>
        <v>203392.86042722737</v>
      </c>
      <c r="V16" s="6">
        <f t="shared" si="4"/>
        <v>219714.11043958843</v>
      </c>
      <c r="W16" s="6">
        <f t="shared" si="4"/>
        <v>236851.42295256758</v>
      </c>
      <c r="X16" s="6">
        <f t="shared" si="4"/>
        <v>254845.60109119568</v>
      </c>
      <c r="Y16" s="6">
        <f t="shared" si="4"/>
        <v>273739.48813675519</v>
      </c>
      <c r="Z16" s="6">
        <f t="shared" si="4"/>
        <v>293578.06953459274</v>
      </c>
      <c r="AA16" s="6">
        <f t="shared" si="4"/>
        <v>314408.58000232215</v>
      </c>
      <c r="AB16" s="6">
        <f t="shared" si="4"/>
        <v>336280.615993438</v>
      </c>
      <c r="AC16" s="6">
        <f t="shared" si="4"/>
        <v>359246.25378410966</v>
      </c>
      <c r="AD16" s="6">
        <f t="shared" si="4"/>
        <v>383360.17346431495</v>
      </c>
      <c r="AE16" s="6">
        <f t="shared" si="4"/>
        <v>408679.78912853042</v>
      </c>
      <c r="AF16" s="23"/>
    </row>
    <row r="17" spans="1:32" x14ac:dyDescent="0.45">
      <c r="A17" s="49" t="s">
        <v>86</v>
      </c>
      <c r="B17" s="6">
        <f>MAX($E$30,$E$29*B16)</f>
        <v>20</v>
      </c>
      <c r="C17" s="6">
        <f t="shared" ref="C17:AE17" si="5">MAX($E$30,$E$29*C16)</f>
        <v>30.250056114838674</v>
      </c>
      <c r="D17" s="6">
        <f t="shared" si="5"/>
        <v>46.526415698979953</v>
      </c>
      <c r="E17" s="6">
        <f t="shared" si="5"/>
        <v>63.616593262328301</v>
      </c>
      <c r="F17" s="6">
        <f t="shared" si="5"/>
        <v>81.561279703844079</v>
      </c>
      <c r="G17" s="6">
        <f t="shared" si="5"/>
        <v>100.40320046743564</v>
      </c>
      <c r="H17" s="6">
        <f t="shared" si="5"/>
        <v>120.18721726920677</v>
      </c>
      <c r="I17" s="6">
        <f t="shared" si="5"/>
        <v>140.96043491106647</v>
      </c>
      <c r="J17" s="6">
        <f t="shared" si="5"/>
        <v>162.77231343501916</v>
      </c>
      <c r="K17" s="6">
        <f t="shared" si="5"/>
        <v>185.67478588516948</v>
      </c>
      <c r="L17" s="6">
        <f t="shared" si="5"/>
        <v>209.72238195782731</v>
      </c>
      <c r="M17" s="6">
        <f t="shared" si="5"/>
        <v>234.97235783411807</v>
      </c>
      <c r="N17" s="6">
        <f t="shared" si="5"/>
        <v>261.48483250422333</v>
      </c>
      <c r="O17" s="6">
        <f t="shared" si="5"/>
        <v>289.32293090783389</v>
      </c>
      <c r="P17" s="6">
        <f t="shared" si="5"/>
        <v>318.55293423162499</v>
      </c>
      <c r="Q17" s="6">
        <f t="shared" si="5"/>
        <v>349.24443772160555</v>
      </c>
      <c r="R17" s="6">
        <f t="shared" si="5"/>
        <v>381.47051638608514</v>
      </c>
      <c r="S17" s="6">
        <f t="shared" si="5"/>
        <v>415.30789898378868</v>
      </c>
      <c r="T17" s="6">
        <f t="shared" si="5"/>
        <v>450.83715071137743</v>
      </c>
      <c r="U17" s="6">
        <f t="shared" si="5"/>
        <v>488.14286502534566</v>
      </c>
      <c r="V17" s="6">
        <f t="shared" si="5"/>
        <v>527.31386505501223</v>
      </c>
      <c r="W17" s="6">
        <f t="shared" si="5"/>
        <v>568.44341508616219</v>
      </c>
      <c r="X17" s="6">
        <f t="shared" si="5"/>
        <v>611.62944261886958</v>
      </c>
      <c r="Y17" s="6">
        <f t="shared" si="5"/>
        <v>656.97477152821239</v>
      </c>
      <c r="Z17" s="6">
        <f t="shared" si="5"/>
        <v>704.58736688302247</v>
      </c>
      <c r="AA17" s="6">
        <f t="shared" si="5"/>
        <v>754.58059200557307</v>
      </c>
      <c r="AB17" s="6">
        <f t="shared" si="5"/>
        <v>807.07347838425108</v>
      </c>
      <c r="AC17" s="6">
        <f t="shared" si="5"/>
        <v>862.19100908186317</v>
      </c>
      <c r="AD17" s="6">
        <f t="shared" si="5"/>
        <v>920.06441631435575</v>
      </c>
      <c r="AE17" s="6">
        <f t="shared" si="5"/>
        <v>980.83149390847291</v>
      </c>
      <c r="AF17" s="23"/>
    </row>
    <row r="18" spans="1:32" x14ac:dyDescent="0.45">
      <c r="A18" s="49" t="s">
        <v>94</v>
      </c>
      <c r="B18" s="6">
        <f>MIN($E$32,B16-B17)</f>
        <v>6125.3171969997302</v>
      </c>
      <c r="C18" s="6">
        <f t="shared" ref="C18:AE18" si="6">MIN($E$32,C16-C17)</f>
        <v>12573.939991734609</v>
      </c>
      <c r="D18" s="6">
        <f t="shared" si="6"/>
        <v>19339.480125542668</v>
      </c>
      <c r="E18" s="6">
        <f t="shared" si="6"/>
        <v>26443.297266041132</v>
      </c>
      <c r="F18" s="6">
        <f t="shared" si="6"/>
        <v>33902.305263564529</v>
      </c>
      <c r="G18" s="6">
        <f t="shared" si="6"/>
        <v>41734.263660964083</v>
      </c>
      <c r="H18" s="6">
        <f t="shared" si="6"/>
        <v>49957.819978233616</v>
      </c>
      <c r="I18" s="6">
        <f t="shared" si="6"/>
        <v>58592.55411136664</v>
      </c>
      <c r="J18" s="6">
        <f t="shared" si="6"/>
        <v>67659.024951156302</v>
      </c>
      <c r="K18" s="6">
        <f t="shared" si="6"/>
        <v>77178.819332935454</v>
      </c>
      <c r="L18" s="6">
        <f t="shared" si="6"/>
        <v>87174.603433803568</v>
      </c>
      <c r="M18" s="6">
        <f t="shared" si="6"/>
        <v>97670.176739715083</v>
      </c>
      <c r="N18" s="6">
        <f t="shared" si="6"/>
        <v>100000</v>
      </c>
      <c r="O18" s="6">
        <f t="shared" si="6"/>
        <v>100000</v>
      </c>
      <c r="P18" s="6">
        <f t="shared" si="6"/>
        <v>100000</v>
      </c>
      <c r="Q18" s="6">
        <f t="shared" si="6"/>
        <v>100000</v>
      </c>
      <c r="R18" s="6">
        <f t="shared" si="6"/>
        <v>100000</v>
      </c>
      <c r="S18" s="6">
        <f t="shared" si="6"/>
        <v>100000</v>
      </c>
      <c r="T18" s="6">
        <f t="shared" si="6"/>
        <v>100000</v>
      </c>
      <c r="U18" s="6">
        <f t="shared" si="6"/>
        <v>100000</v>
      </c>
      <c r="V18" s="6">
        <f t="shared" si="6"/>
        <v>100000</v>
      </c>
      <c r="W18" s="6">
        <f t="shared" si="6"/>
        <v>100000</v>
      </c>
      <c r="X18" s="6">
        <f t="shared" si="6"/>
        <v>100000</v>
      </c>
      <c r="Y18" s="6">
        <f t="shared" si="6"/>
        <v>100000</v>
      </c>
      <c r="Z18" s="6">
        <f t="shared" si="6"/>
        <v>100000</v>
      </c>
      <c r="AA18" s="6">
        <f t="shared" si="6"/>
        <v>100000</v>
      </c>
      <c r="AB18" s="6">
        <f t="shared" si="6"/>
        <v>100000</v>
      </c>
      <c r="AC18" s="6">
        <f t="shared" si="6"/>
        <v>100000</v>
      </c>
      <c r="AD18" s="6">
        <f t="shared" si="6"/>
        <v>100000</v>
      </c>
      <c r="AE18" s="6">
        <f t="shared" si="6"/>
        <v>100000</v>
      </c>
    </row>
    <row r="19" spans="1:32" x14ac:dyDescent="0.45">
      <c r="A19" s="49" t="s">
        <v>93</v>
      </c>
      <c r="B19" s="6">
        <f>MAX(0,B16-$E$32)</f>
        <v>0</v>
      </c>
      <c r="C19" s="6">
        <f>MAX(0,C16-$E$32)</f>
        <v>0</v>
      </c>
      <c r="D19" s="6">
        <f>MAX(0,D16-$E$32)</f>
        <v>0</v>
      </c>
      <c r="E19" s="6">
        <f>MAX(0,E16-$E$32)</f>
        <v>0</v>
      </c>
      <c r="F19" s="6">
        <f>MAX(0,F16-$E$32)</f>
        <v>0</v>
      </c>
      <c r="G19" s="6">
        <f>MAX(0,G16-$E$32)</f>
        <v>0</v>
      </c>
      <c r="H19" s="6">
        <f>MAX(0,H16-$E$32)</f>
        <v>0</v>
      </c>
      <c r="I19" s="6">
        <f>MAX(0,I16-$E$32)</f>
        <v>0</v>
      </c>
      <c r="J19" s="6">
        <f>MAX(0,J16-$E$32)</f>
        <v>0</v>
      </c>
      <c r="K19" s="6">
        <f>MAX(0,K16-$E$32)</f>
        <v>0</v>
      </c>
      <c r="L19" s="6">
        <f>MAX(0,L16-$E$32)</f>
        <v>0</v>
      </c>
      <c r="M19" s="6">
        <f>MAX(0,M16-$E$32)</f>
        <v>0</v>
      </c>
      <c r="N19" s="6">
        <f>MAX(0,N16-$E$32)</f>
        <v>8952.0135434264084</v>
      </c>
      <c r="O19" s="6">
        <f>MAX(0,O16-$E$32)</f>
        <v>20551.221211597469</v>
      </c>
      <c r="P19" s="6">
        <f>MAX(0,P16-$E$32)</f>
        <v>32730.389263177087</v>
      </c>
      <c r="Q19" s="6">
        <f>MAX(0,Q16-$E$32)</f>
        <v>45518.515717335657</v>
      </c>
      <c r="R19" s="6">
        <f>MAX(0,R16-$E$32)</f>
        <v>58946.048494202143</v>
      </c>
      <c r="S19" s="6">
        <f>MAX(0,S16-$E$32)</f>
        <v>73044.957909911958</v>
      </c>
      <c r="T19" s="6">
        <f>MAX(0,T16-$E$32)</f>
        <v>87848.812796407292</v>
      </c>
      <c r="U19" s="6">
        <f>MAX(0,U16-$E$32)</f>
        <v>103392.86042722737</v>
      </c>
      <c r="V19" s="6">
        <f>MAX(0,V16-$E$32)</f>
        <v>119714.11043958843</v>
      </c>
      <c r="W19" s="6">
        <f>MAX(0,W16-$E$32)</f>
        <v>136851.42295256758</v>
      </c>
      <c r="X19" s="6">
        <f>MAX(0,X16-$E$32)</f>
        <v>154845.60109119568</v>
      </c>
      <c r="Y19" s="6">
        <f>MAX(0,Y16-$E$32)</f>
        <v>173739.48813675519</v>
      </c>
      <c r="Z19" s="6">
        <f>MAX(0,Z16-$E$32)</f>
        <v>193578.06953459274</v>
      </c>
      <c r="AA19" s="6">
        <f>MAX(0,AA16-$E$32)</f>
        <v>214408.58000232215</v>
      </c>
      <c r="AB19" s="6">
        <f>MAX(0,AB16-$E$32)</f>
        <v>236280.615993438</v>
      </c>
      <c r="AC19" s="6">
        <f>MAX(0,AC16-$E$32)</f>
        <v>259246.25378410966</v>
      </c>
      <c r="AD19" s="6">
        <f>MAX(0,AD16-$E$32)</f>
        <v>283360.17346431495</v>
      </c>
      <c r="AE19" s="6">
        <f>MAX(0,AE16-$E$32)</f>
        <v>308679.78912853042</v>
      </c>
    </row>
    <row r="20" spans="1:32" x14ac:dyDescent="0.45">
      <c r="A20" s="49" t="s">
        <v>87</v>
      </c>
      <c r="B20" s="6">
        <f>B19*$F$29</f>
        <v>0</v>
      </c>
      <c r="C20" s="6">
        <f t="shared" ref="C20:AE20" si="7">C19*$F$29</f>
        <v>0</v>
      </c>
      <c r="D20" s="6">
        <f t="shared" si="7"/>
        <v>0</v>
      </c>
      <c r="E20" s="6">
        <f t="shared" si="7"/>
        <v>0</v>
      </c>
      <c r="F20" s="6">
        <f t="shared" si="7"/>
        <v>0</v>
      </c>
      <c r="G20" s="6">
        <f t="shared" si="7"/>
        <v>0</v>
      </c>
      <c r="H20" s="6">
        <f t="shared" si="7"/>
        <v>0</v>
      </c>
      <c r="I20" s="6">
        <f t="shared" si="7"/>
        <v>0</v>
      </c>
      <c r="J20" s="6">
        <f t="shared" si="7"/>
        <v>0</v>
      </c>
      <c r="K20" s="6">
        <f t="shared" si="7"/>
        <v>0</v>
      </c>
      <c r="L20" s="6">
        <f t="shared" si="7"/>
        <v>0</v>
      </c>
      <c r="M20" s="6">
        <f t="shared" si="7"/>
        <v>0</v>
      </c>
      <c r="N20" s="6">
        <f t="shared" si="7"/>
        <v>10.742416252111688</v>
      </c>
      <c r="O20" s="6">
        <f t="shared" si="7"/>
        <v>24.661465453916961</v>
      </c>
      <c r="P20" s="6">
        <f t="shared" si="7"/>
        <v>39.276467115812501</v>
      </c>
      <c r="Q20" s="6">
        <f t="shared" si="7"/>
        <v>54.622218860802782</v>
      </c>
      <c r="R20" s="6">
        <f t="shared" si="7"/>
        <v>70.735258193042569</v>
      </c>
      <c r="S20" s="6">
        <f t="shared" si="7"/>
        <v>87.653949491894338</v>
      </c>
      <c r="T20" s="6">
        <f t="shared" si="7"/>
        <v>105.41857535568874</v>
      </c>
      <c r="U20" s="6">
        <f t="shared" si="7"/>
        <v>124.07143251267283</v>
      </c>
      <c r="V20" s="6">
        <f t="shared" si="7"/>
        <v>143.65693252750611</v>
      </c>
      <c r="W20" s="6">
        <f t="shared" si="7"/>
        <v>164.22170754308107</v>
      </c>
      <c r="X20" s="6">
        <f t="shared" si="7"/>
        <v>185.81472130943482</v>
      </c>
      <c r="Y20" s="6">
        <f t="shared" si="7"/>
        <v>208.48738576410619</v>
      </c>
      <c r="Z20" s="6">
        <f t="shared" si="7"/>
        <v>232.29368344151126</v>
      </c>
      <c r="AA20" s="6">
        <f t="shared" si="7"/>
        <v>257.29029600278653</v>
      </c>
      <c r="AB20" s="6">
        <f t="shared" si="7"/>
        <v>283.53673919212559</v>
      </c>
      <c r="AC20" s="6">
        <f t="shared" si="7"/>
        <v>311.09550454093159</v>
      </c>
      <c r="AD20" s="6">
        <f t="shared" si="7"/>
        <v>340.03220815717793</v>
      </c>
      <c r="AE20" s="6">
        <f t="shared" si="7"/>
        <v>370.41574695423645</v>
      </c>
    </row>
    <row r="21" spans="1:32" x14ac:dyDescent="0.45">
      <c r="A21" s="49" t="s">
        <v>92</v>
      </c>
      <c r="B21" s="6">
        <f>MIN($E$31,B17+B20)</f>
        <v>20</v>
      </c>
      <c r="C21" s="6">
        <f t="shared" ref="C21:AE21" si="8">MIN($E$31,C17+C20)</f>
        <v>30.250056114838674</v>
      </c>
      <c r="D21" s="6">
        <f t="shared" si="8"/>
        <v>46.526415698979953</v>
      </c>
      <c r="E21" s="6">
        <f t="shared" si="8"/>
        <v>63.616593262328301</v>
      </c>
      <c r="F21" s="6">
        <f t="shared" si="8"/>
        <v>81.561279703844079</v>
      </c>
      <c r="G21" s="6">
        <f t="shared" si="8"/>
        <v>100.40320046743564</v>
      </c>
      <c r="H21" s="6">
        <f t="shared" si="8"/>
        <v>120.18721726920677</v>
      </c>
      <c r="I21" s="6">
        <f t="shared" si="8"/>
        <v>140.96043491106647</v>
      </c>
      <c r="J21" s="6">
        <f t="shared" si="8"/>
        <v>162.77231343501916</v>
      </c>
      <c r="K21" s="6">
        <f t="shared" si="8"/>
        <v>185.67478588516948</v>
      </c>
      <c r="L21" s="6">
        <f t="shared" si="8"/>
        <v>209.72238195782731</v>
      </c>
      <c r="M21" s="6">
        <f t="shared" si="8"/>
        <v>234.97235783411807</v>
      </c>
      <c r="N21" s="6">
        <f t="shared" si="8"/>
        <v>272.22724875633503</v>
      </c>
      <c r="O21" s="6">
        <f t="shared" si="8"/>
        <v>313.98439636175084</v>
      </c>
      <c r="P21" s="6">
        <f t="shared" si="8"/>
        <v>357.82940134743751</v>
      </c>
      <c r="Q21" s="6">
        <f t="shared" si="8"/>
        <v>400</v>
      </c>
      <c r="R21" s="6">
        <f t="shared" si="8"/>
        <v>400</v>
      </c>
      <c r="S21" s="6">
        <f t="shared" si="8"/>
        <v>400</v>
      </c>
      <c r="T21" s="6">
        <f t="shared" si="8"/>
        <v>400</v>
      </c>
      <c r="U21" s="6">
        <f t="shared" si="8"/>
        <v>400</v>
      </c>
      <c r="V21" s="6">
        <f t="shared" si="8"/>
        <v>400</v>
      </c>
      <c r="W21" s="6">
        <f t="shared" si="8"/>
        <v>400</v>
      </c>
      <c r="X21" s="6">
        <f t="shared" si="8"/>
        <v>400</v>
      </c>
      <c r="Y21" s="6">
        <f t="shared" si="8"/>
        <v>400</v>
      </c>
      <c r="Z21" s="6">
        <f t="shared" si="8"/>
        <v>400</v>
      </c>
      <c r="AA21" s="6">
        <f t="shared" si="8"/>
        <v>400</v>
      </c>
      <c r="AB21" s="6">
        <f t="shared" si="8"/>
        <v>400</v>
      </c>
      <c r="AC21" s="6">
        <f t="shared" si="8"/>
        <v>400</v>
      </c>
      <c r="AD21" s="6">
        <f t="shared" si="8"/>
        <v>400</v>
      </c>
      <c r="AE21" s="6">
        <f t="shared" si="8"/>
        <v>400</v>
      </c>
    </row>
    <row r="22" spans="1:32" x14ac:dyDescent="0.45">
      <c r="A22" s="49" t="s">
        <v>99</v>
      </c>
      <c r="B22" s="6">
        <f>B13+B15+B21</f>
        <v>35.971567798973901</v>
      </c>
      <c r="C22" s="6">
        <f t="shared" ref="C22:AE22" si="9">C13+C15+C21</f>
        <v>56.701976102735173</v>
      </c>
      <c r="D22" s="6">
        <f t="shared" si="9"/>
        <v>83.982705485245162</v>
      </c>
      <c r="E22" s="6">
        <f t="shared" si="9"/>
        <v>112.62747133688069</v>
      </c>
      <c r="F22" s="6">
        <f t="shared" si="9"/>
        <v>142.70447548109797</v>
      </c>
      <c r="G22" s="6">
        <f t="shared" si="9"/>
        <v>174.28532983252614</v>
      </c>
      <c r="H22" s="6">
        <f t="shared" si="9"/>
        <v>207.4452269015257</v>
      </c>
      <c r="I22" s="6">
        <f t="shared" si="9"/>
        <v>242.26311882397528</v>
      </c>
      <c r="J22" s="6">
        <f t="shared" si="9"/>
        <v>278.82190534254732</v>
      </c>
      <c r="K22" s="6">
        <f t="shared" si="9"/>
        <v>317.2086311870479</v>
      </c>
      <c r="L22" s="6">
        <f t="shared" si="9"/>
        <v>357.5146933237736</v>
      </c>
      <c r="M22" s="6">
        <f t="shared" si="9"/>
        <v>399.83605856733561</v>
      </c>
      <c r="N22" s="6">
        <f t="shared" si="9"/>
        <v>455.0159083251873</v>
      </c>
      <c r="O22" s="6">
        <f t="shared" si="9"/>
        <v>515.59426270801964</v>
      </c>
      <c r="P22" s="6">
        <f t="shared" si="9"/>
        <v>579.20153480999375</v>
      </c>
      <c r="Q22" s="6">
        <f t="shared" si="9"/>
        <v>642.12251393465795</v>
      </c>
      <c r="R22" s="6">
        <f t="shared" si="9"/>
        <v>663.91041343036466</v>
      </c>
      <c r="S22" s="6">
        <f t="shared" si="9"/>
        <v>686.78770790085673</v>
      </c>
      <c r="T22" s="6">
        <f t="shared" si="9"/>
        <v>710.80886709487345</v>
      </c>
      <c r="U22" s="6">
        <f t="shared" si="9"/>
        <v>736.03108424859101</v>
      </c>
      <c r="V22" s="6">
        <f t="shared" si="9"/>
        <v>762.51441225999451</v>
      </c>
      <c r="W22" s="6">
        <f t="shared" si="9"/>
        <v>790.32190667196801</v>
      </c>
      <c r="X22" s="6">
        <f t="shared" si="9"/>
        <v>819.51977580454036</v>
      </c>
      <c r="Y22" s="6">
        <f t="shared" si="9"/>
        <v>850.17753839374132</v>
      </c>
      <c r="Z22" s="6">
        <f t="shared" si="9"/>
        <v>882.36818911240232</v>
      </c>
      <c r="AA22" s="6">
        <f t="shared" si="9"/>
        <v>916.16837236699644</v>
      </c>
      <c r="AB22" s="6">
        <f t="shared" si="9"/>
        <v>951.65856478432011</v>
      </c>
      <c r="AC22" s="6">
        <f t="shared" si="9"/>
        <v>988.92326682251007</v>
      </c>
      <c r="AD22" s="6">
        <f t="shared" si="9"/>
        <v>1028.0512039626096</v>
      </c>
      <c r="AE22" s="6">
        <f t="shared" si="9"/>
        <v>1069.1355379597139</v>
      </c>
    </row>
    <row r="23" spans="1:32" x14ac:dyDescent="0.45">
      <c r="A23" s="2" t="s">
        <v>45</v>
      </c>
      <c r="B23" s="6">
        <f>B12-B22</f>
        <v>6125.3171969997302</v>
      </c>
      <c r="C23" s="6">
        <f t="shared" ref="C23:AE23" si="10">C12-C22</f>
        <v>12573.939991734609</v>
      </c>
      <c r="D23" s="6">
        <f t="shared" si="10"/>
        <v>19339.480125542668</v>
      </c>
      <c r="E23" s="6">
        <f t="shared" si="10"/>
        <v>26443.297266041136</v>
      </c>
      <c r="F23" s="6">
        <f t="shared" si="10"/>
        <v>33902.305263564522</v>
      </c>
      <c r="G23" s="6">
        <f t="shared" si="10"/>
        <v>41734.263660964083</v>
      </c>
      <c r="H23" s="6">
        <f t="shared" si="10"/>
        <v>49957.819978233623</v>
      </c>
      <c r="I23" s="6">
        <f t="shared" si="10"/>
        <v>58592.55411136664</v>
      </c>
      <c r="J23" s="6">
        <f t="shared" si="10"/>
        <v>67659.024951156316</v>
      </c>
      <c r="K23" s="6">
        <f t="shared" si="10"/>
        <v>77178.819332935454</v>
      </c>
      <c r="L23" s="6">
        <f t="shared" si="10"/>
        <v>87174.603433803568</v>
      </c>
      <c r="M23" s="6">
        <f t="shared" si="10"/>
        <v>97670.176739715083</v>
      </c>
      <c r="N23" s="6">
        <f t="shared" si="10"/>
        <v>108679.78629467006</v>
      </c>
      <c r="O23" s="6">
        <f t="shared" si="10"/>
        <v>120237.23681523571</v>
      </c>
      <c r="P23" s="6">
        <f t="shared" si="10"/>
        <v>132372.55986182965</v>
      </c>
      <c r="Q23" s="6">
        <f t="shared" si="10"/>
        <v>145118.51571733566</v>
      </c>
      <c r="R23" s="6">
        <f t="shared" si="10"/>
        <v>158546.04849420214</v>
      </c>
      <c r="S23" s="6">
        <f t="shared" si="10"/>
        <v>172644.95790991196</v>
      </c>
      <c r="T23" s="6">
        <f t="shared" si="10"/>
        <v>187448.81279640729</v>
      </c>
      <c r="U23" s="6">
        <f t="shared" si="10"/>
        <v>202992.86042722737</v>
      </c>
      <c r="V23" s="6">
        <f t="shared" si="10"/>
        <v>219314.11043958843</v>
      </c>
      <c r="W23" s="6">
        <f t="shared" si="10"/>
        <v>236451.42295256758</v>
      </c>
      <c r="X23" s="6">
        <f t="shared" si="10"/>
        <v>254445.60109119568</v>
      </c>
      <c r="Y23" s="6">
        <f t="shared" si="10"/>
        <v>273339.48813675519</v>
      </c>
      <c r="Z23" s="6">
        <f t="shared" si="10"/>
        <v>293178.06953459274</v>
      </c>
      <c r="AA23" s="6">
        <f t="shared" si="10"/>
        <v>314008.58000232215</v>
      </c>
      <c r="AB23" s="6">
        <f t="shared" si="10"/>
        <v>335880.615993438</v>
      </c>
      <c r="AC23" s="6">
        <f t="shared" si="10"/>
        <v>358846.25378410966</v>
      </c>
      <c r="AD23" s="6">
        <f t="shared" si="10"/>
        <v>382960.17346431495</v>
      </c>
      <c r="AE23" s="6">
        <f t="shared" si="10"/>
        <v>408279.78912853042</v>
      </c>
    </row>
    <row r="26" spans="1:32" ht="18" x14ac:dyDescent="0.55000000000000004">
      <c r="B26" s="17" t="s">
        <v>34</v>
      </c>
      <c r="C26" t="s">
        <v>104</v>
      </c>
    </row>
    <row r="27" spans="1:32" x14ac:dyDescent="0.45">
      <c r="B27" t="s">
        <v>35</v>
      </c>
      <c r="C27" t="s">
        <v>36</v>
      </c>
      <c r="D27" t="s">
        <v>37</v>
      </c>
      <c r="E27" t="s">
        <v>101</v>
      </c>
      <c r="I27" s="18"/>
    </row>
    <row r="28" spans="1:32" ht="14.65" thickBot="1" x14ac:dyDescent="0.5">
      <c r="E28" t="s">
        <v>88</v>
      </c>
      <c r="F28" t="s">
        <v>89</v>
      </c>
      <c r="I28" s="18"/>
    </row>
    <row r="29" spans="1:32" x14ac:dyDescent="0.45">
      <c r="A29" s="16" t="s">
        <v>44</v>
      </c>
      <c r="B29" s="52">
        <f>'Invoer en totaal'!B27</f>
        <v>1E-3</v>
      </c>
      <c r="C29" s="52">
        <f>'Invoer en totaal'!C27</f>
        <v>1E-3</v>
      </c>
      <c r="D29" s="52">
        <f>'Invoer en totaal'!D27</f>
        <v>1.6199999999999999E-3</v>
      </c>
      <c r="E29" s="52">
        <f>'Invoer en totaal'!E27</f>
        <v>2.3999999999999998E-3</v>
      </c>
      <c r="F29" s="52">
        <f>'Invoer en totaal'!F27</f>
        <v>1.1999999999999999E-3</v>
      </c>
      <c r="G29" s="7"/>
      <c r="H29" s="8"/>
      <c r="I29" s="18"/>
    </row>
    <row r="30" spans="1:32" x14ac:dyDescent="0.45">
      <c r="A30" s="34" t="s">
        <v>77</v>
      </c>
      <c r="B30" s="53">
        <f>'Invoer en totaal'!B28</f>
        <v>0.05</v>
      </c>
      <c r="C30" s="53">
        <f>'Invoer en totaal'!C28</f>
        <v>0</v>
      </c>
      <c r="D30" s="9"/>
      <c r="E30" s="57">
        <f>'Invoer en totaal'!E28</f>
        <v>20</v>
      </c>
      <c r="F30" s="9"/>
      <c r="G30" s="9"/>
      <c r="H30" s="10"/>
      <c r="I30" s="18"/>
    </row>
    <row r="31" spans="1:32" x14ac:dyDescent="0.45">
      <c r="A31" s="34" t="s">
        <v>78</v>
      </c>
      <c r="B31" s="54">
        <f>'Invoer en totaal'!B29</f>
        <v>150</v>
      </c>
      <c r="C31" s="54">
        <f>'Invoer en totaal'!C29</f>
        <v>150</v>
      </c>
      <c r="D31" s="9"/>
      <c r="E31" s="55">
        <f>'Invoer en totaal'!E29</f>
        <v>400</v>
      </c>
      <c r="F31" s="9"/>
      <c r="G31" s="9"/>
      <c r="H31" s="10"/>
      <c r="I31" s="18"/>
    </row>
    <row r="32" spans="1:32" ht="14.65" thickBot="1" x14ac:dyDescent="0.5">
      <c r="A32" s="46"/>
      <c r="B32" s="11"/>
      <c r="C32" s="11"/>
      <c r="D32" s="56" t="s">
        <v>83</v>
      </c>
      <c r="E32" s="58">
        <f>'Invoer en totaal'!E30</f>
        <v>100000</v>
      </c>
      <c r="F32" s="22" t="s">
        <v>79</v>
      </c>
      <c r="G32" s="11"/>
      <c r="H32" s="12"/>
      <c r="I32" s="18"/>
    </row>
    <row r="33" spans="2:9" x14ac:dyDescent="0.45">
      <c r="I33" s="18"/>
    </row>
    <row r="34" spans="2:9" x14ac:dyDescent="0.45">
      <c r="B34" s="26" t="s">
        <v>81</v>
      </c>
      <c r="I34" s="1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27AE-1FE0-4436-A117-113B6812330D}">
  <dimension ref="A1:C4"/>
  <sheetViews>
    <sheetView workbookViewId="0">
      <selection activeCell="A5" sqref="A5"/>
    </sheetView>
  </sheetViews>
  <sheetFormatPr defaultRowHeight="14.25" x14ac:dyDescent="0.45"/>
  <cols>
    <col min="2" max="2" width="10.265625" customWidth="1"/>
  </cols>
  <sheetData>
    <row r="1" spans="1:3" x14ac:dyDescent="0.45">
      <c r="A1" t="s">
        <v>71</v>
      </c>
      <c r="B1" s="59">
        <v>43840</v>
      </c>
      <c r="C1" t="s">
        <v>72</v>
      </c>
    </row>
    <row r="2" spans="1:3" x14ac:dyDescent="0.45">
      <c r="A2" t="s">
        <v>73</v>
      </c>
      <c r="B2" s="59">
        <v>43840</v>
      </c>
      <c r="C2" t="s">
        <v>74</v>
      </c>
    </row>
    <row r="3" spans="1:3" x14ac:dyDescent="0.45">
      <c r="A3" t="s">
        <v>75</v>
      </c>
      <c r="B3" s="59">
        <v>43840</v>
      </c>
      <c r="C3" t="s">
        <v>76</v>
      </c>
    </row>
    <row r="4" spans="1:3" x14ac:dyDescent="0.45">
      <c r="A4" t="s">
        <v>102</v>
      </c>
      <c r="B4" s="59">
        <v>43841</v>
      </c>
      <c r="C4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Invoer en totaal</vt:lpstr>
      <vt:lpstr>Rendement berekening</vt:lpstr>
      <vt:lpstr>Rabobank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2020-01-11T11:27:19Z</dcterms:modified>
</cp:coreProperties>
</file>