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bookViews>
    <workbookView xWindow="0" yWindow="0" windowWidth="15360" windowHeight="7620" activeTab="2"/>
  </bookViews>
  <sheets>
    <sheet name="Couts individuels" sheetId="1" r:id="rId1"/>
    <sheet name="Investisseurs" sheetId="3" r:id="rId2"/>
    <sheet name="Budge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28" i="2" s="1"/>
  <c r="H22" i="2"/>
  <c r="I22" i="2"/>
  <c r="I28" i="2" s="1"/>
  <c r="L22" i="2"/>
  <c r="M22" i="2"/>
  <c r="M28" i="2" s="1"/>
  <c r="F4" i="2"/>
  <c r="G4" i="2"/>
  <c r="H4" i="2"/>
  <c r="I4" i="2"/>
  <c r="J4" i="2"/>
  <c r="K4" i="2"/>
  <c r="L4" i="2"/>
  <c r="M4" i="2"/>
  <c r="N4" i="2"/>
  <c r="O4" i="2"/>
  <c r="F5" i="2"/>
  <c r="G5" i="2"/>
  <c r="H5" i="2"/>
  <c r="I5" i="2"/>
  <c r="J5" i="2"/>
  <c r="K5" i="2"/>
  <c r="L5" i="2"/>
  <c r="M5" i="2"/>
  <c r="N5" i="2"/>
  <c r="O5" i="2"/>
  <c r="F6" i="2"/>
  <c r="G6" i="2"/>
  <c r="H6" i="2"/>
  <c r="I6" i="2"/>
  <c r="J6" i="2"/>
  <c r="K6" i="2"/>
  <c r="L6" i="2"/>
  <c r="M6" i="2"/>
  <c r="N6" i="2"/>
  <c r="O6" i="2"/>
  <c r="F7" i="2"/>
  <c r="G7" i="2"/>
  <c r="H7" i="2"/>
  <c r="I7" i="2"/>
  <c r="J7" i="2"/>
  <c r="K7" i="2"/>
  <c r="L7" i="2"/>
  <c r="M7" i="2"/>
  <c r="N7" i="2"/>
  <c r="O7" i="2"/>
  <c r="F8" i="2"/>
  <c r="G8" i="2"/>
  <c r="H8" i="2"/>
  <c r="I8" i="2"/>
  <c r="J8" i="2"/>
  <c r="K8" i="2"/>
  <c r="L8" i="2"/>
  <c r="M8" i="2"/>
  <c r="N8" i="2"/>
  <c r="O8" i="2"/>
  <c r="O3" i="2"/>
  <c r="N3" i="2"/>
  <c r="M3" i="2"/>
  <c r="L3" i="2"/>
  <c r="K3" i="2"/>
  <c r="J3" i="2"/>
  <c r="I3" i="2"/>
  <c r="H3" i="2"/>
  <c r="G3" i="2"/>
  <c r="F3" i="2"/>
  <c r="E3" i="2"/>
  <c r="E4" i="2"/>
  <c r="E5" i="2"/>
  <c r="E6" i="2"/>
  <c r="E7" i="2"/>
  <c r="E8" i="2"/>
  <c r="D4" i="2"/>
  <c r="D5" i="2"/>
  <c r="D6" i="2"/>
  <c r="D7" i="2"/>
  <c r="D8" i="2"/>
  <c r="D3" i="2"/>
  <c r="C3" i="2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O14" i="3"/>
  <c r="N14" i="3"/>
  <c r="O22" i="2" s="1"/>
  <c r="O28" i="2" s="1"/>
  <c r="M14" i="3"/>
  <c r="N22" i="2" s="1"/>
  <c r="N28" i="2" s="1"/>
  <c r="L14" i="3"/>
  <c r="K14" i="3"/>
  <c r="J14" i="3"/>
  <c r="K22" i="2" s="1"/>
  <c r="K28" i="2" s="1"/>
  <c r="I14" i="3"/>
  <c r="J22" i="2" s="1"/>
  <c r="J28" i="2" s="1"/>
  <c r="H14" i="3"/>
  <c r="G14" i="3"/>
  <c r="F14" i="3"/>
  <c r="G22" i="2" s="1"/>
  <c r="G28" i="2" s="1"/>
  <c r="E14" i="3"/>
  <c r="F22" i="2" s="1"/>
  <c r="F28" i="2" s="1"/>
  <c r="D14" i="3"/>
  <c r="B14" i="3"/>
  <c r="C22" i="2" s="1"/>
  <c r="C28" i="2" s="1"/>
  <c r="C14" i="3"/>
  <c r="D22" i="2" s="1"/>
  <c r="D28" i="2" l="1"/>
  <c r="H28" i="2"/>
  <c r="L28" i="2"/>
  <c r="F9" i="2"/>
  <c r="E9" i="2"/>
  <c r="D9" i="2"/>
  <c r="D9" i="1"/>
  <c r="E9" i="1"/>
  <c r="F9" i="1"/>
  <c r="G9" i="1"/>
  <c r="H9" i="1"/>
  <c r="I9" i="1"/>
  <c r="J9" i="1"/>
  <c r="K9" i="1"/>
  <c r="L9" i="1"/>
  <c r="M9" i="1"/>
  <c r="N9" i="1"/>
  <c r="O9" i="1"/>
  <c r="P9" i="1"/>
  <c r="C9" i="1"/>
  <c r="C4" i="2"/>
  <c r="C5" i="2"/>
  <c r="C6" i="2"/>
  <c r="C7" i="2"/>
  <c r="C8" i="2"/>
  <c r="L9" i="2" l="1"/>
  <c r="L16" i="2" s="1"/>
  <c r="L30" i="2" s="1"/>
  <c r="H9" i="2"/>
  <c r="H16" i="2" s="1"/>
  <c r="H30" i="2" s="1"/>
  <c r="N9" i="2"/>
  <c r="N16" i="2" s="1"/>
  <c r="N30" i="2" s="1"/>
  <c r="J9" i="2"/>
  <c r="J16" i="2" s="1"/>
  <c r="J30" i="2" s="1"/>
  <c r="F16" i="2"/>
  <c r="F30" i="2" s="1"/>
  <c r="E16" i="2"/>
  <c r="E30" i="2" s="1"/>
  <c r="C9" i="2"/>
  <c r="C16" i="2" s="1"/>
  <c r="C30" i="2" s="1"/>
  <c r="K9" i="2"/>
  <c r="K16" i="2" s="1"/>
  <c r="K30" i="2" s="1"/>
  <c r="G9" i="2"/>
  <c r="G16" i="2" s="1"/>
  <c r="G30" i="2" s="1"/>
  <c r="M9" i="2"/>
  <c r="M16" i="2" s="1"/>
  <c r="M30" i="2" s="1"/>
  <c r="I9" i="2"/>
  <c r="I16" i="2" s="1"/>
  <c r="I30" i="2" s="1"/>
  <c r="O9" i="2" l="1"/>
  <c r="O16" i="2" s="1"/>
  <c r="O30" i="2" s="1"/>
  <c r="D16" i="2"/>
  <c r="D30" i="2" s="1"/>
</calcChain>
</file>

<file path=xl/sharedStrings.xml><?xml version="1.0" encoding="utf-8"?>
<sst xmlns="http://schemas.openxmlformats.org/spreadsheetml/2006/main" count="144" uniqueCount="71">
  <si>
    <t>janv-mars</t>
  </si>
  <si>
    <t>avr-juin</t>
  </si>
  <si>
    <t>juil-sept</t>
  </si>
  <si>
    <t>oct-dec</t>
  </si>
  <si>
    <t>RH</t>
  </si>
  <si>
    <t>pub</t>
  </si>
  <si>
    <t>cédric</t>
  </si>
  <si>
    <t>Matériel</t>
  </si>
  <si>
    <t>commercialisation</t>
  </si>
  <si>
    <t xml:space="preserve">cout du produit </t>
  </si>
  <si>
    <t xml:space="preserve">cout de l'equipement </t>
  </si>
  <si>
    <t xml:space="preserve">marketing </t>
  </si>
  <si>
    <t>Vincent</t>
  </si>
  <si>
    <t>Kevin</t>
  </si>
  <si>
    <t>Clark</t>
  </si>
  <si>
    <t>Gwenaëlle</t>
  </si>
  <si>
    <t>enzo</t>
  </si>
  <si>
    <t>I/A</t>
  </si>
  <si>
    <t>Logiciel</t>
  </si>
  <si>
    <t>Composants éléctroniques</t>
  </si>
  <si>
    <t>Composants éléctriques</t>
  </si>
  <si>
    <t>Achat de vaches</t>
  </si>
  <si>
    <t>Charges diverses</t>
  </si>
  <si>
    <t>charges patronal</t>
  </si>
  <si>
    <t xml:space="preserve">location du local </t>
  </si>
  <si>
    <t>Total</t>
  </si>
  <si>
    <t>Taux horaire</t>
  </si>
  <si>
    <t>Personnel</t>
  </si>
  <si>
    <t>Investissement</t>
  </si>
  <si>
    <t>Investisseurs</t>
  </si>
  <si>
    <t>Région nouvelle-aquitaine</t>
  </si>
  <si>
    <t>capagro</t>
  </si>
  <si>
    <t>idia capital investissement</t>
  </si>
  <si>
    <t>creadev</t>
  </si>
  <si>
    <t>astanor ventures</t>
  </si>
  <si>
    <t>mirova</t>
  </si>
  <si>
    <t>breizh up</t>
  </si>
  <si>
    <t>ixcore</t>
  </si>
  <si>
    <t>fall line capital</t>
  </si>
  <si>
    <t>bnp paribas développement</t>
  </si>
  <si>
    <t>nord création</t>
  </si>
  <si>
    <t>agriculteurs</t>
  </si>
  <si>
    <t>u porcu ranger</t>
  </si>
  <si>
    <t>ferme d'agerria</t>
  </si>
  <si>
    <t>mas de la comtesse</t>
  </si>
  <si>
    <t>moulin castelas</t>
  </si>
  <si>
    <t>ferme gaec de l'oiseau</t>
  </si>
  <si>
    <t>duprem</t>
  </si>
  <si>
    <t>Réimplémentation</t>
  </si>
  <si>
    <t>Global</t>
  </si>
  <si>
    <t>serveur</t>
  </si>
  <si>
    <t>achat des données</t>
  </si>
  <si>
    <t>composant electronique</t>
  </si>
  <si>
    <t>PC</t>
  </si>
  <si>
    <t>sonde a souder</t>
  </si>
  <si>
    <t>carte electronique</t>
  </si>
  <si>
    <t>logiciel</t>
  </si>
  <si>
    <t>pytorch</t>
  </si>
  <si>
    <t>catia</t>
  </si>
  <si>
    <t>solidWorks</t>
  </si>
  <si>
    <t>Pspice</t>
  </si>
  <si>
    <t>composant electrique</t>
  </si>
  <si>
    <t>location du local</t>
  </si>
  <si>
    <t>bureau</t>
  </si>
  <si>
    <t>entrepot</t>
  </si>
  <si>
    <t>pack office</t>
  </si>
  <si>
    <t>baterrie</t>
  </si>
  <si>
    <t>puces</t>
  </si>
  <si>
    <t>composants divers</t>
  </si>
  <si>
    <t>capteurs électrochimiques</t>
  </si>
  <si>
    <t>modules d'analyse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</si>
</sst>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1" fillId="2" borderId="1" xfId="0" applyFont="1" applyFill="1" applyBorder="1"/>
    <xf numFmtId="0" fontId="0" fillId="4" borderId="2" xfId="0" applyFont="1" applyFill="1" applyBorder="1"/>
    <xf numFmtId="0" fontId="0" fillId="3" borderId="5" xfId="0" applyFont="1" applyFill="1" applyBorder="1"/>
    <xf numFmtId="0" fontId="0" fillId="0" borderId="0" xfId="0" applyAlignment="1">
      <alignment vertical="center"/>
    </xf>
    <xf numFmtId="0" fontId="0" fillId="3" borderId="1" xfId="0" applyFont="1" applyFill="1" applyBorder="1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13" displayName="Tableau13" ref="A2:P9" headerRowCount="0" totalsRowCount="1" headerRowDxfId="138">
  <tableColumns count="16">
    <tableColumn id="1" name="Colonne1" totalsRowLabel="Total" headerRowDxfId="137"/>
    <tableColumn id="2" name="Colonne2" headerRowDxfId="136"/>
    <tableColumn id="16" name="Colonne12" totalsRowFunction="sum" headerRowDxfId="135"/>
    <tableColumn id="3" name="2023" totalsRowFunction="sum" headerRowDxfId="134"/>
    <tableColumn id="4" name="2024" totalsRowFunction="sum" headerRowDxfId="133"/>
    <tableColumn id="5" name="Colonne3" totalsRowFunction="sum" headerRowDxfId="132"/>
    <tableColumn id="6" name="Colonne4" totalsRowFunction="sum" headerRowDxfId="131"/>
    <tableColumn id="7" name="Colonne5" totalsRowFunction="sum" headerRowDxfId="130"/>
    <tableColumn id="8" name="2025" totalsRowFunction="sum" headerRowDxfId="129"/>
    <tableColumn id="9" name="Colonne6" totalsRowFunction="sum" headerRowDxfId="128"/>
    <tableColumn id="10" name="Colonne7" totalsRowFunction="sum" headerRowDxfId="127"/>
    <tableColumn id="11" name="Colonne8" totalsRowFunction="sum" headerRowDxfId="126"/>
    <tableColumn id="12" name="2026" totalsRowFunction="sum" headerRowDxfId="125"/>
    <tableColumn id="13" name="Colonne9" totalsRowFunction="sum" headerRowDxfId="124"/>
    <tableColumn id="14" name="Colonne10" totalsRowFunction="sum" headerRowDxfId="123"/>
    <tableColumn id="15" name="Colonne11" totalsRowFunction="sum" headerRowDxfId="122"/>
  </tableColumns>
  <tableStyleInfo name="TableStyleMedium9" showFirstColumn="1" showLastColumn="0" showRowStripes="1" showColumnStripes="1"/>
</table>
</file>

<file path=xl/tables/table2.xml><?xml version="1.0" encoding="utf-8"?>
<table xmlns="http://schemas.openxmlformats.org/spreadsheetml/2006/main" id="3" name="Tableau134" displayName="Tableau134" ref="A2:O14" headerRowCount="0" totalsRowCount="1" headerRowDxfId="121">
  <tableColumns count="15">
    <tableColumn id="1" name="Colonne1" totalsRowLabel="Total" headerRowDxfId="120"/>
    <tableColumn id="16" name="Colonne12" totalsRowFunction="sum" headerRowDxfId="119"/>
    <tableColumn id="3" name="2023" totalsRowFunction="sum" headerRowDxfId="118"/>
    <tableColumn id="4" name="2024" totalsRowFunction="sum" headerRowDxfId="117"/>
    <tableColumn id="5" name="Colonne3" totalsRowFunction="sum" headerRowDxfId="116"/>
    <tableColumn id="6" name="Colonne4" totalsRowFunction="sum" headerRowDxfId="115"/>
    <tableColumn id="7" name="Colonne5" totalsRowFunction="sum" headerRowDxfId="114"/>
    <tableColumn id="8" name="2025" totalsRowFunction="sum" headerRowDxfId="113"/>
    <tableColumn id="9" name="Colonne6" totalsRowFunction="sum" headerRowDxfId="112"/>
    <tableColumn id="10" name="Colonne7" totalsRowFunction="sum" headerRowDxfId="111"/>
    <tableColumn id="11" name="Colonne8" totalsRowFunction="sum" headerRowDxfId="110"/>
    <tableColumn id="12" name="2026" totalsRowFunction="sum" headerRowDxfId="109"/>
    <tableColumn id="13" name="Colonne9" totalsRowFunction="sum" headerRowDxfId="108"/>
    <tableColumn id="14" name="Colonne10" totalsRowFunction="sum" headerRowDxfId="107"/>
    <tableColumn id="15" name="Colonne11" totalsRowFunction="sum" headerRowDxfId="106"/>
  </tableColumns>
  <tableStyleInfo name="TableStyleMedium9" showFirstColumn="1" showLastColumn="0" showRowStripes="1" showColumnStripes="1"/>
</table>
</file>

<file path=xl/tables/table3.xml><?xml version="1.0" encoding="utf-8"?>
<table xmlns="http://schemas.openxmlformats.org/spreadsheetml/2006/main" id="4" name="Tableau1345" displayName="Tableau1345" ref="A17:O24" headerRowCount="0" totalsRowCount="1" headerRowDxfId="105">
  <tableColumns count="15">
    <tableColumn id="1" name="Colonne1" totalsRowLabel="Total" headerRowDxfId="104"/>
    <tableColumn id="16" name="Colonne12" totalsRowFunction="sum" headerRowDxfId="103"/>
    <tableColumn id="3" name="2023" totalsRowFunction="sum" headerRowDxfId="102"/>
    <tableColumn id="4" name="2024" totalsRowFunction="sum" headerRowDxfId="101"/>
    <tableColumn id="5" name="Colonne3" totalsRowFunction="sum" headerRowDxfId="100"/>
    <tableColumn id="6" name="Colonne4" totalsRowFunction="sum" headerRowDxfId="99"/>
    <tableColumn id="7" name="Colonne5" totalsRowFunction="sum" headerRowDxfId="98"/>
    <tableColumn id="8" name="2025" totalsRowFunction="sum" headerRowDxfId="97"/>
    <tableColumn id="9" name="Colonne6" totalsRowFunction="sum" headerRowDxfId="96"/>
    <tableColumn id="10" name="Colonne7" totalsRowFunction="sum" headerRowDxfId="95"/>
    <tableColumn id="11" name="Colonne8" totalsRowFunction="sum" headerRowDxfId="94"/>
    <tableColumn id="12" name="2026" totalsRowFunction="sum" headerRowDxfId="93"/>
    <tableColumn id="13" name="Colonne9" totalsRowFunction="sum" headerRowDxfId="92"/>
    <tableColumn id="14" name="Colonne10" totalsRowFunction="sum" headerRowDxfId="91"/>
    <tableColumn id="15" name="Colonne11" totalsRowFunction="sum" headerRowDxfId="90"/>
  </tableColumns>
  <tableStyleInfo name="TableStyleMedium9" showFirstColumn="1" showLastColumn="0" showRowStripes="1" showColumnStripes="1"/>
</table>
</file>

<file path=xl/tables/table4.xml><?xml version="1.0" encoding="utf-8"?>
<table xmlns="http://schemas.openxmlformats.org/spreadsheetml/2006/main" id="1" name="Tableau1" displayName="Tableau1" ref="B2:O16" headerRowCount="0" totalsRowCount="1" headerRowDxfId="89" dataDxfId="88" totalsRowDxfId="87">
  <tableColumns count="14">
    <tableColumn id="1" name="Colonne1" totalsRowLabel="Total" headerRowDxfId="86" dataDxfId="85" totalsRowDxfId="84"/>
    <tableColumn id="3" name="2023" totalsRowFunction="sum" headerRowDxfId="83" dataDxfId="82" totalsRowDxfId="81"/>
    <tableColumn id="4" name="2024" totalsRowFunction="sum" headerRowDxfId="80" dataDxfId="79" totalsRowDxfId="78"/>
    <tableColumn id="5" name="Colonne3" totalsRowFunction="sum" headerRowDxfId="77" dataDxfId="76" totalsRowDxfId="75"/>
    <tableColumn id="6" name="Colonne4" totalsRowFunction="sum" headerRowDxfId="74" dataDxfId="73" totalsRowDxfId="72"/>
    <tableColumn id="7" name="Colonne5" totalsRowFunction="sum" headerRowDxfId="71" dataDxfId="70" totalsRowDxfId="69"/>
    <tableColumn id="8" name="2025" totalsRowFunction="sum" headerRowDxfId="68" dataDxfId="67" totalsRowDxfId="66"/>
    <tableColumn id="9" name="Colonne6" totalsRowFunction="sum" headerRowDxfId="65" dataDxfId="64" totalsRowDxfId="63"/>
    <tableColumn id="10" name="Colonne7" totalsRowFunction="sum" headerRowDxfId="62" dataDxfId="61" totalsRowDxfId="60"/>
    <tableColumn id="11" name="Colonne8" totalsRowFunction="sum" headerRowDxfId="59" dataDxfId="58" totalsRowDxfId="57"/>
    <tableColumn id="12" name="2026" totalsRowFunction="sum" headerRowDxfId="56" dataDxfId="55" totalsRowDxfId="54"/>
    <tableColumn id="13" name="Colonne9" totalsRowFunction="sum" headerRowDxfId="53" dataDxfId="52" totalsRowDxfId="51"/>
    <tableColumn id="14" name="Colonne10" totalsRowFunction="sum" headerRowDxfId="50" dataDxfId="49" totalsRowDxfId="48"/>
    <tableColumn id="15" name="Colonne11" totalsRowFunction="sum" headerRowDxfId="47" dataDxfId="46" totalsRowDxfId="45"/>
  </tableColumns>
  <tableStyleInfo name="TableStyleMedium9" showFirstColumn="1" showLastColumn="0" showRowStripes="1" showColumnStripes="1"/>
</table>
</file>

<file path=xl/tables/table5.xml><?xml version="1.0" encoding="utf-8"?>
<table xmlns="http://schemas.openxmlformats.org/spreadsheetml/2006/main" id="5" name="Tableau16" displayName="Tableau16" ref="B21:O28" headerRowCount="0" totalsRowCount="1" headerRowDxfId="44" dataDxfId="43" totalsRowDxfId="42">
  <tableColumns count="14">
    <tableColumn id="1" name="Colonne1" totalsRowLabel="Total" headerRowDxfId="41" dataDxfId="40" totalsRowDxfId="39"/>
    <tableColumn id="3" name="2023" totalsRowFunction="sum" headerRowDxfId="38" dataDxfId="37" totalsRowDxfId="36"/>
    <tableColumn id="4" name="2024" totalsRowFunction="sum" headerRowDxfId="35" dataDxfId="34" totalsRowDxfId="33"/>
    <tableColumn id="5" name="Colonne3" totalsRowFunction="sum" headerRowDxfId="32" dataDxfId="31" totalsRowDxfId="30"/>
    <tableColumn id="6" name="Colonne4" totalsRowFunction="sum" headerRowDxfId="29" dataDxfId="28" totalsRowDxfId="27"/>
    <tableColumn id="7" name="Colonne5" totalsRowFunction="sum" headerRowDxfId="26" dataDxfId="25" totalsRowDxfId="24"/>
    <tableColumn id="8" name="2025" totalsRowFunction="sum" headerRowDxfId="23" dataDxfId="22" totalsRowDxfId="21"/>
    <tableColumn id="9" name="Colonne6" totalsRowFunction="sum" headerRowDxfId="20" dataDxfId="19" totalsRowDxfId="18"/>
    <tableColumn id="10" name="Colonne7" totalsRowFunction="sum" headerRowDxfId="17" dataDxfId="16" totalsRowDxfId="15"/>
    <tableColumn id="11" name="Colonne8" totalsRowFunction="sum" headerRowDxfId="14" dataDxfId="13" totalsRowDxfId="12"/>
    <tableColumn id="12" name="2026" totalsRowFunction="sum" headerRowDxfId="11" dataDxfId="10" totalsRowDxfId="9"/>
    <tableColumn id="13" name="Colonne9" totalsRowFunction="sum" headerRowDxfId="8" dataDxfId="7" totalsRowDxfId="6"/>
    <tableColumn id="14" name="Colonne10" totalsRowFunction="sum" headerRowDxfId="5" dataDxfId="4" totalsRowDxfId="3"/>
    <tableColumn id="15" name="Colonne11" totalsRowFunction="sum" headerRowDxfId="2" dataDxfId="1" totalsRowDxfId="0"/>
  </tableColumns>
  <tableStyleInfo name="TableStyleMedium9" showFirstColumn="1" showLastColumn="0" showRowStripes="1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13" sqref="A13"/>
    </sheetView>
  </sheetViews>
  <sheetFormatPr baseColWidth="10" defaultRowHeight="15" x14ac:dyDescent="0.25"/>
  <cols>
    <col min="1" max="1" width="10.7109375" bestFit="1" customWidth="1"/>
    <col min="2" max="2" width="12" bestFit="1" customWidth="1"/>
    <col min="3" max="3" width="7.5703125" bestFit="1" customWidth="1"/>
    <col min="4" max="4" width="9.7109375" bestFit="1" customWidth="1"/>
    <col min="5" max="5" width="7.85546875" bestFit="1" customWidth="1"/>
    <col min="6" max="6" width="8.42578125" bestFit="1" customWidth="1"/>
  </cols>
  <sheetData>
    <row r="1" spans="1:16" x14ac:dyDescent="0.25">
      <c r="A1" s="4"/>
      <c r="B1" s="6"/>
      <c r="C1" s="5">
        <v>2023</v>
      </c>
      <c r="D1" s="15">
        <v>2024</v>
      </c>
      <c r="E1" s="16"/>
      <c r="F1" s="16"/>
      <c r="G1" s="17"/>
      <c r="H1" s="18">
        <v>2025</v>
      </c>
      <c r="I1" s="18"/>
      <c r="J1" s="18"/>
      <c r="K1" s="18"/>
      <c r="L1" s="19">
        <v>2026</v>
      </c>
      <c r="M1" s="19"/>
      <c r="N1" s="19"/>
      <c r="O1" s="19"/>
      <c r="P1" s="8"/>
    </row>
    <row r="2" spans="1:16" x14ac:dyDescent="0.25">
      <c r="A2" s="1" t="s">
        <v>27</v>
      </c>
      <c r="B2" t="s">
        <v>26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</row>
    <row r="3" spans="1:16" x14ac:dyDescent="0.25">
      <c r="A3" s="1" t="s">
        <v>6</v>
      </c>
      <c r="B3">
        <v>16.5</v>
      </c>
      <c r="C3" s="7">
        <v>450</v>
      </c>
      <c r="D3" s="7">
        <v>450</v>
      </c>
      <c r="E3" s="7">
        <v>450</v>
      </c>
      <c r="F3" s="7">
        <v>450</v>
      </c>
      <c r="G3" s="7">
        <v>450</v>
      </c>
      <c r="H3" s="7">
        <v>450</v>
      </c>
      <c r="I3" s="7">
        <v>450</v>
      </c>
      <c r="J3" s="7">
        <v>450</v>
      </c>
      <c r="K3" s="7">
        <v>450</v>
      </c>
      <c r="L3" s="7">
        <v>450</v>
      </c>
      <c r="M3" s="7">
        <v>450</v>
      </c>
      <c r="N3" s="7">
        <v>450</v>
      </c>
      <c r="O3" s="7">
        <v>450</v>
      </c>
      <c r="P3" s="7">
        <v>450</v>
      </c>
    </row>
    <row r="4" spans="1:16" x14ac:dyDescent="0.25">
      <c r="A4" s="1" t="s">
        <v>12</v>
      </c>
      <c r="B4">
        <v>16.5</v>
      </c>
      <c r="C4" s="7">
        <v>450</v>
      </c>
      <c r="D4" s="7">
        <v>450</v>
      </c>
      <c r="E4" s="7">
        <v>450</v>
      </c>
      <c r="F4" s="7">
        <v>450</v>
      </c>
      <c r="G4" s="7">
        <v>450</v>
      </c>
      <c r="H4" s="7">
        <v>450</v>
      </c>
      <c r="I4" s="7">
        <v>450</v>
      </c>
      <c r="J4" s="7">
        <v>450</v>
      </c>
      <c r="K4" s="7">
        <v>450</v>
      </c>
      <c r="L4" s="7">
        <v>450</v>
      </c>
      <c r="M4" s="7">
        <v>450</v>
      </c>
      <c r="N4" s="7">
        <v>450</v>
      </c>
      <c r="O4" s="7">
        <v>450</v>
      </c>
      <c r="P4" s="7">
        <v>450</v>
      </c>
    </row>
    <row r="5" spans="1:16" x14ac:dyDescent="0.25">
      <c r="A5" s="1" t="s">
        <v>13</v>
      </c>
      <c r="B5">
        <v>16.5</v>
      </c>
      <c r="C5" s="7">
        <v>450</v>
      </c>
      <c r="D5" s="7">
        <v>450</v>
      </c>
      <c r="E5" s="7">
        <v>450</v>
      </c>
      <c r="F5" s="7">
        <v>450</v>
      </c>
      <c r="G5" s="7">
        <v>450</v>
      </c>
      <c r="H5" s="7">
        <v>450</v>
      </c>
      <c r="I5" s="7">
        <v>450</v>
      </c>
      <c r="J5" s="7">
        <v>450</v>
      </c>
      <c r="K5" s="7">
        <v>450</v>
      </c>
      <c r="L5" s="7">
        <v>450</v>
      </c>
      <c r="M5" s="7">
        <v>450</v>
      </c>
      <c r="N5" s="7">
        <v>450</v>
      </c>
      <c r="O5" s="7">
        <v>450</v>
      </c>
      <c r="P5" s="7">
        <v>450</v>
      </c>
    </row>
    <row r="6" spans="1:16" x14ac:dyDescent="0.25">
      <c r="A6" s="2" t="s">
        <v>14</v>
      </c>
      <c r="B6">
        <v>16.5</v>
      </c>
      <c r="C6" s="7">
        <v>450</v>
      </c>
      <c r="D6" s="7">
        <v>450</v>
      </c>
      <c r="E6" s="7">
        <v>450</v>
      </c>
      <c r="F6" s="7">
        <v>450</v>
      </c>
      <c r="G6" s="7">
        <v>450</v>
      </c>
      <c r="H6" s="7">
        <v>450</v>
      </c>
      <c r="I6" s="7">
        <v>450</v>
      </c>
      <c r="J6" s="7">
        <v>450</v>
      </c>
      <c r="K6" s="7">
        <v>450</v>
      </c>
      <c r="L6" s="7">
        <v>450</v>
      </c>
      <c r="M6" s="7">
        <v>450</v>
      </c>
      <c r="N6" s="7">
        <v>450</v>
      </c>
      <c r="O6" s="7">
        <v>450</v>
      </c>
      <c r="P6" s="7">
        <v>450</v>
      </c>
    </row>
    <row r="7" spans="1:16" x14ac:dyDescent="0.25">
      <c r="A7" s="3" t="s">
        <v>15</v>
      </c>
      <c r="B7">
        <v>16.5</v>
      </c>
      <c r="C7" s="7">
        <v>450</v>
      </c>
      <c r="D7" s="7">
        <v>450</v>
      </c>
      <c r="E7" s="7">
        <v>450</v>
      </c>
      <c r="F7" s="7">
        <v>450</v>
      </c>
      <c r="G7" s="7">
        <v>450</v>
      </c>
      <c r="H7" s="7">
        <v>450</v>
      </c>
      <c r="I7" s="7">
        <v>450</v>
      </c>
      <c r="J7" s="7">
        <v>450</v>
      </c>
      <c r="K7" s="7">
        <v>450</v>
      </c>
      <c r="L7" s="7">
        <v>450</v>
      </c>
      <c r="M7" s="7">
        <v>450</v>
      </c>
      <c r="N7" s="7">
        <v>450</v>
      </c>
      <c r="O7" s="7">
        <v>450</v>
      </c>
      <c r="P7" s="7">
        <v>450</v>
      </c>
    </row>
    <row r="8" spans="1:16" x14ac:dyDescent="0.25">
      <c r="A8" s="2" t="s">
        <v>16</v>
      </c>
      <c r="B8">
        <v>16.5</v>
      </c>
      <c r="C8" s="7">
        <v>450</v>
      </c>
      <c r="D8" s="7">
        <v>450</v>
      </c>
      <c r="E8" s="7">
        <v>450</v>
      </c>
      <c r="F8" s="7">
        <v>450</v>
      </c>
      <c r="G8" s="7">
        <v>450</v>
      </c>
      <c r="H8" s="7">
        <v>450</v>
      </c>
      <c r="I8" s="7">
        <v>450</v>
      </c>
      <c r="J8" s="7">
        <v>450</v>
      </c>
      <c r="K8" s="7">
        <v>450</v>
      </c>
      <c r="L8" s="7">
        <v>450</v>
      </c>
      <c r="M8" s="7">
        <v>450</v>
      </c>
      <c r="N8" s="7">
        <v>450</v>
      </c>
      <c r="O8" s="7">
        <v>450</v>
      </c>
      <c r="P8" s="7">
        <v>450</v>
      </c>
    </row>
    <row r="9" spans="1:16" x14ac:dyDescent="0.25">
      <c r="A9" t="s">
        <v>25</v>
      </c>
      <c r="C9">
        <f>SUBTOTAL(109,Tableau13[Colonne12])</f>
        <v>2700</v>
      </c>
      <c r="D9">
        <f>SUBTOTAL(109,Tableau13[2023])</f>
        <v>2700</v>
      </c>
      <c r="E9">
        <f>SUBTOTAL(109,Tableau13[2024])</f>
        <v>2700</v>
      </c>
      <c r="F9">
        <f>SUBTOTAL(109,Tableau13[Colonne3])</f>
        <v>2700</v>
      </c>
      <c r="G9">
        <f>SUBTOTAL(109,Tableau13[Colonne4])</f>
        <v>2700</v>
      </c>
      <c r="H9">
        <f>SUBTOTAL(109,Tableau13[Colonne5])</f>
        <v>2700</v>
      </c>
      <c r="I9">
        <f>SUBTOTAL(109,Tableau13[2025])</f>
        <v>2700</v>
      </c>
      <c r="J9">
        <f>SUBTOTAL(109,Tableau13[Colonne6])</f>
        <v>2700</v>
      </c>
      <c r="K9">
        <f>SUBTOTAL(109,Tableau13[Colonne7])</f>
        <v>2700</v>
      </c>
      <c r="L9">
        <f>SUBTOTAL(109,Tableau13[Colonne8])</f>
        <v>2700</v>
      </c>
      <c r="M9">
        <f>SUBTOTAL(109,Tableau13[2026])</f>
        <v>2700</v>
      </c>
      <c r="N9">
        <f>SUBTOTAL(109,Tableau13[Colonne9])</f>
        <v>2700</v>
      </c>
      <c r="O9">
        <f>SUBTOTAL(109,Tableau13[Colonne10])</f>
        <v>2700</v>
      </c>
      <c r="P9">
        <f>SUBTOTAL(109,Tableau13[Colonne11])</f>
        <v>2700</v>
      </c>
    </row>
  </sheetData>
  <mergeCells count="3">
    <mergeCell ref="D1:G1"/>
    <mergeCell ref="H1:K1"/>
    <mergeCell ref="L1:O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I31" sqref="I31"/>
    </sheetView>
  </sheetViews>
  <sheetFormatPr baseColWidth="10" defaultRowHeight="15" x14ac:dyDescent="0.25"/>
  <cols>
    <col min="1" max="1" width="26.42578125" bestFit="1" customWidth="1"/>
  </cols>
  <sheetData>
    <row r="1" spans="1:15" x14ac:dyDescent="0.25">
      <c r="A1" s="4"/>
      <c r="B1" s="5">
        <v>2023</v>
      </c>
      <c r="C1" s="15">
        <v>2024</v>
      </c>
      <c r="D1" s="16"/>
      <c r="E1" s="16"/>
      <c r="F1" s="17"/>
      <c r="G1" s="18">
        <v>2025</v>
      </c>
      <c r="H1" s="18"/>
      <c r="I1" s="18"/>
      <c r="J1" s="18"/>
      <c r="K1" s="19">
        <v>2026</v>
      </c>
      <c r="L1" s="19"/>
      <c r="M1" s="19"/>
      <c r="N1" s="19"/>
      <c r="O1" s="8"/>
    </row>
    <row r="2" spans="1:15" x14ac:dyDescent="0.25">
      <c r="A2" s="1" t="s">
        <v>29</v>
      </c>
      <c r="B2" s="1" t="s">
        <v>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5" x14ac:dyDescent="0.25">
      <c r="A3" s="1" t="s">
        <v>30</v>
      </c>
      <c r="B3" s="7">
        <v>20000</v>
      </c>
      <c r="C3" s="1"/>
      <c r="D3" s="1"/>
      <c r="E3" s="1"/>
      <c r="F3" s="1"/>
      <c r="G3" s="1"/>
    </row>
    <row r="4" spans="1:15" x14ac:dyDescent="0.25">
      <c r="A4" s="1" t="s">
        <v>31</v>
      </c>
      <c r="B4" s="7">
        <v>10000</v>
      </c>
      <c r="C4" s="1"/>
      <c r="D4" s="1"/>
      <c r="E4" s="1"/>
      <c r="F4" s="1"/>
      <c r="G4" s="1"/>
    </row>
    <row r="5" spans="1:15" x14ac:dyDescent="0.25">
      <c r="A5" s="1" t="s">
        <v>32</v>
      </c>
      <c r="B5" s="7">
        <v>50000</v>
      </c>
      <c r="C5" s="1"/>
      <c r="D5" s="1"/>
      <c r="E5" s="1"/>
      <c r="F5" s="1"/>
      <c r="G5" s="1"/>
    </row>
    <row r="6" spans="1:15" x14ac:dyDescent="0.25">
      <c r="A6" s="2" t="s">
        <v>33</v>
      </c>
      <c r="B6" s="7">
        <v>35000</v>
      </c>
      <c r="C6" s="1"/>
      <c r="D6" s="1"/>
      <c r="E6" s="1"/>
      <c r="F6" s="1"/>
      <c r="G6" s="1"/>
    </row>
    <row r="7" spans="1:15" x14ac:dyDescent="0.25">
      <c r="A7" s="3" t="s">
        <v>34</v>
      </c>
      <c r="B7" s="7">
        <v>40000</v>
      </c>
      <c r="C7" s="1"/>
      <c r="D7" s="1"/>
      <c r="E7" s="1"/>
      <c r="F7" s="1"/>
      <c r="G7" s="1"/>
    </row>
    <row r="8" spans="1:15" x14ac:dyDescent="0.25">
      <c r="A8" s="2" t="s">
        <v>35</v>
      </c>
      <c r="B8" s="7">
        <v>60000</v>
      </c>
      <c r="C8" s="1"/>
      <c r="D8" s="1"/>
      <c r="E8" s="1"/>
      <c r="F8" s="1"/>
      <c r="G8" s="1"/>
    </row>
    <row r="9" spans="1:15" x14ac:dyDescent="0.25">
      <c r="A9" s="2" t="s">
        <v>36</v>
      </c>
      <c r="B9" s="7">
        <v>20000</v>
      </c>
      <c r="C9" s="1"/>
      <c r="D9" s="1"/>
      <c r="E9" s="1"/>
      <c r="F9" s="1"/>
      <c r="G9" s="1"/>
    </row>
    <row r="10" spans="1:15" x14ac:dyDescent="0.25">
      <c r="A10" s="2" t="s">
        <v>37</v>
      </c>
      <c r="B10" s="7">
        <v>35000</v>
      </c>
      <c r="C10" s="1"/>
      <c r="D10" s="1"/>
      <c r="E10" s="1"/>
      <c r="F10" s="1"/>
      <c r="G10" s="1"/>
    </row>
    <row r="11" spans="1:15" x14ac:dyDescent="0.25">
      <c r="A11" s="2" t="s">
        <v>38</v>
      </c>
      <c r="B11" s="7">
        <v>65000</v>
      </c>
      <c r="C11" s="1"/>
      <c r="D11" s="1"/>
      <c r="E11" s="1"/>
      <c r="F11" s="1"/>
      <c r="G11" s="1"/>
    </row>
    <row r="12" spans="1:15" x14ac:dyDescent="0.25">
      <c r="A12" s="2" t="s">
        <v>39</v>
      </c>
      <c r="B12" s="7">
        <v>25000</v>
      </c>
      <c r="C12" s="1"/>
      <c r="D12" s="1"/>
      <c r="E12" s="1"/>
      <c r="F12" s="1"/>
      <c r="G12" s="1"/>
    </row>
    <row r="13" spans="1:15" x14ac:dyDescent="0.25">
      <c r="A13" s="2" t="s">
        <v>40</v>
      </c>
      <c r="B13" s="7">
        <v>40000</v>
      </c>
      <c r="C13" s="1"/>
      <c r="D13" s="1"/>
      <c r="E13" s="1"/>
      <c r="F13" s="1"/>
      <c r="G13" s="1"/>
    </row>
    <row r="14" spans="1:15" x14ac:dyDescent="0.25">
      <c r="A14" t="s">
        <v>25</v>
      </c>
      <c r="B14">
        <f>SUBTOTAL(109,Tableau134[Colonne12])</f>
        <v>400000</v>
      </c>
      <c r="C14">
        <f>SUBTOTAL(109,Tableau134[2023])</f>
        <v>0</v>
      </c>
      <c r="D14">
        <f>SUBTOTAL(109,Tableau134[2024])</f>
        <v>0</v>
      </c>
      <c r="E14">
        <f>SUBTOTAL(109,Tableau134[Colonne3])</f>
        <v>0</v>
      </c>
      <c r="F14">
        <f>SUBTOTAL(109,Tableau134[Colonne4])</f>
        <v>0</v>
      </c>
      <c r="G14">
        <f>SUBTOTAL(109,Tableau134[Colonne5])</f>
        <v>0</v>
      </c>
      <c r="H14">
        <f>SUBTOTAL(109,Tableau134[2025])</f>
        <v>0</v>
      </c>
      <c r="I14">
        <f>SUBTOTAL(109,Tableau134[Colonne6])</f>
        <v>0</v>
      </c>
      <c r="J14">
        <f>SUBTOTAL(109,Tableau134[Colonne7])</f>
        <v>0</v>
      </c>
      <c r="K14">
        <f>SUBTOTAL(109,Tableau134[Colonne8])</f>
        <v>0</v>
      </c>
      <c r="L14">
        <f>SUBTOTAL(109,Tableau134[2026])</f>
        <v>0</v>
      </c>
      <c r="M14">
        <f>SUBTOTAL(109,Tableau134[Colonne9])</f>
        <v>0</v>
      </c>
      <c r="N14">
        <f>SUBTOTAL(109,Tableau134[Colonne10])</f>
        <v>0</v>
      </c>
      <c r="O14">
        <f>SUBTOTAL(109,Tableau134[Colonne11])</f>
        <v>0</v>
      </c>
    </row>
    <row r="16" spans="1:15" x14ac:dyDescent="0.25">
      <c r="A16" s="4"/>
      <c r="B16" s="5">
        <v>2023</v>
      </c>
      <c r="C16" s="15">
        <v>2024</v>
      </c>
      <c r="D16" s="16"/>
      <c r="E16" s="16"/>
      <c r="F16" s="17"/>
      <c r="G16" s="18">
        <v>2025</v>
      </c>
      <c r="H16" s="18"/>
      <c r="I16" s="18"/>
      <c r="J16" s="18"/>
      <c r="K16" s="19">
        <v>2026</v>
      </c>
      <c r="L16" s="19"/>
      <c r="M16" s="19"/>
      <c r="N16" s="19"/>
      <c r="O16" s="8"/>
    </row>
    <row r="17" spans="1:15" x14ac:dyDescent="0.25">
      <c r="A17" s="1" t="s">
        <v>41</v>
      </c>
      <c r="B17" s="1" t="s">
        <v>3</v>
      </c>
      <c r="C17" s="1" t="s">
        <v>0</v>
      </c>
      <c r="D17" s="1" t="s">
        <v>1</v>
      </c>
      <c r="E17" s="1" t="s">
        <v>2</v>
      </c>
      <c r="F17" s="1" t="s">
        <v>3</v>
      </c>
      <c r="G17" s="1" t="s">
        <v>0</v>
      </c>
      <c r="H17" s="1" t="s">
        <v>1</v>
      </c>
      <c r="I17" s="1" t="s">
        <v>2</v>
      </c>
      <c r="J17" s="1" t="s">
        <v>3</v>
      </c>
      <c r="K17" s="1" t="s">
        <v>0</v>
      </c>
      <c r="L17" s="1" t="s">
        <v>1</v>
      </c>
      <c r="M17" s="1" t="s">
        <v>2</v>
      </c>
      <c r="N17" s="1" t="s">
        <v>3</v>
      </c>
    </row>
    <row r="18" spans="1:15" x14ac:dyDescent="0.25">
      <c r="A18" s="1" t="s">
        <v>42</v>
      </c>
      <c r="B18" s="7">
        <v>10</v>
      </c>
      <c r="C18" s="1"/>
      <c r="D18" s="1"/>
      <c r="E18" s="1"/>
      <c r="F18" s="1"/>
      <c r="G18" s="1"/>
    </row>
    <row r="19" spans="1:15" x14ac:dyDescent="0.25">
      <c r="A19" s="1" t="s">
        <v>43</v>
      </c>
      <c r="B19" s="7">
        <v>5</v>
      </c>
      <c r="C19" s="1"/>
      <c r="D19" s="1"/>
      <c r="E19" s="1"/>
      <c r="F19" s="1"/>
      <c r="G19" s="1"/>
    </row>
    <row r="20" spans="1:15" x14ac:dyDescent="0.25">
      <c r="A20" s="1" t="s">
        <v>44</v>
      </c>
      <c r="B20" s="7">
        <v>4</v>
      </c>
      <c r="C20" s="1"/>
      <c r="D20" s="1"/>
      <c r="E20" s="1"/>
      <c r="F20" s="1"/>
      <c r="G20" s="1"/>
    </row>
    <row r="21" spans="1:15" x14ac:dyDescent="0.25">
      <c r="A21" s="2" t="s">
        <v>45</v>
      </c>
      <c r="B21" s="7">
        <v>2</v>
      </c>
      <c r="C21" s="1"/>
      <c r="D21" s="1"/>
      <c r="E21" s="1"/>
      <c r="F21" s="1"/>
      <c r="G21" s="1"/>
    </row>
    <row r="22" spans="1:15" x14ac:dyDescent="0.25">
      <c r="A22" s="3" t="s">
        <v>46</v>
      </c>
      <c r="B22" s="7">
        <v>7</v>
      </c>
      <c r="C22" s="1"/>
      <c r="D22" s="1"/>
      <c r="E22" s="1"/>
      <c r="F22" s="1"/>
      <c r="G22" s="1"/>
    </row>
    <row r="23" spans="1:15" x14ac:dyDescent="0.25">
      <c r="A23" s="2" t="s">
        <v>47</v>
      </c>
      <c r="B23" s="7">
        <v>3</v>
      </c>
      <c r="C23" s="1"/>
      <c r="D23" s="1"/>
      <c r="E23" s="1"/>
      <c r="F23" s="1"/>
      <c r="G23" s="1"/>
    </row>
    <row r="24" spans="1:15" x14ac:dyDescent="0.25">
      <c r="A24" t="s">
        <v>25</v>
      </c>
      <c r="B24">
        <f>SUBTOTAL(109,Tableau1345[Colonne12])</f>
        <v>31</v>
      </c>
      <c r="C24">
        <f>SUBTOTAL(109,Tableau1345[2023])</f>
        <v>0</v>
      </c>
      <c r="D24">
        <f>SUBTOTAL(109,Tableau1345[2024])</f>
        <v>0</v>
      </c>
      <c r="E24">
        <f>SUBTOTAL(109,Tableau1345[Colonne3])</f>
        <v>0</v>
      </c>
      <c r="F24">
        <f>SUBTOTAL(109,Tableau1345[Colonne4])</f>
        <v>0</v>
      </c>
      <c r="G24">
        <f>SUBTOTAL(109,Tableau1345[Colonne5])</f>
        <v>0</v>
      </c>
      <c r="H24">
        <f>SUBTOTAL(109,Tableau1345[2025])</f>
        <v>0</v>
      </c>
      <c r="I24">
        <f>SUBTOTAL(109,Tableau1345[Colonne6])</f>
        <v>0</v>
      </c>
      <c r="J24">
        <f>SUBTOTAL(109,Tableau1345[Colonne7])</f>
        <v>0</v>
      </c>
      <c r="K24">
        <f>SUBTOTAL(109,Tableau1345[Colonne8])</f>
        <v>0</v>
      </c>
      <c r="L24">
        <f>SUBTOTAL(109,Tableau1345[2026])</f>
        <v>0</v>
      </c>
      <c r="M24">
        <f>SUBTOTAL(109,Tableau1345[Colonne9])</f>
        <v>0</v>
      </c>
      <c r="N24">
        <f>SUBTOTAL(109,Tableau1345[Colonne10])</f>
        <v>0</v>
      </c>
      <c r="O24">
        <f>SUBTOTAL(109,Tableau1345[Colonne11])</f>
        <v>0</v>
      </c>
    </row>
  </sheetData>
  <mergeCells count="6">
    <mergeCell ref="C1:F1"/>
    <mergeCell ref="G1:J1"/>
    <mergeCell ref="K1:N1"/>
    <mergeCell ref="C16:F16"/>
    <mergeCell ref="G16:J16"/>
    <mergeCell ref="K16:N16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0" workbookViewId="0">
      <selection activeCell="S35" sqref="S35"/>
    </sheetView>
  </sheetViews>
  <sheetFormatPr baseColWidth="10" defaultRowHeight="15" x14ac:dyDescent="0.25"/>
  <cols>
    <col min="1" max="1" width="17.42578125" bestFit="1" customWidth="1"/>
    <col min="2" max="2" width="24.85546875" bestFit="1" customWidth="1"/>
    <col min="5" max="7" width="11.5703125" customWidth="1"/>
    <col min="9" max="11" width="11.5703125" customWidth="1"/>
    <col min="13" max="13" width="11.5703125" customWidth="1"/>
    <col min="14" max="15" width="12.5703125" customWidth="1"/>
    <col min="18" max="18" width="14.28515625" customWidth="1"/>
    <col min="19" max="19" width="18.28515625" customWidth="1"/>
  </cols>
  <sheetData>
    <row r="1" spans="1:19" x14ac:dyDescent="0.25">
      <c r="A1" s="9"/>
      <c r="B1" s="10"/>
      <c r="C1" s="11">
        <v>2023</v>
      </c>
      <c r="D1" s="22">
        <v>2024</v>
      </c>
      <c r="E1" s="23"/>
      <c r="F1" s="23"/>
      <c r="G1" s="24"/>
      <c r="H1" s="25">
        <v>2025</v>
      </c>
      <c r="I1" s="26"/>
      <c r="J1" s="26"/>
      <c r="K1" s="27"/>
      <c r="L1" s="22">
        <v>2026</v>
      </c>
      <c r="M1" s="23"/>
      <c r="N1" s="23"/>
      <c r="O1" s="24"/>
    </row>
    <row r="2" spans="1:19" x14ac:dyDescent="0.25">
      <c r="A2" s="9"/>
      <c r="B2" s="12"/>
      <c r="C2" s="12" t="s">
        <v>3</v>
      </c>
      <c r="D2" s="12" t="s">
        <v>0</v>
      </c>
      <c r="E2" s="12" t="s">
        <v>1</v>
      </c>
      <c r="F2" s="12" t="s">
        <v>2</v>
      </c>
      <c r="G2" s="12" t="s">
        <v>3</v>
      </c>
      <c r="H2" s="12" t="s">
        <v>0</v>
      </c>
      <c r="I2" s="12" t="s">
        <v>1</v>
      </c>
      <c r="J2" s="12" t="s">
        <v>2</v>
      </c>
      <c r="K2" s="12" t="s">
        <v>3</v>
      </c>
      <c r="L2" s="12" t="s">
        <v>0</v>
      </c>
      <c r="M2" s="12" t="s">
        <v>1</v>
      </c>
      <c r="N2" s="12" t="s">
        <v>2</v>
      </c>
      <c r="O2" s="12" t="s">
        <v>3</v>
      </c>
    </row>
    <row r="3" spans="1:19" x14ac:dyDescent="0.25">
      <c r="A3" s="20" t="s">
        <v>4</v>
      </c>
      <c r="B3" s="12" t="s">
        <v>6</v>
      </c>
      <c r="C3" s="12">
        <f>Tableau13[[#This Row],[Colonne2]]*Tableau13[[#This Row],[Colonne12]]</f>
        <v>7425</v>
      </c>
      <c r="D3" s="12">
        <f>Tableau13[[#This Row],[Colonne2]]*Tableau13[[#This Row],[2023]]</f>
        <v>7425</v>
      </c>
      <c r="E3" s="12">
        <f>Tableau13[[#This Row],[Colonne2]]*Tableau13[[#This Row],[2024]]</f>
        <v>7425</v>
      </c>
      <c r="F3" s="12">
        <f>Tableau13[[#This Row],[Colonne2]]*Tableau13[[#This Row],[Colonne3]]</f>
        <v>7425</v>
      </c>
      <c r="G3" s="12">
        <f>Tableau13[[#This Row],[Colonne2]]*Tableau13[[#This Row],[Colonne4]]</f>
        <v>7425</v>
      </c>
      <c r="H3" s="12">
        <f>Tableau13[[#This Row],[Colonne2]]*Tableau13[[#This Row],[Colonne5]]</f>
        <v>7425</v>
      </c>
      <c r="I3" s="12">
        <f>Tableau13[[#This Row],[Colonne2]]*Tableau13[[#This Row],[2025]]</f>
        <v>7425</v>
      </c>
      <c r="J3" s="12">
        <f>Tableau13[[#This Row],[Colonne2]]*Tableau13[[#This Row],[Colonne6]]</f>
        <v>7425</v>
      </c>
      <c r="K3" s="12">
        <f>Tableau13[[#This Row],[Colonne2]]*Tableau13[[#This Row],[Colonne7]]</f>
        <v>7425</v>
      </c>
      <c r="L3" s="12">
        <f>Tableau13[[#This Row],[Colonne2]]*Tableau13[[#This Row],[Colonne8]]</f>
        <v>7425</v>
      </c>
      <c r="M3" s="12">
        <f>Tableau13[[#This Row],[Colonne2]]*Tableau13[[#This Row],[2026]]</f>
        <v>7425</v>
      </c>
      <c r="N3" s="12">
        <f>Tableau13[[#This Row],[Colonne2]]*Tableau13[[#This Row],[Colonne9]]</f>
        <v>7425</v>
      </c>
      <c r="O3" s="12">
        <f>Tableau13[[#This Row],[Colonne2]]*Tableau13[[#This Row],[2023]]</f>
        <v>7425</v>
      </c>
    </row>
    <row r="4" spans="1:19" x14ac:dyDescent="0.25">
      <c r="A4" s="20"/>
      <c r="B4" s="12" t="s">
        <v>12</v>
      </c>
      <c r="C4" s="12">
        <f>Tableau13[[#This Row],[Colonne2]]*Tableau13[[#This Row],[Colonne12]]</f>
        <v>7425</v>
      </c>
      <c r="D4" s="12">
        <f>Tableau13[[#This Row],[Colonne2]]*Tableau13[[#This Row],[2023]]</f>
        <v>7425</v>
      </c>
      <c r="E4" s="12">
        <f>Tableau13[[#This Row],[Colonne2]]*Tableau13[[#This Row],[2024]]</f>
        <v>7425</v>
      </c>
      <c r="F4" s="12">
        <f>Tableau13[[#This Row],[Colonne2]]*Tableau13[[#This Row],[Colonne3]]</f>
        <v>7425</v>
      </c>
      <c r="G4" s="12">
        <f>Tableau13[[#This Row],[Colonne2]]*Tableau13[[#This Row],[Colonne4]]</f>
        <v>7425</v>
      </c>
      <c r="H4" s="12">
        <f>Tableau13[[#This Row],[Colonne2]]*Tableau13[[#This Row],[Colonne5]]</f>
        <v>7425</v>
      </c>
      <c r="I4" s="12">
        <f>Tableau13[[#This Row],[Colonne2]]*Tableau13[[#This Row],[2025]]</f>
        <v>7425</v>
      </c>
      <c r="J4" s="12">
        <f>Tableau13[[#This Row],[Colonne2]]*Tableau13[[#This Row],[Colonne6]]</f>
        <v>7425</v>
      </c>
      <c r="K4" s="12">
        <f>Tableau13[[#This Row],[Colonne2]]*Tableau13[[#This Row],[Colonne7]]</f>
        <v>7425</v>
      </c>
      <c r="L4" s="12">
        <f>Tableau13[[#This Row],[Colonne2]]*Tableau13[[#This Row],[Colonne8]]</f>
        <v>7425</v>
      </c>
      <c r="M4" s="12">
        <f>Tableau13[[#This Row],[Colonne2]]*Tableau13[[#This Row],[2026]]</f>
        <v>7425</v>
      </c>
      <c r="N4" s="12">
        <f>Tableau13[[#This Row],[Colonne2]]*Tableau13[[#This Row],[Colonne9]]</f>
        <v>7425</v>
      </c>
      <c r="O4" s="12">
        <f>Tableau13[[#This Row],[Colonne2]]*Tableau13[[#This Row],[2023]]</f>
        <v>7425</v>
      </c>
    </row>
    <row r="5" spans="1:19" x14ac:dyDescent="0.25">
      <c r="A5" s="20"/>
      <c r="B5" s="12" t="s">
        <v>13</v>
      </c>
      <c r="C5" s="12">
        <f>Tableau13[[#This Row],[Colonne2]]*Tableau13[[#This Row],[Colonne12]]</f>
        <v>7425</v>
      </c>
      <c r="D5" s="12">
        <f>Tableau13[[#This Row],[Colonne2]]*Tableau13[[#This Row],[2023]]</f>
        <v>7425</v>
      </c>
      <c r="E5" s="12">
        <f>Tableau13[[#This Row],[Colonne2]]*Tableau13[[#This Row],[2024]]</f>
        <v>7425</v>
      </c>
      <c r="F5" s="12">
        <f>Tableau13[[#This Row],[Colonne2]]*Tableau13[[#This Row],[Colonne3]]</f>
        <v>7425</v>
      </c>
      <c r="G5" s="12">
        <f>Tableau13[[#This Row],[Colonne2]]*Tableau13[[#This Row],[Colonne4]]</f>
        <v>7425</v>
      </c>
      <c r="H5" s="12">
        <f>Tableau13[[#This Row],[Colonne2]]*Tableau13[[#This Row],[Colonne5]]</f>
        <v>7425</v>
      </c>
      <c r="I5" s="12">
        <f>Tableau13[[#This Row],[Colonne2]]*Tableau13[[#This Row],[2025]]</f>
        <v>7425</v>
      </c>
      <c r="J5" s="12">
        <f>Tableau13[[#This Row],[Colonne2]]*Tableau13[[#This Row],[Colonne6]]</f>
        <v>7425</v>
      </c>
      <c r="K5" s="12">
        <f>Tableau13[[#This Row],[Colonne2]]*Tableau13[[#This Row],[Colonne7]]</f>
        <v>7425</v>
      </c>
      <c r="L5" s="12">
        <f>Tableau13[[#This Row],[Colonne2]]*Tableau13[[#This Row],[Colonne8]]</f>
        <v>7425</v>
      </c>
      <c r="M5" s="12">
        <f>Tableau13[[#This Row],[Colonne2]]*Tableau13[[#This Row],[2026]]</f>
        <v>7425</v>
      </c>
      <c r="N5" s="12">
        <f>Tableau13[[#This Row],[Colonne2]]*Tableau13[[#This Row],[Colonne9]]</f>
        <v>7425</v>
      </c>
      <c r="O5" s="12">
        <f>Tableau13[[#This Row],[Colonne2]]*Tableau13[[#This Row],[2023]]</f>
        <v>7425</v>
      </c>
    </row>
    <row r="6" spans="1:19" x14ac:dyDescent="0.25">
      <c r="A6" s="20"/>
      <c r="B6" s="13" t="s">
        <v>14</v>
      </c>
      <c r="C6" s="12">
        <f>Tableau13[[#This Row],[Colonne2]]*Tableau13[[#This Row],[Colonne12]]</f>
        <v>7425</v>
      </c>
      <c r="D6" s="12">
        <f>Tableau13[[#This Row],[Colonne2]]*Tableau13[[#This Row],[2023]]</f>
        <v>7425</v>
      </c>
      <c r="E6" s="12">
        <f>Tableau13[[#This Row],[Colonne2]]*Tableau13[[#This Row],[2024]]</f>
        <v>7425</v>
      </c>
      <c r="F6" s="12">
        <f>Tableau13[[#This Row],[Colonne2]]*Tableau13[[#This Row],[Colonne3]]</f>
        <v>7425</v>
      </c>
      <c r="G6" s="12">
        <f>Tableau13[[#This Row],[Colonne2]]*Tableau13[[#This Row],[Colonne4]]</f>
        <v>7425</v>
      </c>
      <c r="H6" s="12">
        <f>Tableau13[[#This Row],[Colonne2]]*Tableau13[[#This Row],[Colonne5]]</f>
        <v>7425</v>
      </c>
      <c r="I6" s="12">
        <f>Tableau13[[#This Row],[Colonne2]]*Tableau13[[#This Row],[2025]]</f>
        <v>7425</v>
      </c>
      <c r="J6" s="12">
        <f>Tableau13[[#This Row],[Colonne2]]*Tableau13[[#This Row],[Colonne6]]</f>
        <v>7425</v>
      </c>
      <c r="K6" s="12">
        <f>Tableau13[[#This Row],[Colonne2]]*Tableau13[[#This Row],[Colonne7]]</f>
        <v>7425</v>
      </c>
      <c r="L6" s="12">
        <f>Tableau13[[#This Row],[Colonne2]]*Tableau13[[#This Row],[Colonne8]]</f>
        <v>7425</v>
      </c>
      <c r="M6" s="12">
        <f>Tableau13[[#This Row],[Colonne2]]*Tableau13[[#This Row],[2026]]</f>
        <v>7425</v>
      </c>
      <c r="N6" s="12">
        <f>Tableau13[[#This Row],[Colonne2]]*Tableau13[[#This Row],[Colonne9]]</f>
        <v>7425</v>
      </c>
      <c r="O6" s="12">
        <f>Tableau13[[#This Row],[Colonne2]]*Tableau13[[#This Row],[2023]]</f>
        <v>7425</v>
      </c>
    </row>
    <row r="7" spans="1:19" x14ac:dyDescent="0.25">
      <c r="A7" s="20"/>
      <c r="B7" s="14" t="s">
        <v>15</v>
      </c>
      <c r="C7" s="12">
        <f>Tableau13[[#This Row],[Colonne2]]*Tableau13[[#This Row],[Colonne12]]</f>
        <v>7425</v>
      </c>
      <c r="D7" s="12">
        <f>Tableau13[[#This Row],[Colonne2]]*Tableau13[[#This Row],[2023]]</f>
        <v>7425</v>
      </c>
      <c r="E7" s="12">
        <f>Tableau13[[#This Row],[Colonne2]]*Tableau13[[#This Row],[2024]]</f>
        <v>7425</v>
      </c>
      <c r="F7" s="12">
        <f>Tableau13[[#This Row],[Colonne2]]*Tableau13[[#This Row],[Colonne3]]</f>
        <v>7425</v>
      </c>
      <c r="G7" s="12">
        <f>Tableau13[[#This Row],[Colonne2]]*Tableau13[[#This Row],[Colonne4]]</f>
        <v>7425</v>
      </c>
      <c r="H7" s="12">
        <f>Tableau13[[#This Row],[Colonne2]]*Tableau13[[#This Row],[Colonne5]]</f>
        <v>7425</v>
      </c>
      <c r="I7" s="12">
        <f>Tableau13[[#This Row],[Colonne2]]*Tableau13[[#This Row],[2025]]</f>
        <v>7425</v>
      </c>
      <c r="J7" s="12">
        <f>Tableau13[[#This Row],[Colonne2]]*Tableau13[[#This Row],[Colonne6]]</f>
        <v>7425</v>
      </c>
      <c r="K7" s="12">
        <f>Tableau13[[#This Row],[Colonne2]]*Tableau13[[#This Row],[Colonne7]]</f>
        <v>7425</v>
      </c>
      <c r="L7" s="12">
        <f>Tableau13[[#This Row],[Colonne2]]*Tableau13[[#This Row],[Colonne8]]</f>
        <v>7425</v>
      </c>
      <c r="M7" s="12">
        <f>Tableau13[[#This Row],[Colonne2]]*Tableau13[[#This Row],[2026]]</f>
        <v>7425</v>
      </c>
      <c r="N7" s="12">
        <f>Tableau13[[#This Row],[Colonne2]]*Tableau13[[#This Row],[Colonne9]]</f>
        <v>7425</v>
      </c>
      <c r="O7" s="12">
        <f>Tableau13[[#This Row],[Colonne2]]*Tableau13[[#This Row],[2023]]</f>
        <v>7425</v>
      </c>
    </row>
    <row r="8" spans="1:19" x14ac:dyDescent="0.25">
      <c r="A8" s="20"/>
      <c r="B8" s="13" t="s">
        <v>16</v>
      </c>
      <c r="C8" s="12">
        <f>Tableau13[[#This Row],[Colonne2]]*Tableau13[[#This Row],[Colonne12]]</f>
        <v>7425</v>
      </c>
      <c r="D8" s="12">
        <f>Tableau13[[#This Row],[Colonne2]]*Tableau13[[#This Row],[2023]]</f>
        <v>7425</v>
      </c>
      <c r="E8" s="12">
        <f>Tableau13[[#This Row],[Colonne2]]*Tableau13[[#This Row],[2024]]</f>
        <v>7425</v>
      </c>
      <c r="F8" s="12">
        <f>Tableau13[[#This Row],[Colonne2]]*Tableau13[[#This Row],[Colonne3]]</f>
        <v>7425</v>
      </c>
      <c r="G8" s="12">
        <f>Tableau13[[#This Row],[Colonne2]]*Tableau13[[#This Row],[Colonne4]]</f>
        <v>7425</v>
      </c>
      <c r="H8" s="12">
        <f>Tableau13[[#This Row],[Colonne2]]*Tableau13[[#This Row],[Colonne5]]</f>
        <v>7425</v>
      </c>
      <c r="I8" s="12">
        <f>Tableau13[[#This Row],[Colonne2]]*Tableau13[[#This Row],[2025]]</f>
        <v>7425</v>
      </c>
      <c r="J8" s="12">
        <f>Tableau13[[#This Row],[Colonne2]]*Tableau13[[#This Row],[Colonne6]]</f>
        <v>7425</v>
      </c>
      <c r="K8" s="12">
        <f>Tableau13[[#This Row],[Colonne2]]*Tableau13[[#This Row],[Colonne7]]</f>
        <v>7425</v>
      </c>
      <c r="L8" s="12">
        <f>Tableau13[[#This Row],[Colonne2]]*Tableau13[[#This Row],[Colonne8]]</f>
        <v>7425</v>
      </c>
      <c r="M8" s="12">
        <f>Tableau13[[#This Row],[Colonne2]]*Tableau13[[#This Row],[2026]]</f>
        <v>7425</v>
      </c>
      <c r="N8" s="12">
        <f>Tableau13[[#This Row],[Colonne2]]*Tableau13[[#This Row],[Colonne9]]</f>
        <v>7425</v>
      </c>
      <c r="O8" s="12">
        <f>Tableau13[[#This Row],[Colonne2]]*Tableau13[[#This Row],[2023]]</f>
        <v>7425</v>
      </c>
    </row>
    <row r="9" spans="1:19" x14ac:dyDescent="0.25">
      <c r="A9" s="9" t="s">
        <v>22</v>
      </c>
      <c r="B9" s="13" t="s">
        <v>23</v>
      </c>
      <c r="C9" s="12">
        <f>SUM(C3:C8)*0.5</f>
        <v>22275</v>
      </c>
      <c r="D9" s="12">
        <f t="shared" ref="D9:F9" si="0">SUM(D3:D8)*0.5</f>
        <v>22275</v>
      </c>
      <c r="E9" s="12">
        <f t="shared" si="0"/>
        <v>22275</v>
      </c>
      <c r="F9" s="12">
        <f t="shared" si="0"/>
        <v>22275</v>
      </c>
      <c r="G9" s="12">
        <f t="shared" ref="G9:N9" si="1">SUM(G3:G8)*0.5</f>
        <v>22275</v>
      </c>
      <c r="H9" s="12">
        <f t="shared" si="1"/>
        <v>22275</v>
      </c>
      <c r="I9" s="12">
        <f t="shared" si="1"/>
        <v>22275</v>
      </c>
      <c r="J9" s="12">
        <f t="shared" si="1"/>
        <v>22275</v>
      </c>
      <c r="K9" s="12">
        <f t="shared" si="1"/>
        <v>22275</v>
      </c>
      <c r="L9" s="12">
        <f t="shared" si="1"/>
        <v>22275</v>
      </c>
      <c r="M9" s="12">
        <f t="shared" si="1"/>
        <v>22275</v>
      </c>
      <c r="N9" s="12">
        <f t="shared" si="1"/>
        <v>22275</v>
      </c>
      <c r="O9" s="12">
        <f>SUM(O3:O8)*0.5</f>
        <v>22275</v>
      </c>
      <c r="R9" s="20" t="s">
        <v>17</v>
      </c>
      <c r="S9" t="s">
        <v>50</v>
      </c>
    </row>
    <row r="10" spans="1:19" x14ac:dyDescent="0.25">
      <c r="A10" s="20" t="s">
        <v>7</v>
      </c>
      <c r="B10" s="12" t="s">
        <v>19</v>
      </c>
      <c r="C10" s="12">
        <v>20000</v>
      </c>
      <c r="D10" s="12">
        <v>20000</v>
      </c>
      <c r="E10" s="12">
        <v>20000</v>
      </c>
      <c r="F10" s="12">
        <v>20000</v>
      </c>
      <c r="G10" s="12"/>
      <c r="H10" s="9"/>
      <c r="I10" s="9"/>
      <c r="J10" s="9"/>
      <c r="K10" s="9"/>
      <c r="L10" s="9"/>
      <c r="M10" s="9"/>
      <c r="N10" s="9"/>
      <c r="O10" s="9"/>
      <c r="R10" s="20"/>
      <c r="S10" t="s">
        <v>51</v>
      </c>
    </row>
    <row r="11" spans="1:19" x14ac:dyDescent="0.25">
      <c r="A11" s="20"/>
      <c r="B11" s="13" t="s">
        <v>17</v>
      </c>
      <c r="C11" s="12">
        <v>40000</v>
      </c>
      <c r="D11" s="12">
        <v>40000</v>
      </c>
      <c r="E11" s="12">
        <v>40000</v>
      </c>
      <c r="F11" s="12">
        <v>40000</v>
      </c>
      <c r="G11" s="12"/>
      <c r="H11" s="9"/>
      <c r="I11" s="9"/>
      <c r="J11" s="9"/>
      <c r="K11" s="9"/>
      <c r="L11" s="9"/>
      <c r="M11" s="9"/>
      <c r="N11" s="9"/>
      <c r="O11" s="9"/>
      <c r="R11" s="20"/>
    </row>
    <row r="12" spans="1:19" x14ac:dyDescent="0.25">
      <c r="A12" s="20"/>
      <c r="B12" s="13" t="s">
        <v>18</v>
      </c>
      <c r="C12" s="12">
        <v>10000</v>
      </c>
      <c r="D12" s="12">
        <v>10000</v>
      </c>
      <c r="E12" s="12">
        <v>10000</v>
      </c>
      <c r="F12" s="12">
        <v>10000</v>
      </c>
      <c r="G12" s="12"/>
      <c r="H12" s="9"/>
      <c r="I12" s="9"/>
      <c r="J12" s="9"/>
      <c r="K12" s="9"/>
      <c r="L12" s="9"/>
      <c r="M12" s="9"/>
      <c r="N12" s="9"/>
      <c r="O12" s="9"/>
      <c r="R12" s="20"/>
    </row>
    <row r="13" spans="1:19" x14ac:dyDescent="0.25">
      <c r="A13" s="20"/>
      <c r="B13" s="13" t="s">
        <v>20</v>
      </c>
      <c r="C13" s="12">
        <v>5000</v>
      </c>
      <c r="D13" s="12">
        <v>5000</v>
      </c>
      <c r="E13" s="12">
        <v>5000</v>
      </c>
      <c r="F13" s="12">
        <v>5000</v>
      </c>
      <c r="G13" s="12"/>
      <c r="H13" s="9"/>
      <c r="I13" s="9"/>
      <c r="J13" s="9"/>
      <c r="K13" s="9"/>
      <c r="L13" s="9"/>
      <c r="M13" s="9"/>
      <c r="N13" s="9"/>
      <c r="O13" s="9"/>
      <c r="R13" s="20"/>
    </row>
    <row r="14" spans="1:19" x14ac:dyDescent="0.25">
      <c r="A14" s="20"/>
      <c r="B14" s="13" t="s">
        <v>21</v>
      </c>
      <c r="C14" s="12">
        <v>0</v>
      </c>
      <c r="D14" s="12">
        <v>0</v>
      </c>
      <c r="E14" s="12">
        <v>0</v>
      </c>
      <c r="F14" s="12">
        <v>0</v>
      </c>
      <c r="G14" s="12"/>
      <c r="H14" s="9"/>
      <c r="I14" s="9"/>
      <c r="J14" s="9"/>
      <c r="K14" s="9"/>
      <c r="L14" s="9"/>
      <c r="M14" s="9"/>
      <c r="N14" s="9"/>
      <c r="O14" s="9"/>
    </row>
    <row r="15" spans="1:19" x14ac:dyDescent="0.25">
      <c r="A15" s="20"/>
      <c r="B15" s="13" t="s">
        <v>24</v>
      </c>
      <c r="C15" s="12">
        <v>2000</v>
      </c>
      <c r="D15" s="12">
        <v>2000</v>
      </c>
      <c r="E15" s="12">
        <v>2000</v>
      </c>
      <c r="F15" s="12">
        <v>2000</v>
      </c>
      <c r="G15" s="12"/>
      <c r="H15" s="9"/>
      <c r="I15" s="9"/>
      <c r="J15" s="9"/>
      <c r="K15" s="9"/>
      <c r="L15" s="9"/>
      <c r="M15" s="9"/>
      <c r="N15" s="9"/>
      <c r="O15" s="9"/>
    </row>
    <row r="16" spans="1:19" x14ac:dyDescent="0.25">
      <c r="A16" s="9"/>
      <c r="B16" s="9" t="s">
        <v>25</v>
      </c>
      <c r="C16" s="9">
        <f>SUBTOTAL(109,Tableau1[2023])</f>
        <v>143825</v>
      </c>
      <c r="D16" s="9">
        <f>SUBTOTAL(109,Tableau1[2024])</f>
        <v>143825</v>
      </c>
      <c r="E16" s="9">
        <f>SUBTOTAL(109,Tableau1[Colonne3])</f>
        <v>143825</v>
      </c>
      <c r="F16" s="9">
        <f>SUBTOTAL(109,Tableau1[Colonne4])</f>
        <v>143825</v>
      </c>
      <c r="G16" s="9">
        <f>SUBTOTAL(109,Tableau1[Colonne5])</f>
        <v>66825</v>
      </c>
      <c r="H16" s="9">
        <f>SUBTOTAL(109,Tableau1[2025])</f>
        <v>66825</v>
      </c>
      <c r="I16" s="9">
        <f>SUBTOTAL(109,Tableau1[Colonne6])</f>
        <v>66825</v>
      </c>
      <c r="J16" s="9">
        <f>SUBTOTAL(109,Tableau1[Colonne7])</f>
        <v>66825</v>
      </c>
      <c r="K16" s="9">
        <f>SUBTOTAL(109,Tableau1[Colonne8])</f>
        <v>66825</v>
      </c>
      <c r="L16" s="9">
        <f>SUBTOTAL(109,Tableau1[2026])</f>
        <v>66825</v>
      </c>
      <c r="M16" s="9">
        <f>SUBTOTAL(109,Tableau1[Colonne9])</f>
        <v>66825</v>
      </c>
      <c r="N16" s="9">
        <f>SUBTOTAL(109,Tableau1[Colonne10])</f>
        <v>66825</v>
      </c>
      <c r="O16" s="9">
        <f>SUBTOTAL(109,Tableau1[Colonne11])</f>
        <v>66825</v>
      </c>
    </row>
    <row r="17" spans="1:19" x14ac:dyDescent="0.25">
      <c r="R17" s="21" t="s">
        <v>52</v>
      </c>
      <c r="S17" t="s">
        <v>53</v>
      </c>
    </row>
    <row r="18" spans="1:19" x14ac:dyDescent="0.25">
      <c r="R18" s="21"/>
      <c r="S18" t="s">
        <v>54</v>
      </c>
    </row>
    <row r="19" spans="1:19" x14ac:dyDescent="0.25">
      <c r="R19" s="21"/>
      <c r="S19" t="s">
        <v>55</v>
      </c>
    </row>
    <row r="20" spans="1:19" x14ac:dyDescent="0.25">
      <c r="A20" s="9"/>
      <c r="B20" s="10"/>
      <c r="C20" s="11">
        <v>2023</v>
      </c>
      <c r="D20" s="22">
        <v>2024</v>
      </c>
      <c r="E20" s="23"/>
      <c r="F20" s="23"/>
      <c r="G20" s="24"/>
      <c r="H20" s="25">
        <v>2025</v>
      </c>
      <c r="I20" s="26"/>
      <c r="J20" s="26"/>
      <c r="K20" s="27"/>
      <c r="L20" s="22">
        <v>2026</v>
      </c>
      <c r="M20" s="23"/>
      <c r="N20" s="23"/>
      <c r="O20" s="24"/>
      <c r="R20" s="21"/>
    </row>
    <row r="21" spans="1:19" x14ac:dyDescent="0.25">
      <c r="A21" s="9"/>
      <c r="B21" s="12"/>
      <c r="C21" s="12" t="s">
        <v>3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0</v>
      </c>
      <c r="I21" s="12" t="s">
        <v>1</v>
      </c>
      <c r="J21" s="12" t="s">
        <v>2</v>
      </c>
      <c r="K21" s="12" t="s">
        <v>3</v>
      </c>
      <c r="L21" s="12" t="s">
        <v>0</v>
      </c>
      <c r="M21" s="12" t="s">
        <v>1</v>
      </c>
      <c r="N21" s="12" t="s">
        <v>2</v>
      </c>
      <c r="O21" s="12" t="s">
        <v>3</v>
      </c>
    </row>
    <row r="22" spans="1:19" x14ac:dyDescent="0.25">
      <c r="A22" s="7" t="s">
        <v>28</v>
      </c>
      <c r="B22" s="12" t="s">
        <v>29</v>
      </c>
      <c r="C22" s="12">
        <f>Tableau134[[#Totals],[Colonne12]]</f>
        <v>400000</v>
      </c>
      <c r="D22" s="12">
        <f>Tableau134[[#Totals],[2023]]</f>
        <v>0</v>
      </c>
      <c r="E22" s="12">
        <f>Tableau134[[#Totals],[2024]]</f>
        <v>0</v>
      </c>
      <c r="F22" s="12">
        <f>Tableau134[[#Totals],[Colonne3]]</f>
        <v>0</v>
      </c>
      <c r="G22" s="12">
        <f>Tableau134[[#Totals],[Colonne4]]</f>
        <v>0</v>
      </c>
      <c r="H22" s="12">
        <f>Tableau134[[#Totals],[Colonne5]]</f>
        <v>0</v>
      </c>
      <c r="I22" s="12">
        <f>Tableau134[[#Totals],[2025]]</f>
        <v>0</v>
      </c>
      <c r="J22" s="12">
        <f>Tableau134[[#Totals],[Colonne6]]</f>
        <v>0</v>
      </c>
      <c r="K22" s="12">
        <f>Tableau134[[#Totals],[Colonne7]]</f>
        <v>0</v>
      </c>
      <c r="L22" s="12">
        <f>Tableau134[[#Totals],[Colonne8]]</f>
        <v>0</v>
      </c>
      <c r="M22" s="12">
        <f>Tableau134[[#Totals],[2026]]</f>
        <v>0</v>
      </c>
      <c r="N22" s="12">
        <f>Tableau134[[#Totals],[Colonne9]]</f>
        <v>0</v>
      </c>
      <c r="O22" s="12">
        <f>Tableau134[[#Totals],[Colonne10]]</f>
        <v>0</v>
      </c>
    </row>
    <row r="23" spans="1:19" x14ac:dyDescent="0.25">
      <c r="A23" s="20" t="s">
        <v>8</v>
      </c>
      <c r="B23" s="12" t="s">
        <v>9</v>
      </c>
      <c r="C23" s="12">
        <v>50</v>
      </c>
      <c r="D23" s="12">
        <v>50</v>
      </c>
      <c r="E23" s="12">
        <v>50</v>
      </c>
      <c r="F23" s="12">
        <v>50</v>
      </c>
      <c r="G23" s="12"/>
      <c r="H23" s="9"/>
      <c r="I23" s="9"/>
      <c r="J23" s="9"/>
      <c r="K23" s="9"/>
      <c r="L23" s="9"/>
      <c r="M23" s="9"/>
      <c r="N23" s="9"/>
      <c r="O23" s="9"/>
      <c r="R23" s="20" t="s">
        <v>56</v>
      </c>
      <c r="S23" t="s">
        <v>57</v>
      </c>
    </row>
    <row r="24" spans="1:19" x14ac:dyDescent="0.25">
      <c r="A24" s="20"/>
      <c r="B24" s="12" t="s">
        <v>10</v>
      </c>
      <c r="C24" s="12">
        <v>400</v>
      </c>
      <c r="D24" s="12">
        <v>400</v>
      </c>
      <c r="E24" s="12">
        <v>400</v>
      </c>
      <c r="F24" s="12">
        <v>400</v>
      </c>
      <c r="G24" s="12"/>
      <c r="H24" s="9"/>
      <c r="I24" s="9"/>
      <c r="J24" s="9"/>
      <c r="K24" s="9"/>
      <c r="L24" s="9"/>
      <c r="M24" s="9"/>
      <c r="N24" s="9"/>
      <c r="O24" s="9"/>
      <c r="R24" s="20"/>
      <c r="S24" t="s">
        <v>65</v>
      </c>
    </row>
    <row r="25" spans="1:19" x14ac:dyDescent="0.25">
      <c r="A25" s="20"/>
      <c r="B25" s="12" t="s">
        <v>48</v>
      </c>
      <c r="C25" s="12">
        <v>100</v>
      </c>
      <c r="D25" s="12">
        <v>100</v>
      </c>
      <c r="E25" s="12">
        <v>100</v>
      </c>
      <c r="F25" s="12">
        <v>100</v>
      </c>
      <c r="G25" s="12"/>
      <c r="H25" s="9"/>
      <c r="I25" s="9"/>
      <c r="J25" s="9"/>
      <c r="K25" s="9"/>
      <c r="L25" s="9"/>
      <c r="M25" s="9"/>
      <c r="N25" s="9"/>
      <c r="O25" s="9"/>
      <c r="R25" s="20"/>
      <c r="S25" t="s">
        <v>58</v>
      </c>
    </row>
    <row r="26" spans="1:19" x14ac:dyDescent="0.25">
      <c r="A26" s="20"/>
      <c r="B26" s="12" t="s">
        <v>5</v>
      </c>
      <c r="C26" s="12">
        <v>0</v>
      </c>
      <c r="D26" s="12">
        <v>0</v>
      </c>
      <c r="E26" s="12">
        <v>0</v>
      </c>
      <c r="F26" s="12">
        <v>0</v>
      </c>
      <c r="G26" s="12"/>
      <c r="H26" s="9"/>
      <c r="I26" s="9"/>
      <c r="J26" s="9"/>
      <c r="K26" s="9"/>
      <c r="L26" s="9"/>
      <c r="M26" s="9"/>
      <c r="N26" s="9"/>
      <c r="O26" s="9"/>
      <c r="R26" s="20"/>
      <c r="S26" t="s">
        <v>59</v>
      </c>
    </row>
    <row r="27" spans="1:19" x14ac:dyDescent="0.25">
      <c r="A27" s="20"/>
      <c r="B27" s="12" t="s">
        <v>11</v>
      </c>
      <c r="C27" s="12">
        <v>1</v>
      </c>
      <c r="D27" s="12">
        <v>1</v>
      </c>
      <c r="E27" s="12">
        <v>1</v>
      </c>
      <c r="F27" s="12">
        <v>1</v>
      </c>
      <c r="G27" s="12"/>
      <c r="H27" s="9"/>
      <c r="I27" s="9"/>
      <c r="J27" s="9"/>
      <c r="K27" s="9"/>
      <c r="L27" s="9"/>
      <c r="M27" s="9"/>
      <c r="N27" s="9"/>
      <c r="O27" s="9"/>
      <c r="R27" s="20"/>
      <c r="S27" t="s">
        <v>60</v>
      </c>
    </row>
    <row r="28" spans="1:19" x14ac:dyDescent="0.25">
      <c r="A28" s="9"/>
      <c r="B28" s="9" t="s">
        <v>25</v>
      </c>
      <c r="C28" s="9">
        <f>SUBTOTAL(109,Tableau16[2023])</f>
        <v>400551</v>
      </c>
      <c r="D28" s="9">
        <f>SUBTOTAL(109,Tableau16[2024])</f>
        <v>551</v>
      </c>
      <c r="E28" s="9">
        <f>SUBTOTAL(109,Tableau16[Colonne3])</f>
        <v>551</v>
      </c>
      <c r="F28" s="9">
        <f>SUBTOTAL(109,Tableau16[Colonne4])</f>
        <v>551</v>
      </c>
      <c r="G28" s="9">
        <f>SUBTOTAL(109,Tableau16[Colonne5])</f>
        <v>0</v>
      </c>
      <c r="H28" s="9">
        <f>SUBTOTAL(109,Tableau16[2025])</f>
        <v>0</v>
      </c>
      <c r="I28" s="9">
        <f>SUBTOTAL(109,Tableau16[Colonne6])</f>
        <v>0</v>
      </c>
      <c r="J28" s="9">
        <f>SUBTOTAL(109,Tableau16[Colonne7])</f>
        <v>0</v>
      </c>
      <c r="K28" s="9">
        <f>SUBTOTAL(109,Tableau16[Colonne8])</f>
        <v>0</v>
      </c>
      <c r="L28" s="9">
        <f>SUBTOTAL(109,Tableau16[2026])</f>
        <v>0</v>
      </c>
      <c r="M28" s="9">
        <f>SUBTOTAL(109,Tableau16[Colonne9])</f>
        <v>0</v>
      </c>
      <c r="N28" s="9">
        <f>SUBTOTAL(109,Tableau16[Colonne10])</f>
        <v>0</v>
      </c>
      <c r="O28" s="9">
        <f>SUBTOTAL(109,Tableau16[Colonne11])</f>
        <v>0</v>
      </c>
      <c r="R28" s="20"/>
    </row>
    <row r="30" spans="1:19" x14ac:dyDescent="0.25">
      <c r="B30" t="s">
        <v>49</v>
      </c>
      <c r="C30">
        <f>Tableau16[[#Totals],[2023]]-Tableau1[[#Totals],[2023]]</f>
        <v>256726</v>
      </c>
      <c r="D30">
        <f>Tableau16[[#Totals],[2024]]-Tableau1[[#Totals],[2024]]</f>
        <v>-143274</v>
      </c>
      <c r="E30">
        <f>Tableau16[[#Totals],[Colonne3]]-Tableau1[[#Totals],[Colonne3]]</f>
        <v>-143274</v>
      </c>
      <c r="F30">
        <f>Tableau16[[#Totals],[Colonne4]]-Tableau1[[#Totals],[Colonne4]]</f>
        <v>-143274</v>
      </c>
      <c r="G30">
        <f>Tableau16[[#Totals],[Colonne5]]-Tableau1[[#Totals],[Colonne5]]</f>
        <v>-66825</v>
      </c>
      <c r="H30">
        <f>Tableau16[[#Totals],[2025]]-Tableau1[[#Totals],[2025]]</f>
        <v>-66825</v>
      </c>
      <c r="I30">
        <f>Tableau16[[#Totals],[Colonne6]]-Tableau1[[#Totals],[Colonne6]]</f>
        <v>-66825</v>
      </c>
      <c r="J30">
        <f>Tableau16[[#Totals],[Colonne7]]-Tableau1[[#Totals],[Colonne7]]</f>
        <v>-66825</v>
      </c>
      <c r="K30">
        <f>Tableau16[[#Totals],[Colonne8]]-Tableau1[[#Totals],[Colonne8]]</f>
        <v>-66825</v>
      </c>
      <c r="L30">
        <f>Tableau16[[#Totals],[2026]]-Tableau1[[#Totals],[2026]]</f>
        <v>-66825</v>
      </c>
      <c r="M30">
        <f>Tableau16[[#Totals],[Colonne9]]-Tableau1[[#Totals],[Colonne9]]</f>
        <v>-66825</v>
      </c>
      <c r="N30">
        <f>Tableau16[[#Totals],[Colonne10]]-Tableau1[[#Totals],[Colonne10]]</f>
        <v>-66825</v>
      </c>
      <c r="O30">
        <f>Tableau16[[#Totals],[Colonne11]]-Tableau1[[#Totals],[Colonne11]]</f>
        <v>-66825</v>
      </c>
    </row>
    <row r="31" spans="1:19" x14ac:dyDescent="0.25">
      <c r="R31" s="21" t="s">
        <v>61</v>
      </c>
      <c r="S31" t="s">
        <v>66</v>
      </c>
    </row>
    <row r="32" spans="1:19" x14ac:dyDescent="0.25">
      <c r="R32" s="21"/>
      <c r="S32" t="s">
        <v>67</v>
      </c>
    </row>
    <row r="33" spans="18:19" x14ac:dyDescent="0.25">
      <c r="R33" s="21"/>
      <c r="S33" t="s">
        <v>68</v>
      </c>
    </row>
    <row r="34" spans="18:19" x14ac:dyDescent="0.25">
      <c r="R34" s="21"/>
      <c r="S34" t="s">
        <v>69</v>
      </c>
    </row>
    <row r="35" spans="18:19" x14ac:dyDescent="0.25">
      <c r="R35" s="21"/>
      <c r="S35" t="s">
        <v>70</v>
      </c>
    </row>
    <row r="39" spans="18:19" x14ac:dyDescent="0.25">
      <c r="R39" s="21" t="s">
        <v>62</v>
      </c>
      <c r="S39" t="s">
        <v>63</v>
      </c>
    </row>
    <row r="40" spans="18:19" x14ac:dyDescent="0.25">
      <c r="R40" s="21"/>
      <c r="S40" t="s">
        <v>64</v>
      </c>
    </row>
  </sheetData>
  <mergeCells count="14">
    <mergeCell ref="A3:A8"/>
    <mergeCell ref="A10:A15"/>
    <mergeCell ref="R39:R40"/>
    <mergeCell ref="D20:G20"/>
    <mergeCell ref="H20:K20"/>
    <mergeCell ref="L20:O20"/>
    <mergeCell ref="D1:G1"/>
    <mergeCell ref="H1:K1"/>
    <mergeCell ref="L1:O1"/>
    <mergeCell ref="A23:A27"/>
    <mergeCell ref="R9:R13"/>
    <mergeCell ref="R17:R20"/>
    <mergeCell ref="R23:R28"/>
    <mergeCell ref="R31:R3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Couts individuels</vt:lpstr>
      <vt:lpstr>Investisseurs</vt:lpstr>
      <vt:lpstr>Budget</vt:lpstr>
    </vt:vector>
  </TitlesOfParts>
  <Company>UCA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GANTSUI</dc:creator>
  <cp:lastModifiedBy>Clark GANTSUI</cp:lastModifiedBy>
  <dcterms:created xsi:type="dcterms:W3CDTF">2023-12-04T13:29:47Z</dcterms:created>
  <dcterms:modified xsi:type="dcterms:W3CDTF">2023-12-11T14:45:05Z</dcterms:modified>
</cp:coreProperties>
</file>