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Archive supérieur\cours robotique\cours\gestion projet\AgroChip\"/>
    </mc:Choice>
  </mc:AlternateContent>
  <xr:revisionPtr revIDLastSave="0" documentId="13_ncr:1_{3ADF9239-A4CC-4C15-A689-93A4915F18CF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Couts individuels" sheetId="1" r:id="rId1"/>
    <sheet name="Investisseurs" sheetId="3" r:id="rId2"/>
    <sheet name="Budge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1" i="2"/>
  <c r="P12" i="2"/>
  <c r="P13" i="2"/>
  <c r="P14" i="2"/>
  <c r="P15" i="2"/>
  <c r="D28" i="2"/>
  <c r="E28" i="2"/>
  <c r="F28" i="2"/>
  <c r="G28" i="2"/>
  <c r="H28" i="2"/>
  <c r="I28" i="2"/>
  <c r="J28" i="2"/>
  <c r="K28" i="2"/>
  <c r="L28" i="2"/>
  <c r="M28" i="2"/>
  <c r="N28" i="2"/>
  <c r="O28" i="2"/>
  <c r="C28" i="2"/>
  <c r="T7" i="2"/>
  <c r="T6" i="2"/>
  <c r="C4" i="2"/>
  <c r="D4" i="2"/>
  <c r="E4" i="2"/>
  <c r="F4" i="2"/>
  <c r="G4" i="2"/>
  <c r="H4" i="2"/>
  <c r="I4" i="2"/>
  <c r="J4" i="2"/>
  <c r="K4" i="2"/>
  <c r="L4" i="2"/>
  <c r="M4" i="2"/>
  <c r="N4" i="2"/>
  <c r="O4" i="2"/>
  <c r="C5" i="2"/>
  <c r="D5" i="2"/>
  <c r="E5" i="2"/>
  <c r="F5" i="2"/>
  <c r="G5" i="2"/>
  <c r="H5" i="2"/>
  <c r="I5" i="2"/>
  <c r="J5" i="2"/>
  <c r="K5" i="2"/>
  <c r="L5" i="2"/>
  <c r="M5" i="2"/>
  <c r="N5" i="2"/>
  <c r="O5" i="2"/>
  <c r="C6" i="2"/>
  <c r="D6" i="2"/>
  <c r="E6" i="2"/>
  <c r="F6" i="2"/>
  <c r="G6" i="2"/>
  <c r="H6" i="2"/>
  <c r="I6" i="2"/>
  <c r="J6" i="2"/>
  <c r="K6" i="2"/>
  <c r="L6" i="2"/>
  <c r="M6" i="2"/>
  <c r="N6" i="2"/>
  <c r="O6" i="2"/>
  <c r="C7" i="2"/>
  <c r="D7" i="2"/>
  <c r="E7" i="2"/>
  <c r="F7" i="2"/>
  <c r="G7" i="2"/>
  <c r="H7" i="2"/>
  <c r="I7" i="2"/>
  <c r="J7" i="2"/>
  <c r="K7" i="2"/>
  <c r="L7" i="2"/>
  <c r="M7" i="2"/>
  <c r="N7" i="2"/>
  <c r="O7" i="2"/>
  <c r="C8" i="2"/>
  <c r="D8" i="2"/>
  <c r="E8" i="2"/>
  <c r="F8" i="2"/>
  <c r="G8" i="2"/>
  <c r="H8" i="2"/>
  <c r="I8" i="2"/>
  <c r="J8" i="2"/>
  <c r="K8" i="2"/>
  <c r="L8" i="2"/>
  <c r="M8" i="2"/>
  <c r="N8" i="2"/>
  <c r="O8" i="2"/>
  <c r="D3" i="2"/>
  <c r="E3" i="2"/>
  <c r="F3" i="2"/>
  <c r="G3" i="2"/>
  <c r="H3" i="2"/>
  <c r="I3" i="2"/>
  <c r="J3" i="2"/>
  <c r="K3" i="2"/>
  <c r="L3" i="2"/>
  <c r="M3" i="2"/>
  <c r="N3" i="2"/>
  <c r="O3" i="2"/>
  <c r="C3" i="2"/>
  <c r="T20" i="2" s="1"/>
  <c r="T21" i="2" s="1"/>
  <c r="C4" i="1"/>
  <c r="D4" i="1"/>
  <c r="E4" i="1"/>
  <c r="F4" i="1"/>
  <c r="F9" i="1" s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D3" i="1"/>
  <c r="E3" i="1"/>
  <c r="F3" i="1"/>
  <c r="G3" i="1"/>
  <c r="H3" i="1"/>
  <c r="I3" i="1"/>
  <c r="J3" i="1"/>
  <c r="K3" i="1"/>
  <c r="L3" i="1"/>
  <c r="M3" i="1"/>
  <c r="N3" i="1"/>
  <c r="O3" i="1"/>
  <c r="P3" i="1"/>
  <c r="C3" i="1"/>
  <c r="Y12" i="2"/>
  <c r="K13" i="2" s="1"/>
  <c r="Y22" i="2"/>
  <c r="M15" i="2" s="1"/>
  <c r="O10" i="2"/>
  <c r="N10" i="2"/>
  <c r="M10" i="2"/>
  <c r="K10" i="2"/>
  <c r="J10" i="2"/>
  <c r="G10" i="2"/>
  <c r="F10" i="2"/>
  <c r="E10" i="2"/>
  <c r="P10" i="2" s="1"/>
  <c r="N12" i="2"/>
  <c r="M12" i="2"/>
  <c r="L12" i="2"/>
  <c r="J12" i="2"/>
  <c r="I12" i="2"/>
  <c r="H12" i="2"/>
  <c r="E12" i="2"/>
  <c r="D12" i="2"/>
  <c r="C12" i="2"/>
  <c r="O12" i="2"/>
  <c r="K12" i="2"/>
  <c r="G12" i="2"/>
  <c r="F12" i="2"/>
  <c r="Y9" i="2"/>
  <c r="O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15" i="3"/>
  <c r="N15" i="3"/>
  <c r="O22" i="2" s="1"/>
  <c r="M15" i="3"/>
  <c r="L15" i="3"/>
  <c r="K15" i="3"/>
  <c r="L22" i="2" s="1"/>
  <c r="J15" i="3"/>
  <c r="K22" i="2" s="1"/>
  <c r="I15" i="3"/>
  <c r="J22" i="2" s="1"/>
  <c r="H15" i="3"/>
  <c r="I22" i="2" s="1"/>
  <c r="G15" i="3"/>
  <c r="H22" i="2" s="1"/>
  <c r="F15" i="3"/>
  <c r="G22" i="2" s="1"/>
  <c r="E15" i="3"/>
  <c r="F22" i="2" s="1"/>
  <c r="D15" i="3"/>
  <c r="E22" i="2" s="1"/>
  <c r="B15" i="3"/>
  <c r="C15" i="3"/>
  <c r="D22" i="2" s="1"/>
  <c r="G11" i="2" l="1"/>
  <c r="C10" i="2"/>
  <c r="F13" i="2"/>
  <c r="G13" i="2"/>
  <c r="D13" i="2"/>
  <c r="H13" i="2"/>
  <c r="L13" i="2"/>
  <c r="M13" i="2"/>
  <c r="C13" i="2"/>
  <c r="N13" i="2"/>
  <c r="E13" i="2"/>
  <c r="O13" i="2"/>
  <c r="J13" i="2"/>
  <c r="Y16" i="2"/>
  <c r="I13" i="2"/>
  <c r="G15" i="2"/>
  <c r="O15" i="2"/>
  <c r="H15" i="2"/>
  <c r="I15" i="2"/>
  <c r="J15" i="2"/>
  <c r="C15" i="2"/>
  <c r="K15" i="2"/>
  <c r="F15" i="2"/>
  <c r="D15" i="2"/>
  <c r="L15" i="2"/>
  <c r="N15" i="2"/>
  <c r="E15" i="2"/>
  <c r="K11" i="2"/>
  <c r="T9" i="2"/>
  <c r="I11" i="2"/>
  <c r="D11" i="2"/>
  <c r="J11" i="2"/>
  <c r="C11" i="2"/>
  <c r="L11" i="2"/>
  <c r="M11" i="2"/>
  <c r="E11" i="2"/>
  <c r="N11" i="2"/>
  <c r="F11" i="2"/>
  <c r="O11" i="2"/>
  <c r="H11" i="2"/>
  <c r="T16" i="2"/>
  <c r="C22" i="2"/>
  <c r="M22" i="2"/>
  <c r="N22" i="2"/>
  <c r="F9" i="2"/>
  <c r="E9" i="2"/>
  <c r="D9" i="2"/>
  <c r="D9" i="1"/>
  <c r="E9" i="1"/>
  <c r="G9" i="1"/>
  <c r="H9" i="1"/>
  <c r="I9" i="1"/>
  <c r="J9" i="1"/>
  <c r="K9" i="1"/>
  <c r="L9" i="1"/>
  <c r="M9" i="1"/>
  <c r="N9" i="1"/>
  <c r="O9" i="1"/>
  <c r="P9" i="1"/>
  <c r="C9" i="1"/>
  <c r="C9" i="2" l="1"/>
  <c r="L9" i="2"/>
  <c r="H9" i="2"/>
  <c r="N9" i="2"/>
  <c r="J9" i="2"/>
  <c r="F16" i="2"/>
  <c r="F30" i="2" s="1"/>
  <c r="E16" i="2"/>
  <c r="E30" i="2" s="1"/>
  <c r="K9" i="2"/>
  <c r="G9" i="2"/>
  <c r="M9" i="2"/>
  <c r="I9" i="2"/>
  <c r="C16" i="2" l="1"/>
  <c r="C30" i="2" s="1"/>
  <c r="M16" i="2"/>
  <c r="M30" i="2" s="1"/>
  <c r="K16" i="2"/>
  <c r="K30" i="2" s="1"/>
  <c r="J16" i="2"/>
  <c r="J30" i="2" s="1"/>
  <c r="I16" i="2"/>
  <c r="I30" i="2" s="1"/>
  <c r="N16" i="2"/>
  <c r="N30" i="2" s="1"/>
  <c r="H16" i="2"/>
  <c r="H30" i="2" s="1"/>
  <c r="G16" i="2"/>
  <c r="G30" i="2" s="1"/>
  <c r="L16" i="2"/>
  <c r="L30" i="2" s="1"/>
  <c r="O9" i="2"/>
  <c r="D16" i="2"/>
  <c r="D30" i="2" s="1"/>
  <c r="O16" i="2" l="1"/>
  <c r="O30" i="2" s="1"/>
</calcChain>
</file>

<file path=xl/sharedStrings.xml><?xml version="1.0" encoding="utf-8"?>
<sst xmlns="http://schemas.openxmlformats.org/spreadsheetml/2006/main" count="164" uniqueCount="81">
  <si>
    <t>janv-mars</t>
  </si>
  <si>
    <t>avr-juin</t>
  </si>
  <si>
    <t>juil-sept</t>
  </si>
  <si>
    <t>oct-dec</t>
  </si>
  <si>
    <t>pub</t>
  </si>
  <si>
    <t>cédric</t>
  </si>
  <si>
    <t>Matériel</t>
  </si>
  <si>
    <t xml:space="preserve">marketing </t>
  </si>
  <si>
    <t>Vincent</t>
  </si>
  <si>
    <t>Kevin</t>
  </si>
  <si>
    <t>Clark</t>
  </si>
  <si>
    <t>Gwenaëlle</t>
  </si>
  <si>
    <t>enzo</t>
  </si>
  <si>
    <t>I/A</t>
  </si>
  <si>
    <t>Logiciel</t>
  </si>
  <si>
    <t>Composants éléctroniques</t>
  </si>
  <si>
    <t>Composants éléctriques</t>
  </si>
  <si>
    <t>Achat de vaches</t>
  </si>
  <si>
    <t>Charges diverses</t>
  </si>
  <si>
    <t>charges patronal</t>
  </si>
  <si>
    <t xml:space="preserve">location du local </t>
  </si>
  <si>
    <t>Total</t>
  </si>
  <si>
    <t>Taux horaire</t>
  </si>
  <si>
    <t>Personnel</t>
  </si>
  <si>
    <t>Investissement</t>
  </si>
  <si>
    <t>Investisseurs</t>
  </si>
  <si>
    <t>Région nouvelle-aquitaine</t>
  </si>
  <si>
    <t>capagro</t>
  </si>
  <si>
    <t>idia capital investissement</t>
  </si>
  <si>
    <t>creadev</t>
  </si>
  <si>
    <t>astanor ventures</t>
  </si>
  <si>
    <t>mirova</t>
  </si>
  <si>
    <t>breizh up</t>
  </si>
  <si>
    <t>ixcore</t>
  </si>
  <si>
    <t>fall line capital</t>
  </si>
  <si>
    <t>bnp paribas développement</t>
  </si>
  <si>
    <t>nord création</t>
  </si>
  <si>
    <t>agriculteurs</t>
  </si>
  <si>
    <t>u porcu ranger</t>
  </si>
  <si>
    <t>ferme d'agerria</t>
  </si>
  <si>
    <t>mas de la comtesse</t>
  </si>
  <si>
    <t>moulin castelas</t>
  </si>
  <si>
    <t>ferme gaec de l'oiseau</t>
  </si>
  <si>
    <t>duprem</t>
  </si>
  <si>
    <t>Global</t>
  </si>
  <si>
    <t>sonde a souder</t>
  </si>
  <si>
    <t>logiciel</t>
  </si>
  <si>
    <t>pytorch</t>
  </si>
  <si>
    <t>catia</t>
  </si>
  <si>
    <t>Pspice</t>
  </si>
  <si>
    <t>composant electrique</t>
  </si>
  <si>
    <t>location du local</t>
  </si>
  <si>
    <t>bureau</t>
  </si>
  <si>
    <t>entrepot</t>
  </si>
  <si>
    <t>pack office</t>
  </si>
  <si>
    <t>puces</t>
  </si>
  <si>
    <t>composants divers</t>
  </si>
  <si>
    <t>capteurs électrochimiques</t>
  </si>
  <si>
    <t>modules d'analyse</t>
  </si>
  <si>
    <t>Salaire</t>
  </si>
  <si>
    <t xml:space="preserve">Agro-chip </t>
  </si>
  <si>
    <t>PC (Dell XPS)</t>
  </si>
  <si>
    <t>carte electronique (arduino, rapsberry pi)</t>
  </si>
  <si>
    <t>serveurs</t>
  </si>
  <si>
    <t>AGRO-CHIP</t>
  </si>
  <si>
    <t>Nécessités</t>
  </si>
  <si>
    <t>appareil de stockage</t>
  </si>
  <si>
    <t>composants electronique</t>
  </si>
  <si>
    <t>achat des données( sofware)</t>
  </si>
  <si>
    <t>entrainement et maintenance</t>
  </si>
  <si>
    <t>Cout par trimestre</t>
  </si>
  <si>
    <t>salaire</t>
  </si>
  <si>
    <t>Commercialisation</t>
  </si>
  <si>
    <t>Cout du produit</t>
  </si>
  <si>
    <t>Cout de la mise en place</t>
  </si>
  <si>
    <t>Réinplantation</t>
  </si>
  <si>
    <t>Nombre de produit vendus</t>
  </si>
  <si>
    <t>Nombre de produit implantés</t>
  </si>
  <si>
    <t>Nombre de produit réimplantés</t>
  </si>
  <si>
    <t>commercialisation et estimation des ventes</t>
  </si>
  <si>
    <t>Cout total par composante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</si>
</sst>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£&quot;* #,##0.00_-;\-&quot;£&quot;* #,##0.00_-;_-&quot;£&quot;* &quot;-&quot;??_-;_-@_-"/>
    <numFmt numFmtId="165" formatCode="_-* #,##0.00\ [$€-40C]_-;\-* #,##0.00\ [$€-40C]_-;_-* &quot;-&quot;??\ [$€-40C]_-;_-@_-"/>
    <numFmt numFmtId="166" formatCode="_-* #,##0.0\ [$€-40C]_-;\-* #,##0.0\ [$€-40C]_-;_-* &quot;-&quot;??\ [$€-40C]_-;_-@_-"/>
    <numFmt numFmtId="167" formatCode="_-* #,##0\ [$€-40C]_-;\-* #,##0\ [$€-40C]_-;_-* &quot;-&quot;??\ [$€-40C]_-;_-@_-"/>
    <numFmt numFmtId="169" formatCode="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</fills>
  <borders count="17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2" fillId="5" borderId="0" applyNumberFormat="0" applyBorder="0" applyAlignment="0" applyProtection="0"/>
    <xf numFmtId="0" fontId="4" fillId="6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3" borderId="11" xfId="0" applyNumberFormat="1" applyFill="1" applyBorder="1" applyAlignment="1">
      <alignment horizontal="center" vertical="center"/>
    </xf>
    <xf numFmtId="167" fontId="0" fillId="3" borderId="0" xfId="0" applyNumberFormat="1" applyFill="1" applyAlignment="1">
      <alignment horizontal="center" vertical="center"/>
    </xf>
    <xf numFmtId="167" fontId="0" fillId="3" borderId="7" xfId="0" applyNumberForma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167" fontId="0" fillId="4" borderId="9" xfId="0" applyNumberFormat="1" applyFill="1" applyBorder="1" applyAlignment="1">
      <alignment horizontal="center" vertical="center"/>
    </xf>
    <xf numFmtId="167" fontId="0" fillId="4" borderId="10" xfId="0" applyNumberFormat="1" applyFill="1" applyBorder="1" applyAlignment="1">
      <alignment horizontal="center" vertical="center"/>
    </xf>
    <xf numFmtId="167" fontId="0" fillId="4" borderId="2" xfId="0" applyNumberFormat="1" applyFill="1" applyBorder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7" fontId="0" fillId="3" borderId="0" xfId="0" applyNumberFormat="1" applyFill="1" applyBorder="1" applyAlignment="1">
      <alignment horizontal="center" vertical="center"/>
    </xf>
    <xf numFmtId="0" fontId="2" fillId="5" borderId="0" xfId="2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0" fontId="2" fillId="5" borderId="0" xfId="2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7" fontId="0" fillId="3" borderId="6" xfId="0" applyNumberForma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167" fontId="1" fillId="2" borderId="15" xfId="0" applyNumberFormat="1" applyFont="1" applyFill="1" applyBorder="1" applyAlignment="1">
      <alignment horizontal="center" vertical="center"/>
    </xf>
    <xf numFmtId="0" fontId="4" fillId="6" borderId="0" xfId="3" applyAlignment="1">
      <alignment horizontal="center" vertical="center"/>
    </xf>
    <xf numFmtId="169" fontId="4" fillId="6" borderId="0" xfId="3" applyNumberFormat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4">
    <cellStyle name="20 % - Accent1" xfId="2" builtinId="30"/>
    <cellStyle name="Accent5" xfId="3" builtinId="45"/>
    <cellStyle name="Monétaire" xfId="1" builtinId="4"/>
    <cellStyle name="Normal" xfId="0" builtinId="0"/>
  </cellStyles>
  <dxfs count="28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9" formatCode="#,##0.00\ &quot;€&quot;"/>
      <alignment horizontal="center" vertical="center" textRotation="0" wrapText="0" indent="0" justifyLastLine="0" shrinkToFit="0" readingOrder="0"/>
    </dxf>
    <dxf>
      <numFmt numFmtId="166" formatCode="_-* #,##0.0\ [$€-40C]_-;\-* #,##0.0\ [$€-40C]_-;_-* &quot;-&quot;??\ [$€-40C]_-;_-@_-"/>
      <alignment horizontal="center" vertical="center" textRotation="0" wrapText="0" indent="0" justifyLastLine="0" shrinkToFit="0" readingOrder="0"/>
    </dxf>
    <dxf>
      <numFmt numFmtId="169" formatCode="#,##0.00\ &quot;€&quot;"/>
      <alignment horizontal="center" vertical="center" textRotation="0" wrapText="0" indent="0" justifyLastLine="0" shrinkToFit="0" readingOrder="0"/>
    </dxf>
    <dxf>
      <numFmt numFmtId="166" formatCode="_-* #,##0.0\ [$€-40C]_-;\-* #,##0.0\ [$€-40C]_-;_-* &quot;-&quot;??\ [$€-40C]_-;_-@_-"/>
      <alignment horizontal="center" vertical="center" textRotation="0" wrapText="0" indent="0" justifyLastLine="0" shrinkToFit="0" readingOrder="0"/>
    </dxf>
    <dxf>
      <numFmt numFmtId="169" formatCode="#,##0.00\ &quot;€&quot;"/>
      <alignment horizontal="center" vertical="center" textRotation="0" wrapText="0" indent="0" justifyLastLine="0" shrinkToFit="0" readingOrder="0"/>
    </dxf>
    <dxf>
      <numFmt numFmtId="166" formatCode="_-* #,##0.0\ [$€-40C]_-;\-* #,##0.0\ [$€-40C]_-;_-* &quot;-&quot;??\ [$€-40C]_-;_-@_-"/>
      <alignment horizontal="center" vertical="center" textRotation="0" wrapText="0" indent="0" justifyLastLine="0" shrinkToFit="0" readingOrder="0"/>
    </dxf>
    <dxf>
      <numFmt numFmtId="169" formatCode="#,##0.00\ &quot;€&quot;"/>
      <alignment horizontal="center" vertical="center" textRotation="0" wrapText="0" indent="0" justifyLastLine="0" shrinkToFit="0" readingOrder="0"/>
    </dxf>
    <dxf>
      <numFmt numFmtId="166" formatCode="_-* #,##0.0\ [$€-40C]_-;\-* #,##0.0\ [$€-40C]_-;_-* &quot;-&quot;??\ [$€-40C]_-;_-@_-"/>
      <alignment horizontal="center" vertical="center" textRotation="0" wrapText="0" indent="0" justifyLastLine="0" shrinkToFit="0" readingOrder="0"/>
    </dxf>
    <dxf>
      <numFmt numFmtId="169" formatCode="#,##0.00\ &quot;€&quot;"/>
      <alignment horizontal="center" vertical="center" textRotation="0" wrapText="0" indent="0" justifyLastLine="0" shrinkToFit="0" readingOrder="0"/>
    </dxf>
    <dxf>
      <numFmt numFmtId="166" formatCode="_-* #,##0.0\ [$€-40C]_-;\-* #,##0.0\ [$€-40C]_-;_-* &quot;-&quot;??\ [$€-40C]_-;_-@_-"/>
      <alignment horizontal="center" vertical="center" textRotation="0" wrapText="0" indent="0" justifyLastLine="0" shrinkToFit="0" readingOrder="0"/>
    </dxf>
    <dxf>
      <numFmt numFmtId="169" formatCode="#,##0.00\ &quot;€&quot;"/>
      <alignment horizontal="center" vertical="center" textRotation="0" wrapText="0" indent="0" justifyLastLine="0" shrinkToFit="0" readingOrder="0"/>
    </dxf>
    <dxf>
      <numFmt numFmtId="166" formatCode="_-* #,##0.0\ [$€-40C]_-;\-* #,##0.0\ [$€-40C]_-;_-* &quot;-&quot;??\ [$€-40C]_-;_-@_-"/>
      <alignment horizontal="center" vertical="center" textRotation="0" wrapText="0" indent="0" justifyLastLine="0" shrinkToFit="0" readingOrder="0"/>
    </dxf>
    <dxf>
      <numFmt numFmtId="169" formatCode="#,##0.00\ &quot;€&quot;"/>
      <alignment horizontal="center" vertical="center" textRotation="0" wrapText="0" indent="0" justifyLastLine="0" shrinkToFit="0" readingOrder="0"/>
    </dxf>
    <dxf>
      <numFmt numFmtId="166" formatCode="_-* #,##0.0\ [$€-40C]_-;\-* #,##0.0\ [$€-40C]_-;_-* &quot;-&quot;??\ [$€-40C]_-;_-@_-"/>
      <alignment horizontal="center" vertical="center" textRotation="0" wrapText="0" indent="0" justifyLastLine="0" shrinkToFit="0" readingOrder="0"/>
    </dxf>
    <dxf>
      <numFmt numFmtId="169" formatCode="#,##0.00\ &quot;€&quot;"/>
      <alignment horizontal="center" vertical="center" textRotation="0" wrapText="0" indent="0" justifyLastLine="0" shrinkToFit="0" readingOrder="0"/>
    </dxf>
    <dxf>
      <numFmt numFmtId="166" formatCode="_-* #,##0.0\ [$€-40C]_-;\-* #,##0.0\ [$€-40C]_-;_-* &quot;-&quot;??\ [$€-40C]_-;_-@_-"/>
      <alignment horizontal="center" vertical="center" textRotation="0" wrapText="0" indent="0" justifyLastLine="0" shrinkToFit="0" readingOrder="0"/>
    </dxf>
    <dxf>
      <numFmt numFmtId="169" formatCode="#,##0.00\ &quot;€&quot;"/>
      <alignment horizontal="center" vertical="center" textRotation="0" wrapText="0" indent="0" justifyLastLine="0" shrinkToFit="0" readingOrder="0"/>
    </dxf>
    <dxf>
      <numFmt numFmtId="166" formatCode="_-* #,##0.0\ [$€-40C]_-;\-* #,##0.0\ [$€-40C]_-;_-* &quot;-&quot;??\ [$€-40C]_-;_-@_-"/>
      <alignment horizontal="center" vertical="center" textRotation="0" wrapText="0" indent="0" justifyLastLine="0" shrinkToFit="0" readingOrder="0"/>
    </dxf>
    <dxf>
      <numFmt numFmtId="169" formatCode="#,##0.00\ &quot;€&quot;"/>
      <alignment horizontal="center" vertical="center" textRotation="0" wrapText="0" indent="0" justifyLastLine="0" shrinkToFit="0" readingOrder="0"/>
    </dxf>
    <dxf>
      <numFmt numFmtId="166" formatCode="_-* #,##0.0\ [$€-40C]_-;\-* #,##0.0\ [$€-40C]_-;_-* &quot;-&quot;??\ [$€-40C]_-;_-@_-"/>
      <alignment horizontal="center" vertical="center" textRotation="0" wrapText="0" indent="0" justifyLastLine="0" shrinkToFit="0" readingOrder="0"/>
    </dxf>
    <dxf>
      <numFmt numFmtId="169" formatCode="#,##0.00\ &quot;€&quot;"/>
      <alignment horizontal="center" vertical="center" textRotation="0" wrapText="0" indent="0" justifyLastLine="0" shrinkToFit="0" readingOrder="0"/>
    </dxf>
    <dxf>
      <numFmt numFmtId="166" formatCode="_-* #,##0.0\ [$€-40C]_-;\-* #,##0.0\ [$€-40C]_-;_-* &quot;-&quot;??\ [$€-40C]_-;_-@_-"/>
      <alignment horizontal="center" vertical="center" textRotation="0" wrapText="0" indent="0" justifyLastLine="0" shrinkToFit="0" readingOrder="0"/>
    </dxf>
    <dxf>
      <numFmt numFmtId="169" formatCode="#,##0.00\ &quot;€&quot;"/>
      <alignment horizontal="center" vertical="center" textRotation="0" wrapText="0" indent="0" justifyLastLine="0" shrinkToFit="0" readingOrder="0"/>
    </dxf>
    <dxf>
      <numFmt numFmtId="166" formatCode="_-* #,##0.0\ [$€-40C]_-;\-* #,##0.0\ [$€-40C]_-;_-* &quot;-&quot;??\ [$€-40C]_-;_-@_-"/>
      <alignment horizontal="center" vertical="center" textRotation="0" wrapText="0" indent="0" justifyLastLine="0" shrinkToFit="0" readingOrder="0"/>
    </dxf>
    <dxf>
      <numFmt numFmtId="169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9" formatCode="#,##0.00\ &quot;€&quot;"/>
      <alignment horizontal="center" vertical="center" textRotation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9" formatCode="#,##0.00\ &quot;€&quot;"/>
      <alignment horizontal="center" vertical="center" textRotation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9" formatCode="#,##0.00\ &quot;€&quot;"/>
      <alignment horizontal="center" vertical="center" textRotation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9" formatCode="#,##0.00\ &quot;€&quot;"/>
      <alignment horizontal="center" vertical="center" textRotation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9" formatCode="#,##0.00\ &quot;€&quot;"/>
      <alignment horizontal="center" vertical="center" textRotation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9" formatCode="#,##0.00\ &quot;€&quot;"/>
      <alignment horizontal="center" vertical="center" textRotation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9" formatCode="#,##0.00\ &quot;€&quot;"/>
      <alignment horizontal="center" vertical="center" textRotation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9" formatCode="#,##0.00\ &quot;€&quot;"/>
      <alignment horizontal="center" vertical="center" textRotation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9" formatCode="#,##0.00\ &quot;€&quot;"/>
      <alignment horizontal="center" vertical="center" textRotation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9" formatCode="#,##0.00\ &quot;€&quot;"/>
      <alignment horizontal="center" vertical="center" textRotation="0" wrapText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9" formatCode="#,##0.00\ &quot;€&quot;"/>
      <alignment horizontal="center" vertical="center" textRotation="0" wrapText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9" formatCode="#,##0.00\ &quot;€&quot;"/>
      <alignment horizontal="center" vertical="center" textRotation="0" wrapText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9" formatCode="#,##0.00\ &quot;€&quot;"/>
      <alignment horizontal="center" vertical="center" textRotation="0" wrapText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7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Solde du budget par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oct-dec 2023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Budget!$C$30</c:f>
              <c:numCache>
                <c:formatCode>#\ ##0.00\ "€"</c:formatCode>
                <c:ptCount val="1"/>
                <c:pt idx="0">
                  <c:v>98031.015000000014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9-41C2-83F9-FA98343B98C1}"/>
            </c:ext>
          </c:extLst>
        </c:ser>
        <c:ser>
          <c:idx val="1"/>
          <c:order val="1"/>
          <c:tx>
            <c:v>jan-mars 2024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Budget!$D$30</c:f>
              <c:numCache>
                <c:formatCode>#\ ##0.00\ "€"</c:formatCode>
                <c:ptCount val="1"/>
                <c:pt idx="0">
                  <c:v>92231.015000000014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9-41C2-83F9-FA98343B98C1}"/>
            </c:ext>
          </c:extLst>
        </c:ser>
        <c:ser>
          <c:idx val="2"/>
          <c:order val="2"/>
          <c:tx>
            <c:v>avr-jui 2024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Budget!$E$30</c:f>
              <c:numCache>
                <c:formatCode>#\ ##0.00\ "€"</c:formatCode>
                <c:ptCount val="1"/>
                <c:pt idx="0">
                  <c:v>92231.015000000014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99-41C2-83F9-FA98343B98C1}"/>
            </c:ext>
          </c:extLst>
        </c:ser>
        <c:ser>
          <c:idx val="3"/>
          <c:order val="3"/>
          <c:tx>
            <c:v>juil-sept 2024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Budget!$F$30</c:f>
              <c:numCache>
                <c:formatCode>#\ ##0.00\ "€"</c:formatCode>
                <c:ptCount val="1"/>
                <c:pt idx="0">
                  <c:v>92231.015000000014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99-41C2-83F9-FA98343B98C1}"/>
            </c:ext>
          </c:extLst>
        </c:ser>
        <c:ser>
          <c:idx val="4"/>
          <c:order val="4"/>
          <c:tx>
            <c:v>oct-dec 2024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Budget!$G$30</c:f>
              <c:numCache>
                <c:formatCode>#\ ##0.00\ "€"</c:formatCode>
                <c:ptCount val="1"/>
                <c:pt idx="0">
                  <c:v>132231.01500000001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99-41C2-83F9-FA98343B98C1}"/>
            </c:ext>
          </c:extLst>
        </c:ser>
        <c:ser>
          <c:idx val="5"/>
          <c:order val="5"/>
          <c:tx>
            <c:v>jan-mar 2025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Budget!$H$30</c:f>
              <c:numCache>
                <c:formatCode>#\ ##0.00\ "€"</c:formatCode>
                <c:ptCount val="1"/>
                <c:pt idx="0">
                  <c:v>107231.015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99-41C2-83F9-FA98343B98C1}"/>
            </c:ext>
          </c:extLst>
        </c:ser>
        <c:ser>
          <c:idx val="6"/>
          <c:order val="6"/>
          <c:tx>
            <c:v>avr-juin 2025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Budget!$I$30</c:f>
              <c:numCache>
                <c:formatCode>#\ ##0.00\ "€"</c:formatCode>
                <c:ptCount val="1"/>
                <c:pt idx="0">
                  <c:v>111731.015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99-41C2-83F9-FA98343B98C1}"/>
            </c:ext>
          </c:extLst>
        </c:ser>
        <c:ser>
          <c:idx val="7"/>
          <c:order val="7"/>
          <c:tx>
            <c:v>juil-sept 2025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Budget!$J$30</c:f>
              <c:numCache>
                <c:formatCode>#\ ##0.00\ "€"</c:formatCode>
                <c:ptCount val="1"/>
                <c:pt idx="0">
                  <c:v>111731.015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99-41C2-83F9-FA98343B98C1}"/>
            </c:ext>
          </c:extLst>
        </c:ser>
        <c:ser>
          <c:idx val="8"/>
          <c:order val="8"/>
          <c:tx>
            <c:v>oct-dec 2025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Budget!$K$30</c:f>
              <c:numCache>
                <c:formatCode>#\ ##0.00\ "€"</c:formatCode>
                <c:ptCount val="1"/>
                <c:pt idx="0">
                  <c:v>131731.01500000001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99-41C2-83F9-FA98343B98C1}"/>
            </c:ext>
          </c:extLst>
        </c:ser>
        <c:ser>
          <c:idx val="9"/>
          <c:order val="9"/>
          <c:tx>
            <c:v>jan-mar 2026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Budget!$L$30</c:f>
              <c:numCache>
                <c:formatCode>#\ ##0.00\ "€"</c:formatCode>
                <c:ptCount val="1"/>
                <c:pt idx="0">
                  <c:v>127231.015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99-41C2-83F9-FA98343B98C1}"/>
            </c:ext>
          </c:extLst>
        </c:ser>
        <c:ser>
          <c:idx val="10"/>
          <c:order val="10"/>
          <c:tx>
            <c:v>avr-juin 2026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Budget!$M$30</c:f>
              <c:numCache>
                <c:formatCode>#\ ##0.00\ "€"</c:formatCode>
                <c:ptCount val="1"/>
                <c:pt idx="0">
                  <c:v>132231.01500000001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699-41C2-83F9-FA98343B98C1}"/>
            </c:ext>
          </c:extLst>
        </c:ser>
        <c:ser>
          <c:idx val="11"/>
          <c:order val="11"/>
          <c:tx>
            <c:v>juil-sept 2026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Budget!$N$30</c:f>
              <c:numCache>
                <c:formatCode>#\ ##0.00\ "€"</c:formatCode>
                <c:ptCount val="1"/>
                <c:pt idx="0">
                  <c:v>201731.01500000001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699-41C2-83F9-FA98343B98C1}"/>
            </c:ext>
          </c:extLst>
        </c:ser>
        <c:ser>
          <c:idx val="12"/>
          <c:order val="12"/>
          <c:tx>
            <c:v>oct-dec 2026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Budget!$O$30</c:f>
              <c:numCache>
                <c:formatCode>#\ ##0.00\ "€"</c:formatCode>
                <c:ptCount val="1"/>
                <c:pt idx="0">
                  <c:v>221731.01500000001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699-41C2-83F9-FA98343B9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378384"/>
        <c:axId val="569376224"/>
      </c:barChart>
      <c:catAx>
        <c:axId val="569378384"/>
        <c:scaling>
          <c:orientation val="minMax"/>
        </c:scaling>
        <c:delete val="1"/>
        <c:axPos val="b"/>
        <c:majorTickMark val="none"/>
        <c:minorTickMark val="none"/>
        <c:tickLblPos val="nextTo"/>
        <c:crossAx val="569376224"/>
        <c:crosses val="autoZero"/>
        <c:auto val="1"/>
        <c:lblAlgn val="ctr"/>
        <c:lblOffset val="100"/>
        <c:noMultiLvlLbl val="0"/>
      </c:catAx>
      <c:valAx>
        <c:axId val="5693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937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Cout par personne et équipement</c:v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7B-4D45-A163-4EA3ECF68417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7B-4D45-A163-4EA3ECF68417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7B-4D45-A163-4EA3ECF68417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F7B-4D45-A163-4EA3ECF68417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F7B-4D45-A163-4EA3ECF68417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F7B-4D45-A163-4EA3ECF68417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F7B-4D45-A163-4EA3ECF68417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F7B-4D45-A163-4EA3ECF68417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Budget!$B$3:$B$15</c:f>
              <c:strCache>
                <c:ptCount val="13"/>
                <c:pt idx="0">
                  <c:v>cédric</c:v>
                </c:pt>
                <c:pt idx="1">
                  <c:v>Vincent</c:v>
                </c:pt>
                <c:pt idx="2">
                  <c:v>Kevin</c:v>
                </c:pt>
                <c:pt idx="3">
                  <c:v>Clark</c:v>
                </c:pt>
                <c:pt idx="4">
                  <c:v>Gwenaëlle</c:v>
                </c:pt>
                <c:pt idx="5">
                  <c:v>enzo</c:v>
                </c:pt>
                <c:pt idx="6">
                  <c:v>charges patronal</c:v>
                </c:pt>
                <c:pt idx="7">
                  <c:v>Composants éléctroniques</c:v>
                </c:pt>
                <c:pt idx="8">
                  <c:v>I/A</c:v>
                </c:pt>
                <c:pt idx="9">
                  <c:v>Logiciel</c:v>
                </c:pt>
                <c:pt idx="10">
                  <c:v>Composants éléctriques</c:v>
                </c:pt>
                <c:pt idx="11">
                  <c:v>Achat de vaches</c:v>
                </c:pt>
                <c:pt idx="12">
                  <c:v>location du local </c:v>
                </c:pt>
              </c:strCache>
            </c:strRef>
          </c:cat>
          <c:val>
            <c:numRef>
              <c:f>Budget!$P$3:$P$15</c:f>
              <c:numCache>
                <c:formatCode>_-* #\ ##0\ [$€-40C]_-;\-* #\ ##0\ [$€-40C]_-;_-* "-"??\ [$€-40C]_-;_-@_-</c:formatCode>
                <c:ptCount val="13"/>
                <c:pt idx="0">
                  <c:v>97599.644999999975</c:v>
                </c:pt>
                <c:pt idx="1">
                  <c:v>97599.644999999975</c:v>
                </c:pt>
                <c:pt idx="2">
                  <c:v>97599.644999999975</c:v>
                </c:pt>
                <c:pt idx="3">
                  <c:v>97599.644999999975</c:v>
                </c:pt>
                <c:pt idx="4">
                  <c:v>97599.644999999975</c:v>
                </c:pt>
                <c:pt idx="5">
                  <c:v>97599.644999999975</c:v>
                </c:pt>
                <c:pt idx="6">
                  <c:v>292798.935</c:v>
                </c:pt>
                <c:pt idx="7">
                  <c:v>40700</c:v>
                </c:pt>
                <c:pt idx="8">
                  <c:v>340000</c:v>
                </c:pt>
                <c:pt idx="9">
                  <c:v>280000</c:v>
                </c:pt>
                <c:pt idx="10">
                  <c:v>93600</c:v>
                </c:pt>
                <c:pt idx="11">
                  <c:v>0</c:v>
                </c:pt>
                <c:pt idx="12">
                  <c:v>91000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E-46F8-860A-2393502F487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180772</xdr:colOff>
      <xdr:row>30</xdr:row>
      <xdr:rowOff>43371</xdr:rowOff>
    </xdr:from>
    <xdr:to>
      <xdr:col>19</xdr:col>
      <xdr:colOff>680450</xdr:colOff>
      <xdr:row>45</xdr:row>
      <xdr:rowOff>35264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B893B13-CBEC-483B-7697-C14EEB66D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235084</xdr:colOff>
      <xdr:row>23</xdr:row>
      <xdr:rowOff>87550</xdr:rowOff>
    </xdr:from>
    <xdr:to>
      <xdr:col>29</xdr:col>
      <xdr:colOff>154022</xdr:colOff>
      <xdr:row>52</xdr:row>
      <xdr:rowOff>162128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970AD27-AB53-C28A-82E6-E2B3C6B2F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13" displayName="Tableau13" ref="A2:P9" headerRowCount="0" totalsRowCount="1" headerRowDxfId="171" dataDxfId="169" totalsRowDxfId="170">
  <tableColumns count="16">
    <tableColumn id="1" xr3:uid="{00000000-0010-0000-0000-000001000000}" name="Colonne1" totalsRowLabel="Total" headerRowDxfId="282" dataDxfId="203" totalsRowDxfId="202"/>
    <tableColumn id="2" xr3:uid="{00000000-0010-0000-0000-000002000000}" name="Colonne2" headerRowDxfId="281" dataDxfId="201" totalsRowDxfId="200"/>
    <tableColumn id="16" xr3:uid="{00000000-0010-0000-0000-000010000000}" name="Colonne12" totalsRowFunction="sum" headerRowDxfId="280" dataDxfId="199" totalsRowDxfId="198"/>
    <tableColumn id="3" xr3:uid="{00000000-0010-0000-0000-000003000000}" name="2023" totalsRowFunction="sum" headerRowDxfId="279" dataDxfId="197" totalsRowDxfId="196"/>
    <tableColumn id="4" xr3:uid="{00000000-0010-0000-0000-000004000000}" name="2024" totalsRowFunction="sum" headerRowDxfId="278" dataDxfId="195" totalsRowDxfId="194"/>
    <tableColumn id="5" xr3:uid="{00000000-0010-0000-0000-000005000000}" name="Colonne3" totalsRowFunction="sum" headerRowDxfId="277" dataDxfId="193" totalsRowDxfId="192"/>
    <tableColumn id="6" xr3:uid="{00000000-0010-0000-0000-000006000000}" name="Colonne4" totalsRowFunction="sum" headerRowDxfId="276" dataDxfId="191" totalsRowDxfId="190"/>
    <tableColumn id="7" xr3:uid="{00000000-0010-0000-0000-000007000000}" name="Colonne5" totalsRowFunction="sum" headerRowDxfId="275" dataDxfId="189" totalsRowDxfId="188"/>
    <tableColumn id="8" xr3:uid="{00000000-0010-0000-0000-000008000000}" name="2025" totalsRowFunction="sum" headerRowDxfId="274" dataDxfId="187" totalsRowDxfId="186"/>
    <tableColumn id="9" xr3:uid="{00000000-0010-0000-0000-000009000000}" name="Colonne6" totalsRowFunction="sum" headerRowDxfId="273" dataDxfId="185" totalsRowDxfId="184"/>
    <tableColumn id="10" xr3:uid="{00000000-0010-0000-0000-00000A000000}" name="Colonne7" totalsRowFunction="sum" headerRowDxfId="272" dataDxfId="183" totalsRowDxfId="182"/>
    <tableColumn id="11" xr3:uid="{00000000-0010-0000-0000-00000B000000}" name="Colonne8" totalsRowFunction="sum" headerRowDxfId="271" dataDxfId="181" totalsRowDxfId="180"/>
    <tableColumn id="12" xr3:uid="{00000000-0010-0000-0000-00000C000000}" name="2026" totalsRowFunction="sum" headerRowDxfId="270" dataDxfId="179" totalsRowDxfId="178"/>
    <tableColumn id="13" xr3:uid="{00000000-0010-0000-0000-00000D000000}" name="Colonne9" totalsRowFunction="sum" headerRowDxfId="269" dataDxfId="177" totalsRowDxfId="176"/>
    <tableColumn id="14" xr3:uid="{00000000-0010-0000-0000-00000E000000}" name="Colonne10" totalsRowFunction="sum" headerRowDxfId="268" dataDxfId="175" totalsRowDxfId="174"/>
    <tableColumn id="15" xr3:uid="{00000000-0010-0000-0000-00000F000000}" name="Colonne11" totalsRowFunction="sum" headerRowDxfId="267" dataDxfId="173" totalsRowDxfId="172"/>
  </tableColumns>
  <tableStyleInfo name="TableStyleMedium9" showFirstColumn="1" showLastColumn="0" showRowStripes="1" showColumn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D1A8D91-1620-40C4-8846-87A19ADD43D4}" name="Tableau8" displayName="Tableau8" ref="X12:Y16" headerRowCount="0" totalsRowCount="1" headerRowDxfId="6" dataDxfId="4" totalsRowDxfId="5">
  <tableColumns count="2">
    <tableColumn id="1" xr3:uid="{A4783F7F-95D2-4F43-BCCE-0DF077A20F85}" name="Colonne1" totalsRowLabel="Total" dataDxfId="10" totalsRowDxfId="9"/>
    <tableColumn id="2" xr3:uid="{6CD03DB2-F843-4335-A20B-4C62CEB7A0FA}" name="Colonne2" totalsRowFunction="sum" dataDxfId="8" totalsRowDxfId="7">
      <calculatedColumnFormula>10500/3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ECB41FB-DB3B-4E5A-9405-4E19B0C5F151}" name="Tableau7" displayName="Tableau7" ref="S24:T26" headerRowCount="0" totalsRowShown="0" headerRowDxfId="1" dataDxfId="0">
  <tableColumns count="2">
    <tableColumn id="2" xr3:uid="{6152E44A-27C2-4422-BC34-27BD81CC1E2B}" name="Colonne2" headerRowDxfId="205" dataDxfId="3"/>
    <tableColumn id="3" xr3:uid="{26CA9A25-2AFE-415E-B5FA-4B460D003269}" name="Colonne3" headerRowDxfId="206" dataDxfId="2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au134" displayName="Tableau134" ref="A3:O15" headerRowCount="0" totalsRowCount="1" headerRowDxfId="138" dataDxfId="136" totalsRowDxfId="137">
  <tableColumns count="15">
    <tableColumn id="1" xr3:uid="{00000000-0010-0000-0100-000001000000}" name="Colonne1" totalsRowLabel="Total" headerRowDxfId="266" dataDxfId="168" totalsRowDxfId="167"/>
    <tableColumn id="16" xr3:uid="{00000000-0010-0000-0100-000010000000}" name="Colonne12" totalsRowFunction="sum" headerRowDxfId="265" dataDxfId="166" totalsRowDxfId="165"/>
    <tableColumn id="3" xr3:uid="{00000000-0010-0000-0100-000003000000}" name="2023" totalsRowFunction="sum" headerRowDxfId="264" dataDxfId="164" totalsRowDxfId="163"/>
    <tableColumn id="4" xr3:uid="{00000000-0010-0000-0100-000004000000}" name="2024" totalsRowFunction="sum" headerRowDxfId="263" dataDxfId="162" totalsRowDxfId="161"/>
    <tableColumn id="5" xr3:uid="{00000000-0010-0000-0100-000005000000}" name="Colonne3" totalsRowFunction="sum" headerRowDxfId="262" dataDxfId="160" totalsRowDxfId="159"/>
    <tableColumn id="6" xr3:uid="{00000000-0010-0000-0100-000006000000}" name="Colonne4" totalsRowFunction="sum" headerRowDxfId="261" dataDxfId="158" totalsRowDxfId="157"/>
    <tableColumn id="7" xr3:uid="{00000000-0010-0000-0100-000007000000}" name="Colonne5" totalsRowFunction="sum" headerRowDxfId="260" dataDxfId="156" totalsRowDxfId="155"/>
    <tableColumn id="8" xr3:uid="{00000000-0010-0000-0100-000008000000}" name="2025" totalsRowFunction="sum" headerRowDxfId="259" dataDxfId="154" totalsRowDxfId="153"/>
    <tableColumn id="9" xr3:uid="{00000000-0010-0000-0100-000009000000}" name="Colonne6" totalsRowFunction="sum" headerRowDxfId="258" dataDxfId="152" totalsRowDxfId="151"/>
    <tableColumn id="10" xr3:uid="{00000000-0010-0000-0100-00000A000000}" name="Colonne7" totalsRowFunction="sum" headerRowDxfId="257" dataDxfId="150" totalsRowDxfId="149"/>
    <tableColumn id="11" xr3:uid="{00000000-0010-0000-0100-00000B000000}" name="Colonne8" totalsRowFunction="sum" headerRowDxfId="256" dataDxfId="148" totalsRowDxfId="147"/>
    <tableColumn id="12" xr3:uid="{00000000-0010-0000-0100-00000C000000}" name="2026" totalsRowFunction="sum" headerRowDxfId="255" dataDxfId="146" totalsRowDxfId="145"/>
    <tableColumn id="13" xr3:uid="{00000000-0010-0000-0100-00000D000000}" name="Colonne9" totalsRowFunction="sum" headerRowDxfId="254" dataDxfId="144" totalsRowDxfId="143"/>
    <tableColumn id="14" xr3:uid="{00000000-0010-0000-0100-00000E000000}" name="Colonne10" totalsRowFunction="sum" headerRowDxfId="253" dataDxfId="142" totalsRowDxfId="141"/>
    <tableColumn id="15" xr3:uid="{00000000-0010-0000-0100-00000F000000}" name="Colonne11" totalsRowFunction="sum" headerRowDxfId="252" dataDxfId="140" totalsRowDxfId="139"/>
  </tableColumns>
  <tableStyleInfo name="TableStyleMedium9" showFirstColumn="1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au1345" displayName="Tableau1345" ref="A21:O28" headerRowCount="0" totalsRowCount="1" headerRowDxfId="105" dataDxfId="103" totalsRowDxfId="104">
  <tableColumns count="15">
    <tableColumn id="1" xr3:uid="{00000000-0010-0000-0200-000001000000}" name="Colonne1" totalsRowLabel="Total" headerRowDxfId="251" dataDxfId="135" totalsRowDxfId="134"/>
    <tableColumn id="16" xr3:uid="{00000000-0010-0000-0200-000010000000}" name="Colonne12" totalsRowFunction="sum" headerRowDxfId="250" dataDxfId="133" totalsRowDxfId="132"/>
    <tableColumn id="3" xr3:uid="{00000000-0010-0000-0200-000003000000}" name="2023" totalsRowFunction="sum" headerRowDxfId="249" dataDxfId="131" totalsRowDxfId="130"/>
    <tableColumn id="4" xr3:uid="{00000000-0010-0000-0200-000004000000}" name="2024" totalsRowFunction="sum" headerRowDxfId="248" dataDxfId="129" totalsRowDxfId="128"/>
    <tableColumn id="5" xr3:uid="{00000000-0010-0000-0200-000005000000}" name="Colonne3" totalsRowFunction="sum" headerRowDxfId="247" dataDxfId="127" totalsRowDxfId="126"/>
    <tableColumn id="6" xr3:uid="{00000000-0010-0000-0200-000006000000}" name="Colonne4" totalsRowFunction="sum" headerRowDxfId="246" dataDxfId="125" totalsRowDxfId="124"/>
    <tableColumn id="7" xr3:uid="{00000000-0010-0000-0200-000007000000}" name="Colonne5" totalsRowFunction="sum" headerRowDxfId="245" dataDxfId="123" totalsRowDxfId="122"/>
    <tableColumn id="8" xr3:uid="{00000000-0010-0000-0200-000008000000}" name="2025" totalsRowFunction="sum" headerRowDxfId="244" dataDxfId="121" totalsRowDxfId="120"/>
    <tableColumn id="9" xr3:uid="{00000000-0010-0000-0200-000009000000}" name="Colonne6" totalsRowFunction="sum" headerRowDxfId="243" dataDxfId="119" totalsRowDxfId="118"/>
    <tableColumn id="10" xr3:uid="{00000000-0010-0000-0200-00000A000000}" name="Colonne7" totalsRowFunction="sum" headerRowDxfId="242" dataDxfId="117" totalsRowDxfId="116"/>
    <tableColumn id="11" xr3:uid="{00000000-0010-0000-0200-00000B000000}" name="Colonne8" totalsRowFunction="sum" headerRowDxfId="241" dataDxfId="115" totalsRowDxfId="114"/>
    <tableColumn id="12" xr3:uid="{00000000-0010-0000-0200-00000C000000}" name="2026" totalsRowFunction="sum" headerRowDxfId="240" dataDxfId="113" totalsRowDxfId="112"/>
    <tableColumn id="13" xr3:uid="{00000000-0010-0000-0200-00000D000000}" name="Colonne9" totalsRowFunction="sum" headerRowDxfId="239" dataDxfId="111" totalsRowDxfId="110"/>
    <tableColumn id="14" xr3:uid="{00000000-0010-0000-0200-00000E000000}" name="Colonne10" totalsRowFunction="sum" headerRowDxfId="238" dataDxfId="109" totalsRowDxfId="108"/>
    <tableColumn id="15" xr3:uid="{00000000-0010-0000-0200-00000F000000}" name="Colonne11" totalsRowFunction="sum" headerRowDxfId="237" dataDxfId="107" totalsRowDxfId="106"/>
  </tableColumns>
  <tableStyleInfo name="TableStyleMedium9" showFirstColumn="1" showLastColumn="0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au1" displayName="Tableau1" ref="B3:P16" headerRowCount="0" totalsRowCount="1" headerRowDxfId="72" dataDxfId="70" totalsRowDxfId="71">
  <tableColumns count="15">
    <tableColumn id="1" xr3:uid="{00000000-0010-0000-0300-000001000000}" name="Colonne1" totalsRowLabel="Total" headerRowDxfId="236" dataDxfId="102" totalsRowDxfId="101"/>
    <tableColumn id="3" xr3:uid="{00000000-0010-0000-0300-000003000000}" name="2023" totalsRowFunction="sum" headerRowDxfId="235" dataDxfId="100" totalsRowDxfId="99"/>
    <tableColumn id="4" xr3:uid="{00000000-0010-0000-0300-000004000000}" name="2024" totalsRowFunction="sum" headerRowDxfId="234" dataDxfId="98" totalsRowDxfId="97"/>
    <tableColumn id="5" xr3:uid="{00000000-0010-0000-0300-000005000000}" name="Colonne3" totalsRowFunction="sum" headerRowDxfId="233" dataDxfId="96" totalsRowDxfId="95"/>
    <tableColumn id="6" xr3:uid="{00000000-0010-0000-0300-000006000000}" name="Colonne4" totalsRowFunction="sum" headerRowDxfId="232" dataDxfId="94" totalsRowDxfId="93"/>
    <tableColumn id="7" xr3:uid="{00000000-0010-0000-0300-000007000000}" name="Colonne5" totalsRowFunction="sum" headerRowDxfId="231" dataDxfId="92" totalsRowDxfId="91"/>
    <tableColumn id="8" xr3:uid="{00000000-0010-0000-0300-000008000000}" name="2025" totalsRowFunction="sum" headerRowDxfId="230" dataDxfId="90" totalsRowDxfId="89"/>
    <tableColumn id="9" xr3:uid="{00000000-0010-0000-0300-000009000000}" name="Colonne6" totalsRowFunction="sum" headerRowDxfId="229" dataDxfId="88" totalsRowDxfId="87"/>
    <tableColumn id="10" xr3:uid="{00000000-0010-0000-0300-00000A000000}" name="Colonne7" totalsRowFunction="sum" headerRowDxfId="228" dataDxfId="86" totalsRowDxfId="85"/>
    <tableColumn id="11" xr3:uid="{00000000-0010-0000-0300-00000B000000}" name="Colonne8" totalsRowFunction="sum" headerRowDxfId="227" dataDxfId="84" totalsRowDxfId="83"/>
    <tableColumn id="12" xr3:uid="{00000000-0010-0000-0300-00000C000000}" name="2026" totalsRowFunction="sum" headerRowDxfId="226" dataDxfId="82" totalsRowDxfId="81"/>
    <tableColumn id="13" xr3:uid="{00000000-0010-0000-0300-00000D000000}" name="Colonne9" totalsRowFunction="sum" headerRowDxfId="225" dataDxfId="80" totalsRowDxfId="79"/>
    <tableColumn id="14" xr3:uid="{00000000-0010-0000-0300-00000E000000}" name="Colonne10" totalsRowFunction="sum" headerRowDxfId="224" dataDxfId="78" totalsRowDxfId="77"/>
    <tableColumn id="15" xr3:uid="{00000000-0010-0000-0300-00000F000000}" name="Colonne11" totalsRowFunction="sum" headerRowDxfId="223" dataDxfId="76" totalsRowDxfId="75"/>
    <tableColumn id="2" xr3:uid="{5166DD1D-361F-4E2D-AF4C-00C57339E308}" name="Colonne2" headerRowDxfId="204" dataDxfId="74" totalsRowDxfId="73">
      <calculatedColumnFormula>SUM(Tableau1[[#This Row],[2023]:[Colonne11]])</calculatedColumnFormula>
    </tableColumn>
  </tableColumns>
  <tableStyleInfo name="TableStyleMedium9" showFirstColumn="1" showLastColumn="0" showRowStripes="1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au16" displayName="Tableau16" ref="B21:O28" headerRowCount="0" totalsRowCount="1" headerRowDxfId="41" dataDxfId="39" totalsRowDxfId="40">
  <tableColumns count="14">
    <tableColumn id="1" xr3:uid="{00000000-0010-0000-0400-000001000000}" name="Colonne1" totalsRowLabel="Total" headerRowDxfId="222" dataDxfId="69" totalsRowDxfId="68"/>
    <tableColumn id="3" xr3:uid="{00000000-0010-0000-0400-000003000000}" name="2023" totalsRowFunction="custom" headerRowDxfId="221" dataDxfId="67" totalsRowDxfId="66">
      <totalsRowFormula>C22+$T$24*C23+$T$25*C24+$T$26*C25-C26-C27</totalsRowFormula>
    </tableColumn>
    <tableColumn id="4" xr3:uid="{00000000-0010-0000-0400-000004000000}" name="2024" totalsRowFunction="custom" headerRowDxfId="220" dataDxfId="65" totalsRowDxfId="64">
      <totalsRowFormula>D22+$T$24*D23+$T$25*D24+$T$26*D25-D26-D27</totalsRowFormula>
    </tableColumn>
    <tableColumn id="5" xr3:uid="{00000000-0010-0000-0400-000005000000}" name="Colonne3" totalsRowFunction="custom" headerRowDxfId="219" dataDxfId="63" totalsRowDxfId="62">
      <totalsRowFormula>E22+$T$24*E23+$T$25*E24+$T$26*E25-E26-E27</totalsRowFormula>
    </tableColumn>
    <tableColumn id="6" xr3:uid="{00000000-0010-0000-0400-000006000000}" name="Colonne4" totalsRowFunction="custom" headerRowDxfId="218" dataDxfId="61" totalsRowDxfId="60">
      <totalsRowFormula>F22+$T$24*F23+$T$25*F24+$T$26*F25-F26-F27</totalsRowFormula>
    </tableColumn>
    <tableColumn id="7" xr3:uid="{00000000-0010-0000-0400-000007000000}" name="Colonne5" totalsRowFunction="custom" headerRowDxfId="217" dataDxfId="59" totalsRowDxfId="58">
      <totalsRowFormula>G22+$T$24*G23+$T$25*G24+$T$26*G25-G26-G27</totalsRowFormula>
    </tableColumn>
    <tableColumn id="8" xr3:uid="{00000000-0010-0000-0400-000008000000}" name="2025" totalsRowFunction="custom" headerRowDxfId="216" dataDxfId="57" totalsRowDxfId="56">
      <totalsRowFormula>H22+$T$24*H23+$T$25*H24+$T$26*H25-H26-H27</totalsRowFormula>
    </tableColumn>
    <tableColumn id="9" xr3:uid="{00000000-0010-0000-0400-000009000000}" name="Colonne6" totalsRowFunction="custom" headerRowDxfId="215" dataDxfId="55" totalsRowDxfId="54">
      <totalsRowFormula>I22+$T$24*I23+$T$25*I24+$T$26*I25-I26-I27</totalsRowFormula>
    </tableColumn>
    <tableColumn id="10" xr3:uid="{00000000-0010-0000-0400-00000A000000}" name="Colonne7" totalsRowFunction="custom" headerRowDxfId="214" dataDxfId="53" totalsRowDxfId="52">
      <totalsRowFormula>J22+$T$24*J23+$T$25*J24+$T$26*J25-J26-J27</totalsRowFormula>
    </tableColumn>
    <tableColumn id="11" xr3:uid="{00000000-0010-0000-0400-00000B000000}" name="Colonne8" totalsRowFunction="custom" headerRowDxfId="213" dataDxfId="51" totalsRowDxfId="50">
      <totalsRowFormula>K22+$T$24*K23+$T$25*K24+$T$26*K25-K26-K27</totalsRowFormula>
    </tableColumn>
    <tableColumn id="12" xr3:uid="{00000000-0010-0000-0400-00000C000000}" name="2026" totalsRowFunction="custom" headerRowDxfId="212" dataDxfId="49" totalsRowDxfId="48">
      <totalsRowFormula>L22+$T$24*L23+$T$25*L24+$T$26*L25-L26-L27</totalsRowFormula>
    </tableColumn>
    <tableColumn id="13" xr3:uid="{00000000-0010-0000-0400-00000D000000}" name="Colonne9" totalsRowFunction="custom" headerRowDxfId="211" dataDxfId="47" totalsRowDxfId="46">
      <totalsRowFormula>M22+$T$24*M23+$T$25*M24+$T$26*M25-M26-M27</totalsRowFormula>
    </tableColumn>
    <tableColumn id="14" xr3:uid="{00000000-0010-0000-0400-00000E000000}" name="Colonne10" totalsRowFunction="custom" headerRowDxfId="210" dataDxfId="45" totalsRowDxfId="44">
      <totalsRowFormula>N22+$T$24*N23+$T$25*N24+$T$26*N25-N26-N27</totalsRowFormula>
    </tableColumn>
    <tableColumn id="15" xr3:uid="{00000000-0010-0000-0400-00000F000000}" name="Colonne11" totalsRowFunction="custom" headerRowDxfId="209" dataDxfId="43" totalsRowDxfId="42">
      <totalsRowFormula>O22+$T$24*O23+$T$25*O24+$T$26*O25-O26-O27</totalsRowFormula>
    </tableColumn>
  </tableColumns>
  <tableStyleInfo name="TableStyleMedium9" showFirstColumn="1" showLastColumn="0" showRowStripes="1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CD724B-53D0-46B3-9FB7-30182C93FC3B}" name="Tableau12" displayName="Tableau12" ref="S12:T16" headerRowCount="0" totalsRowCount="1" headerRowDxfId="34" dataDxfId="32" totalsRowDxfId="33">
  <tableColumns count="2">
    <tableColumn id="2" xr3:uid="{1A74F903-90B8-4D8F-BD29-50570BC59B0D}" name="Colonne2" totalsRowLabel="Total" dataDxfId="38" totalsRowDxfId="37"/>
    <tableColumn id="3" xr3:uid="{43ED4C9F-65FD-47D9-B464-022DA34263F1}" name="Colonne3" totalsRowFunction="sum" dataDxfId="36" totalsRowDxfId="35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B4D3728-0B1D-45F4-82B1-1568C825ECC8}" name="Tableau14" displayName="Tableau14" ref="X5:Y9" headerRowCount="0" totalsRowCount="1" headerRowDxfId="27" dataDxfId="25" totalsRowDxfId="26">
  <tableColumns count="2">
    <tableColumn id="2" xr3:uid="{5FD43BE1-2C92-4493-B6DB-0D57BFA3A8F5}" name="Colonne2" totalsRowLabel="Total" dataDxfId="31" totalsRowDxfId="30"/>
    <tableColumn id="3" xr3:uid="{3A56108D-9B80-4AB4-A722-855DF15A6A00}" name="Colonne3" totalsRowFunction="sum" dataDxfId="29" totalsRowDxfId="28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8C4253A-2FDE-42FA-99DF-D3270C8C05A6}" name="Tableau15" displayName="Tableau15" ref="S5:T9" headerRowCount="0" totalsRowCount="1" headerRowDxfId="20" dataDxfId="18" totalsRowDxfId="19">
  <tableColumns count="2">
    <tableColumn id="1" xr3:uid="{DCB2D1AF-D73B-4E0E-ABEA-6B4F61615BD8}" name="Colonne1" totalsRowLabel="Total" headerRowDxfId="208" dataDxfId="24" totalsRowDxfId="23"/>
    <tableColumn id="2" xr3:uid="{FF9F723D-E8AB-40C4-8F07-298257D6C5F3}" name="Colonne2" totalsRowFunction="sum" headerRowDxfId="207" dataDxfId="22" totalsRowDxfId="21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A5DE25B-DCD5-4291-94F2-206A5938ACC1}" name="Tableau6" displayName="Tableau6" ref="X20:Y22" headerRowCount="0" totalsRowCount="1" headerRowDxfId="13" dataDxfId="11" totalsRowDxfId="12">
  <tableColumns count="2">
    <tableColumn id="1" xr3:uid="{0D3D4FD9-15EC-4296-A2C6-403AEC0F260A}" name="Colonne1" totalsRowLabel="Total" dataDxfId="17" totalsRowDxfId="16"/>
    <tableColumn id="2" xr3:uid="{93B01632-CAEE-4DDF-84E5-2464DD417B1B}" name="Colonne2" totalsRowFunction="sum" dataDxfId="15" totalsRowDxfId="1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workbookViewId="0">
      <selection activeCell="E17" sqref="E17"/>
    </sheetView>
  </sheetViews>
  <sheetFormatPr baseColWidth="10" defaultRowHeight="14.4" x14ac:dyDescent="0.3"/>
  <cols>
    <col min="1" max="1" width="13.109375" customWidth="1"/>
    <col min="2" max="2" width="12" bestFit="1" customWidth="1"/>
    <col min="3" max="3" width="7.5546875" bestFit="1" customWidth="1"/>
    <col min="4" max="4" width="9.6640625" bestFit="1" customWidth="1"/>
    <col min="5" max="5" width="7.88671875" bestFit="1" customWidth="1"/>
    <col min="6" max="6" width="8.44140625" bestFit="1" customWidth="1"/>
  </cols>
  <sheetData>
    <row r="1" spans="1:16" x14ac:dyDescent="0.3">
      <c r="A1" s="2" t="s">
        <v>64</v>
      </c>
      <c r="B1" s="40"/>
      <c r="C1" s="3">
        <v>2023</v>
      </c>
      <c r="D1" s="37">
        <v>2024</v>
      </c>
      <c r="E1" s="38"/>
      <c r="F1" s="38"/>
      <c r="G1" s="39"/>
      <c r="H1" s="14">
        <v>2025</v>
      </c>
      <c r="I1" s="14"/>
      <c r="J1" s="14"/>
      <c r="K1" s="14"/>
      <c r="L1" s="11">
        <v>2026</v>
      </c>
      <c r="M1" s="11"/>
      <c r="N1" s="11"/>
      <c r="O1" s="11"/>
      <c r="P1" s="9"/>
    </row>
    <row r="2" spans="1:16" x14ac:dyDescent="0.3">
      <c r="A2" s="1" t="s">
        <v>23</v>
      </c>
      <c r="B2" s="1" t="s">
        <v>22</v>
      </c>
      <c r="C2" s="1" t="s">
        <v>3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0</v>
      </c>
      <c r="M2" s="1" t="s">
        <v>1</v>
      </c>
      <c r="N2" s="1" t="s">
        <v>2</v>
      </c>
      <c r="O2" s="1" t="s">
        <v>3</v>
      </c>
      <c r="P2" s="1"/>
    </row>
    <row r="3" spans="1:16" x14ac:dyDescent="0.3">
      <c r="A3" s="1" t="s">
        <v>5</v>
      </c>
      <c r="B3" s="1">
        <v>16.5</v>
      </c>
      <c r="C3" s="1">
        <f>$B$3*151.67*3</f>
        <v>7507.6649999999991</v>
      </c>
      <c r="D3" s="1">
        <f t="shared" ref="D3:P8" si="0">$B$3*151.67*3</f>
        <v>7507.6649999999991</v>
      </c>
      <c r="E3" s="1">
        <f t="shared" si="0"/>
        <v>7507.6649999999991</v>
      </c>
      <c r="F3" s="1">
        <f t="shared" si="0"/>
        <v>7507.6649999999991</v>
      </c>
      <c r="G3" s="1">
        <f t="shared" si="0"/>
        <v>7507.6649999999991</v>
      </c>
      <c r="H3" s="1">
        <f t="shared" si="0"/>
        <v>7507.6649999999991</v>
      </c>
      <c r="I3" s="1">
        <f t="shared" si="0"/>
        <v>7507.6649999999991</v>
      </c>
      <c r="J3" s="1">
        <f t="shared" si="0"/>
        <v>7507.6649999999991</v>
      </c>
      <c r="K3" s="1">
        <f t="shared" si="0"/>
        <v>7507.6649999999991</v>
      </c>
      <c r="L3" s="1">
        <f t="shared" si="0"/>
        <v>7507.6649999999991</v>
      </c>
      <c r="M3" s="1">
        <f t="shared" si="0"/>
        <v>7507.6649999999991</v>
      </c>
      <c r="N3" s="1">
        <f t="shared" si="0"/>
        <v>7507.6649999999991</v>
      </c>
      <c r="O3" s="1">
        <f t="shared" si="0"/>
        <v>7507.6649999999991</v>
      </c>
      <c r="P3" s="1">
        <f t="shared" si="0"/>
        <v>7507.6649999999991</v>
      </c>
    </row>
    <row r="4" spans="1:16" x14ac:dyDescent="0.3">
      <c r="A4" s="1" t="s">
        <v>8</v>
      </c>
      <c r="B4" s="1">
        <v>16.5</v>
      </c>
      <c r="C4" s="1">
        <f t="shared" ref="C4:C8" si="1">$B$3*151.67*3</f>
        <v>7507.6649999999991</v>
      </c>
      <c r="D4" s="1">
        <f t="shared" si="0"/>
        <v>7507.6649999999991</v>
      </c>
      <c r="E4" s="1">
        <f t="shared" si="0"/>
        <v>7507.6649999999991</v>
      </c>
      <c r="F4" s="1">
        <f t="shared" si="0"/>
        <v>7507.6649999999991</v>
      </c>
      <c r="G4" s="1">
        <f t="shared" si="0"/>
        <v>7507.6649999999991</v>
      </c>
      <c r="H4" s="1">
        <f t="shared" si="0"/>
        <v>7507.6649999999991</v>
      </c>
      <c r="I4" s="1">
        <f t="shared" si="0"/>
        <v>7507.6649999999991</v>
      </c>
      <c r="J4" s="1">
        <f t="shared" si="0"/>
        <v>7507.6649999999991</v>
      </c>
      <c r="K4" s="1">
        <f t="shared" si="0"/>
        <v>7507.6649999999991</v>
      </c>
      <c r="L4" s="1">
        <f t="shared" si="0"/>
        <v>7507.6649999999991</v>
      </c>
      <c r="M4" s="1">
        <f t="shared" si="0"/>
        <v>7507.6649999999991</v>
      </c>
      <c r="N4" s="1">
        <f t="shared" si="0"/>
        <v>7507.6649999999991</v>
      </c>
      <c r="O4" s="1">
        <f t="shared" si="0"/>
        <v>7507.6649999999991</v>
      </c>
      <c r="P4" s="1">
        <f t="shared" si="0"/>
        <v>7507.6649999999991</v>
      </c>
    </row>
    <row r="5" spans="1:16" x14ac:dyDescent="0.3">
      <c r="A5" s="1" t="s">
        <v>9</v>
      </c>
      <c r="B5" s="1">
        <v>16.5</v>
      </c>
      <c r="C5" s="1">
        <f t="shared" si="1"/>
        <v>7507.6649999999991</v>
      </c>
      <c r="D5" s="1">
        <f t="shared" si="0"/>
        <v>7507.6649999999991</v>
      </c>
      <c r="E5" s="1">
        <f t="shared" si="0"/>
        <v>7507.6649999999991</v>
      </c>
      <c r="F5" s="1">
        <f t="shared" si="0"/>
        <v>7507.6649999999991</v>
      </c>
      <c r="G5" s="1">
        <f t="shared" si="0"/>
        <v>7507.6649999999991</v>
      </c>
      <c r="H5" s="1">
        <f t="shared" si="0"/>
        <v>7507.6649999999991</v>
      </c>
      <c r="I5" s="1">
        <f t="shared" si="0"/>
        <v>7507.6649999999991</v>
      </c>
      <c r="J5" s="1">
        <f t="shared" si="0"/>
        <v>7507.6649999999991</v>
      </c>
      <c r="K5" s="1">
        <f t="shared" si="0"/>
        <v>7507.6649999999991</v>
      </c>
      <c r="L5" s="1">
        <f t="shared" si="0"/>
        <v>7507.6649999999991</v>
      </c>
      <c r="M5" s="1">
        <f t="shared" si="0"/>
        <v>7507.6649999999991</v>
      </c>
      <c r="N5" s="1">
        <f t="shared" si="0"/>
        <v>7507.6649999999991</v>
      </c>
      <c r="O5" s="1">
        <f t="shared" si="0"/>
        <v>7507.6649999999991</v>
      </c>
      <c r="P5" s="1">
        <f t="shared" si="0"/>
        <v>7507.6649999999991</v>
      </c>
    </row>
    <row r="6" spans="1:16" x14ac:dyDescent="0.3">
      <c r="A6" s="1" t="s">
        <v>10</v>
      </c>
      <c r="B6" s="1">
        <v>16.5</v>
      </c>
      <c r="C6" s="1">
        <f t="shared" si="1"/>
        <v>7507.6649999999991</v>
      </c>
      <c r="D6" s="1">
        <f t="shared" si="0"/>
        <v>7507.6649999999991</v>
      </c>
      <c r="E6" s="1">
        <f t="shared" si="0"/>
        <v>7507.6649999999991</v>
      </c>
      <c r="F6" s="1">
        <f t="shared" si="0"/>
        <v>7507.6649999999991</v>
      </c>
      <c r="G6" s="1">
        <f t="shared" si="0"/>
        <v>7507.6649999999991</v>
      </c>
      <c r="H6" s="1">
        <f t="shared" si="0"/>
        <v>7507.6649999999991</v>
      </c>
      <c r="I6" s="1">
        <f t="shared" si="0"/>
        <v>7507.6649999999991</v>
      </c>
      <c r="J6" s="1">
        <f t="shared" si="0"/>
        <v>7507.6649999999991</v>
      </c>
      <c r="K6" s="1">
        <f t="shared" si="0"/>
        <v>7507.6649999999991</v>
      </c>
      <c r="L6" s="1">
        <f t="shared" si="0"/>
        <v>7507.6649999999991</v>
      </c>
      <c r="M6" s="1">
        <f t="shared" si="0"/>
        <v>7507.6649999999991</v>
      </c>
      <c r="N6" s="1">
        <f t="shared" si="0"/>
        <v>7507.6649999999991</v>
      </c>
      <c r="O6" s="1">
        <f t="shared" si="0"/>
        <v>7507.6649999999991</v>
      </c>
      <c r="P6" s="1">
        <f t="shared" si="0"/>
        <v>7507.6649999999991</v>
      </c>
    </row>
    <row r="7" spans="1:16" x14ac:dyDescent="0.3">
      <c r="A7" s="1" t="s">
        <v>11</v>
      </c>
      <c r="B7" s="1">
        <v>16.5</v>
      </c>
      <c r="C7" s="1">
        <f t="shared" si="1"/>
        <v>7507.6649999999991</v>
      </c>
      <c r="D7" s="1">
        <f t="shared" si="0"/>
        <v>7507.6649999999991</v>
      </c>
      <c r="E7" s="1">
        <f t="shared" si="0"/>
        <v>7507.6649999999991</v>
      </c>
      <c r="F7" s="1">
        <f t="shared" si="0"/>
        <v>7507.6649999999991</v>
      </c>
      <c r="G7" s="1">
        <f t="shared" si="0"/>
        <v>7507.6649999999991</v>
      </c>
      <c r="H7" s="1">
        <f t="shared" si="0"/>
        <v>7507.6649999999991</v>
      </c>
      <c r="I7" s="1">
        <f t="shared" si="0"/>
        <v>7507.6649999999991</v>
      </c>
      <c r="J7" s="1">
        <f t="shared" si="0"/>
        <v>7507.6649999999991</v>
      </c>
      <c r="K7" s="1">
        <f t="shared" si="0"/>
        <v>7507.6649999999991</v>
      </c>
      <c r="L7" s="1">
        <f t="shared" si="0"/>
        <v>7507.6649999999991</v>
      </c>
      <c r="M7" s="1">
        <f t="shared" si="0"/>
        <v>7507.6649999999991</v>
      </c>
      <c r="N7" s="1">
        <f t="shared" si="0"/>
        <v>7507.6649999999991</v>
      </c>
      <c r="O7" s="1">
        <f t="shared" si="0"/>
        <v>7507.6649999999991</v>
      </c>
      <c r="P7" s="1">
        <f t="shared" si="0"/>
        <v>7507.6649999999991</v>
      </c>
    </row>
    <row r="8" spans="1:16" x14ac:dyDescent="0.3">
      <c r="A8" s="1" t="s">
        <v>12</v>
      </c>
      <c r="B8" s="1">
        <v>16.5</v>
      </c>
      <c r="C8" s="1">
        <f t="shared" si="1"/>
        <v>7507.6649999999991</v>
      </c>
      <c r="D8" s="1">
        <f t="shared" si="0"/>
        <v>7507.6649999999991</v>
      </c>
      <c r="E8" s="1">
        <f t="shared" si="0"/>
        <v>7507.6649999999991</v>
      </c>
      <c r="F8" s="1">
        <f t="shared" si="0"/>
        <v>7507.6649999999991</v>
      </c>
      <c r="G8" s="1">
        <f t="shared" si="0"/>
        <v>7507.6649999999991</v>
      </c>
      <c r="H8" s="1">
        <f t="shared" si="0"/>
        <v>7507.6649999999991</v>
      </c>
      <c r="I8" s="1">
        <f t="shared" si="0"/>
        <v>7507.6649999999991</v>
      </c>
      <c r="J8" s="1">
        <f t="shared" si="0"/>
        <v>7507.6649999999991</v>
      </c>
      <c r="K8" s="1">
        <f t="shared" si="0"/>
        <v>7507.6649999999991</v>
      </c>
      <c r="L8" s="1">
        <f t="shared" si="0"/>
        <v>7507.6649999999991</v>
      </c>
      <c r="M8" s="1">
        <f t="shared" si="0"/>
        <v>7507.6649999999991</v>
      </c>
      <c r="N8" s="1">
        <f t="shared" si="0"/>
        <v>7507.6649999999991</v>
      </c>
      <c r="O8" s="1">
        <f t="shared" si="0"/>
        <v>7507.6649999999991</v>
      </c>
      <c r="P8" s="1">
        <f t="shared" si="0"/>
        <v>7507.6649999999991</v>
      </c>
    </row>
    <row r="9" spans="1:16" x14ac:dyDescent="0.3">
      <c r="A9" s="1" t="s">
        <v>21</v>
      </c>
      <c r="B9" s="1"/>
      <c r="C9" s="1">
        <f>SUBTOTAL(109,Tableau13[Colonne12])</f>
        <v>45045.99</v>
      </c>
      <c r="D9" s="1">
        <f>SUBTOTAL(109,Tableau13[2023])</f>
        <v>45045.99</v>
      </c>
      <c r="E9" s="1">
        <f>SUBTOTAL(109,Tableau13[2024])</f>
        <v>45045.99</v>
      </c>
      <c r="F9" s="1">
        <f>SUBTOTAL(109,Tableau13[Colonne3])</f>
        <v>45045.99</v>
      </c>
      <c r="G9" s="1">
        <f>SUBTOTAL(109,Tableau13[Colonne4])</f>
        <v>45045.99</v>
      </c>
      <c r="H9" s="1">
        <f>SUBTOTAL(109,Tableau13[Colonne5])</f>
        <v>45045.99</v>
      </c>
      <c r="I9" s="1">
        <f>SUBTOTAL(109,Tableau13[2025])</f>
        <v>45045.99</v>
      </c>
      <c r="J9" s="1">
        <f>SUBTOTAL(109,Tableau13[Colonne6])</f>
        <v>45045.99</v>
      </c>
      <c r="K9" s="1">
        <f>SUBTOTAL(109,Tableau13[Colonne7])</f>
        <v>45045.99</v>
      </c>
      <c r="L9" s="1">
        <f>SUBTOTAL(109,Tableau13[Colonne8])</f>
        <v>45045.99</v>
      </c>
      <c r="M9" s="1">
        <f>SUBTOTAL(109,Tableau13[2026])</f>
        <v>45045.99</v>
      </c>
      <c r="N9" s="1">
        <f>SUBTOTAL(109,Tableau13[Colonne9])</f>
        <v>45045.99</v>
      </c>
      <c r="O9" s="1">
        <f>SUBTOTAL(109,Tableau13[Colonne10])</f>
        <v>45045.99</v>
      </c>
      <c r="P9" s="1">
        <f>SUBTOTAL(109,Tableau13[Colonne11])</f>
        <v>45045.99</v>
      </c>
    </row>
  </sheetData>
  <mergeCells count="3">
    <mergeCell ref="D1:G1"/>
    <mergeCell ref="H1:K1"/>
    <mergeCell ref="L1:O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28"/>
  <sheetViews>
    <sheetView workbookViewId="0">
      <selection activeCell="E18" sqref="E18"/>
    </sheetView>
  </sheetViews>
  <sheetFormatPr baseColWidth="10" defaultRowHeight="14.4" x14ac:dyDescent="0.3"/>
  <cols>
    <col min="1" max="1" width="26.44140625" bestFit="1" customWidth="1"/>
    <col min="2" max="2" width="11.77734375" bestFit="1" customWidth="1"/>
  </cols>
  <sheetData>
    <row r="2" spans="1:15" x14ac:dyDescent="0.3">
      <c r="A2" s="2" t="s">
        <v>64</v>
      </c>
      <c r="B2" s="3">
        <v>2023</v>
      </c>
      <c r="C2" s="37">
        <v>2024</v>
      </c>
      <c r="D2" s="38"/>
      <c r="E2" s="38"/>
      <c r="F2" s="39"/>
      <c r="G2" s="14">
        <v>2025</v>
      </c>
      <c r="H2" s="14"/>
      <c r="I2" s="14"/>
      <c r="J2" s="14"/>
      <c r="K2" s="11">
        <v>2026</v>
      </c>
      <c r="L2" s="11"/>
      <c r="M2" s="11"/>
      <c r="N2" s="11"/>
      <c r="O2" s="9">
        <v>2027</v>
      </c>
    </row>
    <row r="3" spans="1:15" x14ac:dyDescent="0.3">
      <c r="A3" s="1" t="s">
        <v>25</v>
      </c>
      <c r="B3" s="1" t="s">
        <v>3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0</v>
      </c>
      <c r="L3" s="1" t="s">
        <v>1</v>
      </c>
      <c r="M3" s="1" t="s">
        <v>2</v>
      </c>
      <c r="N3" s="1" t="s">
        <v>3</v>
      </c>
      <c r="O3" s="1" t="s">
        <v>0</v>
      </c>
    </row>
    <row r="4" spans="1:15" x14ac:dyDescent="0.3">
      <c r="A4" s="1" t="s">
        <v>26</v>
      </c>
      <c r="B4" s="7">
        <v>20000</v>
      </c>
      <c r="C4" s="7">
        <v>20000</v>
      </c>
      <c r="D4" s="7">
        <v>20000</v>
      </c>
      <c r="E4" s="7">
        <v>20000</v>
      </c>
      <c r="F4" s="7">
        <v>20000</v>
      </c>
      <c r="G4" s="7">
        <v>20000</v>
      </c>
      <c r="H4" s="7">
        <v>20000</v>
      </c>
      <c r="I4" s="7">
        <v>20000</v>
      </c>
      <c r="J4" s="7">
        <v>20000</v>
      </c>
      <c r="K4" s="7">
        <v>20000</v>
      </c>
      <c r="L4" s="7">
        <v>20000</v>
      </c>
      <c r="M4" s="7">
        <v>20000</v>
      </c>
      <c r="N4" s="7">
        <v>20000</v>
      </c>
      <c r="O4" s="7">
        <v>20000</v>
      </c>
    </row>
    <row r="5" spans="1:15" x14ac:dyDescent="0.3">
      <c r="A5" s="1" t="s">
        <v>27</v>
      </c>
      <c r="B5" s="7">
        <v>10000</v>
      </c>
      <c r="C5" s="7">
        <v>10000</v>
      </c>
      <c r="D5" s="7">
        <v>10000</v>
      </c>
      <c r="E5" s="7">
        <v>10000</v>
      </c>
      <c r="F5" s="7">
        <v>10000</v>
      </c>
      <c r="G5" s="7">
        <v>10000</v>
      </c>
      <c r="H5" s="7">
        <v>10000</v>
      </c>
      <c r="I5" s="7">
        <v>10000</v>
      </c>
      <c r="J5" s="7">
        <v>10000</v>
      </c>
      <c r="K5" s="7">
        <v>10000</v>
      </c>
      <c r="L5" s="7">
        <v>10000</v>
      </c>
      <c r="M5" s="7">
        <v>10000</v>
      </c>
      <c r="N5" s="7">
        <v>10000</v>
      </c>
      <c r="O5" s="7">
        <v>10000</v>
      </c>
    </row>
    <row r="6" spans="1:15" x14ac:dyDescent="0.3">
      <c r="A6" s="1" t="s">
        <v>28</v>
      </c>
      <c r="B6" s="7">
        <v>25000</v>
      </c>
      <c r="C6" s="7">
        <v>25000</v>
      </c>
      <c r="D6" s="7">
        <v>25000</v>
      </c>
      <c r="E6" s="7">
        <v>25000</v>
      </c>
      <c r="F6" s="7">
        <v>25000</v>
      </c>
      <c r="G6" s="7">
        <v>25000</v>
      </c>
      <c r="H6" s="7">
        <v>25000</v>
      </c>
      <c r="I6" s="7">
        <v>25000</v>
      </c>
      <c r="J6" s="7">
        <v>25000</v>
      </c>
      <c r="K6" s="7">
        <v>25000</v>
      </c>
      <c r="L6" s="7">
        <v>25000</v>
      </c>
      <c r="M6" s="7">
        <v>25000</v>
      </c>
      <c r="N6" s="7">
        <v>25000</v>
      </c>
      <c r="O6" s="7">
        <v>25000</v>
      </c>
    </row>
    <row r="7" spans="1:15" x14ac:dyDescent="0.3">
      <c r="A7" s="1" t="s">
        <v>29</v>
      </c>
      <c r="B7" s="7">
        <v>35000</v>
      </c>
      <c r="C7" s="7">
        <v>35000</v>
      </c>
      <c r="D7" s="7">
        <v>35000</v>
      </c>
      <c r="E7" s="7">
        <v>35000</v>
      </c>
      <c r="F7" s="7">
        <v>35000</v>
      </c>
      <c r="G7" s="7">
        <v>35000</v>
      </c>
      <c r="H7" s="7">
        <v>35000</v>
      </c>
      <c r="I7" s="7">
        <v>35000</v>
      </c>
      <c r="J7" s="7">
        <v>35000</v>
      </c>
      <c r="K7" s="7">
        <v>35000</v>
      </c>
      <c r="L7" s="7">
        <v>35000</v>
      </c>
      <c r="M7" s="7">
        <v>35000</v>
      </c>
      <c r="N7" s="7">
        <v>35000</v>
      </c>
      <c r="O7" s="7">
        <v>35000</v>
      </c>
    </row>
    <row r="8" spans="1:15" x14ac:dyDescent="0.3">
      <c r="A8" s="1" t="s">
        <v>30</v>
      </c>
      <c r="B8" s="7">
        <v>15000</v>
      </c>
      <c r="C8" s="7">
        <v>15000</v>
      </c>
      <c r="D8" s="7">
        <v>15000</v>
      </c>
      <c r="E8" s="7">
        <v>15000</v>
      </c>
      <c r="F8" s="7">
        <v>15000</v>
      </c>
      <c r="G8" s="7">
        <v>15000</v>
      </c>
      <c r="H8" s="7">
        <v>15000</v>
      </c>
      <c r="I8" s="7">
        <v>15000</v>
      </c>
      <c r="J8" s="7">
        <v>15000</v>
      </c>
      <c r="K8" s="7">
        <v>15000</v>
      </c>
      <c r="L8" s="7">
        <v>15000</v>
      </c>
      <c r="M8" s="7">
        <v>15000</v>
      </c>
      <c r="N8" s="7">
        <v>15000</v>
      </c>
      <c r="O8" s="7">
        <v>15000</v>
      </c>
    </row>
    <row r="9" spans="1:15" x14ac:dyDescent="0.3">
      <c r="A9" s="1" t="s">
        <v>31</v>
      </c>
      <c r="B9" s="7">
        <v>20000</v>
      </c>
      <c r="C9" s="7">
        <v>20000</v>
      </c>
      <c r="D9" s="7">
        <v>20000</v>
      </c>
      <c r="E9" s="7">
        <v>20000</v>
      </c>
      <c r="F9" s="7">
        <v>20000</v>
      </c>
      <c r="G9" s="7">
        <v>20000</v>
      </c>
      <c r="H9" s="7">
        <v>20000</v>
      </c>
      <c r="I9" s="7">
        <v>20000</v>
      </c>
      <c r="J9" s="7">
        <v>20000</v>
      </c>
      <c r="K9" s="7">
        <v>20000</v>
      </c>
      <c r="L9" s="7">
        <v>20000</v>
      </c>
      <c r="M9" s="7">
        <v>20000</v>
      </c>
      <c r="N9" s="7">
        <v>20000</v>
      </c>
      <c r="O9" s="7">
        <v>20000</v>
      </c>
    </row>
    <row r="10" spans="1:15" x14ac:dyDescent="0.3">
      <c r="A10" s="1" t="s">
        <v>32</v>
      </c>
      <c r="B10" s="7">
        <v>10000</v>
      </c>
      <c r="C10" s="7">
        <v>10000</v>
      </c>
      <c r="D10" s="7">
        <v>10000</v>
      </c>
      <c r="E10" s="7">
        <v>10000</v>
      </c>
      <c r="F10" s="7">
        <v>10000</v>
      </c>
      <c r="G10" s="7">
        <v>10000</v>
      </c>
      <c r="H10" s="7">
        <v>10000</v>
      </c>
      <c r="I10" s="7">
        <v>10000</v>
      </c>
      <c r="J10" s="7">
        <v>10000</v>
      </c>
      <c r="K10" s="7">
        <v>10000</v>
      </c>
      <c r="L10" s="7">
        <v>10000</v>
      </c>
      <c r="M10" s="7">
        <v>10000</v>
      </c>
      <c r="N10" s="7">
        <v>10000</v>
      </c>
      <c r="O10" s="7">
        <v>10000</v>
      </c>
    </row>
    <row r="11" spans="1:15" x14ac:dyDescent="0.3">
      <c r="A11" s="1" t="s">
        <v>33</v>
      </c>
      <c r="B11" s="7">
        <v>30000</v>
      </c>
      <c r="C11" s="7">
        <v>30000</v>
      </c>
      <c r="D11" s="7">
        <v>30000</v>
      </c>
      <c r="E11" s="7">
        <v>30000</v>
      </c>
      <c r="F11" s="7">
        <v>30000</v>
      </c>
      <c r="G11" s="7">
        <v>30000</v>
      </c>
      <c r="H11" s="7">
        <v>30000</v>
      </c>
      <c r="I11" s="7">
        <v>30000</v>
      </c>
      <c r="J11" s="7">
        <v>30000</v>
      </c>
      <c r="K11" s="7">
        <v>30000</v>
      </c>
      <c r="L11" s="7">
        <v>30000</v>
      </c>
      <c r="M11" s="7">
        <v>30000</v>
      </c>
      <c r="N11" s="7">
        <v>30000</v>
      </c>
      <c r="O11" s="7">
        <v>30000</v>
      </c>
    </row>
    <row r="12" spans="1:15" x14ac:dyDescent="0.3">
      <c r="A12" s="1" t="s">
        <v>34</v>
      </c>
      <c r="B12" s="7">
        <v>25000</v>
      </c>
      <c r="C12" s="7">
        <v>25000</v>
      </c>
      <c r="D12" s="7">
        <v>25000</v>
      </c>
      <c r="E12" s="7">
        <v>25000</v>
      </c>
      <c r="F12" s="7">
        <v>25000</v>
      </c>
      <c r="G12" s="7">
        <v>25000</v>
      </c>
      <c r="H12" s="7">
        <v>25000</v>
      </c>
      <c r="I12" s="7">
        <v>25000</v>
      </c>
      <c r="J12" s="7">
        <v>25000</v>
      </c>
      <c r="K12" s="7">
        <v>25000</v>
      </c>
      <c r="L12" s="7">
        <v>25000</v>
      </c>
      <c r="M12" s="7">
        <v>25000</v>
      </c>
      <c r="N12" s="7">
        <v>25000</v>
      </c>
      <c r="O12" s="7">
        <v>25000</v>
      </c>
    </row>
    <row r="13" spans="1:15" x14ac:dyDescent="0.3">
      <c r="A13" s="1" t="s">
        <v>35</v>
      </c>
      <c r="B13" s="7">
        <v>25000</v>
      </c>
      <c r="C13" s="7">
        <v>25000</v>
      </c>
      <c r="D13" s="7">
        <v>25000</v>
      </c>
      <c r="E13" s="7">
        <v>25000</v>
      </c>
      <c r="F13" s="7">
        <v>25000</v>
      </c>
      <c r="G13" s="7">
        <v>25000</v>
      </c>
      <c r="H13" s="7">
        <v>25000</v>
      </c>
      <c r="I13" s="7">
        <v>25000</v>
      </c>
      <c r="J13" s="7">
        <v>25000</v>
      </c>
      <c r="K13" s="7">
        <v>25000</v>
      </c>
      <c r="L13" s="7">
        <v>25000</v>
      </c>
      <c r="M13" s="7">
        <v>25000</v>
      </c>
      <c r="N13" s="7">
        <v>25000</v>
      </c>
      <c r="O13" s="7">
        <v>25000</v>
      </c>
    </row>
    <row r="14" spans="1:15" x14ac:dyDescent="0.3">
      <c r="A14" s="1" t="s">
        <v>36</v>
      </c>
      <c r="B14" s="7">
        <v>20000</v>
      </c>
      <c r="C14" s="7">
        <v>20000</v>
      </c>
      <c r="D14" s="7">
        <v>20000</v>
      </c>
      <c r="E14" s="7">
        <v>20000</v>
      </c>
      <c r="F14" s="7">
        <v>20000</v>
      </c>
      <c r="G14" s="7">
        <v>20000</v>
      </c>
      <c r="H14" s="7">
        <v>20000</v>
      </c>
      <c r="I14" s="7">
        <v>20000</v>
      </c>
      <c r="J14" s="7">
        <v>20000</v>
      </c>
      <c r="K14" s="7">
        <v>20000</v>
      </c>
      <c r="L14" s="7">
        <v>20000</v>
      </c>
      <c r="M14" s="7">
        <v>20000</v>
      </c>
      <c r="N14" s="7">
        <v>20000</v>
      </c>
      <c r="O14" s="7">
        <v>20000</v>
      </c>
    </row>
    <row r="15" spans="1:15" x14ac:dyDescent="0.3">
      <c r="A15" s="1" t="s">
        <v>21</v>
      </c>
      <c r="B15" s="7">
        <f>SUBTOTAL(109,Tableau134[Colonne12])</f>
        <v>235000</v>
      </c>
      <c r="C15" s="7">
        <f>SUBTOTAL(109,Tableau134[2023])</f>
        <v>235000</v>
      </c>
      <c r="D15" s="7">
        <f>SUBTOTAL(109,Tableau134[2024])</f>
        <v>235000</v>
      </c>
      <c r="E15" s="7">
        <f>SUBTOTAL(109,Tableau134[Colonne3])</f>
        <v>235000</v>
      </c>
      <c r="F15" s="7">
        <f>SUBTOTAL(109,Tableau134[Colonne4])</f>
        <v>235000</v>
      </c>
      <c r="G15" s="7">
        <f>SUBTOTAL(109,Tableau134[Colonne5])</f>
        <v>235000</v>
      </c>
      <c r="H15" s="7">
        <f>SUBTOTAL(109,Tableau134[2025])</f>
        <v>235000</v>
      </c>
      <c r="I15" s="7">
        <f>SUBTOTAL(109,Tableau134[Colonne6])</f>
        <v>235000</v>
      </c>
      <c r="J15" s="7">
        <f>SUBTOTAL(109,Tableau134[Colonne7])</f>
        <v>235000</v>
      </c>
      <c r="K15" s="7">
        <f>SUBTOTAL(109,Tableau134[Colonne8])</f>
        <v>235000</v>
      </c>
      <c r="L15" s="7">
        <f>SUBTOTAL(109,Tableau134[2026])</f>
        <v>235000</v>
      </c>
      <c r="M15" s="7">
        <f>SUBTOTAL(109,Tableau134[Colonne9])</f>
        <v>235000</v>
      </c>
      <c r="N15" s="7">
        <f>SUBTOTAL(109,Tableau134[Colonne10])</f>
        <v>235000</v>
      </c>
      <c r="O15" s="7">
        <f>SUBTOTAL(109,Tableau134[Colonne11])</f>
        <v>235000</v>
      </c>
    </row>
    <row r="16" spans="1:15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">
      <c r="A20" s="2" t="s">
        <v>64</v>
      </c>
      <c r="B20" s="3">
        <v>2023</v>
      </c>
      <c r="C20" s="37">
        <v>2024</v>
      </c>
      <c r="D20" s="38"/>
      <c r="E20" s="38"/>
      <c r="F20" s="39"/>
      <c r="G20" s="13">
        <v>2025</v>
      </c>
      <c r="H20" s="14"/>
      <c r="I20" s="14"/>
      <c r="J20" s="14"/>
      <c r="K20" s="11">
        <v>2026</v>
      </c>
      <c r="L20" s="11"/>
      <c r="M20" s="11"/>
      <c r="N20" s="11"/>
      <c r="O20" s="9">
        <v>2027</v>
      </c>
    </row>
    <row r="21" spans="1:15" x14ac:dyDescent="0.3">
      <c r="A21" s="1" t="s">
        <v>37</v>
      </c>
      <c r="B21" s="1" t="s">
        <v>3</v>
      </c>
      <c r="C21" s="1" t="s">
        <v>0</v>
      </c>
      <c r="D21" s="1" t="s">
        <v>1</v>
      </c>
      <c r="E21" s="1" t="s">
        <v>2</v>
      </c>
      <c r="F21" s="1" t="s">
        <v>3</v>
      </c>
      <c r="G21" s="1" t="s">
        <v>0</v>
      </c>
      <c r="H21" s="1" t="s">
        <v>1</v>
      </c>
      <c r="I21" s="1" t="s">
        <v>2</v>
      </c>
      <c r="J21" s="1" t="s">
        <v>3</v>
      </c>
      <c r="K21" s="1" t="s">
        <v>0</v>
      </c>
      <c r="L21" s="1" t="s">
        <v>1</v>
      </c>
      <c r="M21" s="1" t="s">
        <v>2</v>
      </c>
      <c r="N21" s="1" t="s">
        <v>3</v>
      </c>
      <c r="O21" s="1" t="s">
        <v>0</v>
      </c>
    </row>
    <row r="22" spans="1:15" x14ac:dyDescent="0.3">
      <c r="A22" s="1" t="s">
        <v>38</v>
      </c>
      <c r="B22" s="1">
        <v>3</v>
      </c>
      <c r="C22" s="1">
        <v>0</v>
      </c>
      <c r="D22" s="1">
        <v>0</v>
      </c>
      <c r="E22" s="1">
        <v>3</v>
      </c>
      <c r="F22" s="1">
        <v>0</v>
      </c>
      <c r="G22" s="1">
        <v>0</v>
      </c>
      <c r="H22" s="1">
        <v>3</v>
      </c>
      <c r="I22" s="1">
        <v>0</v>
      </c>
      <c r="J22" s="1">
        <v>0</v>
      </c>
      <c r="K22" s="1">
        <v>3</v>
      </c>
      <c r="L22" s="1">
        <v>0</v>
      </c>
      <c r="M22" s="1">
        <v>0</v>
      </c>
      <c r="N22" s="1">
        <v>3</v>
      </c>
      <c r="O22" s="1">
        <v>0</v>
      </c>
    </row>
    <row r="23" spans="1:15" x14ac:dyDescent="0.3">
      <c r="A23" s="1" t="s">
        <v>39</v>
      </c>
      <c r="B23" s="1">
        <v>2</v>
      </c>
      <c r="C23" s="1">
        <v>0</v>
      </c>
      <c r="D23" s="1">
        <v>0</v>
      </c>
      <c r="E23" s="1">
        <v>2</v>
      </c>
      <c r="F23" s="1">
        <v>0</v>
      </c>
      <c r="G23" s="1">
        <v>0</v>
      </c>
      <c r="H23" s="1">
        <v>2</v>
      </c>
      <c r="I23" s="1">
        <v>0</v>
      </c>
      <c r="J23" s="1">
        <v>0</v>
      </c>
      <c r="K23" s="1">
        <v>2</v>
      </c>
      <c r="L23" s="1">
        <v>0</v>
      </c>
      <c r="M23" s="1">
        <v>0</v>
      </c>
      <c r="N23" s="1">
        <v>2</v>
      </c>
      <c r="O23" s="1">
        <v>0</v>
      </c>
    </row>
    <row r="24" spans="1:15" x14ac:dyDescent="0.3">
      <c r="A24" s="1" t="s">
        <v>40</v>
      </c>
      <c r="B24" s="1">
        <v>3</v>
      </c>
      <c r="C24" s="1">
        <v>0</v>
      </c>
      <c r="D24" s="1">
        <v>0</v>
      </c>
      <c r="E24" s="1">
        <v>3</v>
      </c>
      <c r="F24" s="1">
        <v>0</v>
      </c>
      <c r="G24" s="1">
        <v>0</v>
      </c>
      <c r="H24" s="1">
        <v>3</v>
      </c>
      <c r="I24" s="1">
        <v>0</v>
      </c>
      <c r="J24" s="1">
        <v>0</v>
      </c>
      <c r="K24" s="1">
        <v>3</v>
      </c>
      <c r="L24" s="1">
        <v>0</v>
      </c>
      <c r="M24" s="1">
        <v>0</v>
      </c>
      <c r="N24" s="1">
        <v>3</v>
      </c>
      <c r="O24" s="1">
        <v>0</v>
      </c>
    </row>
    <row r="25" spans="1:15" x14ac:dyDescent="0.3">
      <c r="A25" s="1" t="s">
        <v>41</v>
      </c>
      <c r="B25" s="1">
        <v>2</v>
      </c>
      <c r="C25" s="1">
        <v>0</v>
      </c>
      <c r="D25" s="1">
        <v>0</v>
      </c>
      <c r="E25" s="1">
        <v>2</v>
      </c>
      <c r="F25" s="1">
        <v>0</v>
      </c>
      <c r="G25" s="1">
        <v>0</v>
      </c>
      <c r="H25" s="1">
        <v>2</v>
      </c>
      <c r="I25" s="1">
        <v>0</v>
      </c>
      <c r="J25" s="1">
        <v>0</v>
      </c>
      <c r="K25" s="1">
        <v>2</v>
      </c>
      <c r="L25" s="1">
        <v>0</v>
      </c>
      <c r="M25" s="1">
        <v>0</v>
      </c>
      <c r="N25" s="1">
        <v>2</v>
      </c>
      <c r="O25" s="1">
        <v>0</v>
      </c>
    </row>
    <row r="26" spans="1:15" x14ac:dyDescent="0.3">
      <c r="A26" s="1" t="s">
        <v>42</v>
      </c>
      <c r="B26" s="1">
        <v>2</v>
      </c>
      <c r="C26" s="1">
        <v>0</v>
      </c>
      <c r="D26" s="1">
        <v>0</v>
      </c>
      <c r="E26" s="1">
        <v>2</v>
      </c>
      <c r="F26" s="1">
        <v>0</v>
      </c>
      <c r="G26" s="1">
        <v>0</v>
      </c>
      <c r="H26" s="1">
        <v>2</v>
      </c>
      <c r="I26" s="1">
        <v>0</v>
      </c>
      <c r="J26" s="1">
        <v>0</v>
      </c>
      <c r="K26" s="1">
        <v>2</v>
      </c>
      <c r="L26" s="1">
        <v>0</v>
      </c>
      <c r="M26" s="1">
        <v>0</v>
      </c>
      <c r="N26" s="1">
        <v>2</v>
      </c>
      <c r="O26" s="1">
        <v>0</v>
      </c>
    </row>
    <row r="27" spans="1:15" x14ac:dyDescent="0.3">
      <c r="A27" s="1" t="s">
        <v>43</v>
      </c>
      <c r="B27" s="1">
        <v>3</v>
      </c>
      <c r="C27" s="1">
        <v>0</v>
      </c>
      <c r="D27" s="1">
        <v>0</v>
      </c>
      <c r="E27" s="1">
        <v>3</v>
      </c>
      <c r="F27" s="1">
        <v>0</v>
      </c>
      <c r="G27" s="1">
        <v>0</v>
      </c>
      <c r="H27" s="1">
        <v>3</v>
      </c>
      <c r="I27" s="1">
        <v>0</v>
      </c>
      <c r="J27" s="1">
        <v>0</v>
      </c>
      <c r="K27" s="1">
        <v>3</v>
      </c>
      <c r="L27" s="1">
        <v>0</v>
      </c>
      <c r="M27" s="1">
        <v>0</v>
      </c>
      <c r="N27" s="1">
        <v>3</v>
      </c>
      <c r="O27" s="1">
        <v>0</v>
      </c>
    </row>
    <row r="28" spans="1:15" x14ac:dyDescent="0.3">
      <c r="A28" s="1" t="s">
        <v>21</v>
      </c>
      <c r="B28" s="1">
        <f>SUBTOTAL(109,Tableau1345[Colonne12])</f>
        <v>15</v>
      </c>
      <c r="C28" s="1">
        <f>SUBTOTAL(109,Tableau1345[2023])</f>
        <v>0</v>
      </c>
      <c r="D28" s="1">
        <f>SUBTOTAL(109,Tableau1345[2024])</f>
        <v>0</v>
      </c>
      <c r="E28" s="1">
        <f>SUBTOTAL(109,Tableau1345[Colonne3])</f>
        <v>15</v>
      </c>
      <c r="F28" s="1">
        <f>SUBTOTAL(109,Tableau1345[Colonne4])</f>
        <v>0</v>
      </c>
      <c r="G28" s="1">
        <f>SUBTOTAL(109,Tableau1345[Colonne5])</f>
        <v>0</v>
      </c>
      <c r="H28" s="1">
        <f>SUBTOTAL(109,Tableau1345[2025])</f>
        <v>15</v>
      </c>
      <c r="I28" s="1">
        <f>SUBTOTAL(109,Tableau1345[Colonne6])</f>
        <v>0</v>
      </c>
      <c r="J28" s="1">
        <f>SUBTOTAL(109,Tableau1345[Colonne7])</f>
        <v>0</v>
      </c>
      <c r="K28" s="1">
        <f>SUBTOTAL(109,Tableau1345[Colonne8])</f>
        <v>15</v>
      </c>
      <c r="L28" s="1">
        <f>SUBTOTAL(109,Tableau1345[2026])</f>
        <v>0</v>
      </c>
      <c r="M28" s="1">
        <f>SUBTOTAL(109,Tableau1345[Colonne9])</f>
        <v>0</v>
      </c>
      <c r="N28" s="1">
        <f>SUBTOTAL(109,Tableau1345[Colonne10])</f>
        <v>15</v>
      </c>
      <c r="O28" s="1">
        <f>SUBTOTAL(109,Tableau1345[Colonne11])</f>
        <v>0</v>
      </c>
    </row>
  </sheetData>
  <mergeCells count="6">
    <mergeCell ref="K20:N20"/>
    <mergeCell ref="G20:J20"/>
    <mergeCell ref="C20:F20"/>
    <mergeCell ref="C2:F2"/>
    <mergeCell ref="G2:J2"/>
    <mergeCell ref="K2:N2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3"/>
  <sheetViews>
    <sheetView tabSelected="1" topLeftCell="M1" zoomScale="94" zoomScaleNormal="94" workbookViewId="0">
      <selection activeCell="Q7" sqref="Q7"/>
    </sheetView>
  </sheetViews>
  <sheetFormatPr baseColWidth="10" defaultRowHeight="14.4" x14ac:dyDescent="0.3"/>
  <cols>
    <col min="1" max="1" width="21.33203125" customWidth="1"/>
    <col min="2" max="2" width="28" bestFit="1" customWidth="1"/>
    <col min="3" max="3" width="15.44140625" customWidth="1"/>
    <col min="4" max="6" width="13" bestFit="1" customWidth="1"/>
    <col min="7" max="13" width="12.77734375" bestFit="1" customWidth="1"/>
    <col min="14" max="15" width="12.88671875" bestFit="1" customWidth="1"/>
    <col min="16" max="16" width="15" customWidth="1"/>
    <col min="18" max="18" width="22" bestFit="1" customWidth="1"/>
    <col min="19" max="19" width="25.77734375" customWidth="1"/>
    <col min="20" max="20" width="16.5546875" bestFit="1" customWidth="1"/>
    <col min="24" max="24" width="17.109375" customWidth="1"/>
    <col min="26" max="26" width="9.21875" bestFit="1" customWidth="1"/>
  </cols>
  <sheetData>
    <row r="1" spans="1:27" x14ac:dyDescent="0.3">
      <c r="A1" s="17" t="s">
        <v>60</v>
      </c>
      <c r="B1" s="18"/>
      <c r="C1" s="3">
        <v>2023</v>
      </c>
      <c r="D1" s="10">
        <v>2024</v>
      </c>
      <c r="E1" s="11"/>
      <c r="F1" s="11"/>
      <c r="G1" s="12"/>
      <c r="H1" s="13">
        <v>2025</v>
      </c>
      <c r="I1" s="14"/>
      <c r="J1" s="14"/>
      <c r="K1" s="15"/>
      <c r="L1" s="10">
        <v>2026</v>
      </c>
      <c r="M1" s="11"/>
      <c r="N1" s="11"/>
      <c r="O1" s="12"/>
      <c r="P1" s="50" t="s">
        <v>80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3">
      <c r="A2" s="19"/>
      <c r="B2" s="20"/>
      <c r="C2" s="3" t="s">
        <v>3</v>
      </c>
      <c r="D2" s="3" t="s">
        <v>0</v>
      </c>
      <c r="E2" s="3" t="s">
        <v>1</v>
      </c>
      <c r="F2" s="3" t="s">
        <v>2</v>
      </c>
      <c r="G2" s="3" t="s">
        <v>3</v>
      </c>
      <c r="H2" s="3" t="s">
        <v>0</v>
      </c>
      <c r="I2" s="3" t="s">
        <v>1</v>
      </c>
      <c r="J2" s="3" t="s">
        <v>2</v>
      </c>
      <c r="K2" s="3" t="s">
        <v>3</v>
      </c>
      <c r="L2" s="3" t="s">
        <v>0</v>
      </c>
      <c r="M2" s="3" t="s">
        <v>1</v>
      </c>
      <c r="N2" s="3" t="s">
        <v>2</v>
      </c>
      <c r="O2" s="4" t="s">
        <v>3</v>
      </c>
      <c r="P2" s="5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3">
      <c r="A3" s="21" t="s">
        <v>59</v>
      </c>
      <c r="B3" s="1" t="s">
        <v>5</v>
      </c>
      <c r="C3" s="7">
        <f>Tableau13[[#This Row],[Colonne12]]</f>
        <v>7507.6649999999991</v>
      </c>
      <c r="D3" s="7">
        <f>Tableau13[[#This Row],[2023]]</f>
        <v>7507.6649999999991</v>
      </c>
      <c r="E3" s="7">
        <f>Tableau13[[#This Row],[2024]]</f>
        <v>7507.6649999999991</v>
      </c>
      <c r="F3" s="7">
        <f>Tableau13[[#This Row],[Colonne3]]</f>
        <v>7507.6649999999991</v>
      </c>
      <c r="G3" s="7">
        <f>Tableau13[[#This Row],[Colonne4]]</f>
        <v>7507.6649999999991</v>
      </c>
      <c r="H3" s="7">
        <f>Tableau13[[#This Row],[Colonne5]]</f>
        <v>7507.6649999999991</v>
      </c>
      <c r="I3" s="7">
        <f>Tableau13[[#This Row],[2025]]</f>
        <v>7507.6649999999991</v>
      </c>
      <c r="J3" s="7">
        <f>Tableau13[[#This Row],[Colonne6]]</f>
        <v>7507.6649999999991</v>
      </c>
      <c r="K3" s="7">
        <f>Tableau13[[#This Row],[Colonne7]]</f>
        <v>7507.6649999999991</v>
      </c>
      <c r="L3" s="7">
        <f>Tableau13[[#This Row],[Colonne8]]</f>
        <v>7507.6649999999991</v>
      </c>
      <c r="M3" s="7">
        <f>Tableau13[[#This Row],[2026]]</f>
        <v>7507.6649999999991</v>
      </c>
      <c r="N3" s="7">
        <f>Tableau13[[#This Row],[Colonne9]]</f>
        <v>7507.6649999999991</v>
      </c>
      <c r="O3" s="7">
        <f>Tableau13[[#This Row],[Colonne10]]</f>
        <v>7507.6649999999991</v>
      </c>
      <c r="P3" s="7">
        <f>SUM(Tableau1[[#This Row],[2023]:[Colonne11]])</f>
        <v>97599.644999999975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3">
      <c r="A4" s="34"/>
      <c r="B4" s="1" t="s">
        <v>8</v>
      </c>
      <c r="C4" s="7">
        <f>Tableau13[[#This Row],[Colonne12]]</f>
        <v>7507.6649999999991</v>
      </c>
      <c r="D4" s="7">
        <f>Tableau13[[#This Row],[2023]]</f>
        <v>7507.6649999999991</v>
      </c>
      <c r="E4" s="7">
        <f>Tableau13[[#This Row],[2024]]</f>
        <v>7507.6649999999991</v>
      </c>
      <c r="F4" s="7">
        <f>Tableau13[[#This Row],[Colonne3]]</f>
        <v>7507.6649999999991</v>
      </c>
      <c r="G4" s="7">
        <f>Tableau13[[#This Row],[Colonne4]]</f>
        <v>7507.6649999999991</v>
      </c>
      <c r="H4" s="7">
        <f>Tableau13[[#This Row],[Colonne5]]</f>
        <v>7507.6649999999991</v>
      </c>
      <c r="I4" s="7">
        <f>Tableau13[[#This Row],[2025]]</f>
        <v>7507.6649999999991</v>
      </c>
      <c r="J4" s="7">
        <f>Tableau13[[#This Row],[Colonne6]]</f>
        <v>7507.6649999999991</v>
      </c>
      <c r="K4" s="7">
        <f>Tableau13[[#This Row],[Colonne7]]</f>
        <v>7507.6649999999991</v>
      </c>
      <c r="L4" s="7">
        <f>Tableau13[[#This Row],[Colonne8]]</f>
        <v>7507.6649999999991</v>
      </c>
      <c r="M4" s="7">
        <f>Tableau13[[#This Row],[2026]]</f>
        <v>7507.6649999999991</v>
      </c>
      <c r="N4" s="7">
        <f>Tableau13[[#This Row],[Colonne9]]</f>
        <v>7507.6649999999991</v>
      </c>
      <c r="O4" s="7">
        <f>Tableau13[[#This Row],[Colonne10]]</f>
        <v>7507.6649999999991</v>
      </c>
      <c r="P4" s="7">
        <f>SUM(Tableau1[[#This Row],[2023]:[Colonne11]])</f>
        <v>97599.644999999975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3">
      <c r="A5" s="34"/>
      <c r="B5" s="1" t="s">
        <v>9</v>
      </c>
      <c r="C5" s="7">
        <f>Tableau13[[#This Row],[Colonne12]]</f>
        <v>7507.6649999999991</v>
      </c>
      <c r="D5" s="7">
        <f>Tableau13[[#This Row],[2023]]</f>
        <v>7507.6649999999991</v>
      </c>
      <c r="E5" s="7">
        <f>Tableau13[[#This Row],[2024]]</f>
        <v>7507.6649999999991</v>
      </c>
      <c r="F5" s="7">
        <f>Tableau13[[#This Row],[Colonne3]]</f>
        <v>7507.6649999999991</v>
      </c>
      <c r="G5" s="7">
        <f>Tableau13[[#This Row],[Colonne4]]</f>
        <v>7507.6649999999991</v>
      </c>
      <c r="H5" s="7">
        <f>Tableau13[[#This Row],[Colonne5]]</f>
        <v>7507.6649999999991</v>
      </c>
      <c r="I5" s="7">
        <f>Tableau13[[#This Row],[2025]]</f>
        <v>7507.6649999999991</v>
      </c>
      <c r="J5" s="7">
        <f>Tableau13[[#This Row],[Colonne6]]</f>
        <v>7507.6649999999991</v>
      </c>
      <c r="K5" s="7">
        <f>Tableau13[[#This Row],[Colonne7]]</f>
        <v>7507.6649999999991</v>
      </c>
      <c r="L5" s="7">
        <f>Tableau13[[#This Row],[Colonne8]]</f>
        <v>7507.6649999999991</v>
      </c>
      <c r="M5" s="7">
        <f>Tableau13[[#This Row],[2026]]</f>
        <v>7507.6649999999991</v>
      </c>
      <c r="N5" s="7">
        <f>Tableau13[[#This Row],[Colonne9]]</f>
        <v>7507.6649999999991</v>
      </c>
      <c r="O5" s="7">
        <f>Tableau13[[#This Row],[Colonne10]]</f>
        <v>7507.6649999999991</v>
      </c>
      <c r="P5" s="7">
        <f>SUM(Tableau1[[#This Row],[2023]:[Colonne11]])</f>
        <v>97599.644999999975</v>
      </c>
      <c r="Q5" s="1"/>
      <c r="R5" s="27" t="s">
        <v>13</v>
      </c>
      <c r="S5" s="43" t="s">
        <v>65</v>
      </c>
      <c r="T5" s="43" t="s">
        <v>70</v>
      </c>
      <c r="U5" s="1"/>
      <c r="V5" s="1"/>
      <c r="W5" s="24" t="s">
        <v>46</v>
      </c>
      <c r="X5" s="1" t="s">
        <v>47</v>
      </c>
      <c r="Y5" s="5">
        <v>0</v>
      </c>
      <c r="Z5" s="1"/>
      <c r="AA5" s="1"/>
    </row>
    <row r="6" spans="1:27" x14ac:dyDescent="0.3">
      <c r="A6" s="34"/>
      <c r="B6" s="1" t="s">
        <v>10</v>
      </c>
      <c r="C6" s="7">
        <f>Tableau13[[#This Row],[Colonne12]]</f>
        <v>7507.6649999999991</v>
      </c>
      <c r="D6" s="7">
        <f>Tableau13[[#This Row],[2023]]</f>
        <v>7507.6649999999991</v>
      </c>
      <c r="E6" s="7">
        <f>Tableau13[[#This Row],[2024]]</f>
        <v>7507.6649999999991</v>
      </c>
      <c r="F6" s="7">
        <f>Tableau13[[#This Row],[Colonne3]]</f>
        <v>7507.6649999999991</v>
      </c>
      <c r="G6" s="7">
        <f>Tableau13[[#This Row],[Colonne4]]</f>
        <v>7507.6649999999991</v>
      </c>
      <c r="H6" s="7">
        <f>Tableau13[[#This Row],[Colonne5]]</f>
        <v>7507.6649999999991</v>
      </c>
      <c r="I6" s="7">
        <f>Tableau13[[#This Row],[2025]]</f>
        <v>7507.6649999999991</v>
      </c>
      <c r="J6" s="7">
        <f>Tableau13[[#This Row],[Colonne6]]</f>
        <v>7507.6649999999991</v>
      </c>
      <c r="K6" s="7">
        <f>Tableau13[[#This Row],[Colonne7]]</f>
        <v>7507.6649999999991</v>
      </c>
      <c r="L6" s="7">
        <f>Tableau13[[#This Row],[Colonne8]]</f>
        <v>7507.6649999999991</v>
      </c>
      <c r="M6" s="7">
        <f>Tableau13[[#This Row],[2026]]</f>
        <v>7507.6649999999991</v>
      </c>
      <c r="N6" s="7">
        <f>Tableau13[[#This Row],[Colonne9]]</f>
        <v>7507.6649999999991</v>
      </c>
      <c r="O6" s="7">
        <f>Tableau13[[#This Row],[Colonne10]]</f>
        <v>7507.6649999999991</v>
      </c>
      <c r="P6" s="7">
        <f>SUM(Tableau1[[#This Row],[2023]:[Colonne11]])</f>
        <v>97599.644999999975</v>
      </c>
      <c r="Q6" s="1"/>
      <c r="R6" s="28"/>
      <c r="S6" s="1" t="s">
        <v>63</v>
      </c>
      <c r="T6" s="1">
        <f>15000</f>
        <v>15000</v>
      </c>
      <c r="U6" s="1"/>
      <c r="V6" s="1"/>
      <c r="W6" s="25"/>
      <c r="X6" s="1" t="s">
        <v>54</v>
      </c>
      <c r="Y6" s="7">
        <v>1000</v>
      </c>
      <c r="Z6" s="1"/>
      <c r="AA6" s="1"/>
    </row>
    <row r="7" spans="1:27" x14ac:dyDescent="0.3">
      <c r="A7" s="34"/>
      <c r="B7" s="1" t="s">
        <v>11</v>
      </c>
      <c r="C7" s="7">
        <f>Tableau13[[#This Row],[Colonne12]]</f>
        <v>7507.6649999999991</v>
      </c>
      <c r="D7" s="7">
        <f>Tableau13[[#This Row],[2023]]</f>
        <v>7507.6649999999991</v>
      </c>
      <c r="E7" s="7">
        <f>Tableau13[[#This Row],[2024]]</f>
        <v>7507.6649999999991</v>
      </c>
      <c r="F7" s="7">
        <f>Tableau13[[#This Row],[Colonne3]]</f>
        <v>7507.6649999999991</v>
      </c>
      <c r="G7" s="7">
        <f>Tableau13[[#This Row],[Colonne4]]</f>
        <v>7507.6649999999991</v>
      </c>
      <c r="H7" s="7">
        <f>Tableau13[[#This Row],[Colonne5]]</f>
        <v>7507.6649999999991</v>
      </c>
      <c r="I7" s="7">
        <f>Tableau13[[#This Row],[2025]]</f>
        <v>7507.6649999999991</v>
      </c>
      <c r="J7" s="7">
        <f>Tableau13[[#This Row],[Colonne6]]</f>
        <v>7507.6649999999991</v>
      </c>
      <c r="K7" s="7">
        <f>Tableau13[[#This Row],[Colonne7]]</f>
        <v>7507.6649999999991</v>
      </c>
      <c r="L7" s="7">
        <f>Tableau13[[#This Row],[Colonne8]]</f>
        <v>7507.6649999999991</v>
      </c>
      <c r="M7" s="7">
        <f>Tableau13[[#This Row],[2026]]</f>
        <v>7507.6649999999991</v>
      </c>
      <c r="N7" s="7">
        <f>Tableau13[[#This Row],[Colonne9]]</f>
        <v>7507.6649999999991</v>
      </c>
      <c r="O7" s="7">
        <f>Tableau13[[#This Row],[Colonne10]]</f>
        <v>7507.6649999999991</v>
      </c>
      <c r="P7" s="7">
        <f>SUM(Tableau1[[#This Row],[2023]:[Colonne11]])</f>
        <v>97599.644999999975</v>
      </c>
      <c r="Q7" s="1"/>
      <c r="R7" s="28"/>
      <c r="S7" s="1" t="s">
        <v>68</v>
      </c>
      <c r="T7" s="1">
        <f>20000</f>
        <v>20000</v>
      </c>
      <c r="U7" s="1"/>
      <c r="V7" s="1"/>
      <c r="W7" s="25"/>
      <c r="X7" s="1" t="s">
        <v>48</v>
      </c>
      <c r="Y7" s="7">
        <v>20000</v>
      </c>
      <c r="Z7" s="1"/>
      <c r="AA7" s="1"/>
    </row>
    <row r="8" spans="1:27" x14ac:dyDescent="0.3">
      <c r="A8" s="34"/>
      <c r="B8" s="1" t="s">
        <v>12</v>
      </c>
      <c r="C8" s="7">
        <f>Tableau13[[#This Row],[Colonne12]]</f>
        <v>7507.6649999999991</v>
      </c>
      <c r="D8" s="7">
        <f>Tableau13[[#This Row],[2023]]</f>
        <v>7507.6649999999991</v>
      </c>
      <c r="E8" s="7">
        <f>Tableau13[[#This Row],[2024]]</f>
        <v>7507.6649999999991</v>
      </c>
      <c r="F8" s="7">
        <f>Tableau13[[#This Row],[Colonne3]]</f>
        <v>7507.6649999999991</v>
      </c>
      <c r="G8" s="7">
        <f>Tableau13[[#This Row],[Colonne4]]</f>
        <v>7507.6649999999991</v>
      </c>
      <c r="H8" s="7">
        <f>Tableau13[[#This Row],[Colonne5]]</f>
        <v>7507.6649999999991</v>
      </c>
      <c r="I8" s="7">
        <f>Tableau13[[#This Row],[2025]]</f>
        <v>7507.6649999999991</v>
      </c>
      <c r="J8" s="7">
        <f>Tableau13[[#This Row],[Colonne6]]</f>
        <v>7507.6649999999991</v>
      </c>
      <c r="K8" s="7">
        <f>Tableau13[[#This Row],[Colonne7]]</f>
        <v>7507.6649999999991</v>
      </c>
      <c r="L8" s="7">
        <f>Tableau13[[#This Row],[Colonne8]]</f>
        <v>7507.6649999999991</v>
      </c>
      <c r="M8" s="7">
        <f>Tableau13[[#This Row],[2026]]</f>
        <v>7507.6649999999991</v>
      </c>
      <c r="N8" s="7">
        <f>Tableau13[[#This Row],[Colonne9]]</f>
        <v>7507.6649999999991</v>
      </c>
      <c r="O8" s="7">
        <f>Tableau13[[#This Row],[Colonne10]]</f>
        <v>7507.6649999999991</v>
      </c>
      <c r="P8" s="7">
        <f>SUM(Tableau1[[#This Row],[2023]:[Colonne11]])</f>
        <v>97599.644999999975</v>
      </c>
      <c r="Q8" s="1"/>
      <c r="R8" s="12"/>
      <c r="S8" s="1" t="s">
        <v>69</v>
      </c>
      <c r="T8" s="1">
        <v>5000</v>
      </c>
      <c r="U8" s="1"/>
      <c r="V8" s="1"/>
      <c r="W8" s="25"/>
      <c r="X8" s="1" t="s">
        <v>49</v>
      </c>
      <c r="Y8" s="7">
        <v>4000</v>
      </c>
      <c r="Z8" s="1"/>
      <c r="AA8" s="1"/>
    </row>
    <row r="9" spans="1:27" x14ac:dyDescent="0.3">
      <c r="A9" s="23"/>
      <c r="B9" s="1" t="s">
        <v>19</v>
      </c>
      <c r="C9" s="7">
        <f t="shared" ref="C9:O9" si="0">SUM(C3:C8)*0.5</f>
        <v>22522.994999999999</v>
      </c>
      <c r="D9" s="7">
        <f t="shared" si="0"/>
        <v>22522.994999999999</v>
      </c>
      <c r="E9" s="7">
        <f t="shared" si="0"/>
        <v>22522.994999999999</v>
      </c>
      <c r="F9" s="7">
        <f t="shared" si="0"/>
        <v>22522.994999999999</v>
      </c>
      <c r="G9" s="7">
        <f t="shared" si="0"/>
        <v>22522.994999999999</v>
      </c>
      <c r="H9" s="7">
        <f t="shared" si="0"/>
        <v>22522.994999999999</v>
      </c>
      <c r="I9" s="7">
        <f t="shared" si="0"/>
        <v>22522.994999999999</v>
      </c>
      <c r="J9" s="7">
        <f t="shared" si="0"/>
        <v>22522.994999999999</v>
      </c>
      <c r="K9" s="7">
        <f t="shared" si="0"/>
        <v>22522.994999999999</v>
      </c>
      <c r="L9" s="7">
        <f t="shared" si="0"/>
        <v>22522.994999999999</v>
      </c>
      <c r="M9" s="7">
        <f t="shared" si="0"/>
        <v>22522.994999999999</v>
      </c>
      <c r="N9" s="7">
        <f t="shared" si="0"/>
        <v>22522.994999999999</v>
      </c>
      <c r="O9" s="7">
        <f t="shared" si="0"/>
        <v>22522.994999999999</v>
      </c>
      <c r="P9" s="7">
        <f>SUM(Tableau1[[#This Row],[2023]:[Colonne11]])</f>
        <v>292798.935</v>
      </c>
      <c r="Q9" s="1"/>
      <c r="R9" s="1"/>
      <c r="S9" s="1" t="s">
        <v>21</v>
      </c>
      <c r="T9" s="1">
        <f>SUBTOTAL(109,Tableau15[Colonne2])</f>
        <v>40000</v>
      </c>
      <c r="U9" s="1"/>
      <c r="V9" s="1"/>
      <c r="W9" s="26"/>
      <c r="X9" s="1" t="s">
        <v>21</v>
      </c>
      <c r="Y9" s="7">
        <f>SUBTOTAL(109,Tableau14[Colonne3])</f>
        <v>25000</v>
      </c>
      <c r="Z9" s="1"/>
      <c r="AA9" s="1"/>
    </row>
    <row r="10" spans="1:27" x14ac:dyDescent="0.3">
      <c r="A10" s="21" t="s">
        <v>6</v>
      </c>
      <c r="B10" s="1" t="s">
        <v>15</v>
      </c>
      <c r="C10" s="7">
        <f>SUM(T12:T15)</f>
        <v>15200</v>
      </c>
      <c r="D10" s="7">
        <v>1000</v>
      </c>
      <c r="E10" s="7">
        <f>Tableau1[[#This Row],[2024]]</f>
        <v>1000</v>
      </c>
      <c r="F10" s="7">
        <f>Tableau1[[#This Row],[2024]]</f>
        <v>1000</v>
      </c>
      <c r="G10" s="7">
        <f>Tableau1[[#This Row],[2024]]</f>
        <v>1000</v>
      </c>
      <c r="H10" s="7">
        <v>6000</v>
      </c>
      <c r="I10" s="7">
        <v>1500</v>
      </c>
      <c r="J10" s="7">
        <f>Tableau1[[#This Row],[Colonne6]]</f>
        <v>1500</v>
      </c>
      <c r="K10" s="7">
        <f>Tableau1[[#This Row],[Colonne6]]</f>
        <v>1500</v>
      </c>
      <c r="L10" s="7">
        <v>6500</v>
      </c>
      <c r="M10" s="7">
        <f>Tableau1[[#This Row],[Colonne6]]</f>
        <v>1500</v>
      </c>
      <c r="N10" s="7">
        <f>Tableau1[[#This Row],[Colonne6]]</f>
        <v>1500</v>
      </c>
      <c r="O10" s="7">
        <f>Tableau1[[#This Row],[Colonne6]]</f>
        <v>1500</v>
      </c>
      <c r="P10" s="7">
        <f>SUM(Tableau1[[#This Row],[2023]:[Colonne11]])</f>
        <v>40700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4.4" customHeight="1" x14ac:dyDescent="0.3">
      <c r="A11" s="22"/>
      <c r="B11" s="1" t="s">
        <v>13</v>
      </c>
      <c r="C11" s="7">
        <f>SUM(T6:T8)</f>
        <v>40000</v>
      </c>
      <c r="D11" s="7">
        <f>SUM(T6:T8)</f>
        <v>40000</v>
      </c>
      <c r="E11" s="7">
        <f>SUM(T6:T8)</f>
        <v>40000</v>
      </c>
      <c r="F11" s="7">
        <f>SUM(T6:T8)</f>
        <v>40000</v>
      </c>
      <c r="G11" s="7">
        <f>SUM(T6,T8)</f>
        <v>20000</v>
      </c>
      <c r="H11" s="7">
        <f>SUM(T6,T8)</f>
        <v>20000</v>
      </c>
      <c r="I11" s="7">
        <f>SUM(T6,T8)</f>
        <v>20000</v>
      </c>
      <c r="J11" s="7">
        <f>SUM(T6,T8)</f>
        <v>20000</v>
      </c>
      <c r="K11" s="7">
        <f>SUM(T6,T8)</f>
        <v>20000</v>
      </c>
      <c r="L11" s="7">
        <f>SUM(T6,T8)</f>
        <v>20000</v>
      </c>
      <c r="M11" s="7">
        <f>SUM(T6,T8)</f>
        <v>20000</v>
      </c>
      <c r="N11" s="7">
        <f>SUM(T6,T8)</f>
        <v>20000</v>
      </c>
      <c r="O11" s="7">
        <f>SUM(T6,T8)</f>
        <v>20000</v>
      </c>
      <c r="P11" s="7">
        <f>SUM(Tableau1[[#This Row],[2023]:[Colonne11]])</f>
        <v>340000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3">
      <c r="A12" s="22"/>
      <c r="B12" s="1" t="s">
        <v>14</v>
      </c>
      <c r="C12" s="7">
        <f>SUBTOTAL(109,Tableau14[Colonne3])</f>
        <v>25000</v>
      </c>
      <c r="D12" s="7">
        <f>SUM(Y7)</f>
        <v>20000</v>
      </c>
      <c r="E12" s="7">
        <f>SUM(Y7)</f>
        <v>20000</v>
      </c>
      <c r="F12" s="7">
        <f>SUM(Y7)</f>
        <v>20000</v>
      </c>
      <c r="G12" s="7">
        <f>SUBTOTAL(109,Tableau14[Colonne3])</f>
        <v>25000</v>
      </c>
      <c r="H12" s="7">
        <f>SUM(Y7)</f>
        <v>20000</v>
      </c>
      <c r="I12" s="7">
        <f>SUM(Y7)</f>
        <v>20000</v>
      </c>
      <c r="J12" s="7">
        <f>SUM(Y7)</f>
        <v>20000</v>
      </c>
      <c r="K12" s="7">
        <f>SUBTOTAL(109,Tableau14[Colonne3])</f>
        <v>25000</v>
      </c>
      <c r="L12" s="7">
        <f>SUM(Y7)</f>
        <v>20000</v>
      </c>
      <c r="M12" s="7">
        <f>SUM(Y7)</f>
        <v>20000</v>
      </c>
      <c r="N12" s="7">
        <f>SUM(Y7)</f>
        <v>20000</v>
      </c>
      <c r="O12" s="7">
        <f>SUBTOTAL(109,Tableau14[Colonne3])</f>
        <v>25000</v>
      </c>
      <c r="P12" s="7">
        <f>SUM(Tableau1[[#This Row],[2023]:[Colonne11]])</f>
        <v>280000</v>
      </c>
      <c r="Q12" s="1"/>
      <c r="R12" s="24" t="s">
        <v>67</v>
      </c>
      <c r="S12" s="1" t="s">
        <v>61</v>
      </c>
      <c r="T12" s="41">
        <v>12000</v>
      </c>
      <c r="U12" s="1"/>
      <c r="V12" s="1"/>
      <c r="W12" s="24" t="s">
        <v>50</v>
      </c>
      <c r="X12" s="1" t="s">
        <v>55</v>
      </c>
      <c r="Y12" s="7">
        <f t="shared" ref="Y12" si="1">10500/3</f>
        <v>3500</v>
      </c>
      <c r="Z12" s="1"/>
      <c r="AA12" s="1"/>
    </row>
    <row r="13" spans="1:27" x14ac:dyDescent="0.3">
      <c r="A13" s="22"/>
      <c r="B13" s="1" t="s">
        <v>16</v>
      </c>
      <c r="C13" s="7">
        <f>SUM(Tableau8[Colonne2])</f>
        <v>7200</v>
      </c>
      <c r="D13" s="7">
        <f>SUM(Tableau8[Colonne2])</f>
        <v>7200</v>
      </c>
      <c r="E13" s="7">
        <f>SUM(Tableau8[Colonne2])</f>
        <v>7200</v>
      </c>
      <c r="F13" s="7">
        <f>SUM(Tableau8[Colonne2])</f>
        <v>7200</v>
      </c>
      <c r="G13" s="7">
        <f>SUM(Tableau8[Colonne2])</f>
        <v>7200</v>
      </c>
      <c r="H13" s="7">
        <f>SUM(Tableau8[Colonne2])</f>
        <v>7200</v>
      </c>
      <c r="I13" s="7">
        <f>SUM(Tableau8[Colonne2])</f>
        <v>7200</v>
      </c>
      <c r="J13" s="7">
        <f>SUM(Tableau8[Colonne2])</f>
        <v>7200</v>
      </c>
      <c r="K13" s="7">
        <f>SUM(Tableau8[Colonne2])</f>
        <v>7200</v>
      </c>
      <c r="L13" s="7">
        <f>SUM(Tableau8[Colonne2])</f>
        <v>7200</v>
      </c>
      <c r="M13" s="7">
        <f>SUM(Tableau8[Colonne2])</f>
        <v>7200</v>
      </c>
      <c r="N13" s="7">
        <f>SUM(Tableau8[Colonne2])</f>
        <v>7200</v>
      </c>
      <c r="O13" s="7">
        <f>SUM(Tableau8[Colonne2])</f>
        <v>7200</v>
      </c>
      <c r="P13" s="7">
        <f>SUM(Tableau1[[#This Row],[2023]:[Colonne11]])</f>
        <v>93600</v>
      </c>
      <c r="Q13" s="1"/>
      <c r="R13" s="25"/>
      <c r="S13" s="1" t="s">
        <v>45</v>
      </c>
      <c r="T13" s="41">
        <v>200</v>
      </c>
      <c r="U13" s="1"/>
      <c r="V13" s="1"/>
      <c r="W13" s="25"/>
      <c r="X13" s="33" t="s">
        <v>56</v>
      </c>
      <c r="Y13" s="7">
        <v>1500</v>
      </c>
      <c r="Z13" s="1"/>
      <c r="AA13" s="1"/>
    </row>
    <row r="14" spans="1:27" ht="28.8" x14ac:dyDescent="0.3">
      <c r="A14" s="29" t="s">
        <v>18</v>
      </c>
      <c r="B14" s="1" t="s">
        <v>17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/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f>SUM(Tableau1[[#This Row],[2023]:[Colonne11]])</f>
        <v>0</v>
      </c>
      <c r="Q14" s="1"/>
      <c r="R14" s="25"/>
      <c r="S14" s="33" t="s">
        <v>62</v>
      </c>
      <c r="T14" s="41">
        <v>2000</v>
      </c>
      <c r="U14" s="1"/>
      <c r="V14" s="1"/>
      <c r="W14" s="25"/>
      <c r="X14" s="33" t="s">
        <v>57</v>
      </c>
      <c r="Y14" s="7">
        <v>1000</v>
      </c>
      <c r="Z14" s="1"/>
      <c r="AA14" s="1"/>
    </row>
    <row r="15" spans="1:27" x14ac:dyDescent="0.3">
      <c r="A15" s="30"/>
      <c r="B15" s="1" t="s">
        <v>20</v>
      </c>
      <c r="C15" s="7">
        <f>Tableau6[[#Totals],[Colonne2]]</f>
        <v>7000</v>
      </c>
      <c r="D15" s="7">
        <f>Tableau6[[#Totals],[Colonne2]]</f>
        <v>7000</v>
      </c>
      <c r="E15" s="7">
        <f>Tableau6[[#Totals],[Colonne2]]</f>
        <v>7000</v>
      </c>
      <c r="F15" s="7">
        <f>Tableau6[[#Totals],[Colonne2]]</f>
        <v>7000</v>
      </c>
      <c r="G15" s="7">
        <f>Tableau6[[#Totals],[Colonne2]]</f>
        <v>7000</v>
      </c>
      <c r="H15" s="7">
        <f>Tableau6[[#Totals],[Colonne2]]</f>
        <v>7000</v>
      </c>
      <c r="I15" s="7">
        <f>Tableau6[[#Totals],[Colonne2]]</f>
        <v>7000</v>
      </c>
      <c r="J15" s="7">
        <f>Tableau6[[#Totals],[Colonne2]]</f>
        <v>7000</v>
      </c>
      <c r="K15" s="7">
        <f>Tableau6[[#Totals],[Colonne2]]</f>
        <v>7000</v>
      </c>
      <c r="L15" s="7">
        <f>Tableau6[[#Totals],[Colonne2]]</f>
        <v>7000</v>
      </c>
      <c r="M15" s="7">
        <f>Tableau6[[#Totals],[Colonne2]]</f>
        <v>7000</v>
      </c>
      <c r="N15" s="7">
        <f>Tableau6[[#Totals],[Colonne2]]</f>
        <v>7000</v>
      </c>
      <c r="O15" s="7">
        <f>Tableau6[[#Totals],[Colonne2]]</f>
        <v>7000</v>
      </c>
      <c r="P15" s="7">
        <f>SUM(Tableau1[[#This Row],[2023]:[Colonne11]])</f>
        <v>91000</v>
      </c>
      <c r="Q15" s="1"/>
      <c r="R15" s="25"/>
      <c r="S15" s="1" t="s">
        <v>66</v>
      </c>
      <c r="T15" s="7">
        <v>1000</v>
      </c>
      <c r="U15" s="1"/>
      <c r="V15" s="1"/>
      <c r="W15" s="25"/>
      <c r="X15" s="1" t="s">
        <v>58</v>
      </c>
      <c r="Y15" s="7">
        <v>1200</v>
      </c>
      <c r="Z15" s="1"/>
      <c r="AA15" s="1"/>
    </row>
    <row r="16" spans="1:27" x14ac:dyDescent="0.3">
      <c r="A16" s="31"/>
      <c r="B16" s="1" t="s">
        <v>21</v>
      </c>
      <c r="C16" s="32">
        <f>SUBTOTAL(109,Tableau1[2023])</f>
        <v>136968.98499999999</v>
      </c>
      <c r="D16" s="32">
        <f>SUBTOTAL(109,Tableau1[2024])</f>
        <v>142768.98499999999</v>
      </c>
      <c r="E16" s="32">
        <f>SUBTOTAL(109,Tableau1[Colonne3])</f>
        <v>142768.98499999999</v>
      </c>
      <c r="F16" s="32">
        <f>SUBTOTAL(109,Tableau1[Colonne4])</f>
        <v>142768.98499999999</v>
      </c>
      <c r="G16" s="32">
        <f>SUBTOTAL(109,Tableau1[Colonne5])</f>
        <v>102768.985</v>
      </c>
      <c r="H16" s="32">
        <f>SUBTOTAL(109,Tableau1[2025])</f>
        <v>127768.985</v>
      </c>
      <c r="I16" s="32">
        <f>SUBTOTAL(109,Tableau1[Colonne6])</f>
        <v>123268.985</v>
      </c>
      <c r="J16" s="32">
        <f>SUBTOTAL(109,Tableau1[Colonne7])</f>
        <v>123268.985</v>
      </c>
      <c r="K16" s="32">
        <f>SUBTOTAL(109,Tableau1[Colonne8])</f>
        <v>103268.985</v>
      </c>
      <c r="L16" s="32">
        <f>SUBTOTAL(109,Tableau1[2026])</f>
        <v>128268.985</v>
      </c>
      <c r="M16" s="32">
        <f>SUBTOTAL(109,Tableau1[Colonne9])</f>
        <v>123268.985</v>
      </c>
      <c r="N16" s="32">
        <f>SUBTOTAL(109,Tableau1[Colonne10])</f>
        <v>123268.985</v>
      </c>
      <c r="O16" s="32">
        <f>SUBTOTAL(109,Tableau1[Colonne11])</f>
        <v>103268.985</v>
      </c>
      <c r="P16" s="1"/>
      <c r="Q16" s="1"/>
      <c r="R16" s="26"/>
      <c r="S16" s="1" t="s">
        <v>21</v>
      </c>
      <c r="T16" s="7">
        <f>SUBTOTAL(109,Tableau12[Colonne3])</f>
        <v>15200</v>
      </c>
      <c r="U16" s="1"/>
      <c r="V16" s="1"/>
      <c r="W16" s="26"/>
      <c r="X16" s="1" t="s">
        <v>21</v>
      </c>
      <c r="Y16" s="7">
        <f>SUBTOTAL(109,Tableau8[Colonne2])</f>
        <v>7200</v>
      </c>
      <c r="Z16" s="1"/>
      <c r="AA16" s="1"/>
    </row>
    <row r="17" spans="1:27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.4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4.4" customHeight="1" thickBot="1" x14ac:dyDescent="0.35">
      <c r="A20" s="1"/>
      <c r="B20" s="2"/>
      <c r="C20" s="3">
        <v>2023</v>
      </c>
      <c r="D20" s="10">
        <v>2024</v>
      </c>
      <c r="E20" s="11"/>
      <c r="F20" s="11"/>
      <c r="G20" s="12"/>
      <c r="H20" s="13">
        <v>2025</v>
      </c>
      <c r="I20" s="14"/>
      <c r="J20" s="14"/>
      <c r="K20" s="15"/>
      <c r="L20" s="10">
        <v>2026</v>
      </c>
      <c r="M20" s="11"/>
      <c r="N20" s="11"/>
      <c r="O20" s="12"/>
      <c r="P20" s="1"/>
      <c r="Q20" s="1"/>
      <c r="R20" s="1"/>
      <c r="S20" s="44" t="s">
        <v>71</v>
      </c>
      <c r="T20" s="45">
        <f>C3</f>
        <v>7507.6649999999991</v>
      </c>
      <c r="U20" s="1"/>
      <c r="V20" s="1"/>
      <c r="W20" s="24" t="s">
        <v>51</v>
      </c>
      <c r="X20" s="1" t="s">
        <v>52</v>
      </c>
      <c r="Y20" s="7">
        <v>2000</v>
      </c>
      <c r="Z20" s="1"/>
      <c r="AA20" s="1"/>
    </row>
    <row r="21" spans="1:27" ht="15" thickTop="1" x14ac:dyDescent="0.3">
      <c r="A21" s="1"/>
      <c r="B21" s="1"/>
      <c r="C21" s="1" t="s">
        <v>3</v>
      </c>
      <c r="D21" s="1" t="s">
        <v>0</v>
      </c>
      <c r="E21" s="1" t="s">
        <v>1</v>
      </c>
      <c r="F21" s="1" t="s">
        <v>2</v>
      </c>
      <c r="G21" s="1" t="s">
        <v>3</v>
      </c>
      <c r="H21" s="1" t="s">
        <v>0</v>
      </c>
      <c r="I21" s="1" t="s">
        <v>1</v>
      </c>
      <c r="J21" s="1" t="s">
        <v>2</v>
      </c>
      <c r="K21" s="1" t="s">
        <v>3</v>
      </c>
      <c r="L21" s="1" t="s">
        <v>0</v>
      </c>
      <c r="M21" s="1" t="s">
        <v>1</v>
      </c>
      <c r="N21" s="1" t="s">
        <v>2</v>
      </c>
      <c r="O21" s="1" t="s">
        <v>3</v>
      </c>
      <c r="P21" s="1"/>
      <c r="Q21" s="1"/>
      <c r="R21" s="1"/>
      <c r="S21" s="46" t="s">
        <v>21</v>
      </c>
      <c r="T21" s="47">
        <f>T20*6</f>
        <v>45045.989999999991</v>
      </c>
      <c r="U21" s="1"/>
      <c r="V21" s="1"/>
      <c r="W21" s="25"/>
      <c r="X21" s="1" t="s">
        <v>53</v>
      </c>
      <c r="Y21" s="7">
        <v>5000</v>
      </c>
      <c r="Z21" s="1"/>
      <c r="AA21" s="1"/>
    </row>
    <row r="22" spans="1:27" x14ac:dyDescent="0.3">
      <c r="A22" s="42" t="s">
        <v>24</v>
      </c>
      <c r="B22" s="1" t="s">
        <v>25</v>
      </c>
      <c r="C22" s="6">
        <f>Tableau134[[#Totals],[Colonne12]]</f>
        <v>235000</v>
      </c>
      <c r="D22" s="6">
        <f>Tableau134[[#Totals],[2023]]</f>
        <v>235000</v>
      </c>
      <c r="E22" s="6">
        <f>Tableau134[[#Totals],[2024]]</f>
        <v>235000</v>
      </c>
      <c r="F22" s="6">
        <f>Tableau134[[#Totals],[Colonne3]]</f>
        <v>235000</v>
      </c>
      <c r="G22" s="6">
        <f>Tableau134[[#Totals],[Colonne4]]</f>
        <v>235000</v>
      </c>
      <c r="H22" s="6">
        <f>Tableau134[[#Totals],[Colonne5]]</f>
        <v>235000</v>
      </c>
      <c r="I22" s="6">
        <f>Tableau134[[#Totals],[2025]]</f>
        <v>235000</v>
      </c>
      <c r="J22" s="6">
        <f>Tableau134[[#Totals],[Colonne6]]</f>
        <v>235000</v>
      </c>
      <c r="K22" s="6">
        <f>Tableau134[[#Totals],[Colonne7]]</f>
        <v>235000</v>
      </c>
      <c r="L22" s="6">
        <f>Tableau134[[#Totals],[Colonne8]]</f>
        <v>235000</v>
      </c>
      <c r="M22" s="6">
        <f>Tableau134[[#Totals],[Colonne12]]</f>
        <v>235000</v>
      </c>
      <c r="N22" s="6">
        <f>Tableau134[[#Totals],[Colonne12]]</f>
        <v>235000</v>
      </c>
      <c r="O22" s="6">
        <f>Tableau134[[#Totals],[Colonne10]]</f>
        <v>235000</v>
      </c>
      <c r="P22" s="1"/>
      <c r="Q22" s="1"/>
      <c r="R22" s="1"/>
      <c r="S22" s="1"/>
      <c r="T22" s="1"/>
      <c r="U22" s="1"/>
      <c r="V22" s="1"/>
      <c r="W22" s="26"/>
      <c r="X22" s="1" t="s">
        <v>21</v>
      </c>
      <c r="Y22" s="7">
        <f>SUBTOTAL(109,Tableau6[Colonne2])</f>
        <v>7000</v>
      </c>
      <c r="Z22" s="1"/>
      <c r="AA22" s="1"/>
    </row>
    <row r="23" spans="1:27" ht="14.4" customHeight="1" x14ac:dyDescent="0.3">
      <c r="A23" s="35" t="s">
        <v>79</v>
      </c>
      <c r="B23" s="1" t="s">
        <v>76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36">
        <v>50</v>
      </c>
      <c r="M23" s="36">
        <v>50</v>
      </c>
      <c r="N23" s="36">
        <v>200</v>
      </c>
      <c r="O23" s="36">
        <v>200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3">
      <c r="A24" s="35"/>
      <c r="B24" s="1" t="s">
        <v>77</v>
      </c>
      <c r="C24" s="36">
        <v>0</v>
      </c>
      <c r="D24" s="36">
        <v>0</v>
      </c>
      <c r="E24" s="36">
        <v>0</v>
      </c>
      <c r="F24" s="36">
        <v>0</v>
      </c>
      <c r="G24" s="36">
        <v>0</v>
      </c>
      <c r="H24" s="36">
        <v>0</v>
      </c>
      <c r="I24" s="36">
        <v>0</v>
      </c>
      <c r="J24" s="36">
        <v>0</v>
      </c>
      <c r="K24" s="36">
        <v>0</v>
      </c>
      <c r="L24" s="36">
        <v>50</v>
      </c>
      <c r="M24" s="36">
        <v>50</v>
      </c>
      <c r="N24" s="36">
        <v>200</v>
      </c>
      <c r="O24" s="36">
        <v>200</v>
      </c>
      <c r="P24" s="1"/>
      <c r="Q24" s="1"/>
      <c r="R24" s="24" t="s">
        <v>72</v>
      </c>
      <c r="S24" s="1" t="s">
        <v>73</v>
      </c>
      <c r="T24" s="1">
        <v>50</v>
      </c>
      <c r="U24" s="1"/>
      <c r="V24" s="1"/>
      <c r="W24" s="1"/>
      <c r="X24" s="1"/>
      <c r="Y24" s="1"/>
      <c r="Z24" s="1"/>
      <c r="AA24" s="1"/>
    </row>
    <row r="25" spans="1:27" x14ac:dyDescent="0.3">
      <c r="A25" s="35"/>
      <c r="B25" s="1" t="s">
        <v>78</v>
      </c>
      <c r="C25" s="36">
        <v>0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  <c r="I25" s="36">
        <v>0</v>
      </c>
      <c r="J25" s="36">
        <v>0</v>
      </c>
      <c r="K25" s="36">
        <v>0</v>
      </c>
      <c r="L25" s="36">
        <v>0</v>
      </c>
      <c r="M25" s="36">
        <v>0</v>
      </c>
      <c r="N25" s="36">
        <v>20</v>
      </c>
      <c r="O25" s="36">
        <v>20</v>
      </c>
      <c r="P25" s="1"/>
      <c r="Q25" s="1"/>
      <c r="R25" s="25"/>
      <c r="S25" s="1" t="s">
        <v>74</v>
      </c>
      <c r="T25" s="1">
        <v>400</v>
      </c>
      <c r="U25" s="1"/>
      <c r="V25" s="1"/>
      <c r="W25" s="1"/>
      <c r="X25" s="1"/>
      <c r="Y25" s="1"/>
      <c r="Z25" s="1"/>
      <c r="AA25" s="1"/>
    </row>
    <row r="26" spans="1:27" x14ac:dyDescent="0.3">
      <c r="A26" s="35"/>
      <c r="B26" s="1" t="s">
        <v>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1000</v>
      </c>
      <c r="M26" s="6">
        <v>1000</v>
      </c>
      <c r="N26" s="6">
        <v>1000</v>
      </c>
      <c r="O26" s="6">
        <v>1000</v>
      </c>
      <c r="P26" s="1"/>
      <c r="Q26" s="1"/>
      <c r="R26" s="25"/>
      <c r="S26" s="1" t="s">
        <v>75</v>
      </c>
      <c r="T26" s="1">
        <v>100</v>
      </c>
      <c r="U26" s="1"/>
      <c r="V26" s="1"/>
      <c r="W26" s="1"/>
      <c r="X26" s="1"/>
      <c r="Y26" s="1"/>
      <c r="Z26" s="1"/>
      <c r="AA26" s="1"/>
    </row>
    <row r="27" spans="1:27" x14ac:dyDescent="0.3">
      <c r="A27" s="35"/>
      <c r="B27" s="1" t="s">
        <v>7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1000</v>
      </c>
      <c r="M27" s="6">
        <v>1000</v>
      </c>
      <c r="N27" s="6">
        <v>1000</v>
      </c>
      <c r="O27" s="6">
        <v>1000</v>
      </c>
      <c r="P27" s="1"/>
      <c r="Q27" s="1"/>
      <c r="R27" s="1"/>
      <c r="S27" s="1"/>
      <c r="T27" s="7"/>
      <c r="U27" s="1"/>
      <c r="V27" s="1"/>
      <c r="W27" s="1"/>
      <c r="X27" s="1"/>
      <c r="Y27" s="1"/>
      <c r="Z27" s="1"/>
      <c r="AA27" s="1"/>
    </row>
    <row r="28" spans="1:27" ht="14.4" customHeight="1" x14ac:dyDescent="0.3">
      <c r="A28" s="35"/>
      <c r="B28" s="1" t="s">
        <v>21</v>
      </c>
      <c r="C28" s="32">
        <f>C22+$T$24*C23+$T$25*C24+$T$26*C25-C26-C27</f>
        <v>235000</v>
      </c>
      <c r="D28" s="32">
        <f t="shared" ref="D28:O28" si="2">D22+$T$24*D23+$T$25*D24+$T$26*D25-D26-D27</f>
        <v>235000</v>
      </c>
      <c r="E28" s="32">
        <f t="shared" si="2"/>
        <v>235000</v>
      </c>
      <c r="F28" s="32">
        <f t="shared" si="2"/>
        <v>235000</v>
      </c>
      <c r="G28" s="32">
        <f t="shared" si="2"/>
        <v>235000</v>
      </c>
      <c r="H28" s="32">
        <f t="shared" si="2"/>
        <v>235000</v>
      </c>
      <c r="I28" s="32">
        <f t="shared" si="2"/>
        <v>235000</v>
      </c>
      <c r="J28" s="32">
        <f t="shared" si="2"/>
        <v>235000</v>
      </c>
      <c r="K28" s="32">
        <f t="shared" si="2"/>
        <v>235000</v>
      </c>
      <c r="L28" s="32">
        <f t="shared" si="2"/>
        <v>255500</v>
      </c>
      <c r="M28" s="32">
        <f t="shared" si="2"/>
        <v>255500</v>
      </c>
      <c r="N28" s="32">
        <f t="shared" si="2"/>
        <v>325000</v>
      </c>
      <c r="O28" s="32">
        <f t="shared" si="2"/>
        <v>325000</v>
      </c>
      <c r="P28" s="1"/>
      <c r="Q28" s="1"/>
      <c r="R28" s="1"/>
      <c r="S28" s="1"/>
      <c r="T28" s="7"/>
      <c r="U28" s="1"/>
      <c r="V28" s="1"/>
      <c r="W28" s="1"/>
      <c r="X28" s="1"/>
      <c r="Y28" s="1"/>
      <c r="Z28" s="1"/>
      <c r="AA28" s="1"/>
    </row>
    <row r="29" spans="1:27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7"/>
      <c r="U29" s="1"/>
      <c r="V29" s="1"/>
      <c r="W29" s="1"/>
      <c r="X29" s="1"/>
      <c r="Y29" s="1"/>
      <c r="Z29" s="1"/>
      <c r="AA29" s="1"/>
    </row>
    <row r="30" spans="1:27" x14ac:dyDescent="0.3">
      <c r="A30" s="1"/>
      <c r="B30" s="48" t="s">
        <v>44</v>
      </c>
      <c r="C30" s="49">
        <f>Tableau16[[#Totals],[2023]]-Tableau1[[#Totals],[2023]]</f>
        <v>98031.015000000014</v>
      </c>
      <c r="D30" s="49">
        <f>Tableau16[[#Totals],[2024]]-Tableau1[[#Totals],[2024]]</f>
        <v>92231.015000000014</v>
      </c>
      <c r="E30" s="49">
        <f>Tableau16[[#Totals],[Colonne3]]-Tableau1[[#Totals],[Colonne3]]</f>
        <v>92231.015000000014</v>
      </c>
      <c r="F30" s="49">
        <f>Tableau16[[#Totals],[Colonne4]]-Tableau1[[#Totals],[Colonne4]]</f>
        <v>92231.015000000014</v>
      </c>
      <c r="G30" s="49">
        <f>Tableau16[[#Totals],[Colonne5]]-Tableau1[[#Totals],[Colonne5]]</f>
        <v>132231.01500000001</v>
      </c>
      <c r="H30" s="49">
        <f>Tableau16[[#Totals],[2025]]-Tableau1[[#Totals],[2025]]</f>
        <v>107231.015</v>
      </c>
      <c r="I30" s="49">
        <f>Tableau16[[#Totals],[Colonne6]]-Tableau1[[#Totals],[Colonne6]]</f>
        <v>111731.015</v>
      </c>
      <c r="J30" s="49">
        <f>Tableau16[[#Totals],[Colonne7]]-Tableau1[[#Totals],[Colonne7]]</f>
        <v>111731.015</v>
      </c>
      <c r="K30" s="49">
        <f>Tableau16[[#Totals],[Colonne8]]-Tableau1[[#Totals],[Colonne8]]</f>
        <v>131731.01500000001</v>
      </c>
      <c r="L30" s="49">
        <f>Tableau16[[#Totals],[2026]]-Tableau1[[#Totals],[2026]]</f>
        <v>127231.015</v>
      </c>
      <c r="M30" s="49">
        <f>Tableau16[[#Totals],[Colonne9]]-Tableau1[[#Totals],[Colonne9]]</f>
        <v>132231.01500000001</v>
      </c>
      <c r="N30" s="49">
        <f>Tableau16[[#Totals],[Colonne10]]-Tableau1[[#Totals],[Colonne10]]</f>
        <v>201731.01500000001</v>
      </c>
      <c r="O30" s="49">
        <f>Tableau16[[#Totals],[Colonne11]]-Tableau1[[#Totals],[Colonne11]]</f>
        <v>221731.01500000001</v>
      </c>
      <c r="P30" s="1"/>
      <c r="Q30" s="1"/>
      <c r="R30" s="1"/>
      <c r="S30" s="1"/>
      <c r="T30" s="7"/>
      <c r="U30" s="1"/>
      <c r="V30" s="1"/>
      <c r="W30" s="1"/>
      <c r="X30" s="1"/>
      <c r="Y30" s="1"/>
      <c r="Z30" s="1"/>
      <c r="AA30" s="1"/>
    </row>
    <row r="31" spans="1:27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4.4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33"/>
      <c r="S35" s="1"/>
      <c r="T35" s="1"/>
      <c r="U35" s="1"/>
      <c r="V35" s="1"/>
      <c r="W35" s="1"/>
      <c r="X35" s="1"/>
      <c r="Y35" s="1"/>
      <c r="Z35" s="1"/>
      <c r="AA35" s="1"/>
    </row>
    <row r="36" spans="1:27" ht="14.4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9" spans="1:27" ht="14.4" customHeight="1" x14ac:dyDescent="0.3">
      <c r="B39" s="1"/>
    </row>
    <row r="40" spans="1:27" x14ac:dyDescent="0.3">
      <c r="A40" s="16"/>
      <c r="B40" s="1"/>
    </row>
    <row r="41" spans="1:27" ht="14.4" customHeight="1" x14ac:dyDescent="0.3">
      <c r="A41" s="16"/>
      <c r="B41" s="1"/>
    </row>
    <row r="42" spans="1:27" ht="14.4" customHeight="1" x14ac:dyDescent="0.3">
      <c r="A42" s="16"/>
      <c r="B42" s="1"/>
    </row>
    <row r="43" spans="1:27" ht="14.4" customHeight="1" x14ac:dyDescent="0.3">
      <c r="A43" s="16"/>
      <c r="B43" s="1"/>
    </row>
    <row r="44" spans="1:27" x14ac:dyDescent="0.3">
      <c r="A44" s="16"/>
      <c r="B44" s="1"/>
    </row>
    <row r="45" spans="1:27" x14ac:dyDescent="0.3">
      <c r="A45" s="16"/>
      <c r="B45" s="1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27" ht="14.4" customHeight="1" x14ac:dyDescent="0.3">
      <c r="A46" s="1"/>
      <c r="B46" s="1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27" ht="28.8" customHeight="1" x14ac:dyDescent="0.3">
      <c r="A47" s="16"/>
      <c r="B47" s="1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27" x14ac:dyDescent="0.3">
      <c r="A48" s="16"/>
      <c r="B48" s="1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R48" s="8"/>
    </row>
    <row r="49" spans="1:18" x14ac:dyDescent="0.3">
      <c r="A49" s="16"/>
      <c r="B49" s="1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R49" s="8"/>
    </row>
    <row r="50" spans="1:18" x14ac:dyDescent="0.3">
      <c r="A50" s="16"/>
      <c r="B50" s="1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8" x14ac:dyDescent="0.3">
      <c r="A51" s="16"/>
      <c r="B51" s="1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8" x14ac:dyDescent="0.3">
      <c r="A52" s="16"/>
      <c r="B52" s="1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1:18" x14ac:dyDescent="0.3">
      <c r="A53" s="1"/>
      <c r="R53" s="8"/>
    </row>
  </sheetData>
  <mergeCells count="20">
    <mergeCell ref="P1:P2"/>
    <mergeCell ref="W20:W22"/>
    <mergeCell ref="R24:R26"/>
    <mergeCell ref="W12:W16"/>
    <mergeCell ref="W5:W9"/>
    <mergeCell ref="R5:R8"/>
    <mergeCell ref="R12:R16"/>
    <mergeCell ref="A10:A13"/>
    <mergeCell ref="A14:A16"/>
    <mergeCell ref="A47:A52"/>
    <mergeCell ref="A1:B2"/>
    <mergeCell ref="A3:A9"/>
    <mergeCell ref="D1:G1"/>
    <mergeCell ref="H1:K1"/>
    <mergeCell ref="A23:A28"/>
    <mergeCell ref="L1:O1"/>
    <mergeCell ref="D20:G20"/>
    <mergeCell ref="H20:K20"/>
    <mergeCell ref="L20:O20"/>
    <mergeCell ref="A40:A45"/>
  </mergeCells>
  <pageMargins left="0.7" right="0.7" top="0.75" bottom="0.75" header="0.3" footer="0.3"/>
  <ignoredErrors>
    <ignoredError sqref="Y13:Y15" calculatedColumn="1"/>
  </ignoredErrors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Couts individuels</vt:lpstr>
      <vt:lpstr>Investisseurs</vt:lpstr>
      <vt:lpstr>Budget</vt:lpstr>
    </vt:vector>
  </TitlesOfParts>
  <Company>UCA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GANTSUI</dc:creator>
  <cp:lastModifiedBy>Kevin LIESKE</cp:lastModifiedBy>
  <dcterms:created xsi:type="dcterms:W3CDTF">2023-12-04T13:29:47Z</dcterms:created>
  <dcterms:modified xsi:type="dcterms:W3CDTF">2024-01-22T13:14:54Z</dcterms:modified>
</cp:coreProperties>
</file>