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_work\cqf-notes\M1\L2\"/>
    </mc:Choice>
  </mc:AlternateContent>
  <xr:revisionPtr revIDLastSave="0" documentId="13_ncr:1_{F7B60981-2A51-4097-97E2-680A188FCEE4}" xr6:coauthVersionLast="45" xr6:coauthVersionMax="45" xr10:uidLastSave="{00000000-0000-0000-0000-000000000000}"/>
  <bookViews>
    <workbookView xWindow="-110" yWindow="10690" windowWidth="19420" windowHeight="10560" xr2:uid="{F472A5A4-8C72-44AA-B729-FF450A9B6427}"/>
  </bookViews>
  <sheets>
    <sheet name="M1L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8" i="1" l="1"/>
  <c r="L124" i="1"/>
  <c r="M125" i="1" s="1"/>
  <c r="N126" i="1" s="1"/>
  <c r="N132" i="1" l="1"/>
  <c r="M123" i="1"/>
  <c r="P98" i="1"/>
  <c r="P99" i="1" s="1"/>
  <c r="L107" i="1"/>
  <c r="M108" i="1" s="1"/>
  <c r="N122" i="1" l="1"/>
  <c r="N128" i="1" s="1"/>
  <c r="N124" i="1"/>
  <c r="N130" i="1" s="1"/>
  <c r="N131" i="1"/>
  <c r="M131" i="1" s="1"/>
  <c r="M106" i="1"/>
  <c r="N107" i="1" s="1"/>
  <c r="N113" i="1" s="1"/>
  <c r="N109" i="1"/>
  <c r="N115" i="1" s="1"/>
  <c r="N114" i="1" l="1"/>
  <c r="M114" i="1" s="1"/>
  <c r="N105" i="1"/>
  <c r="N111" i="1" s="1"/>
  <c r="N112" i="1" s="1"/>
  <c r="M112" i="1" s="1"/>
  <c r="N129" i="1"/>
  <c r="M129" i="1" l="1"/>
  <c r="M130" i="1" s="1"/>
  <c r="L130" i="1" s="1"/>
  <c r="M113" i="1"/>
  <c r="L113" i="1" s="1"/>
  <c r="C98" i="1" s="1"/>
  <c r="L57" i="1"/>
  <c r="P44" i="1"/>
  <c r="P47" i="1" s="1"/>
  <c r="P39" i="1"/>
  <c r="P38" i="1"/>
  <c r="P29" i="1"/>
  <c r="D28" i="1" s="1"/>
  <c r="P23" i="1"/>
  <c r="P22" i="1"/>
  <c r="M17" i="1"/>
  <c r="P17" i="1" s="1"/>
  <c r="P15" i="1"/>
  <c r="P14" i="1"/>
  <c r="P6" i="1"/>
  <c r="P5" i="1"/>
  <c r="P46" i="1" l="1"/>
  <c r="P45" i="1"/>
  <c r="P48" i="1"/>
  <c r="P59" i="1"/>
  <c r="P70" i="1" s="1"/>
  <c r="O54" i="1"/>
  <c r="M58" i="1"/>
  <c r="O56" i="1"/>
  <c r="N55" i="1"/>
  <c r="P53" i="1"/>
  <c r="P64" i="1" s="1"/>
  <c r="P40" i="1"/>
  <c r="P41" i="1" s="1"/>
  <c r="C36" i="1" s="1"/>
  <c r="P7" i="1"/>
  <c r="P8" i="1" s="1"/>
  <c r="C3" i="1" s="1"/>
  <c r="P30" i="1"/>
  <c r="P24" i="1"/>
  <c r="P25" i="1" s="1"/>
  <c r="C21" i="1" s="1"/>
  <c r="P16" i="1"/>
  <c r="P18" i="1" s="1"/>
  <c r="C12" i="1" s="1"/>
  <c r="P28" i="1" l="1"/>
  <c r="D29" i="1"/>
  <c r="N57" i="1"/>
  <c r="O58" i="1"/>
  <c r="P61" i="1"/>
  <c r="P72" i="1" s="1"/>
  <c r="P57" i="1"/>
  <c r="P68" i="1" s="1"/>
  <c r="P55" i="1"/>
  <c r="P66" i="1" s="1"/>
  <c r="N59" i="1"/>
  <c r="O60" i="1"/>
  <c r="M56" i="1"/>
  <c r="P49" i="1"/>
  <c r="O65" i="1" l="1"/>
  <c r="O69" i="1"/>
  <c r="O71" i="1"/>
  <c r="N70" i="1" s="1"/>
  <c r="O67" i="1"/>
  <c r="N68" i="1" l="1"/>
  <c r="M69" i="1" s="1"/>
  <c r="N66" i="1"/>
  <c r="M67" i="1" s="1"/>
  <c r="L68" i="1" l="1"/>
</calcChain>
</file>

<file path=xl/sharedStrings.xml><?xml version="1.0" encoding="utf-8"?>
<sst xmlns="http://schemas.openxmlformats.org/spreadsheetml/2006/main" count="95" uniqueCount="53">
  <si>
    <t>S</t>
    <phoneticPr fontId="2" type="noConversion"/>
  </si>
  <si>
    <t>Su</t>
    <phoneticPr fontId="2" type="noConversion"/>
  </si>
  <si>
    <t>Sd</t>
    <phoneticPr fontId="2" type="noConversion"/>
  </si>
  <si>
    <t>rf</t>
    <phoneticPr fontId="2" type="noConversion"/>
  </si>
  <si>
    <t>t</t>
    <phoneticPr fontId="2" type="noConversion"/>
  </si>
  <si>
    <t>V</t>
    <phoneticPr fontId="2" type="noConversion"/>
  </si>
  <si>
    <t>V+</t>
    <phoneticPr fontId="2" type="noConversion"/>
  </si>
  <si>
    <t>V-</t>
    <phoneticPr fontId="2" type="noConversion"/>
  </si>
  <si>
    <t>delta</t>
    <phoneticPr fontId="2" type="noConversion"/>
  </si>
  <si>
    <t>1. (Ice-breaker) A share price is currently $80. At the end of three months, it will be either $84 or $76. Ignoring interest rates, calculate the value of a three-month European call option with exercise price $79.</t>
    <phoneticPr fontId="2" type="noConversion"/>
  </si>
  <si>
    <t>2. A share price is currently $92. At the end of one year, it will be either $86 or $98. Calculate the value of a one-year European call option with exercise price $90 using a single-step binomial tree. The risk-free interest rate is 2% p.a. with continuous compounding.</t>
    <phoneticPr fontId="2" type="noConversion"/>
  </si>
  <si>
    <t>3. A share price is currently $15. At the end of three months, it will be either $13 or $17. Interest rates are zero. Calculate the value of a three-month European style power option with payoff max(S2 􀀀 159; 0) where S is the share price at the end of three months.</t>
    <phoneticPr fontId="2" type="noConversion"/>
  </si>
  <si>
    <t>4. A share price is currently $75. At the end of three months, it will be either $59 or $92. What are the risk-neutral probabilities that the share price rises or falls? The risk-free interest rate is zero.</t>
    <phoneticPr fontId="2" type="noConversion"/>
  </si>
  <si>
    <t>discout rate</t>
    <phoneticPr fontId="2" type="noConversion"/>
  </si>
  <si>
    <t>S=p*Su+(1-p)*Sd
p = (S-Sd)/(Su-Sd)</t>
    <phoneticPr fontId="2" type="noConversion"/>
  </si>
  <si>
    <t>p'</t>
    <phoneticPr fontId="2" type="noConversion"/>
  </si>
  <si>
    <t>1-p'</t>
    <phoneticPr fontId="2" type="noConversion"/>
  </si>
  <si>
    <t>5. A binary call option (also called digital option) BC (S; t) has a payoff of one if at expiry it is ITM, i.e. S (T) &gt; E; and zero otherwise</t>
    <phoneticPr fontId="2" type="noConversion"/>
  </si>
  <si>
    <t>A share price is currently £ 80. At the end of three months, it will be either £ 84 or £ 76. Ignoring interest rates, calculate the value of a three-month binary call option with strike price £ 79. Note this is similar to question 1, but with the option now being a digital.</t>
    <phoneticPr fontId="2" type="noConversion"/>
  </si>
  <si>
    <t>strike price</t>
    <phoneticPr fontId="2" type="noConversion"/>
  </si>
  <si>
    <t>6. Implement the multi-step binomial method as described in the Binomial Method lecture with the following variables and parameters: stock S = 100; interest rate r = 0:05 (continuously compounded) for a call option with strike E = 100, T = 1. Use four time steps. Calculate the value of the option for a range of volatilities and plot the results.
Now with volatility sigma = 0:2, plot the value of the call option as the number of time steps increases.</t>
    <phoneticPr fontId="2" type="noConversion"/>
  </si>
  <si>
    <t>step length</t>
  </si>
  <si>
    <t>step number</t>
    <phoneticPr fontId="2" type="noConversion"/>
  </si>
  <si>
    <t>start</t>
    <phoneticPr fontId="2" type="noConversion"/>
  </si>
  <si>
    <t>step1</t>
    <phoneticPr fontId="2" type="noConversion"/>
  </si>
  <si>
    <t>step2</t>
    <phoneticPr fontId="2" type="noConversion"/>
  </si>
  <si>
    <t>step3</t>
    <phoneticPr fontId="2" type="noConversion"/>
  </si>
  <si>
    <t>step4</t>
    <phoneticPr fontId="2" type="noConversion"/>
  </si>
  <si>
    <t>u</t>
    <phoneticPr fontId="2" type="noConversion"/>
  </si>
  <si>
    <t>v</t>
    <phoneticPr fontId="2" type="noConversion"/>
  </si>
  <si>
    <t>p</t>
    <phoneticPr fontId="2" type="noConversion"/>
  </si>
  <si>
    <t>1-p</t>
    <phoneticPr fontId="2" type="noConversion"/>
  </si>
  <si>
    <t>stock price</t>
    <phoneticPr fontId="2" type="noConversion"/>
  </si>
  <si>
    <t>option payoff</t>
    <phoneticPr fontId="2" type="noConversion"/>
  </si>
  <si>
    <t>M1L2</t>
    <phoneticPr fontId="2" type="noConversion"/>
  </si>
  <si>
    <t>answer (by python)</t>
    <phoneticPr fontId="2" type="noConversion"/>
  </si>
  <si>
    <t>odd and even step number</t>
    <phoneticPr fontId="2" type="noConversion"/>
  </si>
  <si>
    <t>answer</t>
    <phoneticPr fontId="2" type="noConversion"/>
  </si>
  <si>
    <t>7. A share price is currently £ 63. At the end of each three-month period, it will change by going up £ 3 or going down £ 3. Calculate the value of a six-month European put option with strike price £ 61. The risk-free interest rate is 4% per annum with continuous compounding.</t>
    <phoneticPr fontId="2" type="noConversion"/>
  </si>
  <si>
    <t>S</t>
    <phoneticPr fontId="2" type="noConversion"/>
  </si>
  <si>
    <t>μ</t>
  </si>
  <si>
    <t>σ</t>
  </si>
  <si>
    <t>T</t>
    <phoneticPr fontId="2" type="noConversion"/>
  </si>
  <si>
    <t>answer</t>
    <phoneticPr fontId="2" type="noConversion"/>
  </si>
  <si>
    <t>T</t>
    <phoneticPr fontId="2" type="noConversion"/>
  </si>
  <si>
    <t>N</t>
    <phoneticPr fontId="2" type="noConversion"/>
  </si>
  <si>
    <t>time step</t>
    <phoneticPr fontId="2" type="noConversion"/>
  </si>
  <si>
    <t>p'</t>
    <phoneticPr fontId="2" type="noConversion"/>
  </si>
  <si>
    <t>1-p'</t>
    <phoneticPr fontId="2" type="noConversion"/>
  </si>
  <si>
    <t>option payoff (red cell is Δ for left step)</t>
  </si>
  <si>
    <t>option payoff (red cell is Δ for left step)</t>
    <phoneticPr fontId="2" type="noConversion"/>
  </si>
  <si>
    <t>assume spot price α is 100 （same for other value), strike price is α + 5 = 105,</t>
    <phoneticPr fontId="2" type="noConversion"/>
  </si>
  <si>
    <t>https://github.com/tlzjhtlzjh/cqf-notes/blob/master/M1/L2/binomial.py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</si>
</sst>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#,##0.000000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1" fillId="2" borderId="0" xfId="0" applyFont="1" applyFill="1">
      <alignment vertical="center"/>
    </xf>
    <xf numFmtId="177" fontId="1" fillId="2" borderId="0" xfId="0" applyNumberFormat="1" applyFont="1" applyFill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1">
      <alignment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4" fillId="2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33</xdr:row>
      <xdr:rowOff>1</xdr:rowOff>
    </xdr:from>
    <xdr:to>
      <xdr:col>3</xdr:col>
      <xdr:colOff>168275</xdr:colOff>
      <xdr:row>33</xdr:row>
      <xdr:rowOff>379317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1" y="9315451"/>
          <a:ext cx="1841499" cy="3793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180974</xdr:rowOff>
    </xdr:from>
    <xdr:to>
      <xdr:col>8</xdr:col>
      <xdr:colOff>628651</xdr:colOff>
      <xdr:row>68</xdr:row>
      <xdr:rowOff>133350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2411074"/>
          <a:ext cx="6734176" cy="447675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70</xdr:row>
      <xdr:rowOff>76200</xdr:rowOff>
    </xdr:from>
    <xdr:to>
      <xdr:col>8</xdr:col>
      <xdr:colOff>568325</xdr:colOff>
      <xdr:row>94</xdr:row>
      <xdr:rowOff>171450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1" y="17192625"/>
          <a:ext cx="6572249" cy="4438650"/>
        </a:xfrm>
        <a:prstGeom prst="rect">
          <a:avLst/>
        </a:prstGeom>
      </xdr:spPr>
    </xdr:pic>
    <xdr:clientData/>
  </xdr:twoCellAnchor>
  <xdr:twoCellAnchor editAs="oneCell">
    <xdr:from>
      <xdr:col>0</xdr:col>
      <xdr:colOff>675154</xdr:colOff>
      <xdr:row>116</xdr:row>
      <xdr:rowOff>27455</xdr:rowOff>
    </xdr:from>
    <xdr:to>
      <xdr:col>6</xdr:col>
      <xdr:colOff>948983</xdr:colOff>
      <xdr:row>141</xdr:row>
      <xdr:rowOff>14755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D50B2EA-702D-477A-97A1-6B3750039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5154" y="27855396"/>
          <a:ext cx="5429655" cy="46500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lzjhtlzjh/cqf-notes/blob/master/M1/L2/binomial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85878-2ED6-4C89-AB39-3AFDFA11BA53}">
  <sheetPr codeName="Sheet1"/>
  <dimension ref="A1:P143"/>
  <sheetViews>
    <sheetView tabSelected="1" topLeftCell="A40" zoomScale="85" zoomScaleNormal="85" workbookViewId="0">
      <selection activeCell="D44" sqref="D44"/>
    </sheetView>
  </sheetViews>
  <sheetFormatPr defaultRowHeight="14.25" x14ac:dyDescent="0.2"/>
  <cols>
    <col min="2" max="2" width="11.625" customWidth="1"/>
    <col min="3" max="3" width="10.375" bestFit="1" customWidth="1"/>
    <col min="4" max="4" width="12.375" customWidth="1"/>
    <col min="5" max="5" width="13.75" customWidth="1"/>
    <col min="6" max="6" width="10.5" bestFit="1" customWidth="1"/>
    <col min="7" max="7" width="12.5" customWidth="1"/>
    <col min="12" max="12" width="13.75" customWidth="1"/>
    <col min="13" max="14" width="13.875" bestFit="1" customWidth="1"/>
    <col min="15" max="15" width="11.625" customWidth="1"/>
    <col min="16" max="16" width="12.75" customWidth="1"/>
    <col min="18" max="18" width="12.75" bestFit="1" customWidth="1"/>
  </cols>
  <sheetData>
    <row r="1" spans="1:16" x14ac:dyDescent="0.2">
      <c r="A1" t="s">
        <v>34</v>
      </c>
    </row>
    <row r="2" spans="1:16" ht="49.5" customHeight="1" x14ac:dyDescent="0.2">
      <c r="B2" s="11" t="s">
        <v>9</v>
      </c>
      <c r="C2" s="11"/>
      <c r="D2" s="11"/>
      <c r="E2" s="11"/>
      <c r="F2" s="11"/>
      <c r="G2" s="11"/>
    </row>
    <row r="3" spans="1:16" x14ac:dyDescent="0.2">
      <c r="B3" s="7" t="s">
        <v>37</v>
      </c>
      <c r="C3" s="4">
        <f>P8</f>
        <v>2.5</v>
      </c>
      <c r="L3" t="s">
        <v>19</v>
      </c>
      <c r="M3">
        <v>79</v>
      </c>
    </row>
    <row r="4" spans="1:16" x14ac:dyDescent="0.2">
      <c r="L4" t="s">
        <v>0</v>
      </c>
      <c r="M4">
        <v>80</v>
      </c>
    </row>
    <row r="5" spans="1:16" x14ac:dyDescent="0.2">
      <c r="L5" t="s">
        <v>1</v>
      </c>
      <c r="M5">
        <v>84</v>
      </c>
      <c r="O5" t="s">
        <v>6</v>
      </c>
      <c r="P5">
        <f>MAX(M5-M3, 0)</f>
        <v>5</v>
      </c>
    </row>
    <row r="6" spans="1:16" x14ac:dyDescent="0.2">
      <c r="L6" t="s">
        <v>2</v>
      </c>
      <c r="M6">
        <v>76</v>
      </c>
      <c r="O6" t="s">
        <v>7</v>
      </c>
      <c r="P6">
        <f>MAX(M6-M4, 0)</f>
        <v>0</v>
      </c>
    </row>
    <row r="7" spans="1:16" x14ac:dyDescent="0.2">
      <c r="O7" t="s">
        <v>8</v>
      </c>
      <c r="P7">
        <f>(P5-P6)/(M5-M6)</f>
        <v>0.625</v>
      </c>
    </row>
    <row r="8" spans="1:16" x14ac:dyDescent="0.2">
      <c r="M8" s="1"/>
      <c r="O8" t="s">
        <v>5</v>
      </c>
      <c r="P8" s="3">
        <f>P7*M4+(P6-P7*M6)</f>
        <v>2.5</v>
      </c>
    </row>
    <row r="9" spans="1:16" x14ac:dyDescent="0.2">
      <c r="C9" s="1"/>
    </row>
    <row r="11" spans="1:16" ht="57" customHeight="1" x14ac:dyDescent="0.2">
      <c r="B11" s="11" t="s">
        <v>10</v>
      </c>
      <c r="C11" s="11"/>
      <c r="D11" s="11"/>
      <c r="E11" s="11"/>
      <c r="F11" s="11"/>
      <c r="G11" s="11"/>
    </row>
    <row r="12" spans="1:16" x14ac:dyDescent="0.2">
      <c r="B12" s="7" t="s">
        <v>37</v>
      </c>
      <c r="C12" s="4">
        <f>P18</f>
        <v>5.1352760637460335</v>
      </c>
      <c r="L12" t="s">
        <v>19</v>
      </c>
      <c r="M12">
        <v>90</v>
      </c>
    </row>
    <row r="13" spans="1:16" x14ac:dyDescent="0.2">
      <c r="L13" t="s">
        <v>0</v>
      </c>
      <c r="M13">
        <v>92</v>
      </c>
    </row>
    <row r="14" spans="1:16" x14ac:dyDescent="0.2">
      <c r="L14" t="s">
        <v>1</v>
      </c>
      <c r="M14">
        <v>98</v>
      </c>
      <c r="O14" t="s">
        <v>6</v>
      </c>
      <c r="P14">
        <f>MAX(M14-M12, 0)</f>
        <v>8</v>
      </c>
    </row>
    <row r="15" spans="1:16" x14ac:dyDescent="0.2">
      <c r="L15" t="s">
        <v>2</v>
      </c>
      <c r="M15">
        <v>86</v>
      </c>
      <c r="O15" t="s">
        <v>7</v>
      </c>
      <c r="P15">
        <f>MAX(M15-M13, 0)</f>
        <v>0</v>
      </c>
    </row>
    <row r="16" spans="1:16" x14ac:dyDescent="0.2">
      <c r="L16" t="s">
        <v>3</v>
      </c>
      <c r="M16">
        <v>0.02</v>
      </c>
      <c r="O16" t="s">
        <v>8</v>
      </c>
      <c r="P16">
        <f>(P14-P15)/(M14-M15)</f>
        <v>0.66666666666666663</v>
      </c>
    </row>
    <row r="17" spans="2:16" x14ac:dyDescent="0.2">
      <c r="L17" t="s">
        <v>4</v>
      </c>
      <c r="M17" s="1">
        <f>12/12</f>
        <v>1</v>
      </c>
      <c r="O17" t="s">
        <v>13</v>
      </c>
      <c r="P17">
        <f>EXP(-M16*M17)</f>
        <v>0.98019867330675525</v>
      </c>
    </row>
    <row r="18" spans="2:16" x14ac:dyDescent="0.2">
      <c r="M18" s="1"/>
      <c r="O18" t="s">
        <v>5</v>
      </c>
      <c r="P18" s="4">
        <f>P16*M13+(P15-P16*M15)*P17</f>
        <v>5.1352760637460335</v>
      </c>
    </row>
    <row r="20" spans="2:16" ht="63" customHeight="1" x14ac:dyDescent="0.2">
      <c r="B20" s="11" t="s">
        <v>11</v>
      </c>
      <c r="C20" s="11"/>
      <c r="D20" s="11"/>
      <c r="E20" s="11"/>
      <c r="F20" s="11"/>
      <c r="G20" s="11"/>
    </row>
    <row r="21" spans="2:16" x14ac:dyDescent="0.2">
      <c r="B21" s="7" t="s">
        <v>37</v>
      </c>
      <c r="C21" s="4">
        <f>P25</f>
        <v>70</v>
      </c>
      <c r="L21" t="s">
        <v>0</v>
      </c>
      <c r="M21">
        <v>15</v>
      </c>
    </row>
    <row r="22" spans="2:16" x14ac:dyDescent="0.2">
      <c r="L22" t="s">
        <v>1</v>
      </c>
      <c r="M22">
        <v>17</v>
      </c>
      <c r="O22" t="s">
        <v>6</v>
      </c>
      <c r="P22">
        <f>MAX(M22^2-159, 0)</f>
        <v>130</v>
      </c>
    </row>
    <row r="23" spans="2:16" x14ac:dyDescent="0.2">
      <c r="L23" t="s">
        <v>2</v>
      </c>
      <c r="M23">
        <v>13</v>
      </c>
      <c r="O23" t="s">
        <v>7</v>
      </c>
      <c r="P23">
        <f>MAX(M23^2-159, 0)</f>
        <v>10</v>
      </c>
    </row>
    <row r="24" spans="2:16" x14ac:dyDescent="0.2">
      <c r="O24" t="s">
        <v>8</v>
      </c>
      <c r="P24">
        <f>(P22-P23)/(M22-M23)</f>
        <v>30</v>
      </c>
    </row>
    <row r="25" spans="2:16" x14ac:dyDescent="0.2">
      <c r="M25" s="1"/>
      <c r="O25" t="s">
        <v>5</v>
      </c>
      <c r="P25" s="4">
        <f>P24*M21+(P23-P24*M23)</f>
        <v>70</v>
      </c>
    </row>
    <row r="27" spans="2:16" ht="44.25" customHeight="1" x14ac:dyDescent="0.2">
      <c r="B27" s="11" t="s">
        <v>12</v>
      </c>
      <c r="C27" s="11"/>
      <c r="D27" s="11"/>
      <c r="E27" s="11"/>
      <c r="F27" s="11"/>
      <c r="G27" s="11"/>
    </row>
    <row r="28" spans="2:16" x14ac:dyDescent="0.2">
      <c r="B28" s="7" t="s">
        <v>37</v>
      </c>
      <c r="C28" t="s">
        <v>47</v>
      </c>
      <c r="D28" s="3">
        <f>P29</f>
        <v>0.48484848484848486</v>
      </c>
      <c r="L28" t="s">
        <v>0</v>
      </c>
      <c r="M28">
        <v>75</v>
      </c>
      <c r="P28">
        <f>P29*M29+P30*M30</f>
        <v>75</v>
      </c>
    </row>
    <row r="29" spans="2:16" x14ac:dyDescent="0.2">
      <c r="C29" t="s">
        <v>48</v>
      </c>
      <c r="D29" s="3">
        <f>P30</f>
        <v>0.51515151515151514</v>
      </c>
      <c r="L29" t="s">
        <v>1</v>
      </c>
      <c r="M29">
        <v>92</v>
      </c>
      <c r="O29" t="s">
        <v>15</v>
      </c>
      <c r="P29" s="3">
        <f>(M28-M30)/(M29-M30)</f>
        <v>0.48484848484848486</v>
      </c>
    </row>
    <row r="30" spans="2:16" x14ac:dyDescent="0.2">
      <c r="L30" t="s">
        <v>2</v>
      </c>
      <c r="M30">
        <v>59</v>
      </c>
      <c r="O30" t="s">
        <v>16</v>
      </c>
      <c r="P30" s="3">
        <f>(1-P29)</f>
        <v>0.51515151515151514</v>
      </c>
    </row>
    <row r="31" spans="2:16" ht="28.5" customHeight="1" x14ac:dyDescent="0.2">
      <c r="B31" s="11" t="s">
        <v>14</v>
      </c>
      <c r="C31" s="12"/>
      <c r="D31" s="12"/>
      <c r="E31" s="12"/>
      <c r="F31" s="12"/>
      <c r="G31" s="12"/>
    </row>
    <row r="33" spans="2:16" ht="41.25" customHeight="1" x14ac:dyDescent="0.2">
      <c r="B33" s="11" t="s">
        <v>17</v>
      </c>
      <c r="C33" s="11"/>
      <c r="D33" s="11"/>
      <c r="E33" s="11"/>
      <c r="F33" s="11"/>
      <c r="G33" s="11"/>
    </row>
    <row r="34" spans="2:16" ht="30.75" customHeight="1" x14ac:dyDescent="0.2">
      <c r="B34" s="5"/>
      <c r="C34" s="5"/>
      <c r="D34" s="5"/>
      <c r="E34" s="5"/>
      <c r="F34" s="5"/>
      <c r="G34" s="5"/>
    </row>
    <row r="35" spans="2:16" ht="61.5" customHeight="1" x14ac:dyDescent="0.2">
      <c r="B35" s="11" t="s">
        <v>18</v>
      </c>
      <c r="C35" s="11"/>
      <c r="D35" s="11"/>
      <c r="E35" s="11"/>
      <c r="F35" s="11"/>
      <c r="G35" s="11"/>
    </row>
    <row r="36" spans="2:16" x14ac:dyDescent="0.2">
      <c r="B36" s="7" t="s">
        <v>37</v>
      </c>
      <c r="C36" s="3">
        <f>P41</f>
        <v>0.5</v>
      </c>
      <c r="L36" t="s">
        <v>19</v>
      </c>
      <c r="M36">
        <v>79</v>
      </c>
    </row>
    <row r="37" spans="2:16" x14ac:dyDescent="0.2">
      <c r="L37" t="s">
        <v>0</v>
      </c>
      <c r="M37">
        <v>80</v>
      </c>
    </row>
    <row r="38" spans="2:16" x14ac:dyDescent="0.2">
      <c r="L38" t="s">
        <v>1</v>
      </c>
      <c r="M38">
        <v>84</v>
      </c>
      <c r="O38" t="s">
        <v>6</v>
      </c>
      <c r="P38">
        <f>IF(M38&gt;M36,1,0)</f>
        <v>1</v>
      </c>
    </row>
    <row r="39" spans="2:16" x14ac:dyDescent="0.2">
      <c r="L39" t="s">
        <v>2</v>
      </c>
      <c r="M39">
        <v>76</v>
      </c>
      <c r="O39" t="s">
        <v>7</v>
      </c>
      <c r="P39">
        <f>IF(M39&gt;M36,1,0)</f>
        <v>0</v>
      </c>
    </row>
    <row r="40" spans="2:16" x14ac:dyDescent="0.2">
      <c r="O40" t="s">
        <v>8</v>
      </c>
      <c r="P40">
        <f>(P38-P39)/(M38-M39)</f>
        <v>0.125</v>
      </c>
    </row>
    <row r="41" spans="2:16" x14ac:dyDescent="0.2">
      <c r="M41" s="1"/>
      <c r="O41" t="s">
        <v>5</v>
      </c>
      <c r="P41" s="3">
        <f>P40*M37+(P39-P40*M39)</f>
        <v>0.5</v>
      </c>
    </row>
    <row r="43" spans="2:16" ht="102.75" customHeight="1" x14ac:dyDescent="0.2">
      <c r="B43" s="11" t="s">
        <v>20</v>
      </c>
      <c r="C43" s="12"/>
      <c r="D43" s="12"/>
      <c r="E43" s="12"/>
      <c r="F43" s="12"/>
      <c r="G43" s="12"/>
    </row>
    <row r="44" spans="2:16" x14ac:dyDescent="0.2">
      <c r="B44" s="7" t="s">
        <v>35</v>
      </c>
      <c r="D44" s="8" t="s">
        <v>52</v>
      </c>
      <c r="L44" s="2" t="s">
        <v>19</v>
      </c>
      <c r="M44">
        <v>100</v>
      </c>
      <c r="O44" t="s">
        <v>21</v>
      </c>
      <c r="P44">
        <f>M47/M48</f>
        <v>0.25</v>
      </c>
    </row>
    <row r="45" spans="2:16" x14ac:dyDescent="0.2">
      <c r="L45" t="s">
        <v>0</v>
      </c>
      <c r="M45">
        <v>100</v>
      </c>
      <c r="O45" t="s">
        <v>13</v>
      </c>
      <c r="P45">
        <f>EXP(-M46*P44)</f>
        <v>0.98757780049388144</v>
      </c>
    </row>
    <row r="46" spans="2:16" x14ac:dyDescent="0.2">
      <c r="L46" s="2" t="s">
        <v>40</v>
      </c>
      <c r="M46">
        <v>0.05</v>
      </c>
      <c r="O46" t="s">
        <v>28</v>
      </c>
      <c r="P46">
        <f>1+M49*SQRT(P44)</f>
        <v>1.1000000000000001</v>
      </c>
    </row>
    <row r="47" spans="2:16" x14ac:dyDescent="0.2">
      <c r="L47" t="s">
        <v>42</v>
      </c>
      <c r="M47">
        <v>1</v>
      </c>
      <c r="O47" t="s">
        <v>29</v>
      </c>
      <c r="P47">
        <f>1-M49*SQRT(P44)</f>
        <v>0.9</v>
      </c>
    </row>
    <row r="48" spans="2:16" x14ac:dyDescent="0.2">
      <c r="L48" t="s">
        <v>22</v>
      </c>
      <c r="M48">
        <v>4</v>
      </c>
      <c r="O48" t="s">
        <v>30</v>
      </c>
      <c r="P48">
        <f>0.5+0.5*M46*SQRT(P44)/M49</f>
        <v>0.5625</v>
      </c>
    </row>
    <row r="49" spans="12:16" x14ac:dyDescent="0.2">
      <c r="L49" s="2" t="s">
        <v>41</v>
      </c>
      <c r="M49">
        <v>0.2</v>
      </c>
      <c r="O49" t="s">
        <v>31</v>
      </c>
      <c r="P49">
        <f>1-P48</f>
        <v>0.4375</v>
      </c>
    </row>
    <row r="51" spans="12:16" x14ac:dyDescent="0.2">
      <c r="L51" s="6" t="s">
        <v>32</v>
      </c>
    </row>
    <row r="52" spans="12:16" x14ac:dyDescent="0.2">
      <c r="L52" t="s">
        <v>23</v>
      </c>
      <c r="M52" t="s">
        <v>24</v>
      </c>
      <c r="N52" t="s">
        <v>25</v>
      </c>
      <c r="O52" t="s">
        <v>26</v>
      </c>
      <c r="P52" t="s">
        <v>27</v>
      </c>
    </row>
    <row r="53" spans="12:16" x14ac:dyDescent="0.2">
      <c r="P53">
        <f>P46^4*P47^0*L57</f>
        <v>146.41000000000005</v>
      </c>
    </row>
    <row r="54" spans="12:16" x14ac:dyDescent="0.2">
      <c r="O54">
        <f>P46^3*P47^0*L57</f>
        <v>133.10000000000005</v>
      </c>
    </row>
    <row r="55" spans="12:16" x14ac:dyDescent="0.2">
      <c r="N55">
        <f>P46^2*P47^0*L57</f>
        <v>121.00000000000001</v>
      </c>
      <c r="P55">
        <f>P46^3*P47^1*L57</f>
        <v>119.79000000000003</v>
      </c>
    </row>
    <row r="56" spans="12:16" x14ac:dyDescent="0.2">
      <c r="M56">
        <f>P46^0*P47^0*L57</f>
        <v>100</v>
      </c>
      <c r="O56">
        <f>P46^2*P47^1*L57</f>
        <v>108.90000000000002</v>
      </c>
    </row>
    <row r="57" spans="12:16" x14ac:dyDescent="0.2">
      <c r="L57">
        <f>M45</f>
        <v>100</v>
      </c>
      <c r="N57">
        <f>P46^1*P47^1*L57</f>
        <v>99.000000000000014</v>
      </c>
      <c r="P57">
        <f>P46^2*P47^2*L57</f>
        <v>98.010000000000019</v>
      </c>
    </row>
    <row r="58" spans="12:16" x14ac:dyDescent="0.2">
      <c r="M58">
        <f>P46^0*P47^1*L57</f>
        <v>90</v>
      </c>
      <c r="O58">
        <f>P46^1*P47^2*L57</f>
        <v>89.100000000000009</v>
      </c>
    </row>
    <row r="59" spans="12:16" x14ac:dyDescent="0.2">
      <c r="N59">
        <f>P46^0*P47^2*L57</f>
        <v>81</v>
      </c>
      <c r="P59">
        <f>P46^1*P47^3*L57</f>
        <v>80.190000000000012</v>
      </c>
    </row>
    <row r="60" spans="12:16" x14ac:dyDescent="0.2">
      <c r="O60">
        <f>P46^3*P47^1*L57</f>
        <v>119.79000000000003</v>
      </c>
    </row>
    <row r="61" spans="12:16" x14ac:dyDescent="0.2">
      <c r="P61">
        <f>P46^0*P47^4*L57</f>
        <v>65.610000000000014</v>
      </c>
    </row>
    <row r="63" spans="12:16" x14ac:dyDescent="0.2">
      <c r="L63" s="6" t="s">
        <v>33</v>
      </c>
    </row>
    <row r="64" spans="12:16" x14ac:dyDescent="0.2">
      <c r="P64">
        <f>MAX(P53-$M$44, 0)</f>
        <v>46.410000000000053</v>
      </c>
    </row>
    <row r="65" spans="2:16" x14ac:dyDescent="0.2">
      <c r="O65">
        <f>($P$48*P64+$P$49*P66)*$P$45</f>
        <v>34.331907761919211</v>
      </c>
    </row>
    <row r="66" spans="2:16" x14ac:dyDescent="0.2">
      <c r="N66">
        <f>($P$48*O65+$P$49*O67)*$P$45</f>
        <v>23.821754111074863</v>
      </c>
      <c r="P66">
        <f>MAX(P55-$M$44, 0)</f>
        <v>19.790000000000035</v>
      </c>
    </row>
    <row r="67" spans="2:16" x14ac:dyDescent="0.2">
      <c r="M67">
        <f>($P$48*N66+$P$49*N68)*$P$45</f>
        <v>15.871939012761473</v>
      </c>
      <c r="O67">
        <f>($P$48*P66+$P$49*P68)*$P$45</f>
        <v>10.993592627872845</v>
      </c>
    </row>
    <row r="68" spans="2:16" x14ac:dyDescent="0.2">
      <c r="L68" s="3">
        <f>($P$48*M67+$P$49*M69)*$P$45</f>
        <v>10.282867441719439</v>
      </c>
      <c r="N68">
        <f>($P$48*O67+$P$49*O69)*$P$45</f>
        <v>6.1070782651652324</v>
      </c>
      <c r="P68">
        <f>MAX(P57-$M$44, 0)</f>
        <v>0</v>
      </c>
    </row>
    <row r="69" spans="2:16" x14ac:dyDescent="0.2">
      <c r="M69">
        <f>($P$48*N68+$P$49*N70)*$P$45</f>
        <v>3.3925583928126768</v>
      </c>
      <c r="O69">
        <f>($P$48*P68+$P$49*P70)*$P$45</f>
        <v>0</v>
      </c>
    </row>
    <row r="70" spans="2:16" x14ac:dyDescent="0.2">
      <c r="B70" t="s">
        <v>36</v>
      </c>
      <c r="N70">
        <f>($P$48*O69+$P$49*O71)*$P$45</f>
        <v>0</v>
      </c>
      <c r="P70">
        <f>MAX(P59-$M$44, 0)</f>
        <v>0</v>
      </c>
    </row>
    <row r="71" spans="2:16" x14ac:dyDescent="0.2">
      <c r="O71">
        <f>($P$48*P70+$P$49*P72)*$P$45</f>
        <v>0</v>
      </c>
    </row>
    <row r="72" spans="2:16" x14ac:dyDescent="0.2">
      <c r="P72">
        <f>MAX(P61-$M$44, 0)</f>
        <v>0</v>
      </c>
    </row>
    <row r="97" spans="2:16" ht="63.75" customHeight="1" x14ac:dyDescent="0.2">
      <c r="B97" s="11" t="s">
        <v>38</v>
      </c>
      <c r="C97" s="12"/>
      <c r="D97" s="12"/>
      <c r="E97" s="12"/>
      <c r="F97" s="12"/>
      <c r="G97" s="12"/>
    </row>
    <row r="98" spans="2:16" x14ac:dyDescent="0.2">
      <c r="B98" s="7" t="s">
        <v>43</v>
      </c>
      <c r="C98" s="3">
        <f>L113</f>
        <v>0.61788353470389623</v>
      </c>
      <c r="L98" t="s">
        <v>39</v>
      </c>
      <c r="M98">
        <v>63</v>
      </c>
      <c r="O98" t="s">
        <v>46</v>
      </c>
      <c r="P98">
        <f>M101/M102</f>
        <v>0.25</v>
      </c>
    </row>
    <row r="99" spans="2:16" x14ac:dyDescent="0.2">
      <c r="L99" s="2" t="s">
        <v>19</v>
      </c>
      <c r="M99">
        <v>61</v>
      </c>
      <c r="O99" s="2" t="s">
        <v>13</v>
      </c>
      <c r="P99" s="2">
        <f>EXP(-P98*M100)</f>
        <v>0.99004983374916811</v>
      </c>
    </row>
    <row r="100" spans="2:16" x14ac:dyDescent="0.2">
      <c r="L100" s="2" t="s">
        <v>40</v>
      </c>
      <c r="M100">
        <v>0.04</v>
      </c>
    </row>
    <row r="101" spans="2:16" s="2" customFormat="1" x14ac:dyDescent="0.2">
      <c r="L101" t="s">
        <v>44</v>
      </c>
      <c r="M101">
        <v>0.5</v>
      </c>
    </row>
    <row r="102" spans="2:16" s="2" customFormat="1" x14ac:dyDescent="0.2">
      <c r="L102" s="2" t="s">
        <v>45</v>
      </c>
      <c r="M102" s="2">
        <v>2</v>
      </c>
    </row>
    <row r="104" spans="2:16" x14ac:dyDescent="0.2">
      <c r="L104" s="6" t="s">
        <v>32</v>
      </c>
    </row>
    <row r="105" spans="2:16" x14ac:dyDescent="0.2">
      <c r="N105" s="2">
        <f>M106+3</f>
        <v>69</v>
      </c>
      <c r="O105" s="2"/>
    </row>
    <row r="106" spans="2:16" x14ac:dyDescent="0.2">
      <c r="M106">
        <f>L107+3</f>
        <v>66</v>
      </c>
    </row>
    <row r="107" spans="2:16" x14ac:dyDescent="0.2">
      <c r="L107">
        <f>M98</f>
        <v>63</v>
      </c>
      <c r="N107" s="2">
        <f>M106-3</f>
        <v>63</v>
      </c>
      <c r="O107" s="2"/>
    </row>
    <row r="108" spans="2:16" x14ac:dyDescent="0.2">
      <c r="M108">
        <f>L107-3</f>
        <v>60</v>
      </c>
    </row>
    <row r="109" spans="2:16" x14ac:dyDescent="0.2">
      <c r="N109" s="2">
        <f>M108-3</f>
        <v>57</v>
      </c>
      <c r="O109" s="2"/>
    </row>
    <row r="110" spans="2:16" x14ac:dyDescent="0.2">
      <c r="L110" s="6" t="s">
        <v>49</v>
      </c>
    </row>
    <row r="111" spans="2:16" x14ac:dyDescent="0.2">
      <c r="N111" s="2">
        <f>MAX($M$99-N105,0)</f>
        <v>0</v>
      </c>
      <c r="O111" s="2"/>
    </row>
    <row r="112" spans="2:16" x14ac:dyDescent="0.2">
      <c r="M112" s="9">
        <f>M106*N112 +(N113 - N107 * N112)*$P$99</f>
        <v>0</v>
      </c>
      <c r="N112" s="10">
        <f>(N111 - N113) / (N105-N107)</f>
        <v>0</v>
      </c>
    </row>
    <row r="113" spans="2:16" x14ac:dyDescent="0.2">
      <c r="L113" s="3">
        <f>L107*M113 +(M114 - M108 * M113)*$P$99</f>
        <v>0.61788353470389623</v>
      </c>
      <c r="M113" s="10">
        <f>(M112 - M114) / (M106-M108)</f>
        <v>-0.26368216957751045</v>
      </c>
      <c r="N113" s="2">
        <f>MAX($M$99-N107,0)</f>
        <v>0</v>
      </c>
    </row>
    <row r="114" spans="2:16" x14ac:dyDescent="0.2">
      <c r="M114" s="2">
        <f>M108*N114 +(N115 - N109 * N114)*$P$99</f>
        <v>1.5820930174650627</v>
      </c>
      <c r="N114" s="10">
        <f>(N113 - N115) / (N107-N109)</f>
        <v>-0.66666666666666663</v>
      </c>
    </row>
    <row r="115" spans="2:16" x14ac:dyDescent="0.2">
      <c r="N115" s="2">
        <f>MAX($M$99-N109,0)</f>
        <v>4</v>
      </c>
    </row>
    <row r="116" spans="2:16" x14ac:dyDescent="0.2">
      <c r="B116" s="11"/>
      <c r="C116" s="12"/>
      <c r="D116" s="12"/>
      <c r="E116" s="12"/>
      <c r="F116" s="12"/>
      <c r="G116" s="12"/>
      <c r="O116" s="2"/>
    </row>
    <row r="117" spans="2:16" x14ac:dyDescent="0.2">
      <c r="L117" s="9" t="s">
        <v>0</v>
      </c>
      <c r="M117" s="9">
        <v>100</v>
      </c>
      <c r="N117" s="9"/>
      <c r="O117" s="9"/>
      <c r="P117" s="9"/>
    </row>
    <row r="118" spans="2:16" x14ac:dyDescent="0.2">
      <c r="L118" s="9" t="s">
        <v>19</v>
      </c>
      <c r="M118" s="9">
        <f>M117+5</f>
        <v>105</v>
      </c>
      <c r="N118" s="9"/>
      <c r="O118" s="9" t="s">
        <v>13</v>
      </c>
      <c r="P118" s="9">
        <v>1</v>
      </c>
    </row>
    <row r="119" spans="2:16" x14ac:dyDescent="0.2">
      <c r="L119" s="9" t="s">
        <v>45</v>
      </c>
      <c r="M119" s="9">
        <v>2</v>
      </c>
      <c r="N119" s="9"/>
      <c r="O119" s="9"/>
      <c r="P119" s="9"/>
    </row>
    <row r="120" spans="2:16" x14ac:dyDescent="0.2">
      <c r="L120" s="9"/>
      <c r="M120" s="9"/>
      <c r="N120" s="9"/>
      <c r="O120" s="9"/>
      <c r="P120" s="9"/>
    </row>
    <row r="121" spans="2:16" x14ac:dyDescent="0.2">
      <c r="L121" s="6" t="s">
        <v>32</v>
      </c>
      <c r="M121" s="9"/>
      <c r="N121" s="9"/>
      <c r="O121" s="9"/>
      <c r="P121" s="9"/>
    </row>
    <row r="122" spans="2:16" x14ac:dyDescent="0.2">
      <c r="L122" s="9"/>
      <c r="M122" s="9"/>
      <c r="N122" s="9">
        <f>M123+10</f>
        <v>120</v>
      </c>
      <c r="O122" s="9"/>
      <c r="P122" s="9"/>
    </row>
    <row r="123" spans="2:16" x14ac:dyDescent="0.2">
      <c r="L123" s="9"/>
      <c r="M123" s="9">
        <f>L124+10</f>
        <v>110</v>
      </c>
      <c r="N123" s="9"/>
      <c r="O123" s="9"/>
      <c r="P123" s="9"/>
    </row>
    <row r="124" spans="2:16" x14ac:dyDescent="0.2">
      <c r="L124" s="9">
        <f>M117</f>
        <v>100</v>
      </c>
      <c r="M124" s="9"/>
      <c r="N124" s="9">
        <f>M123-10</f>
        <v>100</v>
      </c>
      <c r="O124" s="9"/>
      <c r="P124" s="9"/>
    </row>
    <row r="125" spans="2:16" x14ac:dyDescent="0.2">
      <c r="L125" s="9"/>
      <c r="M125" s="9">
        <f>L124-10</f>
        <v>90</v>
      </c>
      <c r="N125" s="9"/>
      <c r="O125" s="9"/>
      <c r="P125" s="9"/>
    </row>
    <row r="126" spans="2:16" x14ac:dyDescent="0.2">
      <c r="L126" s="9"/>
      <c r="M126" s="9"/>
      <c r="N126" s="9">
        <f>M125-10</f>
        <v>80</v>
      </c>
      <c r="O126" s="9"/>
      <c r="P126" s="9"/>
    </row>
    <row r="127" spans="2:16" x14ac:dyDescent="0.2">
      <c r="L127" s="6" t="s">
        <v>50</v>
      </c>
      <c r="M127" s="9"/>
      <c r="N127" s="9"/>
      <c r="O127" s="9"/>
      <c r="P127" s="9"/>
    </row>
    <row r="128" spans="2:16" x14ac:dyDescent="0.2">
      <c r="L128" s="9"/>
      <c r="M128" s="9"/>
      <c r="N128" s="9">
        <f>MAX(N122-$M$118,0)</f>
        <v>15</v>
      </c>
      <c r="O128" s="9"/>
      <c r="P128" s="9"/>
    </row>
    <row r="129" spans="2:16" x14ac:dyDescent="0.2">
      <c r="L129" s="9"/>
      <c r="M129" s="9">
        <f>M123*N129 +(N130 - N124 * N129)*$P$118</f>
        <v>7.5</v>
      </c>
      <c r="N129" s="10">
        <f>(N128 - N130) / (N122-N124)</f>
        <v>0.75</v>
      </c>
      <c r="O129" s="9"/>
      <c r="P129" s="9"/>
    </row>
    <row r="130" spans="2:16" x14ac:dyDescent="0.2">
      <c r="L130" s="9">
        <f>L124*M130 +(M131 - M125 * M130)*$P$118</f>
        <v>3.75</v>
      </c>
      <c r="M130" s="10">
        <f>(M129 - M131) / (M123-M125)</f>
        <v>0.375</v>
      </c>
      <c r="N130" s="9">
        <f>MAX(N124-$M$118,0)</f>
        <v>0</v>
      </c>
      <c r="O130" s="9"/>
      <c r="P130" s="9"/>
    </row>
    <row r="131" spans="2:16" x14ac:dyDescent="0.2">
      <c r="L131" s="9"/>
      <c r="M131" s="9">
        <f>M125*N131 +(N132 - N126 * N131)*$P$118</f>
        <v>0</v>
      </c>
      <c r="N131" s="10">
        <f>(N130 - N132) / (N124-N126)</f>
        <v>0</v>
      </c>
      <c r="O131" s="9"/>
      <c r="P131" s="9"/>
    </row>
    <row r="132" spans="2:16" x14ac:dyDescent="0.2">
      <c r="L132" s="9"/>
      <c r="M132" s="9"/>
      <c r="N132" s="9">
        <f>MAX(N126-$M$118,0)</f>
        <v>0</v>
      </c>
      <c r="O132" s="9"/>
      <c r="P132" s="9"/>
    </row>
    <row r="133" spans="2:16" x14ac:dyDescent="0.2">
      <c r="O133" s="9"/>
      <c r="P133" s="9"/>
    </row>
    <row r="134" spans="2:16" x14ac:dyDescent="0.2">
      <c r="O134" s="9"/>
      <c r="P134" s="9"/>
    </row>
    <row r="135" spans="2:16" x14ac:dyDescent="0.2">
      <c r="O135" s="9"/>
      <c r="P135" s="9"/>
    </row>
    <row r="136" spans="2:16" x14ac:dyDescent="0.2">
      <c r="O136" s="9"/>
      <c r="P136" s="9"/>
    </row>
    <row r="137" spans="2:16" x14ac:dyDescent="0.2">
      <c r="O137" s="9"/>
      <c r="P137" s="9"/>
    </row>
    <row r="138" spans="2:16" x14ac:dyDescent="0.2">
      <c r="O138" s="9"/>
      <c r="P138" s="9"/>
    </row>
    <row r="139" spans="2:16" x14ac:dyDescent="0.2">
      <c r="O139" s="9"/>
      <c r="P139" s="9"/>
    </row>
    <row r="140" spans="2:16" x14ac:dyDescent="0.2">
      <c r="O140" s="9"/>
      <c r="P140" s="9"/>
    </row>
    <row r="143" spans="2:16" x14ac:dyDescent="0.2">
      <c r="B143" s="13" t="s">
        <v>51</v>
      </c>
      <c r="C143" s="13"/>
      <c r="D143" s="13"/>
      <c r="E143" s="13"/>
      <c r="F143" s="13"/>
      <c r="G143" s="13"/>
    </row>
  </sheetData>
  <mergeCells count="11">
    <mergeCell ref="B116:G116"/>
    <mergeCell ref="B143:G143"/>
    <mergeCell ref="B97:G97"/>
    <mergeCell ref="B35:G35"/>
    <mergeCell ref="B43:G43"/>
    <mergeCell ref="B33:G33"/>
    <mergeCell ref="B2:G2"/>
    <mergeCell ref="B11:G11"/>
    <mergeCell ref="B20:G20"/>
    <mergeCell ref="B27:G27"/>
    <mergeCell ref="B31:G31"/>
  </mergeCells>
  <phoneticPr fontId="2" type="noConversion"/>
  <hyperlinks>
    <hyperlink ref="D44" r:id="rId1" xr:uid="{1EBEB405-153E-4178-9BAC-5A5AD2C83543}"/>
  </hyperlinks>
  <pageMargins left="0.7" right="0.7" top="0.75" bottom="0.75" header="0.3" footer="0.3"/>
  <pageSetup paperSize="9" orientation="portrait" horizontalDpi="90" verticalDpi="9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M1L2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郭鹏</dc:creator>
  <cp:lastModifiedBy>郭鹏</cp:lastModifiedBy>
  <dcterms:created xsi:type="dcterms:W3CDTF">2020-06-27T08:16:54Z</dcterms:created>
  <dcterms:modified xsi:type="dcterms:W3CDTF">2020-06-27T17:36:38Z</dcterms:modified>
</cp:coreProperties>
</file>