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Caches/slicerCache5.xml" ContentType="application/vnd.ms-excel.slicerCache+xml"/>
  <Override PartName="/xl/slicerCaches/slicerCache6.xml" ContentType="application/vnd.ms-excel.slicerCache+xml"/>
  <Override PartName="/xl/slicerCaches/slicerCache7.xml" ContentType="application/vnd.ms-excel.slicerCache+xml"/>
  <Override PartName="/xl/slicerCaches/slicerCache8.xml" ContentType="application/vnd.ms-excel.slicerCache+xml"/>
  <Override PartName="/xl/slicerCaches/slicerCache9.xml" ContentType="application/vnd.ms-excel.slicerCache+xml"/>
  <Override PartName="/xl/slicerCaches/slicerCache10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drawings/drawing3.xml" ContentType="application/vnd.openxmlformats-officedocument.drawing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drawings/drawing5.xml" ContentType="application/vnd.openxmlformats-officedocument.drawing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drawings/drawing6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gzhennaxia/Documents/GitHub/Gzhennaxia.github.io/source/excel/"/>
    </mc:Choice>
  </mc:AlternateContent>
  <xr:revisionPtr revIDLastSave="0" documentId="13_ncr:1_{36FAFD5D-65EF-8F4F-8131-34E5DABD9E12}" xr6:coauthVersionLast="45" xr6:coauthVersionMax="45" xr10:uidLastSave="{00000000-0000-0000-0000-000000000000}"/>
  <bookViews>
    <workbookView xWindow="0" yWindow="460" windowWidth="28800" windowHeight="16280" activeTab="1" xr2:uid="{7AD4885A-4EC6-B947-B870-264BF5DAC568}"/>
  </bookViews>
  <sheets>
    <sheet name="records" sheetId="1" r:id="rId1"/>
    <sheet name="period" sheetId="18" r:id="rId2"/>
    <sheet name="day" sheetId="4" r:id="rId3"/>
    <sheet name="week" sheetId="9" r:id="rId4"/>
    <sheet name="month" sheetId="10" r:id="rId5"/>
    <sheet name="year" sheetId="11" r:id="rId6"/>
    <sheet name="search" sheetId="5" r:id="rId7"/>
    <sheet name="charts" sheetId="13" r:id="rId8"/>
    <sheet name="getupearly" sheetId="14" r:id="rId9"/>
    <sheet name="reading" sheetId="19" r:id="rId10"/>
    <sheet name="breakfast" sheetId="21" r:id="rId11"/>
    <sheet name="lunch" sheetId="22" r:id="rId12"/>
    <sheet name="diner" sheetId="23" r:id="rId13"/>
    <sheet name="exercise" sheetId="15" r:id="rId14"/>
    <sheet name="schedule" sheetId="20" r:id="rId15"/>
  </sheets>
  <definedNames>
    <definedName name="切片器_备注">#N/A</definedName>
    <definedName name="切片器_持续时间">#N/A</definedName>
    <definedName name="切片器_季度">#N/A</definedName>
    <definedName name="切片器_结束时刻">#N/A</definedName>
    <definedName name="切片器_开始时刻">#N/A</definedName>
    <definedName name="切片器_名称">#N/A</definedName>
    <definedName name="切片器_年份">#N/A</definedName>
    <definedName name="切片器_日期">#N/A</definedName>
    <definedName name="切片器_月份">#N/A</definedName>
    <definedName name="切片器_周次">#N/A</definedName>
  </definedNames>
  <calcPr calcId="191029"/>
  <pivotCaches>
    <pivotCache cacheId="48" r:id="rId16"/>
  </pivotCaches>
  <extLst>
    <ext xmlns:x14="http://schemas.microsoft.com/office/spreadsheetml/2009/9/main" uri="{BBE1A952-AA13-448e-AADC-164F8A28A991}">
      <x14:slicerCaches>
        <x14:slicerCache r:id="rId17"/>
        <x14:slicerCache r:id="rId18"/>
        <x14:slicerCache r:id="rId19"/>
        <x14:slicerCache r:id="rId20"/>
        <x14:slicerCache r:id="rId21"/>
        <x14:slicerCache r:id="rId22"/>
        <x14:slicerCache r:id="rId23"/>
        <x14:slicerCache r:id="rId24"/>
        <x14:slicerCache r:id="rId25"/>
        <x14:slicerCache r:id="rId26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K3" i="4" l="1"/>
  <c r="AK4" i="4"/>
  <c r="AK5" i="4"/>
  <c r="AK6" i="4"/>
  <c r="AK7" i="4"/>
  <c r="AK8" i="4"/>
  <c r="AK9" i="4"/>
  <c r="AJ3" i="4"/>
  <c r="AJ4" i="4"/>
  <c r="AJ5" i="4"/>
  <c r="AJ6" i="4"/>
  <c r="AJ7" i="4"/>
  <c r="AJ8" i="4"/>
  <c r="AJ9" i="4"/>
  <c r="AI3" i="4"/>
  <c r="AI4" i="4"/>
  <c r="AI5" i="4"/>
  <c r="AI6" i="4"/>
  <c r="AI7" i="4"/>
  <c r="AI8" i="4"/>
  <c r="AI9" i="4"/>
  <c r="AH3" i="4"/>
  <c r="AH4" i="4"/>
  <c r="AH5" i="4"/>
  <c r="AH6" i="4"/>
  <c r="AH7" i="4"/>
  <c r="AH8" i="4"/>
  <c r="AH9" i="4"/>
  <c r="AG3" i="4"/>
  <c r="AG4" i="4"/>
  <c r="AG5" i="4"/>
  <c r="AG6" i="4"/>
  <c r="AG7" i="4"/>
  <c r="AG8" i="4"/>
  <c r="AG9" i="4"/>
  <c r="AF3" i="4"/>
  <c r="AF4" i="4"/>
  <c r="AF5" i="4"/>
  <c r="AF6" i="4"/>
  <c r="AF7" i="4"/>
  <c r="AF8" i="4"/>
  <c r="AF9" i="4"/>
  <c r="AB9" i="4"/>
  <c r="S9" i="4"/>
  <c r="M9" i="4"/>
  <c r="T9" i="4"/>
  <c r="K9" i="4"/>
  <c r="Z9" i="4"/>
  <c r="X9" i="4"/>
  <c r="O9" i="4"/>
  <c r="I9" i="4"/>
  <c r="P9" i="4"/>
  <c r="G9" i="4"/>
  <c r="V9" i="4"/>
  <c r="L9" i="4"/>
  <c r="AC9" i="4"/>
  <c r="R9" i="4"/>
  <c r="H9" i="4"/>
  <c r="Y9" i="4"/>
  <c r="N9" i="4"/>
  <c r="AA9" i="4"/>
  <c r="U9" i="4"/>
  <c r="J9" i="4"/>
  <c r="E9" i="4"/>
  <c r="W9" i="4"/>
  <c r="Q9" i="4"/>
  <c r="F9" i="4"/>
  <c r="R8" i="4"/>
  <c r="K8" i="4"/>
  <c r="L8" i="4"/>
  <c r="J8" i="4"/>
  <c r="U8" i="4"/>
  <c r="AC8" i="4"/>
  <c r="N8" i="4"/>
  <c r="G8" i="4"/>
  <c r="H8" i="4"/>
  <c r="F8" i="4"/>
  <c r="I8" i="4"/>
  <c r="Y8" i="4"/>
  <c r="AA8" i="4"/>
  <c r="AB8" i="4"/>
  <c r="Q8" i="4"/>
  <c r="E8" i="4"/>
  <c r="W8" i="4"/>
  <c r="X8" i="4"/>
  <c r="M8" i="4"/>
  <c r="Z8" i="4"/>
  <c r="S8" i="4"/>
  <c r="T8" i="4"/>
  <c r="V8" i="4"/>
  <c r="O8" i="4"/>
  <c r="P8" i="4"/>
  <c r="Y7" i="4"/>
  <c r="P7" i="4"/>
  <c r="F7" i="4"/>
  <c r="Q7" i="4"/>
  <c r="H7" i="4"/>
  <c r="W7" i="4"/>
  <c r="U7" i="4"/>
  <c r="L7" i="4"/>
  <c r="AA7" i="4"/>
  <c r="M7" i="4"/>
  <c r="Z7" i="4"/>
  <c r="S7" i="4"/>
  <c r="I7" i="4"/>
  <c r="V7" i="4"/>
  <c r="O7" i="4"/>
  <c r="AB7" i="4"/>
  <c r="R7" i="4"/>
  <c r="K7" i="4"/>
  <c r="E7" i="4"/>
  <c r="X7" i="4"/>
  <c r="N7" i="4"/>
  <c r="G7" i="4"/>
  <c r="AC7" i="4"/>
  <c r="T7" i="4"/>
  <c r="J7" i="4"/>
  <c r="E6" i="4"/>
  <c r="T6" i="4"/>
  <c r="Y6" i="4"/>
  <c r="G6" i="4"/>
  <c r="W6" i="4"/>
  <c r="L6" i="4"/>
  <c r="Q6" i="4"/>
  <c r="AA6" i="4"/>
  <c r="P6" i="4"/>
  <c r="U6" i="4"/>
  <c r="S6" i="4"/>
  <c r="H6" i="4"/>
  <c r="M6" i="4"/>
  <c r="O6" i="4"/>
  <c r="R6" i="4"/>
  <c r="I6" i="4"/>
  <c r="K6" i="4"/>
  <c r="N6" i="4"/>
  <c r="Z6" i="4"/>
  <c r="AB6" i="4"/>
  <c r="F6" i="4"/>
  <c r="V6" i="4"/>
  <c r="X6" i="4"/>
  <c r="AC6" i="4"/>
  <c r="J6" i="4"/>
  <c r="AC5" i="4"/>
  <c r="S5" i="4"/>
  <c r="L5" i="4"/>
  <c r="Z5" i="4"/>
  <c r="U5" i="4"/>
  <c r="K5" i="4"/>
  <c r="E5" i="4"/>
  <c r="Y5" i="4"/>
  <c r="O5" i="4"/>
  <c r="H5" i="4"/>
  <c r="V5" i="4"/>
  <c r="Q5" i="4"/>
  <c r="G5" i="4"/>
  <c r="R5" i="4"/>
  <c r="M5" i="4"/>
  <c r="AB5" i="4"/>
  <c r="N5" i="4"/>
  <c r="I5" i="4"/>
  <c r="X5" i="4"/>
  <c r="J5" i="4"/>
  <c r="AA5" i="4"/>
  <c r="T5" i="4"/>
  <c r="F5" i="4"/>
  <c r="W5" i="4"/>
  <c r="P5" i="4"/>
  <c r="AC4" i="4"/>
  <c r="O4" i="4"/>
  <c r="S4" i="4"/>
  <c r="E4" i="4"/>
  <c r="Y4" i="4"/>
  <c r="K4" i="4"/>
  <c r="G4" i="4"/>
  <c r="AB4" i="4"/>
  <c r="U4" i="4"/>
  <c r="Z4" i="4"/>
  <c r="X4" i="4"/>
  <c r="Q4" i="4"/>
  <c r="V4" i="4"/>
  <c r="T4" i="4"/>
  <c r="M4" i="4"/>
  <c r="R4" i="4"/>
  <c r="P4" i="4"/>
  <c r="I4" i="4"/>
  <c r="N4" i="4"/>
  <c r="L4" i="4"/>
  <c r="J4" i="4"/>
  <c r="H4" i="4"/>
  <c r="W4" i="4"/>
  <c r="F4" i="4"/>
  <c r="AA4" i="4"/>
  <c r="AA3" i="4"/>
  <c r="G3" i="4"/>
  <c r="AC3" i="4"/>
  <c r="Y3" i="4"/>
  <c r="X3" i="4"/>
  <c r="H3" i="4"/>
  <c r="S3" i="4"/>
  <c r="T3" i="4"/>
  <c r="I3" i="4"/>
  <c r="E3" i="4"/>
  <c r="O3" i="4"/>
  <c r="N3" i="4"/>
  <c r="L3" i="4"/>
  <c r="V3" i="4"/>
  <c r="M3" i="4"/>
  <c r="R3" i="4"/>
  <c r="F3" i="4"/>
  <c r="Q3" i="4"/>
  <c r="Z3" i="4"/>
  <c r="J3" i="4"/>
  <c r="W3" i="4"/>
  <c r="AB3" i="4"/>
  <c r="U3" i="4"/>
  <c r="K3" i="4"/>
  <c r="P3" i="4"/>
  <c r="K22" i="23" a="1"/>
  <c r="K22" i="23" s="1"/>
  <c r="L22" i="23" a="1"/>
  <c r="L22" i="23" s="1"/>
  <c r="M22" i="23" a="1"/>
  <c r="M22" i="23" s="1"/>
  <c r="N22" i="23" a="1"/>
  <c r="N22" i="23" s="1"/>
  <c r="O22" i="23" a="1"/>
  <c r="O22" i="23" s="1"/>
  <c r="K23" i="23" a="1"/>
  <c r="K23" i="23" s="1"/>
  <c r="L23" i="23" a="1"/>
  <c r="L23" i="23" s="1"/>
  <c r="M23" i="23" a="1"/>
  <c r="M23" i="23" s="1"/>
  <c r="N23" i="23" a="1"/>
  <c r="N23" i="23" s="1"/>
  <c r="O23" i="23" a="1"/>
  <c r="O23" i="23" s="1"/>
  <c r="K24" i="23" a="1"/>
  <c r="K24" i="23" s="1"/>
  <c r="L24" i="23" a="1"/>
  <c r="L24" i="23" s="1"/>
  <c r="M24" i="23" a="1"/>
  <c r="M24" i="23" s="1"/>
  <c r="N24" i="23" a="1"/>
  <c r="N24" i="23" s="1"/>
  <c r="O24" i="23" a="1"/>
  <c r="O24" i="23" s="1"/>
  <c r="K25" i="23" a="1"/>
  <c r="K25" i="23" s="1"/>
  <c r="L25" i="23" a="1"/>
  <c r="L25" i="23" s="1"/>
  <c r="M25" i="23" a="1"/>
  <c r="M25" i="23" s="1"/>
  <c r="N25" i="23" a="1"/>
  <c r="N25" i="23" s="1"/>
  <c r="O25" i="23" a="1"/>
  <c r="O25" i="23" s="1"/>
  <c r="K26" i="23" a="1"/>
  <c r="K26" i="23" s="1"/>
  <c r="L26" i="23" a="1"/>
  <c r="L26" i="23" s="1"/>
  <c r="M26" i="23" a="1"/>
  <c r="M26" i="23" s="1"/>
  <c r="N26" i="23" a="1"/>
  <c r="N26" i="23" s="1"/>
  <c r="O26" i="23" a="1"/>
  <c r="O26" i="23" s="1"/>
  <c r="K27" i="23" a="1"/>
  <c r="K27" i="23" s="1"/>
  <c r="L27" i="23" a="1"/>
  <c r="L27" i="23" s="1"/>
  <c r="M27" i="23" a="1"/>
  <c r="M27" i="23" s="1"/>
  <c r="N27" i="23" a="1"/>
  <c r="N27" i="23" s="1"/>
  <c r="O27" i="23" a="1"/>
  <c r="O27" i="23" s="1"/>
  <c r="K28" i="23" a="1"/>
  <c r="K28" i="23" s="1"/>
  <c r="L28" i="23" a="1"/>
  <c r="L28" i="23" s="1"/>
  <c r="M28" i="23" a="1"/>
  <c r="M28" i="23" s="1"/>
  <c r="N28" i="23" a="1"/>
  <c r="N28" i="23" s="1"/>
  <c r="O28" i="23" a="1"/>
  <c r="O28" i="23" s="1"/>
  <c r="K29" i="23" a="1"/>
  <c r="K29" i="23" s="1"/>
  <c r="L29" i="23" a="1"/>
  <c r="L29" i="23" s="1"/>
  <c r="M29" i="23" a="1"/>
  <c r="M29" i="23" s="1"/>
  <c r="N29" i="23" a="1"/>
  <c r="N29" i="23" s="1"/>
  <c r="O29" i="23" a="1"/>
  <c r="O29" i="23" s="1"/>
  <c r="K17" i="23" a="1"/>
  <c r="K17" i="23" s="1"/>
  <c r="L17" i="23" a="1"/>
  <c r="L17" i="23" s="1"/>
  <c r="K18" i="23" a="1"/>
  <c r="K18" i="23" s="1"/>
  <c r="L18" i="23" a="1"/>
  <c r="L18" i="23" s="1"/>
  <c r="K19" i="23" a="1"/>
  <c r="K19" i="23" s="1"/>
  <c r="L19" i="23" a="1"/>
  <c r="L19" i="23" s="1"/>
  <c r="K20" i="23" a="1"/>
  <c r="K20" i="23" s="1"/>
  <c r="L20" i="23" a="1"/>
  <c r="L20" i="23" s="1"/>
  <c r="L21" i="23" a="1"/>
  <c r="L21" i="23" s="1"/>
  <c r="K21" i="23" a="1"/>
  <c r="K21" i="23" s="1"/>
  <c r="N18" i="23" a="1"/>
  <c r="N18" i="23" s="1"/>
  <c r="P18" i="23" s="1"/>
  <c r="N19" i="23" a="1"/>
  <c r="N19" i="23" s="1"/>
  <c r="Q19" i="23" s="1"/>
  <c r="N20" i="23" a="1"/>
  <c r="N20" i="23" s="1"/>
  <c r="Q20" i="23" s="1"/>
  <c r="N21" i="23" a="1"/>
  <c r="N21" i="23" s="1"/>
  <c r="Q21" i="23" s="1"/>
  <c r="N17" i="23" a="1"/>
  <c r="N17" i="23" s="1"/>
  <c r="E18" i="23" a="1"/>
  <c r="E18" i="23" s="1"/>
  <c r="E19" i="23" a="1"/>
  <c r="E19" i="23" s="1"/>
  <c r="E20" i="23" a="1"/>
  <c r="E20" i="23" s="1"/>
  <c r="E21" i="23" a="1"/>
  <c r="E21" i="23" s="1"/>
  <c r="E17" i="23" a="1"/>
  <c r="E17" i="23" s="1"/>
  <c r="H105" i="1"/>
  <c r="H204" i="1"/>
  <c r="H205" i="1"/>
  <c r="H206" i="1"/>
  <c r="H198" i="1"/>
  <c r="H224" i="1"/>
  <c r="H223" i="1"/>
  <c r="H222" i="1"/>
  <c r="H220" i="1"/>
  <c r="H219" i="1"/>
  <c r="H216" i="1"/>
  <c r="H215" i="1"/>
  <c r="M21" i="23" s="1" a="1"/>
  <c r="M21" i="23" s="1"/>
  <c r="H213" i="1"/>
  <c r="H211" i="1"/>
  <c r="H210" i="1"/>
  <c r="H208" i="1"/>
  <c r="H207" i="1"/>
  <c r="H203" i="1"/>
  <c r="H202" i="1"/>
  <c r="H201" i="1"/>
  <c r="H200" i="1"/>
  <c r="H199" i="1"/>
  <c r="A209" i="1"/>
  <c r="A212" i="1"/>
  <c r="A214" i="1"/>
  <c r="A217" i="1"/>
  <c r="A218" i="1"/>
  <c r="A221" i="1"/>
  <c r="A105" i="1"/>
  <c r="B209" i="1"/>
  <c r="B212" i="1"/>
  <c r="B214" i="1"/>
  <c r="B217" i="1"/>
  <c r="B218" i="1"/>
  <c r="B221" i="1"/>
  <c r="B105" i="1"/>
  <c r="C209" i="1"/>
  <c r="C212" i="1"/>
  <c r="C214" i="1"/>
  <c r="C217" i="1"/>
  <c r="C218" i="1"/>
  <c r="C221" i="1"/>
  <c r="C105" i="1"/>
  <c r="D209" i="1"/>
  <c r="D212" i="1"/>
  <c r="D214" i="1"/>
  <c r="D217" i="1"/>
  <c r="D218" i="1"/>
  <c r="D221" i="1"/>
  <c r="D105" i="1"/>
  <c r="H209" i="1"/>
  <c r="H212" i="1"/>
  <c r="H214" i="1"/>
  <c r="H217" i="1"/>
  <c r="H218" i="1"/>
  <c r="H221" i="1"/>
  <c r="A201" i="1"/>
  <c r="A202" i="1"/>
  <c r="A203" i="1"/>
  <c r="A204" i="1"/>
  <c r="A205" i="1"/>
  <c r="A206" i="1"/>
  <c r="A207" i="1"/>
  <c r="A208" i="1"/>
  <c r="A210" i="1"/>
  <c r="A211" i="1"/>
  <c r="A213" i="1"/>
  <c r="A215" i="1"/>
  <c r="A216" i="1"/>
  <c r="A219" i="1"/>
  <c r="A220" i="1"/>
  <c r="A222" i="1"/>
  <c r="A223" i="1"/>
  <c r="A224" i="1"/>
  <c r="A198" i="1"/>
  <c r="B201" i="1"/>
  <c r="B202" i="1"/>
  <c r="B203" i="1"/>
  <c r="B204" i="1"/>
  <c r="B205" i="1"/>
  <c r="B206" i="1"/>
  <c r="B207" i="1"/>
  <c r="B208" i="1"/>
  <c r="B210" i="1"/>
  <c r="B211" i="1"/>
  <c r="B213" i="1"/>
  <c r="B215" i="1"/>
  <c r="B216" i="1"/>
  <c r="B219" i="1"/>
  <c r="B220" i="1"/>
  <c r="B222" i="1"/>
  <c r="B223" i="1"/>
  <c r="B224" i="1"/>
  <c r="B198" i="1"/>
  <c r="C201" i="1"/>
  <c r="C202" i="1"/>
  <c r="C203" i="1"/>
  <c r="C204" i="1"/>
  <c r="C205" i="1"/>
  <c r="C206" i="1"/>
  <c r="C207" i="1"/>
  <c r="C208" i="1"/>
  <c r="C210" i="1"/>
  <c r="C211" i="1"/>
  <c r="C213" i="1"/>
  <c r="C215" i="1"/>
  <c r="C216" i="1"/>
  <c r="C219" i="1"/>
  <c r="C220" i="1"/>
  <c r="C222" i="1"/>
  <c r="C223" i="1"/>
  <c r="C224" i="1"/>
  <c r="C198" i="1"/>
  <c r="D201" i="1"/>
  <c r="D202" i="1"/>
  <c r="D203" i="1"/>
  <c r="D204" i="1"/>
  <c r="D205" i="1"/>
  <c r="D206" i="1"/>
  <c r="D207" i="1"/>
  <c r="D208" i="1"/>
  <c r="D210" i="1"/>
  <c r="D211" i="1"/>
  <c r="D213" i="1"/>
  <c r="D215" i="1"/>
  <c r="D216" i="1"/>
  <c r="D219" i="1"/>
  <c r="D220" i="1"/>
  <c r="D222" i="1"/>
  <c r="D223" i="1"/>
  <c r="D224" i="1"/>
  <c r="D198" i="1"/>
  <c r="A200" i="1"/>
  <c r="B200" i="1"/>
  <c r="C200" i="1"/>
  <c r="D200" i="1"/>
  <c r="A199" i="1"/>
  <c r="B199" i="1"/>
  <c r="C199" i="1"/>
  <c r="D199" i="1"/>
  <c r="P19" i="23" l="1"/>
  <c r="P20" i="23" s="1"/>
  <c r="P21" i="23" s="1"/>
  <c r="Q18" i="23"/>
  <c r="P26" i="23"/>
  <c r="Q26" i="23"/>
  <c r="P29" i="23"/>
  <c r="Q29" i="23"/>
  <c r="P25" i="23"/>
  <c r="Q25" i="23"/>
  <c r="P28" i="23"/>
  <c r="Q28" i="23"/>
  <c r="P24" i="23"/>
  <c r="Q24" i="23"/>
  <c r="P27" i="23"/>
  <c r="Q27" i="23"/>
  <c r="P22" i="23"/>
  <c r="Q22" i="23"/>
  <c r="P23" i="23"/>
  <c r="Q23" i="23"/>
  <c r="K11" i="23" a="1"/>
  <c r="K11" i="23" s="1"/>
  <c r="L11" i="23" a="1"/>
  <c r="L11" i="23" s="1"/>
  <c r="M11" i="23" a="1"/>
  <c r="M11" i="23" s="1"/>
  <c r="N11" i="23" a="1"/>
  <c r="N11" i="23" s="1"/>
  <c r="O11" i="23" a="1"/>
  <c r="O11" i="23" s="1"/>
  <c r="K12" i="23" a="1"/>
  <c r="K12" i="23" s="1"/>
  <c r="L12" i="23" a="1"/>
  <c r="L12" i="23" s="1"/>
  <c r="M12" i="23" a="1"/>
  <c r="M12" i="23" s="1"/>
  <c r="N12" i="23" a="1"/>
  <c r="N12" i="23" s="1"/>
  <c r="O12" i="23" a="1"/>
  <c r="O12" i="23" s="1"/>
  <c r="K13" i="23" a="1"/>
  <c r="K13" i="23" s="1"/>
  <c r="L13" i="23" a="1"/>
  <c r="L13" i="23" s="1"/>
  <c r="M13" i="23" a="1"/>
  <c r="M13" i="23" s="1"/>
  <c r="N13" i="23" a="1"/>
  <c r="N13" i="23" s="1"/>
  <c r="O13" i="23" a="1"/>
  <c r="O13" i="23" s="1"/>
  <c r="K14" i="23" a="1"/>
  <c r="K14" i="23" s="1"/>
  <c r="L14" i="23" a="1"/>
  <c r="L14" i="23" s="1"/>
  <c r="M14" i="23" a="1"/>
  <c r="M14" i="23" s="1"/>
  <c r="N14" i="23" a="1"/>
  <c r="N14" i="23" s="1"/>
  <c r="O14" i="23" a="1"/>
  <c r="O14" i="23" s="1"/>
  <c r="K15" i="23" a="1"/>
  <c r="K15" i="23" s="1"/>
  <c r="L15" i="23" a="1"/>
  <c r="L15" i="23" s="1"/>
  <c r="M15" i="23" a="1"/>
  <c r="M15" i="23" s="1"/>
  <c r="N15" i="23" a="1"/>
  <c r="N15" i="23" s="1"/>
  <c r="O15" i="23" a="1"/>
  <c r="O15" i="23" s="1"/>
  <c r="K16" i="23" a="1"/>
  <c r="K16" i="23" s="1"/>
  <c r="L16" i="23" a="1"/>
  <c r="L16" i="23" s="1"/>
  <c r="M16" i="23" a="1"/>
  <c r="M16" i="23" s="1"/>
  <c r="N16" i="23" a="1"/>
  <c r="N16" i="23" s="1"/>
  <c r="O16" i="23" a="1"/>
  <c r="O16" i="23" s="1"/>
  <c r="O17" i="23" a="1"/>
  <c r="O17" i="23" s="1"/>
  <c r="O18" i="23" a="1"/>
  <c r="O18" i="23" s="1"/>
  <c r="O19" i="23" a="1"/>
  <c r="O19" i="23" s="1"/>
  <c r="O20" i="23" a="1"/>
  <c r="O20" i="23" s="1"/>
  <c r="O21" i="23" a="1"/>
  <c r="O21" i="23" s="1"/>
  <c r="O10" i="23" a="1"/>
  <c r="O10" i="23" s="1"/>
  <c r="N10" i="23" a="1"/>
  <c r="N10" i="23" s="1"/>
  <c r="M10" i="23" a="1"/>
  <c r="M10" i="23" s="1"/>
  <c r="L10" i="23" a="1"/>
  <c r="L10" i="23" s="1"/>
  <c r="K10" i="23" a="1"/>
  <c r="K10" i="23" s="1"/>
  <c r="B10" i="23" a="1"/>
  <c r="B10" i="23" s="1"/>
  <c r="B11" i="23" a="1"/>
  <c r="B11" i="23" s="1"/>
  <c r="C11" i="23" a="1"/>
  <c r="C11" i="23" s="1"/>
  <c r="D11" i="23" a="1"/>
  <c r="D11" i="23" s="1"/>
  <c r="E11" i="23" a="1"/>
  <c r="E11" i="23" s="1"/>
  <c r="F11" i="23" a="1"/>
  <c r="F11" i="23" s="1"/>
  <c r="B12" i="23" a="1"/>
  <c r="B12" i="23" s="1"/>
  <c r="C12" i="23" a="1"/>
  <c r="C12" i="23" s="1"/>
  <c r="D12" i="23" a="1"/>
  <c r="D12" i="23" s="1"/>
  <c r="E12" i="23" a="1"/>
  <c r="E12" i="23" s="1"/>
  <c r="F12" i="23" a="1"/>
  <c r="F12" i="23" s="1"/>
  <c r="B13" i="23" a="1"/>
  <c r="B13" i="23" s="1"/>
  <c r="C13" i="23" a="1"/>
  <c r="C13" i="23" s="1"/>
  <c r="D13" i="23" a="1"/>
  <c r="D13" i="23" s="1"/>
  <c r="E13" i="23" a="1"/>
  <c r="E13" i="23" s="1"/>
  <c r="F13" i="23" a="1"/>
  <c r="F13" i="23" s="1"/>
  <c r="B14" i="23" a="1"/>
  <c r="B14" i="23" s="1"/>
  <c r="C14" i="23" a="1"/>
  <c r="C14" i="23" s="1"/>
  <c r="D14" i="23" a="1"/>
  <c r="D14" i="23" s="1"/>
  <c r="E14" i="23" a="1"/>
  <c r="E14" i="23" s="1"/>
  <c r="F14" i="23" a="1"/>
  <c r="F14" i="23" s="1"/>
  <c r="B15" i="23" a="1"/>
  <c r="B15" i="23" s="1"/>
  <c r="C15" i="23" a="1"/>
  <c r="C15" i="23" s="1"/>
  <c r="D15" i="23" a="1"/>
  <c r="D15" i="23" s="1"/>
  <c r="E15" i="23" a="1"/>
  <c r="E15" i="23" s="1"/>
  <c r="F15" i="23" a="1"/>
  <c r="F15" i="23" s="1"/>
  <c r="B16" i="23" a="1"/>
  <c r="B16" i="23" s="1"/>
  <c r="C16" i="23" a="1"/>
  <c r="C16" i="23" s="1"/>
  <c r="D16" i="23" a="1"/>
  <c r="D16" i="23" s="1"/>
  <c r="E16" i="23" a="1"/>
  <c r="E16" i="23" s="1"/>
  <c r="F16" i="23" a="1"/>
  <c r="F16" i="23" s="1"/>
  <c r="B17" i="23" a="1"/>
  <c r="B17" i="23" s="1"/>
  <c r="C17" i="23" a="1"/>
  <c r="C17" i="23" s="1"/>
  <c r="F17" i="23" a="1"/>
  <c r="F17" i="23" s="1"/>
  <c r="B18" i="23" a="1"/>
  <c r="B18" i="23" s="1"/>
  <c r="C18" i="23" a="1"/>
  <c r="C18" i="23" s="1"/>
  <c r="F18" i="23" a="1"/>
  <c r="F18" i="23" s="1"/>
  <c r="B19" i="23" a="1"/>
  <c r="B19" i="23" s="1"/>
  <c r="C19" i="23" a="1"/>
  <c r="C19" i="23" s="1"/>
  <c r="F19" i="23" a="1"/>
  <c r="F19" i="23" s="1"/>
  <c r="B20" i="23" a="1"/>
  <c r="B20" i="23" s="1"/>
  <c r="C20" i="23" a="1"/>
  <c r="C20" i="23" s="1"/>
  <c r="F20" i="23" a="1"/>
  <c r="F20" i="23" s="1"/>
  <c r="B21" i="23" a="1"/>
  <c r="B21" i="23" s="1"/>
  <c r="C21" i="23" a="1"/>
  <c r="C21" i="23" s="1"/>
  <c r="D21" i="23" a="1"/>
  <c r="D21" i="23" s="1"/>
  <c r="F21" i="23" a="1"/>
  <c r="F21" i="23" s="1"/>
  <c r="B22" i="23" a="1"/>
  <c r="B22" i="23" s="1"/>
  <c r="C22" i="23" a="1"/>
  <c r="C22" i="23" s="1"/>
  <c r="D22" i="23" a="1"/>
  <c r="D22" i="23" s="1"/>
  <c r="E22" i="23" a="1"/>
  <c r="E22" i="23" s="1"/>
  <c r="G22" i="23" s="1"/>
  <c r="F22" i="23" a="1"/>
  <c r="F22" i="23" s="1"/>
  <c r="B23" i="23" a="1"/>
  <c r="B23" i="23" s="1"/>
  <c r="C23" i="23" a="1"/>
  <c r="C23" i="23" s="1"/>
  <c r="D23" i="23" a="1"/>
  <c r="D23" i="23" s="1"/>
  <c r="E23" i="23" a="1"/>
  <c r="E23" i="23" s="1"/>
  <c r="F23" i="23" a="1"/>
  <c r="F23" i="23" s="1"/>
  <c r="B24" i="23" a="1"/>
  <c r="B24" i="23" s="1"/>
  <c r="C24" i="23" a="1"/>
  <c r="C24" i="23" s="1"/>
  <c r="D24" i="23" a="1"/>
  <c r="D24" i="23" s="1"/>
  <c r="E24" i="23" a="1"/>
  <c r="E24" i="23" s="1"/>
  <c r="F24" i="23" a="1"/>
  <c r="F24" i="23" s="1"/>
  <c r="B25" i="23" a="1"/>
  <c r="B25" i="23" s="1"/>
  <c r="C25" i="23" a="1"/>
  <c r="C25" i="23" s="1"/>
  <c r="D25" i="23" a="1"/>
  <c r="D25" i="23" s="1"/>
  <c r="E25" i="23" a="1"/>
  <c r="E25" i="23" s="1"/>
  <c r="F25" i="23" a="1"/>
  <c r="F25" i="23" s="1"/>
  <c r="B26" i="23" a="1"/>
  <c r="B26" i="23" s="1"/>
  <c r="C26" i="23" a="1"/>
  <c r="C26" i="23" s="1"/>
  <c r="D26" i="23" a="1"/>
  <c r="D26" i="23" s="1"/>
  <c r="E26" i="23" a="1"/>
  <c r="E26" i="23" s="1"/>
  <c r="G26" i="23" s="1"/>
  <c r="F26" i="23" a="1"/>
  <c r="F26" i="23" s="1"/>
  <c r="B27" i="23" a="1"/>
  <c r="B27" i="23" s="1"/>
  <c r="C27" i="23" a="1"/>
  <c r="C27" i="23" s="1"/>
  <c r="D27" i="23" a="1"/>
  <c r="D27" i="23" s="1"/>
  <c r="E27" i="23" a="1"/>
  <c r="E27" i="23" s="1"/>
  <c r="F27" i="23" a="1"/>
  <c r="F27" i="23" s="1"/>
  <c r="B28" i="23" a="1"/>
  <c r="B28" i="23" s="1"/>
  <c r="C28" i="23" a="1"/>
  <c r="C28" i="23" s="1"/>
  <c r="D28" i="23" a="1"/>
  <c r="D28" i="23" s="1"/>
  <c r="E28" i="23" a="1"/>
  <c r="E28" i="23" s="1"/>
  <c r="F28" i="23" a="1"/>
  <c r="F28" i="23" s="1"/>
  <c r="B29" i="23" a="1"/>
  <c r="B29" i="23" s="1"/>
  <c r="C29" i="23" a="1"/>
  <c r="C29" i="23" s="1"/>
  <c r="D29" i="23" a="1"/>
  <c r="D29" i="23" s="1"/>
  <c r="E29" i="23" a="1"/>
  <c r="E29" i="23" s="1"/>
  <c r="F29" i="23" a="1"/>
  <c r="F29" i="23" s="1"/>
  <c r="F10" i="23" a="1"/>
  <c r="F10" i="23" s="1"/>
  <c r="E10" i="23" a="1"/>
  <c r="E10" i="23" s="1"/>
  <c r="D10" i="23" a="1"/>
  <c r="D10" i="23" s="1"/>
  <c r="C10" i="23" a="1"/>
  <c r="C10" i="23" s="1"/>
  <c r="B10" i="21" a="1"/>
  <c r="B10" i="21" s="1"/>
  <c r="C10" i="21" a="1"/>
  <c r="C10" i="21" s="1"/>
  <c r="E10" i="21" a="1"/>
  <c r="E10" i="21" s="1"/>
  <c r="F10" i="21" a="1"/>
  <c r="F10" i="21" s="1"/>
  <c r="K10" i="21" a="1"/>
  <c r="K10" i="21" s="1"/>
  <c r="L10" i="21" a="1"/>
  <c r="L10" i="21" s="1"/>
  <c r="N10" i="21" a="1"/>
  <c r="N10" i="21" s="1"/>
  <c r="O10" i="21" a="1"/>
  <c r="O10" i="21" s="1"/>
  <c r="B11" i="21" a="1"/>
  <c r="B11" i="21" s="1"/>
  <c r="C11" i="21" a="1"/>
  <c r="C11" i="21" s="1"/>
  <c r="E11" i="21" a="1"/>
  <c r="E11" i="21" s="1"/>
  <c r="F11" i="21" a="1"/>
  <c r="F11" i="21" s="1"/>
  <c r="K11" i="21" a="1"/>
  <c r="K11" i="21" s="1"/>
  <c r="L11" i="21" a="1"/>
  <c r="L11" i="21" s="1"/>
  <c r="N11" i="21" a="1"/>
  <c r="N11" i="21" s="1"/>
  <c r="O11" i="21" a="1"/>
  <c r="O11" i="21" s="1"/>
  <c r="C17" i="20" a="1"/>
  <c r="C17" i="20" s="1"/>
  <c r="C18" i="20" a="1"/>
  <c r="C18" i="20" s="1"/>
  <c r="C19" i="20" a="1"/>
  <c r="C19" i="20" s="1"/>
  <c r="C20" i="20" a="1"/>
  <c r="C20" i="20" s="1"/>
  <c r="D20" i="20" a="1"/>
  <c r="D20" i="20" s="1"/>
  <c r="C21" i="20" a="1"/>
  <c r="C21" i="20" s="1"/>
  <c r="D21" i="20" a="1"/>
  <c r="D21" i="20" s="1"/>
  <c r="C22" i="20" a="1"/>
  <c r="C22" i="20" s="1"/>
  <c r="D22" i="20" a="1"/>
  <c r="D22" i="20" s="1"/>
  <c r="C23" i="20" a="1"/>
  <c r="C23" i="20" s="1"/>
  <c r="D23" i="20" a="1"/>
  <c r="D23" i="20" s="1"/>
  <c r="C24" i="20" a="1"/>
  <c r="C24" i="20" s="1"/>
  <c r="D24" i="20" a="1"/>
  <c r="D24" i="20" s="1"/>
  <c r="C25" i="20" a="1"/>
  <c r="C25" i="20" s="1"/>
  <c r="D25" i="20" a="1"/>
  <c r="D25" i="20" s="1"/>
  <c r="C26" i="20" a="1"/>
  <c r="C26" i="20" s="1"/>
  <c r="D26" i="20" a="1"/>
  <c r="D26" i="20" s="1"/>
  <c r="C27" i="20" a="1"/>
  <c r="C27" i="20" s="1"/>
  <c r="D27" i="20" a="1"/>
  <c r="D27" i="20" s="1"/>
  <c r="C16" i="20" a="1"/>
  <c r="C16" i="20" s="1"/>
  <c r="T10" i="20" a="1"/>
  <c r="T10" i="20" s="1"/>
  <c r="U10" i="20" a="1"/>
  <c r="U10" i="20" s="1"/>
  <c r="V10" i="20" a="1"/>
  <c r="V10" i="20" s="1"/>
  <c r="W10" i="20" a="1"/>
  <c r="W10" i="20" s="1"/>
  <c r="X10" i="20" a="1"/>
  <c r="X10" i="20" s="1"/>
  <c r="T11" i="20" a="1"/>
  <c r="T11" i="20" s="1"/>
  <c r="U11" i="20" a="1"/>
  <c r="U11" i="20" s="1"/>
  <c r="V11" i="20" a="1"/>
  <c r="V11" i="20" s="1"/>
  <c r="W11" i="20" a="1"/>
  <c r="W11" i="20" s="1"/>
  <c r="X11" i="20" a="1"/>
  <c r="X11" i="20" s="1"/>
  <c r="T12" i="20" a="1"/>
  <c r="T12" i="20" s="1"/>
  <c r="U12" i="20" a="1"/>
  <c r="U12" i="20" s="1"/>
  <c r="V12" i="20" a="1"/>
  <c r="V12" i="20" s="1"/>
  <c r="W12" i="20" a="1"/>
  <c r="W12" i="20" s="1"/>
  <c r="X12" i="20" a="1"/>
  <c r="X12" i="20" s="1"/>
  <c r="T13" i="20" a="1"/>
  <c r="T13" i="20" s="1"/>
  <c r="U13" i="20" a="1"/>
  <c r="U13" i="20" s="1"/>
  <c r="V13" i="20" a="1"/>
  <c r="V13" i="20" s="1"/>
  <c r="W13" i="20" a="1"/>
  <c r="W13" i="20" s="1"/>
  <c r="X13" i="20" a="1"/>
  <c r="X13" i="20" s="1"/>
  <c r="T14" i="20" a="1"/>
  <c r="T14" i="20" s="1"/>
  <c r="U14" i="20" a="1"/>
  <c r="U14" i="20" s="1"/>
  <c r="V14" i="20" a="1"/>
  <c r="V14" i="20" s="1"/>
  <c r="W14" i="20" a="1"/>
  <c r="W14" i="20" s="1"/>
  <c r="X14" i="20" a="1"/>
  <c r="X14" i="20" s="1"/>
  <c r="T15" i="20" a="1"/>
  <c r="T15" i="20" s="1"/>
  <c r="U15" i="20" a="1"/>
  <c r="U15" i="20" s="1"/>
  <c r="V15" i="20" a="1"/>
  <c r="V15" i="20" s="1"/>
  <c r="W15" i="20" a="1"/>
  <c r="W15" i="20" s="1"/>
  <c r="X15" i="20" a="1"/>
  <c r="X15" i="20" s="1"/>
  <c r="T16" i="20" a="1"/>
  <c r="T16" i="20" s="1"/>
  <c r="U16" i="20" a="1"/>
  <c r="U16" i="20" s="1"/>
  <c r="V16" i="20" a="1"/>
  <c r="V16" i="20" s="1"/>
  <c r="W16" i="20" a="1"/>
  <c r="W16" i="20" s="1"/>
  <c r="X16" i="20" a="1"/>
  <c r="X16" i="20" s="1"/>
  <c r="T17" i="20" a="1"/>
  <c r="T17" i="20" s="1"/>
  <c r="U17" i="20" a="1"/>
  <c r="U17" i="20" s="1"/>
  <c r="V17" i="20" a="1"/>
  <c r="V17" i="20" s="1"/>
  <c r="W17" i="20" a="1"/>
  <c r="W17" i="20" s="1"/>
  <c r="X17" i="20" a="1"/>
  <c r="X17" i="20" s="1"/>
  <c r="T18" i="20" a="1"/>
  <c r="T18" i="20" s="1"/>
  <c r="U18" i="20" a="1"/>
  <c r="U18" i="20" s="1"/>
  <c r="W18" i="20" a="1"/>
  <c r="W18" i="20" s="1"/>
  <c r="X18" i="20" a="1"/>
  <c r="X18" i="20" s="1"/>
  <c r="T19" i="20" a="1"/>
  <c r="T19" i="20" s="1"/>
  <c r="U19" i="20" a="1"/>
  <c r="U19" i="20" s="1"/>
  <c r="W19" i="20" a="1"/>
  <c r="W19" i="20" s="1"/>
  <c r="X19" i="20" a="1"/>
  <c r="X19" i="20" s="1"/>
  <c r="T20" i="20" a="1"/>
  <c r="T20" i="20" s="1"/>
  <c r="U20" i="20" a="1"/>
  <c r="U20" i="20" s="1"/>
  <c r="V20" i="20" a="1"/>
  <c r="V20" i="20" s="1"/>
  <c r="W20" i="20" a="1"/>
  <c r="W20" i="20" s="1"/>
  <c r="X20" i="20" a="1"/>
  <c r="X20" i="20" s="1"/>
  <c r="T21" i="20" a="1"/>
  <c r="T21" i="20" s="1"/>
  <c r="U21" i="20" a="1"/>
  <c r="U21" i="20" s="1"/>
  <c r="V21" i="20" a="1"/>
  <c r="V21" i="20" s="1"/>
  <c r="W21" i="20" a="1"/>
  <c r="W21" i="20" s="1"/>
  <c r="X21" i="20" a="1"/>
  <c r="X21" i="20" s="1"/>
  <c r="T22" i="20" a="1"/>
  <c r="T22" i="20" s="1"/>
  <c r="U22" i="20" a="1"/>
  <c r="U22" i="20" s="1"/>
  <c r="V22" i="20" a="1"/>
  <c r="V22" i="20" s="1"/>
  <c r="W22" i="20" a="1"/>
  <c r="W22" i="20" s="1"/>
  <c r="X22" i="20" a="1"/>
  <c r="X22" i="20" s="1"/>
  <c r="T23" i="20" a="1"/>
  <c r="T23" i="20" s="1"/>
  <c r="U23" i="20" a="1"/>
  <c r="U23" i="20" s="1"/>
  <c r="V23" i="20" a="1"/>
  <c r="V23" i="20" s="1"/>
  <c r="W23" i="20" a="1"/>
  <c r="W23" i="20" s="1"/>
  <c r="X23" i="20" a="1"/>
  <c r="X23" i="20" s="1"/>
  <c r="T24" i="20" a="1"/>
  <c r="T24" i="20" s="1"/>
  <c r="U24" i="20" a="1"/>
  <c r="U24" i="20" s="1"/>
  <c r="V24" i="20" a="1"/>
  <c r="V24" i="20" s="1"/>
  <c r="W24" i="20" a="1"/>
  <c r="W24" i="20" s="1"/>
  <c r="X24" i="20" a="1"/>
  <c r="X24" i="20" s="1"/>
  <c r="T25" i="20" a="1"/>
  <c r="T25" i="20" s="1"/>
  <c r="U25" i="20" a="1"/>
  <c r="U25" i="20" s="1"/>
  <c r="V25" i="20" a="1"/>
  <c r="V25" i="20" s="1"/>
  <c r="W25" i="20" a="1"/>
  <c r="W25" i="20" s="1"/>
  <c r="X25" i="20" a="1"/>
  <c r="X25" i="20" s="1"/>
  <c r="T26" i="20" a="1"/>
  <c r="T26" i="20" s="1"/>
  <c r="U26" i="20" a="1"/>
  <c r="U26" i="20" s="1"/>
  <c r="V26" i="20" a="1"/>
  <c r="V26" i="20" s="1"/>
  <c r="W26" i="20" a="1"/>
  <c r="W26" i="20" s="1"/>
  <c r="X26" i="20" a="1"/>
  <c r="X26" i="20" s="1"/>
  <c r="T27" i="20" a="1"/>
  <c r="T27" i="20" s="1"/>
  <c r="U27" i="20" a="1"/>
  <c r="U27" i="20" s="1"/>
  <c r="V27" i="20" a="1"/>
  <c r="V27" i="20" s="1"/>
  <c r="W27" i="20" a="1"/>
  <c r="W27" i="20" s="1"/>
  <c r="X27" i="20" a="1"/>
  <c r="X27" i="20" s="1"/>
  <c r="X9" i="20" a="1"/>
  <c r="X9" i="20" s="1"/>
  <c r="W9" i="20" a="1"/>
  <c r="W9" i="20" s="1"/>
  <c r="V9" i="20" a="1"/>
  <c r="V9" i="20" s="1"/>
  <c r="U9" i="20" a="1"/>
  <c r="U9" i="20" s="1"/>
  <c r="T9" i="20" a="1"/>
  <c r="T9" i="20" s="1"/>
  <c r="B10" i="20" a="1"/>
  <c r="B10" i="20" s="1"/>
  <c r="C10" i="20"/>
  <c r="D10" i="20"/>
  <c r="E10" i="20" a="1"/>
  <c r="E10" i="20" s="1"/>
  <c r="F10" i="20" a="1"/>
  <c r="F10" i="20" s="1"/>
  <c r="B11" i="20" a="1"/>
  <c r="B11" i="20" s="1"/>
  <c r="C11" i="20"/>
  <c r="D11" i="20"/>
  <c r="E11" i="20" a="1"/>
  <c r="E11" i="20" s="1"/>
  <c r="F11" i="20" a="1"/>
  <c r="F11" i="20" s="1"/>
  <c r="B12" i="20" a="1"/>
  <c r="B12" i="20" s="1"/>
  <c r="C12" i="20"/>
  <c r="D12" i="20"/>
  <c r="E12" i="20" a="1"/>
  <c r="E12" i="20" s="1"/>
  <c r="F12" i="20" a="1"/>
  <c r="F12" i="20" s="1"/>
  <c r="B13" i="20" a="1"/>
  <c r="B13" i="20" s="1"/>
  <c r="C13" i="20"/>
  <c r="D13" i="20"/>
  <c r="E13" i="20" a="1"/>
  <c r="E13" i="20" s="1"/>
  <c r="F13" i="20" a="1"/>
  <c r="F13" i="20" s="1"/>
  <c r="B14" i="20" a="1"/>
  <c r="B14" i="20" s="1"/>
  <c r="C14" i="20"/>
  <c r="D14" i="20"/>
  <c r="E14" i="20" a="1"/>
  <c r="E14" i="20" s="1"/>
  <c r="F14" i="20" a="1"/>
  <c r="F14" i="20" s="1"/>
  <c r="B15" i="20" a="1"/>
  <c r="B15" i="20" s="1"/>
  <c r="C15" i="20"/>
  <c r="D15" i="20"/>
  <c r="E15" i="20" a="1"/>
  <c r="E15" i="20" s="1"/>
  <c r="F15" i="20" a="1"/>
  <c r="F15" i="20" s="1"/>
  <c r="B16" i="20" a="1"/>
  <c r="B16" i="20" s="1"/>
  <c r="E16" i="20" a="1"/>
  <c r="E16" i="20" s="1"/>
  <c r="F16" i="20" a="1"/>
  <c r="F16" i="20" s="1"/>
  <c r="B17" i="20" a="1"/>
  <c r="B17" i="20" s="1"/>
  <c r="E17" i="20" a="1"/>
  <c r="E17" i="20" s="1"/>
  <c r="F17" i="20" a="1"/>
  <c r="F17" i="20" s="1"/>
  <c r="B18" i="20" a="1"/>
  <c r="B18" i="20" s="1"/>
  <c r="E18" i="20" a="1"/>
  <c r="E18" i="20" s="1"/>
  <c r="F18" i="20" a="1"/>
  <c r="F18" i="20" s="1"/>
  <c r="B19" i="20" a="1"/>
  <c r="B19" i="20" s="1"/>
  <c r="E19" i="20" a="1"/>
  <c r="E19" i="20" s="1"/>
  <c r="H19" i="20" s="1"/>
  <c r="F19" i="20" a="1"/>
  <c r="F19" i="20" s="1"/>
  <c r="B20" i="20" a="1"/>
  <c r="B20" i="20" s="1"/>
  <c r="E20" i="20" a="1"/>
  <c r="E20" i="20" s="1"/>
  <c r="H20" i="20" s="1"/>
  <c r="F20" i="20" a="1"/>
  <c r="F20" i="20" s="1"/>
  <c r="B21" i="20" a="1"/>
  <c r="B21" i="20" s="1"/>
  <c r="E21" i="20" a="1"/>
  <c r="E21" i="20" s="1"/>
  <c r="H21" i="20" s="1"/>
  <c r="F21" i="20" a="1"/>
  <c r="F21" i="20" s="1"/>
  <c r="B22" i="20" a="1"/>
  <c r="B22" i="20" s="1"/>
  <c r="E22" i="20" a="1"/>
  <c r="E22" i="20" s="1"/>
  <c r="H22" i="20" s="1"/>
  <c r="F22" i="20" a="1"/>
  <c r="F22" i="20" s="1"/>
  <c r="B23" i="20" a="1"/>
  <c r="B23" i="20" s="1"/>
  <c r="E23" i="20" a="1"/>
  <c r="E23" i="20" s="1"/>
  <c r="H23" i="20" s="1"/>
  <c r="F23" i="20" a="1"/>
  <c r="F23" i="20" s="1"/>
  <c r="B24" i="20" a="1"/>
  <c r="B24" i="20" s="1"/>
  <c r="E24" i="20" a="1"/>
  <c r="E24" i="20" s="1"/>
  <c r="H24" i="20" s="1"/>
  <c r="F24" i="20" a="1"/>
  <c r="F24" i="20" s="1"/>
  <c r="B25" i="20" a="1"/>
  <c r="B25" i="20" s="1"/>
  <c r="E25" i="20" a="1"/>
  <c r="E25" i="20" s="1"/>
  <c r="H25" i="20" s="1"/>
  <c r="F25" i="20" a="1"/>
  <c r="F25" i="20" s="1"/>
  <c r="B26" i="20" a="1"/>
  <c r="B26" i="20" s="1"/>
  <c r="E26" i="20" a="1"/>
  <c r="E26" i="20" s="1"/>
  <c r="H26" i="20" s="1"/>
  <c r="F26" i="20" a="1"/>
  <c r="F26" i="20" s="1"/>
  <c r="B27" i="20" a="1"/>
  <c r="B27" i="20" s="1"/>
  <c r="E27" i="20" a="1"/>
  <c r="E27" i="20" s="1"/>
  <c r="H27" i="20" s="1"/>
  <c r="F27" i="20" a="1"/>
  <c r="F27" i="20" s="1"/>
  <c r="F9" i="20" a="1"/>
  <c r="F9" i="20" s="1"/>
  <c r="E9" i="20" a="1"/>
  <c r="E9" i="20" s="1"/>
  <c r="D9" i="20"/>
  <c r="C9" i="20"/>
  <c r="B9" i="20" a="1"/>
  <c r="B9" i="20" s="1"/>
  <c r="O27" i="20" a="1"/>
  <c r="O27" i="20" s="1"/>
  <c r="N27" i="20" a="1"/>
  <c r="N27" i="20" s="1"/>
  <c r="M27" i="20" a="1"/>
  <c r="M27" i="20" s="1"/>
  <c r="L27" i="20" a="1"/>
  <c r="L27" i="20" s="1"/>
  <c r="K27" i="20" a="1"/>
  <c r="K27" i="20" s="1"/>
  <c r="O26" i="20" a="1"/>
  <c r="O26" i="20" s="1"/>
  <c r="N26" i="20" a="1"/>
  <c r="N26" i="20" s="1"/>
  <c r="M26" i="20" a="1"/>
  <c r="M26" i="20" s="1"/>
  <c r="L26" i="20" a="1"/>
  <c r="L26" i="20" s="1"/>
  <c r="K26" i="20" a="1"/>
  <c r="K26" i="20" s="1"/>
  <c r="O25" i="20" a="1"/>
  <c r="O25" i="20" s="1"/>
  <c r="N25" i="20" a="1"/>
  <c r="N25" i="20" s="1"/>
  <c r="M25" i="20" a="1"/>
  <c r="M25" i="20" s="1"/>
  <c r="L25" i="20" a="1"/>
  <c r="L25" i="20" s="1"/>
  <c r="K25" i="20" a="1"/>
  <c r="K25" i="20" s="1"/>
  <c r="O24" i="20" a="1"/>
  <c r="O24" i="20" s="1"/>
  <c r="N24" i="20" a="1"/>
  <c r="N24" i="20" s="1"/>
  <c r="M24" i="20" a="1"/>
  <c r="M24" i="20" s="1"/>
  <c r="L24" i="20" a="1"/>
  <c r="L24" i="20" s="1"/>
  <c r="K24" i="20" a="1"/>
  <c r="K24" i="20" s="1"/>
  <c r="O23" i="20" a="1"/>
  <c r="O23" i="20" s="1"/>
  <c r="N23" i="20" a="1"/>
  <c r="N23" i="20" s="1"/>
  <c r="M23" i="20" a="1"/>
  <c r="M23" i="20" s="1"/>
  <c r="L23" i="20" a="1"/>
  <c r="L23" i="20" s="1"/>
  <c r="K23" i="20" a="1"/>
  <c r="K23" i="20" s="1"/>
  <c r="O22" i="20" a="1"/>
  <c r="O22" i="20" s="1"/>
  <c r="N22" i="20" a="1"/>
  <c r="N22" i="20" s="1"/>
  <c r="M22" i="20" a="1"/>
  <c r="M22" i="20" s="1"/>
  <c r="L22" i="20" a="1"/>
  <c r="L22" i="20" s="1"/>
  <c r="K22" i="20" a="1"/>
  <c r="K22" i="20" s="1"/>
  <c r="O21" i="20" a="1"/>
  <c r="O21" i="20" s="1"/>
  <c r="N21" i="20" a="1"/>
  <c r="N21" i="20" s="1"/>
  <c r="M21" i="20" a="1"/>
  <c r="M21" i="20" s="1"/>
  <c r="L21" i="20" a="1"/>
  <c r="L21" i="20" s="1"/>
  <c r="K21" i="20" a="1"/>
  <c r="K21" i="20" s="1"/>
  <c r="O20" i="20" a="1"/>
  <c r="O20" i="20" s="1"/>
  <c r="N20" i="20" a="1"/>
  <c r="N20" i="20" s="1"/>
  <c r="M20" i="20" a="1"/>
  <c r="M20" i="20" s="1"/>
  <c r="L20" i="20" a="1"/>
  <c r="L20" i="20" s="1"/>
  <c r="K20" i="20" a="1"/>
  <c r="K20" i="20" s="1"/>
  <c r="O19" i="20" a="1"/>
  <c r="O19" i="20" s="1"/>
  <c r="N19" i="20" a="1"/>
  <c r="N19" i="20" s="1"/>
  <c r="Q19" i="20" s="1"/>
  <c r="L19" i="20" a="1"/>
  <c r="L19" i="20" s="1"/>
  <c r="K19" i="20" a="1"/>
  <c r="K19" i="20" s="1"/>
  <c r="O18" i="20" a="1"/>
  <c r="O18" i="20" s="1"/>
  <c r="N18" i="20" a="1"/>
  <c r="N18" i="20" s="1"/>
  <c r="L18" i="20" a="1"/>
  <c r="L18" i="20" s="1"/>
  <c r="K18" i="20" a="1"/>
  <c r="K18" i="20" s="1"/>
  <c r="O17" i="20" a="1"/>
  <c r="O17" i="20" s="1"/>
  <c r="N17" i="20" a="1"/>
  <c r="N17" i="20" s="1"/>
  <c r="L17" i="20" a="1"/>
  <c r="L17" i="20" s="1"/>
  <c r="K17" i="20" a="1"/>
  <c r="K17" i="20" s="1"/>
  <c r="O16" i="20" a="1"/>
  <c r="O16" i="20" s="1"/>
  <c r="N16" i="20" a="1"/>
  <c r="N16" i="20" s="1"/>
  <c r="L16" i="20" a="1"/>
  <c r="L16" i="20" s="1"/>
  <c r="K16" i="20" a="1"/>
  <c r="K16" i="20" s="1"/>
  <c r="O15" i="20" a="1"/>
  <c r="O15" i="20" s="1"/>
  <c r="N15" i="20" a="1"/>
  <c r="N15" i="20" s="1"/>
  <c r="L15" i="20" a="1"/>
  <c r="L15" i="20" s="1"/>
  <c r="K15" i="20" a="1"/>
  <c r="K15" i="20" s="1"/>
  <c r="O14" i="20" a="1"/>
  <c r="O14" i="20" s="1"/>
  <c r="N14" i="20" a="1"/>
  <c r="N14" i="20" s="1"/>
  <c r="L14" i="20" a="1"/>
  <c r="L14" i="20" s="1"/>
  <c r="K14" i="20" a="1"/>
  <c r="K14" i="20" s="1"/>
  <c r="O13" i="20" a="1"/>
  <c r="O13" i="20" s="1"/>
  <c r="N13" i="20" a="1"/>
  <c r="N13" i="20" s="1"/>
  <c r="L13" i="20" a="1"/>
  <c r="L13" i="20" s="1"/>
  <c r="K13" i="20" a="1"/>
  <c r="K13" i="20" s="1"/>
  <c r="O12" i="20" a="1"/>
  <c r="O12" i="20" s="1"/>
  <c r="N12" i="20" a="1"/>
  <c r="N12" i="20" s="1"/>
  <c r="L12" i="20" a="1"/>
  <c r="L12" i="20" s="1"/>
  <c r="K12" i="20" a="1"/>
  <c r="K12" i="20" s="1"/>
  <c r="O11" i="20" a="1"/>
  <c r="O11" i="20" s="1"/>
  <c r="N11" i="20" a="1"/>
  <c r="N11" i="20" s="1"/>
  <c r="L11" i="20" a="1"/>
  <c r="L11" i="20" s="1"/>
  <c r="K11" i="20" a="1"/>
  <c r="K11" i="20" s="1"/>
  <c r="O10" i="20" a="1"/>
  <c r="O10" i="20" s="1"/>
  <c r="N10" i="20" a="1"/>
  <c r="N10" i="20" s="1"/>
  <c r="L10" i="20" a="1"/>
  <c r="L10" i="20" s="1"/>
  <c r="K10" i="20" a="1"/>
  <c r="K10" i="20" s="1"/>
  <c r="O9" i="20" a="1"/>
  <c r="O9" i="20" s="1"/>
  <c r="N9" i="20" a="1"/>
  <c r="N9" i="20" s="1"/>
  <c r="L9" i="20" a="1"/>
  <c r="L9" i="20" s="1"/>
  <c r="K9" i="20" a="1"/>
  <c r="K9" i="20" s="1"/>
  <c r="H20" i="23" l="1"/>
  <c r="G18" i="23"/>
  <c r="G19" i="23" s="1"/>
  <c r="G20" i="23" s="1"/>
  <c r="H18" i="23"/>
  <c r="H19" i="23"/>
  <c r="H28" i="23"/>
  <c r="H24" i="23"/>
  <c r="G28" i="23"/>
  <c r="G24" i="23"/>
  <c r="H27" i="23"/>
  <c r="H23" i="23"/>
  <c r="G27" i="23"/>
  <c r="G23" i="23"/>
  <c r="G21" i="23"/>
  <c r="H26" i="23"/>
  <c r="H22" i="23"/>
  <c r="H21" i="23"/>
  <c r="H29" i="23"/>
  <c r="H25" i="23"/>
  <c r="G29" i="23"/>
  <c r="G25" i="23"/>
  <c r="G11" i="21"/>
  <c r="H11" i="21"/>
  <c r="P11" i="21"/>
  <c r="Q11" i="21"/>
  <c r="Z16" i="20"/>
  <c r="Y18" i="20"/>
  <c r="Y19" i="20" s="1"/>
  <c r="Z15" i="20"/>
  <c r="Z12" i="20"/>
  <c r="Z14" i="20"/>
  <c r="Z13" i="20"/>
  <c r="Z10" i="20"/>
  <c r="Y10" i="20"/>
  <c r="Y11" i="20" s="1"/>
  <c r="Y12" i="20" s="1"/>
  <c r="Y13" i="20" s="1"/>
  <c r="Y14" i="20" s="1"/>
  <c r="Y15" i="20" s="1"/>
  <c r="Y16" i="20" s="1"/>
  <c r="Y17" i="20" s="1"/>
  <c r="Z17" i="20"/>
  <c r="Z11" i="20"/>
  <c r="Z19" i="20"/>
  <c r="Q13" i="20"/>
  <c r="Q10" i="20"/>
  <c r="P10" i="20"/>
  <c r="P11" i="20" s="1"/>
  <c r="P12" i="20" s="1"/>
  <c r="P13" i="20" s="1"/>
  <c r="P14" i="20" s="1"/>
  <c r="P15" i="20" s="1"/>
  <c r="P16" i="20" s="1"/>
  <c r="P17" i="20" s="1"/>
  <c r="P18" i="20"/>
  <c r="P19" i="20" s="1"/>
  <c r="Q15" i="20"/>
  <c r="Q17" i="20"/>
  <c r="Q18" i="20" s="1"/>
  <c r="Q12" i="20"/>
  <c r="Q14" i="20"/>
  <c r="Q11" i="20"/>
  <c r="Q16" i="20"/>
  <c r="A172" i="1"/>
  <c r="B172" i="1"/>
  <c r="C172" i="1"/>
  <c r="D172" i="1"/>
  <c r="H172" i="1"/>
  <c r="K20" i="15" a="1"/>
  <c r="K20" i="15" s="1"/>
  <c r="K21" i="15" a="1"/>
  <c r="K21" i="15" s="1"/>
  <c r="K22" i="15" a="1"/>
  <c r="K22" i="15" s="1"/>
  <c r="K23" i="15" a="1"/>
  <c r="K23" i="15" s="1"/>
  <c r="K24" i="15" a="1"/>
  <c r="K24" i="15" s="1"/>
  <c r="K25" i="15" a="1"/>
  <c r="K25" i="15" s="1"/>
  <c r="K26" i="15" a="1"/>
  <c r="K26" i="15" s="1"/>
  <c r="K27" i="15" a="1"/>
  <c r="K27" i="15" s="1"/>
  <c r="K28" i="15" a="1"/>
  <c r="K28" i="15" s="1"/>
  <c r="K29" i="15" a="1"/>
  <c r="K29" i="15" s="1"/>
  <c r="K30" i="15" a="1"/>
  <c r="K30" i="15" s="1"/>
  <c r="K31" i="15" a="1"/>
  <c r="K31" i="15" s="1"/>
  <c r="K32" i="15" a="1"/>
  <c r="K32" i="15" s="1"/>
  <c r="K33" i="15" a="1"/>
  <c r="K33" i="15" s="1"/>
  <c r="K34" i="15" a="1"/>
  <c r="K34" i="15" s="1"/>
  <c r="L20" i="15" a="1"/>
  <c r="L20" i="15" s="1"/>
  <c r="L21" i="15" a="1"/>
  <c r="L21" i="15" s="1"/>
  <c r="L22" i="15" a="1"/>
  <c r="L22" i="15" s="1"/>
  <c r="L23" i="15" a="1"/>
  <c r="L23" i="15" s="1"/>
  <c r="L24" i="15" a="1"/>
  <c r="L24" i="15" s="1"/>
  <c r="L25" i="15" a="1"/>
  <c r="L25" i="15" s="1"/>
  <c r="L26" i="15" a="1"/>
  <c r="L26" i="15" s="1"/>
  <c r="L27" i="15" a="1"/>
  <c r="L27" i="15" s="1"/>
  <c r="L28" i="15" a="1"/>
  <c r="L28" i="15" s="1"/>
  <c r="L29" i="15" a="1"/>
  <c r="L29" i="15" s="1"/>
  <c r="L30" i="15" a="1"/>
  <c r="L30" i="15" s="1"/>
  <c r="L31" i="15" a="1"/>
  <c r="L31" i="15" s="1"/>
  <c r="L32" i="15" a="1"/>
  <c r="L32" i="15" s="1"/>
  <c r="L33" i="15" a="1"/>
  <c r="L33" i="15" s="1"/>
  <c r="L34" i="15" a="1"/>
  <c r="L34" i="15" s="1"/>
  <c r="M20" i="15" a="1"/>
  <c r="M20" i="15" s="1"/>
  <c r="M21" i="15" a="1"/>
  <c r="M21" i="15" s="1"/>
  <c r="M22" i="15" a="1"/>
  <c r="M22" i="15" s="1"/>
  <c r="M23" i="15" a="1"/>
  <c r="M23" i="15" s="1"/>
  <c r="M24" i="15" a="1"/>
  <c r="M24" i="15" s="1"/>
  <c r="M25" i="15" a="1"/>
  <c r="M25" i="15" s="1"/>
  <c r="M26" i="15" a="1"/>
  <c r="M26" i="15" s="1"/>
  <c r="M27" i="15" a="1"/>
  <c r="M27" i="15" s="1"/>
  <c r="M28" i="15" a="1"/>
  <c r="M28" i="15" s="1"/>
  <c r="M29" i="15" a="1"/>
  <c r="M29" i="15" s="1"/>
  <c r="M30" i="15" a="1"/>
  <c r="M30" i="15" s="1"/>
  <c r="M31" i="15" a="1"/>
  <c r="M31" i="15" s="1"/>
  <c r="M32" i="15" a="1"/>
  <c r="M32" i="15" s="1"/>
  <c r="M33" i="15" a="1"/>
  <c r="M33" i="15" s="1"/>
  <c r="M34" i="15" a="1"/>
  <c r="M34" i="15" s="1"/>
  <c r="N20" i="15" a="1"/>
  <c r="N20" i="15" s="1"/>
  <c r="N21" i="15" a="1"/>
  <c r="N21" i="15" s="1"/>
  <c r="N22" i="15" a="1"/>
  <c r="N22" i="15" s="1"/>
  <c r="N23" i="15" a="1"/>
  <c r="N23" i="15" s="1"/>
  <c r="N24" i="15" a="1"/>
  <c r="N24" i="15" s="1"/>
  <c r="N25" i="15" a="1"/>
  <c r="N25" i="15" s="1"/>
  <c r="N26" i="15" a="1"/>
  <c r="N26" i="15" s="1"/>
  <c r="N27" i="15" a="1"/>
  <c r="N27" i="15" s="1"/>
  <c r="N28" i="15" a="1"/>
  <c r="N28" i="15" s="1"/>
  <c r="N29" i="15" a="1"/>
  <c r="N29" i="15" s="1"/>
  <c r="N30" i="15" a="1"/>
  <c r="N30" i="15" s="1"/>
  <c r="N31" i="15" a="1"/>
  <c r="N31" i="15" s="1"/>
  <c r="N32" i="15" a="1"/>
  <c r="N32" i="15" s="1"/>
  <c r="N33" i="15" a="1"/>
  <c r="N33" i="15" s="1"/>
  <c r="N34" i="15" a="1"/>
  <c r="N34" i="15" s="1"/>
  <c r="O20" i="15" a="1"/>
  <c r="O20" i="15" s="1"/>
  <c r="O21" i="15" a="1"/>
  <c r="O21" i="15" s="1"/>
  <c r="O22" i="15" a="1"/>
  <c r="O22" i="15" s="1"/>
  <c r="O23" i="15" a="1"/>
  <c r="O23" i="15" s="1"/>
  <c r="O24" i="15" a="1"/>
  <c r="O24" i="15" s="1"/>
  <c r="O25" i="15" a="1"/>
  <c r="O25" i="15" s="1"/>
  <c r="O26" i="15" a="1"/>
  <c r="O26" i="15" s="1"/>
  <c r="O27" i="15" a="1"/>
  <c r="O27" i="15" s="1"/>
  <c r="O28" i="15" a="1"/>
  <c r="O28" i="15" s="1"/>
  <c r="O29" i="15" a="1"/>
  <c r="O29" i="15" s="1"/>
  <c r="O30" i="15" a="1"/>
  <c r="O30" i="15" s="1"/>
  <c r="O31" i="15" a="1"/>
  <c r="O31" i="15" s="1"/>
  <c r="O32" i="15" a="1"/>
  <c r="O32" i="15" s="1"/>
  <c r="O33" i="15" a="1"/>
  <c r="O33" i="15" s="1"/>
  <c r="O34" i="15" a="1"/>
  <c r="O34" i="15" s="1"/>
  <c r="B20" i="15" a="1"/>
  <c r="B20" i="15" s="1"/>
  <c r="B21" i="15" a="1"/>
  <c r="B21" i="15" s="1"/>
  <c r="B22" i="15" a="1"/>
  <c r="B22" i="15" s="1"/>
  <c r="B23" i="15" a="1"/>
  <c r="B23" i="15" s="1"/>
  <c r="B24" i="15" a="1"/>
  <c r="B24" i="15" s="1"/>
  <c r="B25" i="15" a="1"/>
  <c r="B25" i="15" s="1"/>
  <c r="B26" i="15" a="1"/>
  <c r="B26" i="15" s="1"/>
  <c r="B27" i="15" a="1"/>
  <c r="B27" i="15" s="1"/>
  <c r="B28" i="15" a="1"/>
  <c r="B28" i="15" s="1"/>
  <c r="B29" i="15" a="1"/>
  <c r="B29" i="15" s="1"/>
  <c r="B30" i="15" a="1"/>
  <c r="B30" i="15" s="1"/>
  <c r="B31" i="15" a="1"/>
  <c r="B31" i="15" s="1"/>
  <c r="B32" i="15" a="1"/>
  <c r="B32" i="15" s="1"/>
  <c r="B33" i="15" a="1"/>
  <c r="B33" i="15" s="1"/>
  <c r="C20" i="15" a="1"/>
  <c r="C20" i="15" s="1"/>
  <c r="C21" i="15" a="1"/>
  <c r="C21" i="15" s="1"/>
  <c r="C22" i="15" a="1"/>
  <c r="C22" i="15" s="1"/>
  <c r="C23" i="15" a="1"/>
  <c r="C23" i="15" s="1"/>
  <c r="C24" i="15" a="1"/>
  <c r="C24" i="15" s="1"/>
  <c r="C25" i="15" a="1"/>
  <c r="C25" i="15" s="1"/>
  <c r="C26" i="15" a="1"/>
  <c r="C26" i="15" s="1"/>
  <c r="C27" i="15" a="1"/>
  <c r="C27" i="15" s="1"/>
  <c r="C28" i="15" a="1"/>
  <c r="C28" i="15" s="1"/>
  <c r="C29" i="15" a="1"/>
  <c r="C29" i="15" s="1"/>
  <c r="C30" i="15" a="1"/>
  <c r="C30" i="15" s="1"/>
  <c r="C31" i="15" a="1"/>
  <c r="C31" i="15" s="1"/>
  <c r="C32" i="15" a="1"/>
  <c r="C32" i="15" s="1"/>
  <c r="C33" i="15" a="1"/>
  <c r="C33" i="15" s="1"/>
  <c r="D20" i="15" a="1"/>
  <c r="D20" i="15" s="1"/>
  <c r="D21" i="15" a="1"/>
  <c r="D21" i="15" s="1"/>
  <c r="D22" i="15" a="1"/>
  <c r="D22" i="15" s="1"/>
  <c r="D23" i="15" a="1"/>
  <c r="D23" i="15" s="1"/>
  <c r="D24" i="15" a="1"/>
  <c r="D24" i="15" s="1"/>
  <c r="D25" i="15" a="1"/>
  <c r="D25" i="15" s="1"/>
  <c r="D26" i="15" a="1"/>
  <c r="D26" i="15" s="1"/>
  <c r="D27" i="15" a="1"/>
  <c r="D27" i="15" s="1"/>
  <c r="D28" i="15" a="1"/>
  <c r="D28" i="15" s="1"/>
  <c r="D29" i="15" a="1"/>
  <c r="D29" i="15" s="1"/>
  <c r="D30" i="15" a="1"/>
  <c r="D30" i="15" s="1"/>
  <c r="D31" i="15" a="1"/>
  <c r="D31" i="15" s="1"/>
  <c r="D32" i="15" a="1"/>
  <c r="D32" i="15" s="1"/>
  <c r="D33" i="15" a="1"/>
  <c r="D33" i="15" s="1"/>
  <c r="E20" i="15" a="1"/>
  <c r="E20" i="15" s="1"/>
  <c r="E21" i="15" a="1"/>
  <c r="E21" i="15" s="1"/>
  <c r="E22" i="15" a="1"/>
  <c r="E22" i="15" s="1"/>
  <c r="E23" i="15" a="1"/>
  <c r="E23" i="15" s="1"/>
  <c r="E24" i="15" a="1"/>
  <c r="E24" i="15" s="1"/>
  <c r="E25" i="15" a="1"/>
  <c r="E25" i="15" s="1"/>
  <c r="E26" i="15" a="1"/>
  <c r="E26" i="15" s="1"/>
  <c r="E27" i="15" a="1"/>
  <c r="E27" i="15" s="1"/>
  <c r="E28" i="15" a="1"/>
  <c r="E28" i="15" s="1"/>
  <c r="E29" i="15" a="1"/>
  <c r="E29" i="15" s="1"/>
  <c r="E30" i="15" a="1"/>
  <c r="E30" i="15" s="1"/>
  <c r="E31" i="15" a="1"/>
  <c r="E31" i="15" s="1"/>
  <c r="E32" i="15" a="1"/>
  <c r="E32" i="15" s="1"/>
  <c r="E33" i="15" a="1"/>
  <c r="E33" i="15" s="1"/>
  <c r="F20" i="15" a="1"/>
  <c r="F20" i="15" s="1"/>
  <c r="F21" i="15" a="1"/>
  <c r="F21" i="15" s="1"/>
  <c r="F22" i="15" a="1"/>
  <c r="F22" i="15" s="1"/>
  <c r="F23" i="15" a="1"/>
  <c r="F23" i="15" s="1"/>
  <c r="F24" i="15" a="1"/>
  <c r="F24" i="15" s="1"/>
  <c r="F25" i="15" a="1"/>
  <c r="F25" i="15" s="1"/>
  <c r="F26" i="15" a="1"/>
  <c r="F26" i="15" s="1"/>
  <c r="F27" i="15" a="1"/>
  <c r="F27" i="15" s="1"/>
  <c r="F28" i="15" a="1"/>
  <c r="F28" i="15" s="1"/>
  <c r="F29" i="15" a="1"/>
  <c r="F29" i="15" s="1"/>
  <c r="F30" i="15" a="1"/>
  <c r="F30" i="15" s="1"/>
  <c r="F31" i="15" a="1"/>
  <c r="F31" i="15" s="1"/>
  <c r="F32" i="15" a="1"/>
  <c r="F32" i="15" s="1"/>
  <c r="F33" i="15" a="1"/>
  <c r="F33" i="15" s="1"/>
  <c r="A167" i="1"/>
  <c r="B167" i="1"/>
  <c r="C167" i="1"/>
  <c r="D167" i="1"/>
  <c r="H167" i="1"/>
  <c r="H177" i="1"/>
  <c r="H176" i="1"/>
  <c r="H175" i="1"/>
  <c r="H174" i="1"/>
  <c r="H173" i="1"/>
  <c r="A196" i="1"/>
  <c r="A197" i="1"/>
  <c r="A178" i="1"/>
  <c r="A179" i="1"/>
  <c r="A180" i="1"/>
  <c r="A181" i="1"/>
  <c r="A185" i="1"/>
  <c r="A186" i="1"/>
  <c r="A187" i="1"/>
  <c r="A188" i="1"/>
  <c r="A191" i="1"/>
  <c r="A194" i="1"/>
  <c r="B196" i="1"/>
  <c r="B197" i="1"/>
  <c r="B178" i="1"/>
  <c r="B179" i="1"/>
  <c r="B180" i="1"/>
  <c r="B181" i="1"/>
  <c r="B185" i="1"/>
  <c r="B186" i="1"/>
  <c r="B187" i="1"/>
  <c r="B188" i="1"/>
  <c r="B191" i="1"/>
  <c r="B194" i="1"/>
  <c r="C196" i="1"/>
  <c r="C197" i="1"/>
  <c r="C178" i="1"/>
  <c r="C179" i="1"/>
  <c r="C180" i="1"/>
  <c r="C181" i="1"/>
  <c r="C185" i="1"/>
  <c r="C186" i="1"/>
  <c r="C187" i="1"/>
  <c r="C188" i="1"/>
  <c r="C191" i="1"/>
  <c r="C194" i="1"/>
  <c r="D196" i="1"/>
  <c r="D197" i="1"/>
  <c r="D178" i="1"/>
  <c r="D179" i="1"/>
  <c r="D180" i="1"/>
  <c r="D181" i="1"/>
  <c r="D185" i="1"/>
  <c r="D186" i="1"/>
  <c r="D187" i="1"/>
  <c r="D188" i="1"/>
  <c r="D191" i="1"/>
  <c r="D194" i="1"/>
  <c r="H196" i="1"/>
  <c r="M19" i="20" s="1" a="1"/>
  <c r="M19" i="20" s="1"/>
  <c r="H197" i="1"/>
  <c r="V19" i="20" s="1" a="1"/>
  <c r="V19" i="20" s="1"/>
  <c r="H178" i="1"/>
  <c r="H179" i="1"/>
  <c r="H180" i="1"/>
  <c r="H181" i="1"/>
  <c r="H185" i="1"/>
  <c r="H186" i="1"/>
  <c r="H187" i="1"/>
  <c r="H188" i="1"/>
  <c r="H191" i="1"/>
  <c r="H194" i="1"/>
  <c r="A173" i="1"/>
  <c r="B173" i="1"/>
  <c r="C173" i="1"/>
  <c r="D173" i="1"/>
  <c r="A174" i="1"/>
  <c r="B174" i="1"/>
  <c r="C174" i="1"/>
  <c r="D174" i="1"/>
  <c r="A175" i="1"/>
  <c r="B175" i="1"/>
  <c r="C175" i="1"/>
  <c r="D175" i="1"/>
  <c r="A176" i="1"/>
  <c r="B176" i="1"/>
  <c r="C176" i="1"/>
  <c r="D176" i="1"/>
  <c r="A177" i="1"/>
  <c r="A182" i="1"/>
  <c r="A183" i="1"/>
  <c r="A184" i="1"/>
  <c r="A189" i="1"/>
  <c r="A190" i="1"/>
  <c r="A192" i="1"/>
  <c r="A193" i="1"/>
  <c r="A195" i="1"/>
  <c r="B177" i="1"/>
  <c r="B182" i="1"/>
  <c r="B183" i="1"/>
  <c r="B184" i="1"/>
  <c r="B189" i="1"/>
  <c r="B190" i="1"/>
  <c r="B192" i="1"/>
  <c r="B193" i="1"/>
  <c r="B195" i="1"/>
  <c r="C177" i="1"/>
  <c r="C182" i="1"/>
  <c r="C183" i="1"/>
  <c r="C184" i="1"/>
  <c r="C189" i="1"/>
  <c r="C190" i="1"/>
  <c r="C192" i="1"/>
  <c r="C193" i="1"/>
  <c r="C195" i="1"/>
  <c r="D177" i="1"/>
  <c r="D182" i="1"/>
  <c r="D183" i="1"/>
  <c r="D184" i="1"/>
  <c r="D189" i="1"/>
  <c r="D190" i="1"/>
  <c r="D192" i="1"/>
  <c r="D193" i="1"/>
  <c r="D195" i="1"/>
  <c r="H182" i="1"/>
  <c r="H183" i="1"/>
  <c r="H184" i="1"/>
  <c r="H189" i="1"/>
  <c r="M20" i="23" s="1" a="1"/>
  <c r="M20" i="23" s="1"/>
  <c r="H190" i="1"/>
  <c r="H192" i="1"/>
  <c r="H193" i="1"/>
  <c r="H195" i="1"/>
  <c r="D19" i="20" s="1" a="1"/>
  <c r="D19" i="20" s="1"/>
  <c r="D20" i="23" l="1" a="1"/>
  <c r="D20" i="23" s="1"/>
  <c r="K11" i="22" a="1"/>
  <c r="K11" i="22" s="1"/>
  <c r="L11" i="22" a="1"/>
  <c r="L11" i="22" s="1"/>
  <c r="M11" i="22" a="1"/>
  <c r="M11" i="22" s="1"/>
  <c r="N11" i="22" a="1"/>
  <c r="N11" i="22" s="1"/>
  <c r="O11" i="22" a="1"/>
  <c r="O11" i="22" s="1"/>
  <c r="K12" i="22" a="1"/>
  <c r="K12" i="22" s="1"/>
  <c r="L12" i="22" a="1"/>
  <c r="L12" i="22" s="1"/>
  <c r="M12" i="22" a="1"/>
  <c r="M12" i="22" s="1"/>
  <c r="N12" i="22" a="1"/>
  <c r="N12" i="22" s="1"/>
  <c r="O12" i="22" a="1"/>
  <c r="O12" i="22" s="1"/>
  <c r="K13" i="22" a="1"/>
  <c r="K13" i="22" s="1"/>
  <c r="L13" i="22" a="1"/>
  <c r="L13" i="22" s="1"/>
  <c r="M13" i="22" a="1"/>
  <c r="M13" i="22" s="1"/>
  <c r="N13" i="22" a="1"/>
  <c r="N13" i="22" s="1"/>
  <c r="O13" i="22" a="1"/>
  <c r="O13" i="22" s="1"/>
  <c r="K14" i="22" a="1"/>
  <c r="K14" i="22" s="1"/>
  <c r="L14" i="22" a="1"/>
  <c r="L14" i="22" s="1"/>
  <c r="M14" i="22" a="1"/>
  <c r="M14" i="22" s="1"/>
  <c r="N14" i="22" a="1"/>
  <c r="N14" i="22" s="1"/>
  <c r="O14" i="22" a="1"/>
  <c r="O14" i="22" s="1"/>
  <c r="K15" i="22" a="1"/>
  <c r="K15" i="22" s="1"/>
  <c r="L15" i="22" a="1"/>
  <c r="L15" i="22" s="1"/>
  <c r="M15" i="22" a="1"/>
  <c r="M15" i="22" s="1"/>
  <c r="N15" i="22" a="1"/>
  <c r="N15" i="22" s="1"/>
  <c r="O15" i="22" a="1"/>
  <c r="O15" i="22" s="1"/>
  <c r="K16" i="22" a="1"/>
  <c r="K16" i="22" s="1"/>
  <c r="L16" i="22" a="1"/>
  <c r="L16" i="22" s="1"/>
  <c r="M16" i="22" a="1"/>
  <c r="M16" i="22" s="1"/>
  <c r="N16" i="22" a="1"/>
  <c r="N16" i="22" s="1"/>
  <c r="O16" i="22" a="1"/>
  <c r="O16" i="22" s="1"/>
  <c r="K17" i="22" a="1"/>
  <c r="K17" i="22" s="1"/>
  <c r="L17" i="22" a="1"/>
  <c r="L17" i="22" s="1"/>
  <c r="M17" i="22" a="1"/>
  <c r="M17" i="22" s="1"/>
  <c r="N17" i="22" a="1"/>
  <c r="N17" i="22" s="1"/>
  <c r="O17" i="22" a="1"/>
  <c r="O17" i="22" s="1"/>
  <c r="K18" i="22" a="1"/>
  <c r="K18" i="22" s="1"/>
  <c r="L18" i="22" a="1"/>
  <c r="L18" i="22" s="1"/>
  <c r="N18" i="22" a="1"/>
  <c r="N18" i="22" s="1"/>
  <c r="O18" i="22" a="1"/>
  <c r="O18" i="22" s="1"/>
  <c r="K19" i="22" a="1"/>
  <c r="K19" i="22" s="1"/>
  <c r="L19" i="22" a="1"/>
  <c r="L19" i="22" s="1"/>
  <c r="N19" i="22" a="1"/>
  <c r="N19" i="22" s="1"/>
  <c r="O19" i="22" a="1"/>
  <c r="O19" i="22" s="1"/>
  <c r="K20" i="22" a="1"/>
  <c r="K20" i="22" s="1"/>
  <c r="L20" i="22" a="1"/>
  <c r="L20" i="22" s="1"/>
  <c r="M20" i="22" a="1"/>
  <c r="M20" i="22" s="1"/>
  <c r="N20" i="22" a="1"/>
  <c r="N20" i="22" s="1"/>
  <c r="O20" i="22" a="1"/>
  <c r="O20" i="22" s="1"/>
  <c r="K21" i="22" a="1"/>
  <c r="K21" i="22" s="1"/>
  <c r="L21" i="22" a="1"/>
  <c r="L21" i="22" s="1"/>
  <c r="M21" i="22" a="1"/>
  <c r="M21" i="22" s="1"/>
  <c r="N21" i="22" a="1"/>
  <c r="N21" i="22" s="1"/>
  <c r="O21" i="22" a="1"/>
  <c r="O21" i="22" s="1"/>
  <c r="K22" i="22" a="1"/>
  <c r="K22" i="22" s="1"/>
  <c r="L22" i="22" a="1"/>
  <c r="L22" i="22" s="1"/>
  <c r="M22" i="22" a="1"/>
  <c r="M22" i="22" s="1"/>
  <c r="N22" i="22" a="1"/>
  <c r="N22" i="22" s="1"/>
  <c r="O22" i="22" a="1"/>
  <c r="O22" i="22" s="1"/>
  <c r="K23" i="22" a="1"/>
  <c r="K23" i="22" s="1"/>
  <c r="L23" i="22" a="1"/>
  <c r="L23" i="22" s="1"/>
  <c r="M23" i="22" a="1"/>
  <c r="M23" i="22" s="1"/>
  <c r="N23" i="22" a="1"/>
  <c r="N23" i="22" s="1"/>
  <c r="O23" i="22" a="1"/>
  <c r="O23" i="22" s="1"/>
  <c r="K24" i="22" a="1"/>
  <c r="K24" i="22" s="1"/>
  <c r="L24" i="22" a="1"/>
  <c r="L24" i="22" s="1"/>
  <c r="M24" i="22" a="1"/>
  <c r="M24" i="22" s="1"/>
  <c r="N24" i="22" a="1"/>
  <c r="N24" i="22" s="1"/>
  <c r="O24" i="22" a="1"/>
  <c r="O24" i="22" s="1"/>
  <c r="K25" i="22" a="1"/>
  <c r="K25" i="22" s="1"/>
  <c r="L25" i="22" a="1"/>
  <c r="L25" i="22" s="1"/>
  <c r="M25" i="22" a="1"/>
  <c r="M25" i="22" s="1"/>
  <c r="N25" i="22" a="1"/>
  <c r="N25" i="22" s="1"/>
  <c r="O25" i="22" a="1"/>
  <c r="O25" i="22" s="1"/>
  <c r="K26" i="22" a="1"/>
  <c r="K26" i="22" s="1"/>
  <c r="L26" i="22" a="1"/>
  <c r="L26" i="22" s="1"/>
  <c r="M26" i="22" a="1"/>
  <c r="M26" i="22" s="1"/>
  <c r="N26" i="22" a="1"/>
  <c r="N26" i="22" s="1"/>
  <c r="O26" i="22" a="1"/>
  <c r="O26" i="22" s="1"/>
  <c r="K27" i="22" a="1"/>
  <c r="K27" i="22" s="1"/>
  <c r="L27" i="22" a="1"/>
  <c r="L27" i="22" s="1"/>
  <c r="M27" i="22" a="1"/>
  <c r="M27" i="22" s="1"/>
  <c r="N27" i="22" a="1"/>
  <c r="N27" i="22" s="1"/>
  <c r="O27" i="22" a="1"/>
  <c r="O27" i="22" s="1"/>
  <c r="K28" i="22" a="1"/>
  <c r="K28" i="22" s="1"/>
  <c r="L28" i="22" a="1"/>
  <c r="L28" i="22" s="1"/>
  <c r="M28" i="22" a="1"/>
  <c r="M28" i="22" s="1"/>
  <c r="N28" i="22" a="1"/>
  <c r="N28" i="22" s="1"/>
  <c r="O28" i="22" a="1"/>
  <c r="O28" i="22" s="1"/>
  <c r="K29" i="22" a="1"/>
  <c r="K29" i="22" s="1"/>
  <c r="L29" i="22" a="1"/>
  <c r="L29" i="22" s="1"/>
  <c r="M29" i="22" a="1"/>
  <c r="M29" i="22" s="1"/>
  <c r="N29" i="22" a="1"/>
  <c r="N29" i="22" s="1"/>
  <c r="O29" i="22" a="1"/>
  <c r="O29" i="22" s="1"/>
  <c r="O10" i="22" a="1"/>
  <c r="O10" i="22" s="1"/>
  <c r="N10" i="22" a="1"/>
  <c r="N10" i="22" s="1"/>
  <c r="M10" i="22" a="1"/>
  <c r="M10" i="22" s="1"/>
  <c r="L10" i="22" a="1"/>
  <c r="L10" i="22" s="1"/>
  <c r="K10" i="22" a="1"/>
  <c r="K10" i="22" s="1"/>
  <c r="B11" i="22" a="1"/>
  <c r="B11" i="22" s="1"/>
  <c r="C11" i="22" a="1"/>
  <c r="C11" i="22" s="1"/>
  <c r="D11" i="22" a="1"/>
  <c r="D11" i="22" s="1"/>
  <c r="E11" i="22" a="1"/>
  <c r="E11" i="22" s="1"/>
  <c r="F11" i="22" a="1"/>
  <c r="F11" i="22" s="1"/>
  <c r="B12" i="22" a="1"/>
  <c r="B12" i="22" s="1"/>
  <c r="C12" i="22" a="1"/>
  <c r="C12" i="22" s="1"/>
  <c r="D12" i="22" a="1"/>
  <c r="D12" i="22" s="1"/>
  <c r="E12" i="22" a="1"/>
  <c r="E12" i="22" s="1"/>
  <c r="F12" i="22" a="1"/>
  <c r="F12" i="22" s="1"/>
  <c r="B13" i="22" a="1"/>
  <c r="B13" i="22" s="1"/>
  <c r="C13" i="22" a="1"/>
  <c r="C13" i="22" s="1"/>
  <c r="D13" i="22" a="1"/>
  <c r="D13" i="22" s="1"/>
  <c r="E13" i="22" a="1"/>
  <c r="E13" i="22" s="1"/>
  <c r="F13" i="22" a="1"/>
  <c r="F13" i="22" s="1"/>
  <c r="B14" i="22" a="1"/>
  <c r="B14" i="22" s="1"/>
  <c r="C14" i="22" a="1"/>
  <c r="C14" i="22" s="1"/>
  <c r="D14" i="22" a="1"/>
  <c r="D14" i="22" s="1"/>
  <c r="E14" i="22" a="1"/>
  <c r="E14" i="22" s="1"/>
  <c r="F14" i="22" a="1"/>
  <c r="F14" i="22" s="1"/>
  <c r="B15" i="22" a="1"/>
  <c r="B15" i="22" s="1"/>
  <c r="C15" i="22" a="1"/>
  <c r="C15" i="22" s="1"/>
  <c r="D15" i="22" a="1"/>
  <c r="D15" i="22" s="1"/>
  <c r="E15" i="22" a="1"/>
  <c r="E15" i="22" s="1"/>
  <c r="F15" i="22" a="1"/>
  <c r="F15" i="22" s="1"/>
  <c r="B16" i="22" a="1"/>
  <c r="B16" i="22" s="1"/>
  <c r="C16" i="22" a="1"/>
  <c r="C16" i="22" s="1"/>
  <c r="D16" i="22" a="1"/>
  <c r="D16" i="22" s="1"/>
  <c r="E16" i="22" a="1"/>
  <c r="E16" i="22" s="1"/>
  <c r="F16" i="22" a="1"/>
  <c r="F16" i="22" s="1"/>
  <c r="B17" i="22" a="1"/>
  <c r="B17" i="22" s="1"/>
  <c r="C17" i="22" a="1"/>
  <c r="C17" i="22" s="1"/>
  <c r="E17" i="22" a="1"/>
  <c r="E17" i="22" s="1"/>
  <c r="F17" i="22" a="1"/>
  <c r="F17" i="22" s="1"/>
  <c r="B18" i="22" a="1"/>
  <c r="B18" i="22" s="1"/>
  <c r="C18" i="22" a="1"/>
  <c r="C18" i="22" s="1"/>
  <c r="E18" i="22" a="1"/>
  <c r="E18" i="22" s="1"/>
  <c r="F18" i="22" a="1"/>
  <c r="F18" i="22" s="1"/>
  <c r="B19" i="22" a="1"/>
  <c r="B19" i="22" s="1"/>
  <c r="C19" i="22" a="1"/>
  <c r="C19" i="22" s="1"/>
  <c r="E19" i="22" a="1"/>
  <c r="E19" i="22" s="1"/>
  <c r="F19" i="22" a="1"/>
  <c r="F19" i="22" s="1"/>
  <c r="B20" i="22" a="1"/>
  <c r="B20" i="22" s="1"/>
  <c r="C20" i="22" a="1"/>
  <c r="C20" i="22" s="1"/>
  <c r="D20" i="22" a="1"/>
  <c r="D20" i="22" s="1"/>
  <c r="E20" i="22" a="1"/>
  <c r="E20" i="22" s="1"/>
  <c r="F20" i="22" a="1"/>
  <c r="F20" i="22" s="1"/>
  <c r="B21" i="22" a="1"/>
  <c r="B21" i="22" s="1"/>
  <c r="C21" i="22" a="1"/>
  <c r="C21" i="22" s="1"/>
  <c r="D21" i="22" a="1"/>
  <c r="D21" i="22" s="1"/>
  <c r="E21" i="22" a="1"/>
  <c r="E21" i="22" s="1"/>
  <c r="F21" i="22" a="1"/>
  <c r="F21" i="22" s="1"/>
  <c r="B22" i="22" a="1"/>
  <c r="B22" i="22" s="1"/>
  <c r="C22" i="22" a="1"/>
  <c r="C22" i="22" s="1"/>
  <c r="D22" i="22" a="1"/>
  <c r="D22" i="22" s="1"/>
  <c r="E22" i="22" a="1"/>
  <c r="E22" i="22" s="1"/>
  <c r="F22" i="22" a="1"/>
  <c r="F22" i="22" s="1"/>
  <c r="B23" i="22" a="1"/>
  <c r="B23" i="22" s="1"/>
  <c r="C23" i="22" a="1"/>
  <c r="C23" i="22" s="1"/>
  <c r="D23" i="22" a="1"/>
  <c r="D23" i="22" s="1"/>
  <c r="E23" i="22" a="1"/>
  <c r="E23" i="22" s="1"/>
  <c r="F23" i="22" a="1"/>
  <c r="F23" i="22" s="1"/>
  <c r="B24" i="22" a="1"/>
  <c r="B24" i="22" s="1"/>
  <c r="C24" i="22" a="1"/>
  <c r="C24" i="22" s="1"/>
  <c r="D24" i="22" a="1"/>
  <c r="D24" i="22" s="1"/>
  <c r="E24" i="22" a="1"/>
  <c r="E24" i="22" s="1"/>
  <c r="F24" i="22" a="1"/>
  <c r="F24" i="22" s="1"/>
  <c r="B25" i="22" a="1"/>
  <c r="B25" i="22" s="1"/>
  <c r="C25" i="22" a="1"/>
  <c r="C25" i="22" s="1"/>
  <c r="D25" i="22" a="1"/>
  <c r="D25" i="22" s="1"/>
  <c r="E25" i="22" a="1"/>
  <c r="E25" i="22" s="1"/>
  <c r="F25" i="22" a="1"/>
  <c r="F25" i="22" s="1"/>
  <c r="B26" i="22" a="1"/>
  <c r="B26" i="22" s="1"/>
  <c r="C26" i="22" a="1"/>
  <c r="C26" i="22" s="1"/>
  <c r="D26" i="22" a="1"/>
  <c r="D26" i="22" s="1"/>
  <c r="E26" i="22" a="1"/>
  <c r="E26" i="22" s="1"/>
  <c r="F26" i="22" a="1"/>
  <c r="F26" i="22" s="1"/>
  <c r="B27" i="22" a="1"/>
  <c r="B27" i="22" s="1"/>
  <c r="C27" i="22" a="1"/>
  <c r="C27" i="22" s="1"/>
  <c r="D27" i="22" a="1"/>
  <c r="D27" i="22" s="1"/>
  <c r="E27" i="22" a="1"/>
  <c r="E27" i="22" s="1"/>
  <c r="F27" i="22" a="1"/>
  <c r="F27" i="22" s="1"/>
  <c r="B28" i="22" a="1"/>
  <c r="B28" i="22" s="1"/>
  <c r="C28" i="22" a="1"/>
  <c r="C28" i="22" s="1"/>
  <c r="D28" i="22" a="1"/>
  <c r="D28" i="22" s="1"/>
  <c r="E28" i="22" a="1"/>
  <c r="E28" i="22" s="1"/>
  <c r="F28" i="22" a="1"/>
  <c r="F28" i="22" s="1"/>
  <c r="B29" i="22" a="1"/>
  <c r="B29" i="22" s="1"/>
  <c r="C29" i="22" a="1"/>
  <c r="C29" i="22" s="1"/>
  <c r="D29" i="22" a="1"/>
  <c r="D29" i="22" s="1"/>
  <c r="E29" i="22" a="1"/>
  <c r="E29" i="22" s="1"/>
  <c r="F29" i="22" a="1"/>
  <c r="F29" i="22" s="1"/>
  <c r="F10" i="22" a="1"/>
  <c r="F10" i="22" s="1"/>
  <c r="E10" i="22" a="1"/>
  <c r="E10" i="22" s="1"/>
  <c r="D10" i="22" a="1"/>
  <c r="D10" i="22" s="1"/>
  <c r="C10" i="22" a="1"/>
  <c r="C10" i="22" s="1"/>
  <c r="B10" i="22" a="1"/>
  <c r="B10" i="22" s="1"/>
  <c r="H171" i="1"/>
  <c r="V18" i="20" s="1" a="1"/>
  <c r="V18" i="20" s="1"/>
  <c r="H170" i="1"/>
  <c r="M18" i="20" s="1" a="1"/>
  <c r="M18" i="20" s="1"/>
  <c r="H168" i="1"/>
  <c r="D18" i="20" s="1" a="1"/>
  <c r="D18" i="20" s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9" i="1"/>
  <c r="A168" i="1"/>
  <c r="A170" i="1"/>
  <c r="A171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9" i="1"/>
  <c r="B168" i="1"/>
  <c r="B170" i="1"/>
  <c r="B171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9" i="1"/>
  <c r="C168" i="1"/>
  <c r="C170" i="1"/>
  <c r="C171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9" i="1"/>
  <c r="D168" i="1"/>
  <c r="D170" i="1"/>
  <c r="D171" i="1"/>
  <c r="H149" i="1"/>
  <c r="H150" i="1"/>
  <c r="H151" i="1"/>
  <c r="H152" i="1"/>
  <c r="H153" i="1"/>
  <c r="H154" i="1"/>
  <c r="D19" i="22" s="1" a="1"/>
  <c r="D19" i="22" s="1"/>
  <c r="H155" i="1"/>
  <c r="M19" i="22" s="1" a="1"/>
  <c r="M19" i="22" s="1"/>
  <c r="H156" i="1"/>
  <c r="H157" i="1"/>
  <c r="H158" i="1"/>
  <c r="H159" i="1"/>
  <c r="H160" i="1"/>
  <c r="H161" i="1"/>
  <c r="H162" i="1"/>
  <c r="M19" i="23" s="1" a="1"/>
  <c r="M19" i="23" s="1"/>
  <c r="H163" i="1"/>
  <c r="H164" i="1"/>
  <c r="H165" i="1"/>
  <c r="H166" i="1"/>
  <c r="H169" i="1"/>
  <c r="A147" i="1"/>
  <c r="B147" i="1"/>
  <c r="C147" i="1"/>
  <c r="D147" i="1"/>
  <c r="H147" i="1"/>
  <c r="A148" i="1"/>
  <c r="B148" i="1"/>
  <c r="C148" i="1"/>
  <c r="D148" i="1"/>
  <c r="H148" i="1"/>
  <c r="P18" i="22" l="1"/>
  <c r="Q18" i="22"/>
  <c r="D19" i="23" a="1"/>
  <c r="D19" i="23" s="1"/>
  <c r="Q26" i="22"/>
  <c r="P26" i="22"/>
  <c r="H17" i="22"/>
  <c r="Q11" i="22"/>
  <c r="P11" i="22"/>
  <c r="P12" i="22" s="1"/>
  <c r="P13" i="22" s="1"/>
  <c r="P14" i="22" s="1"/>
  <c r="P15" i="22" s="1"/>
  <c r="P16" i="22" s="1"/>
  <c r="P19" i="22" s="1"/>
  <c r="P20" i="22" s="1"/>
  <c r="P21" i="22" s="1"/>
  <c r="Q19" i="22"/>
  <c r="Q27" i="22"/>
  <c r="P27" i="22"/>
  <c r="H18" i="22"/>
  <c r="H22" i="22"/>
  <c r="G22" i="22"/>
  <c r="Q16" i="22"/>
  <c r="Q20" i="22"/>
  <c r="H11" i="22"/>
  <c r="G11" i="22"/>
  <c r="H15" i="22"/>
  <c r="H19" i="22"/>
  <c r="H23" i="22"/>
  <c r="G23" i="22"/>
  <c r="H27" i="22"/>
  <c r="G27" i="22"/>
  <c r="Q14" i="22"/>
  <c r="Q22" i="22"/>
  <c r="P22" i="22"/>
  <c r="H13" i="22"/>
  <c r="H21" i="22"/>
  <c r="H25" i="22"/>
  <c r="G25" i="22"/>
  <c r="H29" i="22"/>
  <c r="G29" i="22"/>
  <c r="Q15" i="22"/>
  <c r="Q23" i="22"/>
  <c r="P23" i="22"/>
  <c r="H14" i="22"/>
  <c r="H26" i="22"/>
  <c r="G26" i="22"/>
  <c r="Q12" i="22"/>
  <c r="Q24" i="22"/>
  <c r="P24" i="22"/>
  <c r="Q28" i="22"/>
  <c r="P28" i="22"/>
  <c r="Q13" i="22"/>
  <c r="Q21" i="22"/>
  <c r="Q25" i="22"/>
  <c r="P25" i="22"/>
  <c r="Q29" i="22"/>
  <c r="P29" i="22"/>
  <c r="H12" i="22"/>
  <c r="G12" i="22"/>
  <c r="G13" i="22" s="1"/>
  <c r="G14" i="22" s="1"/>
  <c r="G15" i="22" s="1"/>
  <c r="G16" i="22" s="1"/>
  <c r="G18" i="22" s="1"/>
  <c r="G19" i="22" s="1"/>
  <c r="G20" i="22" s="1"/>
  <c r="G21" i="22" s="1"/>
  <c r="H16" i="22"/>
  <c r="H20" i="22"/>
  <c r="H24" i="22"/>
  <c r="G24" i="22"/>
  <c r="H28" i="22"/>
  <c r="G28" i="22"/>
  <c r="K18" i="21" a="1"/>
  <c r="K18" i="21" s="1"/>
  <c r="L18" i="21" a="1"/>
  <c r="L18" i="21" s="1"/>
  <c r="N18" i="21" a="1"/>
  <c r="N18" i="21" s="1"/>
  <c r="O18" i="21" a="1"/>
  <c r="O18" i="21" s="1"/>
  <c r="K19" i="21" a="1"/>
  <c r="K19" i="21" s="1"/>
  <c r="L19" i="21" a="1"/>
  <c r="L19" i="21" s="1"/>
  <c r="M19" i="21" a="1"/>
  <c r="M19" i="21" s="1"/>
  <c r="N19" i="21" a="1"/>
  <c r="N19" i="21" s="1"/>
  <c r="O19" i="21" a="1"/>
  <c r="O19" i="21" s="1"/>
  <c r="K20" i="21" a="1"/>
  <c r="K20" i="21" s="1"/>
  <c r="L20" i="21" a="1"/>
  <c r="L20" i="21" s="1"/>
  <c r="M20" i="21" a="1"/>
  <c r="M20" i="21" s="1"/>
  <c r="N20" i="21" a="1"/>
  <c r="N20" i="21" s="1"/>
  <c r="O20" i="21" a="1"/>
  <c r="O20" i="21" s="1"/>
  <c r="K21" i="21" a="1"/>
  <c r="K21" i="21" s="1"/>
  <c r="L21" i="21" a="1"/>
  <c r="L21" i="21" s="1"/>
  <c r="M21" i="21" a="1"/>
  <c r="M21" i="21" s="1"/>
  <c r="N21" i="21" a="1"/>
  <c r="N21" i="21" s="1"/>
  <c r="O21" i="21" a="1"/>
  <c r="O21" i="21" s="1"/>
  <c r="K22" i="21" a="1"/>
  <c r="K22" i="21" s="1"/>
  <c r="L22" i="21" a="1"/>
  <c r="L22" i="21" s="1"/>
  <c r="M22" i="21" a="1"/>
  <c r="M22" i="21" s="1"/>
  <c r="N22" i="21" a="1"/>
  <c r="N22" i="21" s="1"/>
  <c r="P22" i="21" s="1"/>
  <c r="O22" i="21" a="1"/>
  <c r="O22" i="21" s="1"/>
  <c r="K23" i="21" a="1"/>
  <c r="K23" i="21" s="1"/>
  <c r="L23" i="21" a="1"/>
  <c r="L23" i="21" s="1"/>
  <c r="M23" i="21" a="1"/>
  <c r="M23" i="21" s="1"/>
  <c r="N23" i="21" a="1"/>
  <c r="N23" i="21" s="1"/>
  <c r="P23" i="21" s="1"/>
  <c r="O23" i="21" a="1"/>
  <c r="O23" i="21" s="1"/>
  <c r="K24" i="21" a="1"/>
  <c r="K24" i="21" s="1"/>
  <c r="L24" i="21" a="1"/>
  <c r="L24" i="21" s="1"/>
  <c r="M24" i="21" a="1"/>
  <c r="M24" i="21" s="1"/>
  <c r="N24" i="21" a="1"/>
  <c r="N24" i="21" s="1"/>
  <c r="P24" i="21" s="1"/>
  <c r="O24" i="21" a="1"/>
  <c r="O24" i="21" s="1"/>
  <c r="K25" i="21" a="1"/>
  <c r="K25" i="21" s="1"/>
  <c r="L25" i="21" a="1"/>
  <c r="L25" i="21" s="1"/>
  <c r="M25" i="21" a="1"/>
  <c r="M25" i="21" s="1"/>
  <c r="N25" i="21" a="1"/>
  <c r="N25" i="21" s="1"/>
  <c r="P25" i="21" s="1"/>
  <c r="O25" i="21" a="1"/>
  <c r="O25" i="21" s="1"/>
  <c r="K26" i="21" a="1"/>
  <c r="K26" i="21" s="1"/>
  <c r="L26" i="21" a="1"/>
  <c r="L26" i="21" s="1"/>
  <c r="M26" i="21" a="1"/>
  <c r="M26" i="21" s="1"/>
  <c r="N26" i="21" a="1"/>
  <c r="N26" i="21" s="1"/>
  <c r="P26" i="21" s="1"/>
  <c r="O26" i="21" a="1"/>
  <c r="O26" i="21" s="1"/>
  <c r="K27" i="21" a="1"/>
  <c r="K27" i="21" s="1"/>
  <c r="L27" i="21" a="1"/>
  <c r="L27" i="21" s="1"/>
  <c r="M27" i="21" a="1"/>
  <c r="M27" i="21" s="1"/>
  <c r="N27" i="21" a="1"/>
  <c r="N27" i="21" s="1"/>
  <c r="P27" i="21" s="1"/>
  <c r="O27" i="21" a="1"/>
  <c r="O27" i="21" s="1"/>
  <c r="K28" i="21" a="1"/>
  <c r="K28" i="21" s="1"/>
  <c r="L28" i="21" a="1"/>
  <c r="L28" i="21" s="1"/>
  <c r="M28" i="21" a="1"/>
  <c r="M28" i="21" s="1"/>
  <c r="N28" i="21" a="1"/>
  <c r="N28" i="21" s="1"/>
  <c r="P28" i="21" s="1"/>
  <c r="O28" i="21" a="1"/>
  <c r="O28" i="21" s="1"/>
  <c r="K29" i="21" a="1"/>
  <c r="K29" i="21" s="1"/>
  <c r="L29" i="21" a="1"/>
  <c r="L29" i="21" s="1"/>
  <c r="M29" i="21" a="1"/>
  <c r="M29" i="21" s="1"/>
  <c r="N29" i="21" a="1"/>
  <c r="N29" i="21" s="1"/>
  <c r="Q29" i="21" s="1"/>
  <c r="O29" i="21" a="1"/>
  <c r="O29" i="21" s="1"/>
  <c r="B18" i="21" a="1"/>
  <c r="B18" i="21" s="1"/>
  <c r="C18" i="21" a="1"/>
  <c r="C18" i="21" s="1"/>
  <c r="E18" i="21" a="1"/>
  <c r="E18" i="21" s="1"/>
  <c r="F18" i="21" a="1"/>
  <c r="F18" i="21" s="1"/>
  <c r="B19" i="21" a="1"/>
  <c r="B19" i="21" s="1"/>
  <c r="C19" i="21" a="1"/>
  <c r="C19" i="21" s="1"/>
  <c r="D19" i="21" a="1"/>
  <c r="D19" i="21" s="1"/>
  <c r="E19" i="21" a="1"/>
  <c r="E19" i="21" s="1"/>
  <c r="F19" i="21" a="1"/>
  <c r="F19" i="21" s="1"/>
  <c r="B20" i="21" a="1"/>
  <c r="B20" i="21" s="1"/>
  <c r="C20" i="21" a="1"/>
  <c r="C20" i="21" s="1"/>
  <c r="D20" i="21" a="1"/>
  <c r="D20" i="21" s="1"/>
  <c r="E20" i="21" a="1"/>
  <c r="E20" i="21" s="1"/>
  <c r="F20" i="21" a="1"/>
  <c r="F20" i="21" s="1"/>
  <c r="B21" i="21" a="1"/>
  <c r="B21" i="21" s="1"/>
  <c r="C21" i="21" a="1"/>
  <c r="C21" i="21" s="1"/>
  <c r="D21" i="21" a="1"/>
  <c r="D21" i="21" s="1"/>
  <c r="E21" i="21" a="1"/>
  <c r="E21" i="21" s="1"/>
  <c r="F21" i="21" a="1"/>
  <c r="F21" i="21" s="1"/>
  <c r="B22" i="21" a="1"/>
  <c r="B22" i="21" s="1"/>
  <c r="C22" i="21" a="1"/>
  <c r="C22" i="21" s="1"/>
  <c r="D22" i="21" a="1"/>
  <c r="D22" i="21" s="1"/>
  <c r="E22" i="21" a="1"/>
  <c r="E22" i="21" s="1"/>
  <c r="G22" i="21" s="1"/>
  <c r="F22" i="21" a="1"/>
  <c r="F22" i="21" s="1"/>
  <c r="B23" i="21" a="1"/>
  <c r="B23" i="21" s="1"/>
  <c r="C23" i="21" a="1"/>
  <c r="C23" i="21" s="1"/>
  <c r="D23" i="21" a="1"/>
  <c r="D23" i="21" s="1"/>
  <c r="E23" i="21" a="1"/>
  <c r="E23" i="21" s="1"/>
  <c r="H23" i="21" s="1"/>
  <c r="F23" i="21" a="1"/>
  <c r="F23" i="21" s="1"/>
  <c r="B24" i="21" a="1"/>
  <c r="B24" i="21" s="1"/>
  <c r="C24" i="21" a="1"/>
  <c r="C24" i="21" s="1"/>
  <c r="D24" i="21" a="1"/>
  <c r="D24" i="21" s="1"/>
  <c r="E24" i="21" a="1"/>
  <c r="E24" i="21" s="1"/>
  <c r="G24" i="21" s="1"/>
  <c r="F24" i="21" a="1"/>
  <c r="F24" i="21" s="1"/>
  <c r="B25" i="21" a="1"/>
  <c r="B25" i="21" s="1"/>
  <c r="C25" i="21" a="1"/>
  <c r="C25" i="21" s="1"/>
  <c r="D25" i="21" a="1"/>
  <c r="D25" i="21" s="1"/>
  <c r="E25" i="21" a="1"/>
  <c r="E25" i="21" s="1"/>
  <c r="G25" i="21" s="1"/>
  <c r="F25" i="21" a="1"/>
  <c r="F25" i="21" s="1"/>
  <c r="B26" i="21" a="1"/>
  <c r="B26" i="21" s="1"/>
  <c r="C26" i="21" a="1"/>
  <c r="C26" i="21" s="1"/>
  <c r="D26" i="21" a="1"/>
  <c r="D26" i="21" s="1"/>
  <c r="E26" i="21" a="1"/>
  <c r="E26" i="21" s="1"/>
  <c r="G26" i="21" s="1"/>
  <c r="F26" i="21" a="1"/>
  <c r="F26" i="21" s="1"/>
  <c r="B27" i="21" a="1"/>
  <c r="B27" i="21" s="1"/>
  <c r="C27" i="21" a="1"/>
  <c r="C27" i="21" s="1"/>
  <c r="D27" i="21" a="1"/>
  <c r="D27" i="21" s="1"/>
  <c r="E27" i="21" a="1"/>
  <c r="E27" i="21" s="1"/>
  <c r="G27" i="21" s="1"/>
  <c r="F27" i="21" a="1"/>
  <c r="F27" i="21" s="1"/>
  <c r="B28" i="21" a="1"/>
  <c r="B28" i="21" s="1"/>
  <c r="C28" i="21" a="1"/>
  <c r="C28" i="21" s="1"/>
  <c r="D28" i="21" a="1"/>
  <c r="D28" i="21" s="1"/>
  <c r="E28" i="21" a="1"/>
  <c r="E28" i="21" s="1"/>
  <c r="G28" i="21" s="1"/>
  <c r="F28" i="21" a="1"/>
  <c r="F28" i="21" s="1"/>
  <c r="B29" i="21" a="1"/>
  <c r="B29" i="21" s="1"/>
  <c r="C29" i="21" a="1"/>
  <c r="C29" i="21" s="1"/>
  <c r="D29" i="21" a="1"/>
  <c r="D29" i="21" s="1"/>
  <c r="E29" i="21" a="1"/>
  <c r="E29" i="21" s="1"/>
  <c r="G29" i="21" s="1"/>
  <c r="F29" i="21" a="1"/>
  <c r="F29" i="21" s="1"/>
  <c r="B17" i="19" a="1"/>
  <c r="B17" i="19" s="1"/>
  <c r="C17" i="19" a="1"/>
  <c r="C17" i="19" s="1"/>
  <c r="E17" i="19" a="1"/>
  <c r="E17" i="19" s="1"/>
  <c r="F17" i="19" a="1"/>
  <c r="F17" i="19" s="1"/>
  <c r="B18" i="19" a="1"/>
  <c r="B18" i="19" s="1"/>
  <c r="C18" i="19" a="1"/>
  <c r="C18" i="19" s="1"/>
  <c r="D18" i="19" a="1"/>
  <c r="D18" i="19" s="1"/>
  <c r="E18" i="19" a="1"/>
  <c r="E18" i="19" s="1"/>
  <c r="F18" i="19" a="1"/>
  <c r="F18" i="19" s="1"/>
  <c r="B19" i="19" a="1"/>
  <c r="B19" i="19" s="1"/>
  <c r="C19" i="19" a="1"/>
  <c r="C19" i="19" s="1"/>
  <c r="D19" i="19" a="1"/>
  <c r="D19" i="19" s="1"/>
  <c r="E19" i="19" a="1"/>
  <c r="E19" i="19" s="1"/>
  <c r="F19" i="19" a="1"/>
  <c r="F19" i="19" s="1"/>
  <c r="B20" i="19" a="1"/>
  <c r="B20" i="19" s="1"/>
  <c r="C20" i="19" a="1"/>
  <c r="C20" i="19" s="1"/>
  <c r="D20" i="19" a="1"/>
  <c r="D20" i="19" s="1"/>
  <c r="E20" i="19" a="1"/>
  <c r="E20" i="19" s="1"/>
  <c r="F20" i="19" a="1"/>
  <c r="F20" i="19" s="1"/>
  <c r="B21" i="19" a="1"/>
  <c r="B21" i="19" s="1"/>
  <c r="C21" i="19" a="1"/>
  <c r="C21" i="19" s="1"/>
  <c r="D21" i="19" a="1"/>
  <c r="D21" i="19" s="1"/>
  <c r="E21" i="19" a="1"/>
  <c r="E21" i="19" s="1"/>
  <c r="G21" i="19" s="1"/>
  <c r="F21" i="19" a="1"/>
  <c r="F21" i="19" s="1"/>
  <c r="B22" i="19" a="1"/>
  <c r="B22" i="19" s="1"/>
  <c r="C22" i="19" a="1"/>
  <c r="C22" i="19" s="1"/>
  <c r="D22" i="19" a="1"/>
  <c r="D22" i="19" s="1"/>
  <c r="E22" i="19" a="1"/>
  <c r="E22" i="19" s="1"/>
  <c r="H22" i="19" s="1"/>
  <c r="F22" i="19" a="1"/>
  <c r="F22" i="19" s="1"/>
  <c r="B23" i="19" a="1"/>
  <c r="B23" i="19" s="1"/>
  <c r="C23" i="19" a="1"/>
  <c r="C23" i="19" s="1"/>
  <c r="D23" i="19" a="1"/>
  <c r="D23" i="19" s="1"/>
  <c r="E23" i="19" a="1"/>
  <c r="E23" i="19" s="1"/>
  <c r="G23" i="19" s="1"/>
  <c r="F23" i="19" a="1"/>
  <c r="F23" i="19" s="1"/>
  <c r="B24" i="19" a="1"/>
  <c r="B24" i="19" s="1"/>
  <c r="C24" i="19" a="1"/>
  <c r="C24" i="19" s="1"/>
  <c r="D24" i="19" a="1"/>
  <c r="D24" i="19" s="1"/>
  <c r="E24" i="19" a="1"/>
  <c r="E24" i="19" s="1"/>
  <c r="G24" i="19" s="1"/>
  <c r="F24" i="19" a="1"/>
  <c r="F24" i="19" s="1"/>
  <c r="B25" i="19" a="1"/>
  <c r="B25" i="19" s="1"/>
  <c r="C25" i="19" a="1"/>
  <c r="C25" i="19" s="1"/>
  <c r="D25" i="19" a="1"/>
  <c r="D25" i="19" s="1"/>
  <c r="E25" i="19" a="1"/>
  <c r="E25" i="19" s="1"/>
  <c r="G25" i="19" s="1"/>
  <c r="F25" i="19" a="1"/>
  <c r="F25" i="19" s="1"/>
  <c r="B26" i="19" a="1"/>
  <c r="B26" i="19" s="1"/>
  <c r="C26" i="19" a="1"/>
  <c r="C26" i="19" s="1"/>
  <c r="D26" i="19" a="1"/>
  <c r="D26" i="19" s="1"/>
  <c r="E26" i="19" a="1"/>
  <c r="E26" i="19" s="1"/>
  <c r="G26" i="19" s="1"/>
  <c r="F26" i="19" a="1"/>
  <c r="F26" i="19" s="1"/>
  <c r="B27" i="19" a="1"/>
  <c r="B27" i="19" s="1"/>
  <c r="C27" i="19" a="1"/>
  <c r="C27" i="19" s="1"/>
  <c r="D27" i="19" a="1"/>
  <c r="D27" i="19" s="1"/>
  <c r="E27" i="19" a="1"/>
  <c r="E27" i="19" s="1"/>
  <c r="G27" i="19" s="1"/>
  <c r="F27" i="19" a="1"/>
  <c r="F27" i="19" s="1"/>
  <c r="B28" i="19" a="1"/>
  <c r="B28" i="19" s="1"/>
  <c r="C28" i="19" a="1"/>
  <c r="C28" i="19" s="1"/>
  <c r="D28" i="19" a="1"/>
  <c r="D28" i="19" s="1"/>
  <c r="E28" i="19" a="1"/>
  <c r="E28" i="19" s="1"/>
  <c r="G28" i="19" s="1"/>
  <c r="F28" i="19" a="1"/>
  <c r="F28" i="19" s="1"/>
  <c r="B29" i="19" a="1"/>
  <c r="B29" i="19" s="1"/>
  <c r="C29" i="19" a="1"/>
  <c r="C29" i="19" s="1"/>
  <c r="D29" i="19" a="1"/>
  <c r="D29" i="19" s="1"/>
  <c r="E29" i="19" a="1"/>
  <c r="E29" i="19" s="1"/>
  <c r="G29" i="19" s="1"/>
  <c r="F29" i="19" a="1"/>
  <c r="F29" i="19" s="1"/>
  <c r="B30" i="19" a="1"/>
  <c r="B30" i="19" s="1"/>
  <c r="C30" i="19" a="1"/>
  <c r="C30" i="19" s="1"/>
  <c r="D30" i="19" a="1"/>
  <c r="D30" i="19" s="1"/>
  <c r="E30" i="19" a="1"/>
  <c r="E30" i="19" s="1"/>
  <c r="H30" i="19" s="1"/>
  <c r="F30" i="19" a="1"/>
  <c r="F30" i="19" s="1"/>
  <c r="B31" i="19" a="1"/>
  <c r="B31" i="19" s="1"/>
  <c r="C31" i="19" a="1"/>
  <c r="C31" i="19" s="1"/>
  <c r="D31" i="19" a="1"/>
  <c r="D31" i="19" s="1"/>
  <c r="E31" i="19" a="1"/>
  <c r="E31" i="19" s="1"/>
  <c r="G31" i="19" s="1"/>
  <c r="F31" i="19" a="1"/>
  <c r="F31" i="19" s="1"/>
  <c r="B32" i="19" a="1"/>
  <c r="B32" i="19" s="1"/>
  <c r="C32" i="19" a="1"/>
  <c r="C32" i="19" s="1"/>
  <c r="D32" i="19" a="1"/>
  <c r="D32" i="19" s="1"/>
  <c r="E32" i="19" a="1"/>
  <c r="E32" i="19" s="1"/>
  <c r="G32" i="19" s="1"/>
  <c r="F32" i="19" a="1"/>
  <c r="F32" i="19" s="1"/>
  <c r="K17" i="14" a="1"/>
  <c r="K17" i="14" s="1"/>
  <c r="L17" i="14" a="1"/>
  <c r="L17" i="14" s="1"/>
  <c r="N17" i="14" a="1"/>
  <c r="N17" i="14" s="1"/>
  <c r="O17" i="14" a="1"/>
  <c r="O17" i="14" s="1"/>
  <c r="K18" i="14" a="1"/>
  <c r="K18" i="14" s="1"/>
  <c r="L18" i="14" a="1"/>
  <c r="L18" i="14" s="1"/>
  <c r="M18" i="14" a="1"/>
  <c r="M18" i="14" s="1"/>
  <c r="N18" i="14" a="1"/>
  <c r="N18" i="14" s="1"/>
  <c r="O18" i="14" a="1"/>
  <c r="O18" i="14" s="1"/>
  <c r="K19" i="14" a="1"/>
  <c r="K19" i="14" s="1"/>
  <c r="L19" i="14" a="1"/>
  <c r="L19" i="14" s="1"/>
  <c r="M19" i="14" a="1"/>
  <c r="M19" i="14" s="1"/>
  <c r="N19" i="14" a="1"/>
  <c r="N19" i="14" s="1"/>
  <c r="O19" i="14" a="1"/>
  <c r="O19" i="14" s="1"/>
  <c r="K20" i="14" a="1"/>
  <c r="K20" i="14" s="1"/>
  <c r="L20" i="14" a="1"/>
  <c r="L20" i="14" s="1"/>
  <c r="M20" i="14" a="1"/>
  <c r="M20" i="14" s="1"/>
  <c r="N20" i="14" a="1"/>
  <c r="N20" i="14" s="1"/>
  <c r="O20" i="14" a="1"/>
  <c r="O20" i="14" s="1"/>
  <c r="B17" i="14" a="1"/>
  <c r="B17" i="14" s="1"/>
  <c r="C17" i="14" a="1"/>
  <c r="C17" i="14" s="1"/>
  <c r="E17" i="14" a="1"/>
  <c r="E17" i="14" s="1"/>
  <c r="F17" i="14" a="1"/>
  <c r="F17" i="14" s="1"/>
  <c r="B18" i="14" a="1"/>
  <c r="B18" i="14" s="1"/>
  <c r="C18" i="14" a="1"/>
  <c r="C18" i="14" s="1"/>
  <c r="D18" i="14" a="1"/>
  <c r="D18" i="14" s="1"/>
  <c r="E18" i="14" a="1"/>
  <c r="E18" i="14" s="1"/>
  <c r="F18" i="14" a="1"/>
  <c r="F18" i="14" s="1"/>
  <c r="B19" i="14" a="1"/>
  <c r="B19" i="14" s="1"/>
  <c r="C19" i="14" a="1"/>
  <c r="C19" i="14" s="1"/>
  <c r="D19" i="14" a="1"/>
  <c r="D19" i="14" s="1"/>
  <c r="E19" i="14" a="1"/>
  <c r="E19" i="14" s="1"/>
  <c r="F19" i="14" a="1"/>
  <c r="F19" i="14" s="1"/>
  <c r="B20" i="14" a="1"/>
  <c r="B20" i="14" s="1"/>
  <c r="C20" i="14" a="1"/>
  <c r="C20" i="14" s="1"/>
  <c r="D20" i="14" a="1"/>
  <c r="D20" i="14" s="1"/>
  <c r="E20" i="14" a="1"/>
  <c r="E20" i="14" s="1"/>
  <c r="F20" i="14" a="1"/>
  <c r="F20" i="14" s="1"/>
  <c r="A145" i="1"/>
  <c r="A144" i="1"/>
  <c r="A146" i="1"/>
  <c r="B145" i="1"/>
  <c r="B144" i="1"/>
  <c r="B146" i="1"/>
  <c r="C145" i="1"/>
  <c r="C144" i="1"/>
  <c r="C146" i="1"/>
  <c r="D145" i="1"/>
  <c r="D144" i="1"/>
  <c r="D146" i="1"/>
  <c r="H146" i="1"/>
  <c r="H144" i="1"/>
  <c r="D17" i="20" s="1" a="1"/>
  <c r="D17" i="20" s="1"/>
  <c r="H145" i="1"/>
  <c r="M17" i="20" s="1" a="1"/>
  <c r="M17" i="20" s="1"/>
  <c r="H143" i="1"/>
  <c r="H142" i="1"/>
  <c r="A136" i="1"/>
  <c r="A137" i="1"/>
  <c r="A138" i="1"/>
  <c r="A139" i="1"/>
  <c r="A140" i="1"/>
  <c r="A141" i="1"/>
  <c r="A142" i="1"/>
  <c r="A143" i="1"/>
  <c r="B136" i="1"/>
  <c r="B137" i="1"/>
  <c r="B138" i="1"/>
  <c r="B139" i="1"/>
  <c r="B140" i="1"/>
  <c r="B141" i="1"/>
  <c r="B142" i="1"/>
  <c r="B143" i="1"/>
  <c r="C136" i="1"/>
  <c r="C137" i="1"/>
  <c r="C138" i="1"/>
  <c r="C139" i="1"/>
  <c r="C140" i="1"/>
  <c r="C141" i="1"/>
  <c r="C142" i="1"/>
  <c r="C143" i="1"/>
  <c r="D136" i="1"/>
  <c r="D137" i="1"/>
  <c r="D138" i="1"/>
  <c r="D139" i="1"/>
  <c r="D140" i="1"/>
  <c r="D141" i="1"/>
  <c r="D142" i="1"/>
  <c r="D143" i="1"/>
  <c r="H136" i="1"/>
  <c r="H137" i="1"/>
  <c r="M18" i="23" s="1" a="1"/>
  <c r="M18" i="23" s="1"/>
  <c r="H138" i="1"/>
  <c r="H139" i="1"/>
  <c r="H140" i="1"/>
  <c r="H141" i="1"/>
  <c r="A125" i="1"/>
  <c r="A124" i="1"/>
  <c r="A126" i="1"/>
  <c r="A127" i="1"/>
  <c r="A128" i="1"/>
  <c r="A129" i="1"/>
  <c r="A130" i="1"/>
  <c r="A131" i="1"/>
  <c r="A132" i="1"/>
  <c r="A133" i="1"/>
  <c r="A134" i="1"/>
  <c r="A135" i="1"/>
  <c r="B125" i="1"/>
  <c r="B124" i="1"/>
  <c r="B126" i="1"/>
  <c r="B127" i="1"/>
  <c r="B128" i="1"/>
  <c r="B129" i="1"/>
  <c r="B130" i="1"/>
  <c r="B131" i="1"/>
  <c r="B132" i="1"/>
  <c r="B133" i="1"/>
  <c r="B134" i="1"/>
  <c r="B135" i="1"/>
  <c r="C125" i="1"/>
  <c r="C124" i="1"/>
  <c r="C126" i="1"/>
  <c r="C127" i="1"/>
  <c r="C128" i="1"/>
  <c r="C129" i="1"/>
  <c r="C130" i="1"/>
  <c r="C131" i="1"/>
  <c r="C132" i="1"/>
  <c r="C133" i="1"/>
  <c r="C134" i="1"/>
  <c r="C135" i="1"/>
  <c r="D125" i="1"/>
  <c r="D124" i="1"/>
  <c r="D126" i="1"/>
  <c r="D127" i="1"/>
  <c r="D128" i="1"/>
  <c r="D129" i="1"/>
  <c r="D130" i="1"/>
  <c r="D131" i="1"/>
  <c r="D132" i="1"/>
  <c r="D133" i="1"/>
  <c r="D134" i="1"/>
  <c r="D135" i="1"/>
  <c r="H125" i="1"/>
  <c r="M18" i="21" s="1" a="1"/>
  <c r="M18" i="21" s="1"/>
  <c r="H124" i="1"/>
  <c r="H126" i="1"/>
  <c r="H127" i="1"/>
  <c r="H128" i="1"/>
  <c r="H129" i="1"/>
  <c r="H130" i="1"/>
  <c r="H131" i="1"/>
  <c r="D18" i="22" s="1" a="1"/>
  <c r="D18" i="22" s="1"/>
  <c r="H132" i="1"/>
  <c r="M18" i="22" s="1" a="1"/>
  <c r="M18" i="22" s="1"/>
  <c r="H133" i="1"/>
  <c r="H134" i="1"/>
  <c r="H135" i="1"/>
  <c r="A121" i="1"/>
  <c r="A122" i="1"/>
  <c r="A123" i="1"/>
  <c r="B121" i="1"/>
  <c r="B122" i="1"/>
  <c r="B123" i="1"/>
  <c r="C121" i="1"/>
  <c r="C122" i="1"/>
  <c r="C123" i="1"/>
  <c r="D121" i="1"/>
  <c r="D122" i="1"/>
  <c r="D123" i="1"/>
  <c r="H121" i="1"/>
  <c r="M17" i="14" s="1" a="1"/>
  <c r="M17" i="14" s="1"/>
  <c r="H122" i="1"/>
  <c r="D17" i="19" s="1" a="1"/>
  <c r="D17" i="19" s="1"/>
  <c r="H123" i="1"/>
  <c r="D18" i="21" s="1" a="1"/>
  <c r="D18" i="21" s="1"/>
  <c r="A120" i="1"/>
  <c r="B120" i="1"/>
  <c r="C120" i="1"/>
  <c r="D120" i="1"/>
  <c r="H120" i="1"/>
  <c r="D17" i="14" s="1" a="1"/>
  <c r="D17" i="14" s="1"/>
  <c r="D18" i="23" l="1" a="1"/>
  <c r="D18" i="23" s="1"/>
  <c r="H25" i="21"/>
  <c r="Q25" i="21"/>
  <c r="G23" i="21"/>
  <c r="Q23" i="21"/>
  <c r="H24" i="21"/>
  <c r="Q24" i="21"/>
  <c r="H32" i="19"/>
  <c r="Q26" i="21"/>
  <c r="Q18" i="21"/>
  <c r="Q27" i="21"/>
  <c r="Q19" i="21"/>
  <c r="Q28" i="21"/>
  <c r="Q20" i="21"/>
  <c r="P29" i="21"/>
  <c r="Q21" i="21"/>
  <c r="Q22" i="21"/>
  <c r="H26" i="21"/>
  <c r="H18" i="21"/>
  <c r="H27" i="21"/>
  <c r="H19" i="21"/>
  <c r="H28" i="21"/>
  <c r="H20" i="21"/>
  <c r="H29" i="21"/>
  <c r="H21" i="21"/>
  <c r="H22" i="21"/>
  <c r="G22" i="19"/>
  <c r="H23" i="19"/>
  <c r="H24" i="19"/>
  <c r="G30" i="19"/>
  <c r="H31" i="19"/>
  <c r="H25" i="19"/>
  <c r="H17" i="19"/>
  <c r="H26" i="19"/>
  <c r="H18" i="19"/>
  <c r="H27" i="19"/>
  <c r="H19" i="19"/>
  <c r="H28" i="19"/>
  <c r="H20" i="19"/>
  <c r="H29" i="19"/>
  <c r="H21" i="19"/>
  <c r="Q19" i="14"/>
  <c r="Q17" i="14"/>
  <c r="Q18" i="14"/>
  <c r="Q20" i="14"/>
  <c r="H17" i="14"/>
  <c r="H18" i="14"/>
  <c r="H19" i="14"/>
  <c r="H20" i="14"/>
  <c r="A95" i="1"/>
  <c r="B95" i="1"/>
  <c r="C95" i="1"/>
  <c r="D95" i="1"/>
  <c r="H95" i="1"/>
  <c r="K9" i="15" l="1" a="1"/>
  <c r="K9" i="15" s="1"/>
  <c r="L9" i="15" a="1"/>
  <c r="L9" i="15" s="1"/>
  <c r="N9" i="15" a="1"/>
  <c r="N9" i="15" s="1"/>
  <c r="O9" i="15" a="1"/>
  <c r="O9" i="15" s="1"/>
  <c r="K10" i="15" a="1"/>
  <c r="K10" i="15" s="1"/>
  <c r="L10" i="15" a="1"/>
  <c r="L10" i="15" s="1"/>
  <c r="N10" i="15" a="1"/>
  <c r="N10" i="15" s="1"/>
  <c r="O10" i="15" a="1"/>
  <c r="O10" i="15" s="1"/>
  <c r="K11" i="15" a="1"/>
  <c r="K11" i="15" s="1"/>
  <c r="L11" i="15" a="1"/>
  <c r="L11" i="15" s="1"/>
  <c r="N11" i="15" a="1"/>
  <c r="N11" i="15" s="1"/>
  <c r="O11" i="15" a="1"/>
  <c r="O11" i="15" s="1"/>
  <c r="K12" i="15" a="1"/>
  <c r="K12" i="15" s="1"/>
  <c r="L12" i="15" a="1"/>
  <c r="L12" i="15" s="1"/>
  <c r="N12" i="15" a="1"/>
  <c r="N12" i="15" s="1"/>
  <c r="O12" i="15" a="1"/>
  <c r="O12" i="15" s="1"/>
  <c r="K13" i="15" a="1"/>
  <c r="K13" i="15" s="1"/>
  <c r="L13" i="15" a="1"/>
  <c r="L13" i="15" s="1"/>
  <c r="N13" i="15" a="1"/>
  <c r="N13" i="15" s="1"/>
  <c r="O13" i="15" a="1"/>
  <c r="O13" i="15" s="1"/>
  <c r="K14" i="15" a="1"/>
  <c r="K14" i="15" s="1"/>
  <c r="L14" i="15" a="1"/>
  <c r="L14" i="15" s="1"/>
  <c r="N14" i="15" a="1"/>
  <c r="N14" i="15" s="1"/>
  <c r="O14" i="15" a="1"/>
  <c r="O14" i="15" s="1"/>
  <c r="K15" i="15" a="1"/>
  <c r="K15" i="15" s="1"/>
  <c r="L15" i="15" a="1"/>
  <c r="L15" i="15" s="1"/>
  <c r="N15" i="15" a="1"/>
  <c r="N15" i="15" s="1"/>
  <c r="O15" i="15" a="1"/>
  <c r="O15" i="15" s="1"/>
  <c r="K16" i="15" a="1"/>
  <c r="K16" i="15" s="1"/>
  <c r="L16" i="15" a="1"/>
  <c r="L16" i="15" s="1"/>
  <c r="N16" i="15" a="1"/>
  <c r="N16" i="15" s="1"/>
  <c r="O16" i="15" a="1"/>
  <c r="O16" i="15" s="1"/>
  <c r="K17" i="15" a="1"/>
  <c r="K17" i="15" s="1"/>
  <c r="L17" i="15" a="1"/>
  <c r="L17" i="15" s="1"/>
  <c r="M17" i="15" a="1"/>
  <c r="M17" i="15" s="1"/>
  <c r="N17" i="15" a="1"/>
  <c r="N17" i="15" s="1"/>
  <c r="O17" i="15" a="1"/>
  <c r="O17" i="15" s="1"/>
  <c r="K18" i="15" a="1"/>
  <c r="K18" i="15" s="1"/>
  <c r="L18" i="15" a="1"/>
  <c r="L18" i="15" s="1"/>
  <c r="M18" i="15" a="1"/>
  <c r="M18" i="15" s="1"/>
  <c r="N18" i="15" a="1"/>
  <c r="N18" i="15" s="1"/>
  <c r="O18" i="15" a="1"/>
  <c r="O18" i="15" s="1"/>
  <c r="K19" i="15" a="1"/>
  <c r="K19" i="15" s="1"/>
  <c r="L19" i="15" a="1"/>
  <c r="L19" i="15" s="1"/>
  <c r="M19" i="15" a="1"/>
  <c r="M19" i="15" s="1"/>
  <c r="N19" i="15" a="1"/>
  <c r="N19" i="15" s="1"/>
  <c r="O19" i="15" a="1"/>
  <c r="O19" i="15" s="1"/>
  <c r="O10" i="14" a="1"/>
  <c r="O10" i="14" s="1"/>
  <c r="O11" i="14" a="1"/>
  <c r="O11" i="14" s="1"/>
  <c r="O12" i="14" a="1"/>
  <c r="O12" i="14" s="1"/>
  <c r="O13" i="14" a="1"/>
  <c r="O13" i="14" s="1"/>
  <c r="O14" i="14" a="1"/>
  <c r="O14" i="14" s="1"/>
  <c r="O15" i="14" a="1"/>
  <c r="O15" i="14" s="1"/>
  <c r="O16" i="14" a="1"/>
  <c r="O16" i="14" s="1"/>
  <c r="O9" i="14" a="1"/>
  <c r="O9" i="14" s="1"/>
  <c r="K10" i="14" a="1"/>
  <c r="K10" i="14" s="1"/>
  <c r="L10" i="14" a="1"/>
  <c r="L10" i="14" s="1"/>
  <c r="N10" i="14" a="1"/>
  <c r="N10" i="14" s="1"/>
  <c r="K11" i="14" a="1"/>
  <c r="K11" i="14" s="1"/>
  <c r="L11" i="14" a="1"/>
  <c r="L11" i="14" s="1"/>
  <c r="N11" i="14" a="1"/>
  <c r="N11" i="14" s="1"/>
  <c r="K12" i="14" a="1"/>
  <c r="K12" i="14" s="1"/>
  <c r="L12" i="14" a="1"/>
  <c r="L12" i="14" s="1"/>
  <c r="N12" i="14" a="1"/>
  <c r="N12" i="14" s="1"/>
  <c r="K13" i="14" a="1"/>
  <c r="K13" i="14" s="1"/>
  <c r="L13" i="14" a="1"/>
  <c r="L13" i="14" s="1"/>
  <c r="N13" i="14" a="1"/>
  <c r="N13" i="14" s="1"/>
  <c r="K14" i="14" a="1"/>
  <c r="K14" i="14" s="1"/>
  <c r="L14" i="14" a="1"/>
  <c r="L14" i="14" s="1"/>
  <c r="N14" i="14" a="1"/>
  <c r="N14" i="14" s="1"/>
  <c r="K15" i="14" a="1"/>
  <c r="K15" i="14" s="1"/>
  <c r="L15" i="14" a="1"/>
  <c r="L15" i="14" s="1"/>
  <c r="N15" i="14" a="1"/>
  <c r="N15" i="14" s="1"/>
  <c r="K16" i="14" a="1"/>
  <c r="K16" i="14" s="1"/>
  <c r="L16" i="14" a="1"/>
  <c r="L16" i="14" s="1"/>
  <c r="N16" i="14" a="1"/>
  <c r="N16" i="14" s="1"/>
  <c r="N9" i="14" a="1"/>
  <c r="N9" i="14" s="1"/>
  <c r="L9" i="14" a="1"/>
  <c r="L9" i="14" s="1"/>
  <c r="K9" i="14" a="1"/>
  <c r="K9" i="14" s="1"/>
  <c r="H119" i="1"/>
  <c r="H117" i="1"/>
  <c r="M16" i="20" s="1" a="1"/>
  <c r="M16" i="20" s="1"/>
  <c r="H116" i="1"/>
  <c r="M16" i="15" s="1" a="1"/>
  <c r="M16" i="15" s="1"/>
  <c r="H115" i="1"/>
  <c r="H100" i="1"/>
  <c r="H99" i="1"/>
  <c r="H97" i="1"/>
  <c r="H98" i="1"/>
  <c r="M16" i="14" s="1" a="1"/>
  <c r="M16" i="14" s="1"/>
  <c r="H96" i="1"/>
  <c r="A99" i="1"/>
  <c r="A100" i="1"/>
  <c r="A115" i="1"/>
  <c r="A116" i="1"/>
  <c r="A117" i="1"/>
  <c r="A119" i="1"/>
  <c r="A102" i="1"/>
  <c r="A103" i="1"/>
  <c r="A101" i="1"/>
  <c r="A104" i="1"/>
  <c r="A106" i="1"/>
  <c r="A107" i="1"/>
  <c r="A108" i="1"/>
  <c r="A109" i="1"/>
  <c r="A118" i="1"/>
  <c r="A110" i="1"/>
  <c r="A111" i="1"/>
  <c r="A112" i="1"/>
  <c r="A113" i="1"/>
  <c r="A114" i="1"/>
  <c r="B99" i="1"/>
  <c r="B100" i="1"/>
  <c r="B115" i="1"/>
  <c r="B116" i="1"/>
  <c r="B117" i="1"/>
  <c r="B119" i="1"/>
  <c r="B102" i="1"/>
  <c r="B103" i="1"/>
  <c r="B101" i="1"/>
  <c r="B104" i="1"/>
  <c r="B106" i="1"/>
  <c r="B107" i="1"/>
  <c r="B108" i="1"/>
  <c r="B109" i="1"/>
  <c r="B118" i="1"/>
  <c r="B110" i="1"/>
  <c r="B111" i="1"/>
  <c r="B112" i="1"/>
  <c r="B113" i="1"/>
  <c r="B114" i="1"/>
  <c r="C99" i="1"/>
  <c r="C100" i="1"/>
  <c r="C115" i="1"/>
  <c r="C116" i="1"/>
  <c r="C117" i="1"/>
  <c r="C119" i="1"/>
  <c r="C102" i="1"/>
  <c r="C103" i="1"/>
  <c r="C101" i="1"/>
  <c r="C104" i="1"/>
  <c r="C106" i="1"/>
  <c r="C107" i="1"/>
  <c r="C108" i="1"/>
  <c r="C109" i="1"/>
  <c r="C118" i="1"/>
  <c r="C110" i="1"/>
  <c r="C111" i="1"/>
  <c r="C112" i="1"/>
  <c r="C113" i="1"/>
  <c r="C114" i="1"/>
  <c r="D99" i="1"/>
  <c r="D100" i="1"/>
  <c r="D115" i="1"/>
  <c r="D116" i="1"/>
  <c r="D117" i="1"/>
  <c r="D119" i="1"/>
  <c r="D102" i="1"/>
  <c r="D103" i="1"/>
  <c r="D101" i="1"/>
  <c r="D104" i="1"/>
  <c r="D106" i="1"/>
  <c r="D107" i="1"/>
  <c r="D108" i="1"/>
  <c r="D109" i="1"/>
  <c r="D118" i="1"/>
  <c r="D110" i="1"/>
  <c r="D111" i="1"/>
  <c r="D112" i="1"/>
  <c r="D113" i="1"/>
  <c r="D114" i="1"/>
  <c r="H102" i="1"/>
  <c r="H103" i="1"/>
  <c r="H101" i="1"/>
  <c r="H104" i="1"/>
  <c r="D17" i="22" s="1" a="1"/>
  <c r="D17" i="22" s="1"/>
  <c r="H106" i="1"/>
  <c r="H107" i="1"/>
  <c r="H108" i="1"/>
  <c r="H109" i="1"/>
  <c r="H118" i="1"/>
  <c r="D16" i="20" s="1" a="1"/>
  <c r="D16" i="20" s="1"/>
  <c r="H110" i="1"/>
  <c r="H111" i="1"/>
  <c r="H112" i="1"/>
  <c r="M17" i="23" s="1" a="1"/>
  <c r="M17" i="23" s="1"/>
  <c r="H113" i="1"/>
  <c r="H114" i="1"/>
  <c r="A96" i="1"/>
  <c r="A98" i="1"/>
  <c r="A97" i="1"/>
  <c r="B96" i="1"/>
  <c r="B98" i="1"/>
  <c r="B97" i="1"/>
  <c r="C96" i="1"/>
  <c r="C98" i="1"/>
  <c r="C97" i="1"/>
  <c r="D96" i="1"/>
  <c r="D98" i="1"/>
  <c r="D97" i="1"/>
  <c r="D17" i="23" l="1" a="1"/>
  <c r="D17" i="23" s="1"/>
  <c r="Q13" i="15"/>
  <c r="Q19" i="15"/>
  <c r="Q17" i="15"/>
  <c r="Q12" i="15"/>
  <c r="Q16" i="15"/>
  <c r="P11" i="15"/>
  <c r="P12" i="15" s="1"/>
  <c r="P13" i="15" s="1"/>
  <c r="P14" i="15" s="1"/>
  <c r="P15" i="15" s="1"/>
  <c r="P16" i="15" s="1"/>
  <c r="P17" i="15" s="1"/>
  <c r="P18" i="15" s="1"/>
  <c r="P19" i="15" s="1"/>
  <c r="Q11" i="15"/>
  <c r="Q14" i="15"/>
  <c r="Q15" i="15"/>
  <c r="Q18" i="15"/>
  <c r="Q10" i="14"/>
  <c r="P10" i="14"/>
  <c r="P11" i="14" s="1"/>
  <c r="P12" i="14" s="1"/>
  <c r="P13" i="14" s="1"/>
  <c r="P14" i="14" s="1"/>
  <c r="P15" i="14" s="1"/>
  <c r="P16" i="14" s="1"/>
  <c r="P17" i="14" s="1"/>
  <c r="P18" i="14" s="1"/>
  <c r="P19" i="14" s="1"/>
  <c r="P20" i="14" s="1"/>
  <c r="Q15" i="14"/>
  <c r="Q12" i="14"/>
  <c r="Q14" i="14"/>
  <c r="Q16" i="14"/>
  <c r="Q11" i="14"/>
  <c r="Q13" i="14"/>
  <c r="AI3" i="9"/>
  <c r="AJ3" i="9"/>
  <c r="AK3" i="9"/>
  <c r="AL3" i="9"/>
  <c r="AM3" i="9"/>
  <c r="AN3" i="9"/>
  <c r="AO3" i="9"/>
  <c r="AP3" i="9"/>
  <c r="AQ3" i="9"/>
  <c r="A94" i="1" l="1"/>
  <c r="B94" i="1"/>
  <c r="C94" i="1"/>
  <c r="D94" i="1"/>
  <c r="H94" i="1"/>
  <c r="H81" i="1" l="1"/>
  <c r="H92" i="1"/>
  <c r="M15" i="20" s="1" a="1"/>
  <c r="M15" i="20" s="1"/>
  <c r="H91" i="1"/>
  <c r="M15" i="15" s="1" a="1"/>
  <c r="M15" i="15" s="1"/>
  <c r="H89" i="1"/>
  <c r="H87" i="1"/>
  <c r="H86" i="1"/>
  <c r="H85" i="1"/>
  <c r="M15" i="14" s="1" a="1"/>
  <c r="M15" i="14" s="1"/>
  <c r="H84" i="1"/>
  <c r="H83" i="1"/>
  <c r="A89" i="1"/>
  <c r="A91" i="1"/>
  <c r="A92" i="1"/>
  <c r="A81" i="1"/>
  <c r="B89" i="1"/>
  <c r="B91" i="1"/>
  <c r="B92" i="1"/>
  <c r="B81" i="1"/>
  <c r="C89" i="1"/>
  <c r="C91" i="1"/>
  <c r="C92" i="1"/>
  <c r="C81" i="1"/>
  <c r="D89" i="1"/>
  <c r="D91" i="1"/>
  <c r="D92" i="1"/>
  <c r="D81" i="1"/>
  <c r="A86" i="1"/>
  <c r="A87" i="1"/>
  <c r="A90" i="1"/>
  <c r="A93" i="1"/>
  <c r="A88" i="1"/>
  <c r="A82" i="1"/>
  <c r="B86" i="1"/>
  <c r="B87" i="1"/>
  <c r="B90" i="1"/>
  <c r="B93" i="1"/>
  <c r="B88" i="1"/>
  <c r="B82" i="1"/>
  <c r="C86" i="1"/>
  <c r="C87" i="1"/>
  <c r="C90" i="1"/>
  <c r="C93" i="1"/>
  <c r="C88" i="1"/>
  <c r="C82" i="1"/>
  <c r="D86" i="1"/>
  <c r="D87" i="1"/>
  <c r="D90" i="1"/>
  <c r="D93" i="1"/>
  <c r="D88" i="1"/>
  <c r="D82" i="1"/>
  <c r="H90" i="1"/>
  <c r="H93" i="1"/>
  <c r="H88" i="1"/>
  <c r="H82" i="1"/>
  <c r="A83" i="1"/>
  <c r="A84" i="1"/>
  <c r="A85" i="1"/>
  <c r="B83" i="1"/>
  <c r="B84" i="1"/>
  <c r="B85" i="1"/>
  <c r="C83" i="1"/>
  <c r="C84" i="1"/>
  <c r="C85" i="1"/>
  <c r="D83" i="1"/>
  <c r="D84" i="1"/>
  <c r="D85" i="1"/>
  <c r="O12" i="21" l="1" a="1"/>
  <c r="O12" i="21" s="1"/>
  <c r="O13" i="21" a="1"/>
  <c r="O13" i="21" s="1"/>
  <c r="O14" i="21" a="1"/>
  <c r="O14" i="21" s="1"/>
  <c r="O15" i="21" a="1"/>
  <c r="O15" i="21" s="1"/>
  <c r="O16" i="21" a="1"/>
  <c r="O16" i="21" s="1"/>
  <c r="O17" i="21" a="1"/>
  <c r="O17" i="21" s="1"/>
  <c r="N12" i="21" a="1"/>
  <c r="N12" i="21" s="1"/>
  <c r="N13" i="21" a="1"/>
  <c r="N13" i="21" s="1"/>
  <c r="N14" i="21" a="1"/>
  <c r="N14" i="21" s="1"/>
  <c r="N15" i="21" a="1"/>
  <c r="N15" i="21" s="1"/>
  <c r="N16" i="21" a="1"/>
  <c r="N16" i="21" s="1"/>
  <c r="N17" i="21" a="1"/>
  <c r="N17" i="21" s="1"/>
  <c r="M16" i="21" a="1"/>
  <c r="M16" i="21" s="1"/>
  <c r="M17" i="21" a="1"/>
  <c r="M17" i="21" s="1"/>
  <c r="L12" i="21" a="1"/>
  <c r="L12" i="21" s="1"/>
  <c r="L13" i="21" a="1"/>
  <c r="L13" i="21" s="1"/>
  <c r="L14" i="21" a="1"/>
  <c r="L14" i="21" s="1"/>
  <c r="L15" i="21" a="1"/>
  <c r="L15" i="21" s="1"/>
  <c r="L16" i="21" a="1"/>
  <c r="L16" i="21" s="1"/>
  <c r="L17" i="21" a="1"/>
  <c r="L17" i="21" s="1"/>
  <c r="K12" i="21" a="1"/>
  <c r="K12" i="21" s="1"/>
  <c r="K13" i="21" a="1"/>
  <c r="K13" i="21" s="1"/>
  <c r="K14" i="21" a="1"/>
  <c r="K14" i="21" s="1"/>
  <c r="K15" i="21" a="1"/>
  <c r="K15" i="21" s="1"/>
  <c r="K16" i="21" a="1"/>
  <c r="K16" i="21" s="1"/>
  <c r="K17" i="21" a="1"/>
  <c r="K17" i="21" s="1"/>
  <c r="H73" i="1"/>
  <c r="M15" i="21" s="1" a="1"/>
  <c r="M15" i="21" s="1"/>
  <c r="H9" i="1"/>
  <c r="M10" i="21" s="1" a="1"/>
  <c r="M10" i="21" s="1"/>
  <c r="H21" i="1"/>
  <c r="M11" i="21" s="1" a="1"/>
  <c r="M11" i="21" s="1"/>
  <c r="H30" i="1"/>
  <c r="M12" i="21" s="1" a="1"/>
  <c r="M12" i="21" s="1"/>
  <c r="H45" i="1"/>
  <c r="M13" i="21" s="1" a="1"/>
  <c r="M13" i="21" s="1"/>
  <c r="H57" i="1"/>
  <c r="M14" i="21" s="1" a="1"/>
  <c r="M14" i="21" s="1"/>
  <c r="A57" i="1"/>
  <c r="A45" i="1"/>
  <c r="A30" i="1"/>
  <c r="A21" i="1"/>
  <c r="A9" i="1"/>
  <c r="A73" i="1"/>
  <c r="B57" i="1"/>
  <c r="B45" i="1"/>
  <c r="B30" i="1"/>
  <c r="B21" i="1"/>
  <c r="B9" i="1"/>
  <c r="B73" i="1"/>
  <c r="C57" i="1"/>
  <c r="C45" i="1"/>
  <c r="C30" i="1"/>
  <c r="C21" i="1"/>
  <c r="C9" i="1"/>
  <c r="C73" i="1"/>
  <c r="D57" i="1"/>
  <c r="D45" i="1"/>
  <c r="D30" i="1"/>
  <c r="D21" i="1"/>
  <c r="D9" i="1"/>
  <c r="D73" i="1"/>
  <c r="F12" i="21" a="1"/>
  <c r="F12" i="21" s="1"/>
  <c r="F13" i="21" a="1"/>
  <c r="F13" i="21" s="1"/>
  <c r="F14" i="21" a="1"/>
  <c r="F14" i="21" s="1"/>
  <c r="F15" i="21" a="1"/>
  <c r="F15" i="21" s="1"/>
  <c r="F16" i="21" a="1"/>
  <c r="F16" i="21" s="1"/>
  <c r="F17" i="21" a="1"/>
  <c r="F17" i="21" s="1"/>
  <c r="E17" i="21" a="1"/>
  <c r="E17" i="21" s="1"/>
  <c r="E12" i="21" a="1"/>
  <c r="E12" i="21" s="1"/>
  <c r="E13" i="21" a="1"/>
  <c r="E13" i="21" s="1"/>
  <c r="E14" i="21" a="1"/>
  <c r="E14" i="21" s="1"/>
  <c r="E15" i="21" a="1"/>
  <c r="E15" i="21" s="1"/>
  <c r="E16" i="21" a="1"/>
  <c r="E16" i="21" s="1"/>
  <c r="D17" i="21" a="1"/>
  <c r="D17" i="21" s="1"/>
  <c r="D16" i="21" a="1"/>
  <c r="D16" i="21" s="1"/>
  <c r="C12" i="21" a="1"/>
  <c r="C12" i="21" s="1"/>
  <c r="C13" i="21" a="1"/>
  <c r="C13" i="21" s="1"/>
  <c r="C14" i="21" a="1"/>
  <c r="C14" i="21" s="1"/>
  <c r="C15" i="21" a="1"/>
  <c r="C15" i="21" s="1"/>
  <c r="C16" i="21" a="1"/>
  <c r="C16" i="21" s="1"/>
  <c r="C17" i="21" a="1"/>
  <c r="C17" i="21" s="1"/>
  <c r="B12" i="21" a="1"/>
  <c r="B12" i="21" s="1"/>
  <c r="B13" i="21" a="1"/>
  <c r="B13" i="21" s="1"/>
  <c r="B14" i="21" a="1"/>
  <c r="B14" i="21" s="1"/>
  <c r="B15" i="21" a="1"/>
  <c r="B15" i="21" s="1"/>
  <c r="B16" i="21" a="1"/>
  <c r="B16" i="21" s="1"/>
  <c r="B17" i="21" a="1"/>
  <c r="B17" i="21" s="1"/>
  <c r="Q14" i="21" l="1"/>
  <c r="P12" i="21"/>
  <c r="P13" i="21" s="1"/>
  <c r="P14" i="21" s="1"/>
  <c r="P15" i="21" s="1"/>
  <c r="P16" i="21" s="1"/>
  <c r="P17" i="21" s="1"/>
  <c r="P18" i="21" s="1"/>
  <c r="P19" i="21" s="1"/>
  <c r="P20" i="21" s="1"/>
  <c r="P21" i="21" s="1"/>
  <c r="Q13" i="21"/>
  <c r="Q12" i="21"/>
  <c r="Q16" i="21"/>
  <c r="Q15" i="21"/>
  <c r="Q17" i="21"/>
  <c r="H16" i="21"/>
  <c r="H15" i="21"/>
  <c r="H17" i="21"/>
  <c r="G12" i="21"/>
  <c r="G13" i="21" s="1"/>
  <c r="G14" i="21" s="1"/>
  <c r="G15" i="21" s="1"/>
  <c r="G16" i="21" s="1"/>
  <c r="G17" i="21" s="1"/>
  <c r="G18" i="21" s="1"/>
  <c r="G19" i="21" s="1"/>
  <c r="G20" i="21" s="1"/>
  <c r="G21" i="21" s="1"/>
  <c r="H13" i="21"/>
  <c r="H12" i="21"/>
  <c r="H14" i="21"/>
  <c r="H74" i="1"/>
  <c r="H66" i="1"/>
  <c r="A66" i="1"/>
  <c r="A68" i="1"/>
  <c r="A67" i="1"/>
  <c r="A74" i="1"/>
  <c r="A76" i="1"/>
  <c r="A75" i="1"/>
  <c r="A64" i="1"/>
  <c r="B66" i="1"/>
  <c r="B68" i="1"/>
  <c r="B67" i="1"/>
  <c r="B74" i="1"/>
  <c r="B76" i="1"/>
  <c r="B75" i="1"/>
  <c r="B64" i="1"/>
  <c r="C66" i="1"/>
  <c r="C68" i="1"/>
  <c r="C67" i="1"/>
  <c r="C74" i="1"/>
  <c r="C76" i="1"/>
  <c r="C75" i="1"/>
  <c r="C64" i="1"/>
  <c r="D66" i="1"/>
  <c r="D68" i="1"/>
  <c r="D67" i="1"/>
  <c r="D74" i="1"/>
  <c r="D76" i="1"/>
  <c r="D75" i="1"/>
  <c r="D64" i="1"/>
  <c r="H68" i="1"/>
  <c r="H67" i="1"/>
  <c r="H76" i="1"/>
  <c r="H75" i="1"/>
  <c r="H64" i="1"/>
  <c r="F14" i="15" a="1"/>
  <c r="F14" i="15" s="1"/>
  <c r="H80" i="1"/>
  <c r="H79" i="1"/>
  <c r="M14" i="20" s="1" a="1"/>
  <c r="M14" i="20" s="1"/>
  <c r="H78" i="1"/>
  <c r="M14" i="15" s="1" a="1"/>
  <c r="M14" i="15" s="1"/>
  <c r="H77" i="1"/>
  <c r="H72" i="1"/>
  <c r="H70" i="1"/>
  <c r="H71" i="1"/>
  <c r="M14" i="14" s="1" a="1"/>
  <c r="M14" i="14" s="1"/>
  <c r="B15" i="14" a="1"/>
  <c r="B15" i="14" s="1"/>
  <c r="B16" i="14" a="1"/>
  <c r="B16" i="14" s="1"/>
  <c r="B14" i="14" a="1"/>
  <c r="B14" i="14" s="1"/>
  <c r="H69" i="1"/>
  <c r="A69" i="1"/>
  <c r="A71" i="1"/>
  <c r="A70" i="1"/>
  <c r="A72" i="1"/>
  <c r="A77" i="1"/>
  <c r="A78" i="1"/>
  <c r="A79" i="1"/>
  <c r="A80" i="1"/>
  <c r="A65" i="1"/>
  <c r="B69" i="1"/>
  <c r="B71" i="1"/>
  <c r="B70" i="1"/>
  <c r="B72" i="1"/>
  <c r="B77" i="1"/>
  <c r="B78" i="1"/>
  <c r="B79" i="1"/>
  <c r="B80" i="1"/>
  <c r="B65" i="1"/>
  <c r="C69" i="1"/>
  <c r="C71" i="1"/>
  <c r="C70" i="1"/>
  <c r="C72" i="1"/>
  <c r="C77" i="1"/>
  <c r="C78" i="1"/>
  <c r="C79" i="1"/>
  <c r="C80" i="1"/>
  <c r="C65" i="1"/>
  <c r="D69" i="1"/>
  <c r="D71" i="1"/>
  <c r="D70" i="1"/>
  <c r="D72" i="1"/>
  <c r="D77" i="1"/>
  <c r="D78" i="1"/>
  <c r="D79" i="1"/>
  <c r="D80" i="1"/>
  <c r="D65" i="1"/>
  <c r="H65" i="1"/>
  <c r="D15" i="21" l="1" a="1"/>
  <c r="D15" i="21" s="1"/>
  <c r="C10" i="15" a="1"/>
  <c r="C10" i="15" s="1"/>
  <c r="C11" i="15" a="1"/>
  <c r="C11" i="15" s="1"/>
  <c r="C12" i="15" a="1"/>
  <c r="C12" i="15" s="1"/>
  <c r="C13" i="15" a="1"/>
  <c r="C13" i="15" s="1"/>
  <c r="C14" i="15" a="1"/>
  <c r="C14" i="15" s="1"/>
  <c r="D14" i="15" a="1"/>
  <c r="D14" i="15" s="1"/>
  <c r="C15" i="15" a="1"/>
  <c r="C15" i="15" s="1"/>
  <c r="D15" i="15" a="1"/>
  <c r="D15" i="15" s="1"/>
  <c r="C16" i="15" a="1"/>
  <c r="C16" i="15" s="1"/>
  <c r="D16" i="15" a="1"/>
  <c r="D16" i="15" s="1"/>
  <c r="C17" i="15" a="1"/>
  <c r="C17" i="15" s="1"/>
  <c r="D17" i="15" a="1"/>
  <c r="D17" i="15" s="1"/>
  <c r="C18" i="15" a="1"/>
  <c r="C18" i="15" s="1"/>
  <c r="D18" i="15" a="1"/>
  <c r="D18" i="15" s="1"/>
  <c r="C19" i="15" a="1"/>
  <c r="C19" i="15" s="1"/>
  <c r="D19" i="15" a="1"/>
  <c r="D19" i="15" s="1"/>
  <c r="C9" i="15" a="1"/>
  <c r="C9" i="15" s="1"/>
  <c r="D14" i="14" a="1"/>
  <c r="D14" i="14" s="1"/>
  <c r="D15" i="14" a="1"/>
  <c r="D15" i="14" s="1"/>
  <c r="D16" i="14" a="1"/>
  <c r="D16" i="14" s="1"/>
  <c r="C10" i="14" a="1"/>
  <c r="C10" i="14" s="1"/>
  <c r="C11" i="14" a="1"/>
  <c r="C11" i="14" s="1"/>
  <c r="C12" i="14" a="1"/>
  <c r="C12" i="14" s="1"/>
  <c r="C13" i="14" a="1"/>
  <c r="C13" i="14" s="1"/>
  <c r="C14" i="14" a="1"/>
  <c r="C14" i="14" s="1"/>
  <c r="C15" i="14" a="1"/>
  <c r="C15" i="14" s="1"/>
  <c r="C16" i="14" a="1"/>
  <c r="C16" i="14" s="1"/>
  <c r="C9" i="14" a="1"/>
  <c r="C9" i="14" s="1"/>
  <c r="D14" i="19" a="1"/>
  <c r="D14" i="19" s="1"/>
  <c r="D15" i="19" a="1"/>
  <c r="D15" i="19" s="1"/>
  <c r="D16" i="19" a="1"/>
  <c r="D16" i="19" s="1"/>
  <c r="C16" i="19" a="1"/>
  <c r="C16" i="19" s="1"/>
  <c r="C10" i="19" a="1"/>
  <c r="C10" i="19" s="1"/>
  <c r="C11" i="19" a="1"/>
  <c r="C11" i="19" s="1"/>
  <c r="C12" i="19" a="1"/>
  <c r="C12" i="19" s="1"/>
  <c r="C13" i="19" a="1"/>
  <c r="C13" i="19" s="1"/>
  <c r="C14" i="19" a="1"/>
  <c r="C14" i="19" s="1"/>
  <c r="C15" i="19" a="1"/>
  <c r="C15" i="19" s="1"/>
  <c r="C9" i="19" a="1"/>
  <c r="C9" i="19" s="1"/>
  <c r="B10" i="19" a="1"/>
  <c r="B10" i="19" s="1"/>
  <c r="E10" i="19" a="1"/>
  <c r="E10" i="19" s="1"/>
  <c r="F10" i="19" a="1"/>
  <c r="F10" i="19" s="1"/>
  <c r="B11" i="19" a="1"/>
  <c r="B11" i="19" s="1"/>
  <c r="E11" i="19" a="1"/>
  <c r="E11" i="19" s="1"/>
  <c r="F11" i="19" a="1"/>
  <c r="F11" i="19" s="1"/>
  <c r="B12" i="19" a="1"/>
  <c r="B12" i="19" s="1"/>
  <c r="E12" i="19" a="1"/>
  <c r="E12" i="19" s="1"/>
  <c r="F12" i="19" a="1"/>
  <c r="F12" i="19" s="1"/>
  <c r="B13" i="19" a="1"/>
  <c r="B13" i="19" s="1"/>
  <c r="E13" i="19" a="1"/>
  <c r="E13" i="19" s="1"/>
  <c r="F13" i="19" a="1"/>
  <c r="F13" i="19" s="1"/>
  <c r="B14" i="19" a="1"/>
  <c r="B14" i="19" s="1"/>
  <c r="E14" i="19" a="1"/>
  <c r="E14" i="19" s="1"/>
  <c r="F14" i="19" a="1"/>
  <c r="F14" i="19" s="1"/>
  <c r="B15" i="19" a="1"/>
  <c r="B15" i="19" s="1"/>
  <c r="E15" i="19" a="1"/>
  <c r="E15" i="19" s="1"/>
  <c r="F15" i="19" a="1"/>
  <c r="F15" i="19" s="1"/>
  <c r="B16" i="19" a="1"/>
  <c r="B16" i="19" s="1"/>
  <c r="E16" i="19" a="1"/>
  <c r="E16" i="19" s="1"/>
  <c r="F16" i="19" a="1"/>
  <c r="F16" i="19" s="1"/>
  <c r="F9" i="19" a="1"/>
  <c r="F9" i="19" s="1"/>
  <c r="E9" i="19" a="1"/>
  <c r="E9" i="19" s="1"/>
  <c r="B9" i="19" a="1"/>
  <c r="B9" i="19" s="1"/>
  <c r="H14" i="19" l="1"/>
  <c r="H16" i="19"/>
  <c r="H15" i="19"/>
  <c r="G18" i="20"/>
  <c r="G19" i="20" s="1"/>
  <c r="H17" i="20"/>
  <c r="H18" i="20" s="1"/>
  <c r="H16" i="20"/>
  <c r="H12" i="19"/>
  <c r="H13" i="19"/>
  <c r="H11" i="19"/>
  <c r="G10" i="19"/>
  <c r="G11" i="19" s="1"/>
  <c r="G12" i="19" s="1"/>
  <c r="G13" i="19" s="1"/>
  <c r="G14" i="19" s="1"/>
  <c r="G15" i="19" s="1"/>
  <c r="G16" i="19" s="1"/>
  <c r="G17" i="19" s="1"/>
  <c r="G18" i="19" s="1"/>
  <c r="G19" i="19" s="1"/>
  <c r="G20" i="19" s="1"/>
  <c r="H10" i="19"/>
  <c r="E14" i="14" a="1"/>
  <c r="E14" i="14" s="1"/>
  <c r="E15" i="14" a="1"/>
  <c r="E15" i="14" s="1"/>
  <c r="E16" i="14" a="1"/>
  <c r="E16" i="14" s="1"/>
  <c r="F14" i="14" a="1"/>
  <c r="F14" i="14" s="1"/>
  <c r="F15" i="14" a="1"/>
  <c r="F15" i="14" s="1"/>
  <c r="F16" i="14" a="1"/>
  <c r="F16" i="14" s="1"/>
  <c r="A6" i="1"/>
  <c r="B6" i="1"/>
  <c r="C6" i="1"/>
  <c r="D6" i="1"/>
  <c r="A7" i="1"/>
  <c r="B7" i="1"/>
  <c r="C7" i="1"/>
  <c r="D7" i="1"/>
  <c r="A8" i="1"/>
  <c r="B8" i="1"/>
  <c r="C8" i="1"/>
  <c r="D8" i="1"/>
  <c r="A10" i="1"/>
  <c r="B10" i="1"/>
  <c r="C10" i="1"/>
  <c r="D10" i="1"/>
  <c r="A11" i="1"/>
  <c r="B11" i="1"/>
  <c r="C11" i="1"/>
  <c r="D11" i="1"/>
  <c r="A12" i="1"/>
  <c r="B12" i="1"/>
  <c r="C12" i="1"/>
  <c r="D12" i="1"/>
  <c r="A13" i="1"/>
  <c r="B13" i="1"/>
  <c r="C13" i="1"/>
  <c r="D13" i="1"/>
  <c r="A16" i="1"/>
  <c r="B16" i="1"/>
  <c r="C16" i="1"/>
  <c r="D16" i="1"/>
  <c r="A15" i="1"/>
  <c r="B15" i="1"/>
  <c r="C15" i="1"/>
  <c r="D15" i="1"/>
  <c r="A14" i="1"/>
  <c r="B14" i="1"/>
  <c r="C14" i="1"/>
  <c r="D14" i="1"/>
  <c r="A17" i="1"/>
  <c r="B17" i="1"/>
  <c r="C17" i="1"/>
  <c r="D17" i="1"/>
  <c r="A18" i="1"/>
  <c r="B18" i="1"/>
  <c r="C18" i="1"/>
  <c r="D18" i="1"/>
  <c r="A19" i="1"/>
  <c r="B19" i="1"/>
  <c r="C19" i="1"/>
  <c r="D19" i="1"/>
  <c r="A20" i="1"/>
  <c r="B20" i="1"/>
  <c r="C20" i="1"/>
  <c r="D20" i="1"/>
  <c r="A22" i="1"/>
  <c r="B22" i="1"/>
  <c r="C22" i="1"/>
  <c r="D22" i="1"/>
  <c r="A23" i="1"/>
  <c r="B23" i="1"/>
  <c r="C23" i="1"/>
  <c r="D23" i="1"/>
  <c r="A24" i="1"/>
  <c r="B24" i="1"/>
  <c r="C24" i="1"/>
  <c r="D24" i="1"/>
  <c r="A25" i="1"/>
  <c r="B25" i="1"/>
  <c r="C25" i="1"/>
  <c r="D25" i="1"/>
  <c r="A26" i="1"/>
  <c r="B26" i="1"/>
  <c r="C26" i="1"/>
  <c r="D26" i="1"/>
  <c r="A27" i="1"/>
  <c r="B27" i="1"/>
  <c r="C27" i="1"/>
  <c r="D27" i="1"/>
  <c r="A28" i="1"/>
  <c r="B28" i="1"/>
  <c r="C28" i="1"/>
  <c r="D28" i="1"/>
  <c r="A29" i="1"/>
  <c r="B29" i="1"/>
  <c r="C29" i="1"/>
  <c r="D29" i="1"/>
  <c r="A31" i="1"/>
  <c r="B31" i="1"/>
  <c r="C31" i="1"/>
  <c r="D31" i="1"/>
  <c r="A33" i="1"/>
  <c r="B33" i="1"/>
  <c r="C33" i="1"/>
  <c r="D33" i="1"/>
  <c r="A32" i="1"/>
  <c r="B32" i="1"/>
  <c r="C32" i="1"/>
  <c r="D32" i="1"/>
  <c r="A34" i="1"/>
  <c r="B34" i="1"/>
  <c r="C34" i="1"/>
  <c r="D34" i="1"/>
  <c r="A35" i="1"/>
  <c r="B35" i="1"/>
  <c r="C35" i="1"/>
  <c r="D35" i="1"/>
  <c r="A36" i="1"/>
  <c r="B36" i="1"/>
  <c r="C36" i="1"/>
  <c r="D36" i="1"/>
  <c r="A37" i="1"/>
  <c r="B37" i="1"/>
  <c r="C37" i="1"/>
  <c r="D37" i="1"/>
  <c r="A38" i="1"/>
  <c r="B38" i="1"/>
  <c r="C38" i="1"/>
  <c r="D38" i="1"/>
  <c r="A39" i="1"/>
  <c r="B39" i="1"/>
  <c r="C39" i="1"/>
  <c r="D39" i="1"/>
  <c r="A40" i="1"/>
  <c r="B40" i="1"/>
  <c r="C40" i="1"/>
  <c r="D40" i="1"/>
  <c r="A41" i="1"/>
  <c r="B41" i="1"/>
  <c r="C41" i="1"/>
  <c r="D41" i="1"/>
  <c r="A42" i="1"/>
  <c r="B42" i="1"/>
  <c r="C42" i="1"/>
  <c r="D42" i="1"/>
  <c r="A43" i="1"/>
  <c r="B43" i="1"/>
  <c r="C43" i="1"/>
  <c r="D43" i="1"/>
  <c r="A44" i="1"/>
  <c r="B44" i="1"/>
  <c r="C44" i="1"/>
  <c r="D44" i="1"/>
  <c r="A46" i="1"/>
  <c r="B46" i="1"/>
  <c r="C46" i="1"/>
  <c r="D46" i="1"/>
  <c r="A47" i="1"/>
  <c r="B47" i="1"/>
  <c r="C47" i="1"/>
  <c r="D47" i="1"/>
  <c r="A48" i="1"/>
  <c r="B48" i="1"/>
  <c r="C48" i="1"/>
  <c r="D48" i="1"/>
  <c r="A49" i="1"/>
  <c r="B49" i="1"/>
  <c r="C49" i="1"/>
  <c r="D49" i="1"/>
  <c r="A50" i="1"/>
  <c r="B50" i="1"/>
  <c r="C50" i="1"/>
  <c r="D50" i="1"/>
  <c r="A52" i="1"/>
  <c r="B52" i="1"/>
  <c r="C52" i="1"/>
  <c r="D52" i="1"/>
  <c r="A51" i="1"/>
  <c r="B51" i="1"/>
  <c r="C51" i="1"/>
  <c r="D51" i="1"/>
  <c r="A53" i="1"/>
  <c r="B53" i="1"/>
  <c r="C53" i="1"/>
  <c r="D53" i="1"/>
  <c r="A54" i="1"/>
  <c r="B54" i="1"/>
  <c r="C54" i="1"/>
  <c r="D54" i="1"/>
  <c r="A55" i="1"/>
  <c r="B55" i="1"/>
  <c r="C55" i="1"/>
  <c r="D55" i="1"/>
  <c r="A56" i="1"/>
  <c r="B56" i="1"/>
  <c r="C56" i="1"/>
  <c r="D56" i="1"/>
  <c r="A58" i="1"/>
  <c r="B58" i="1"/>
  <c r="C58" i="1"/>
  <c r="D58" i="1"/>
  <c r="A59" i="1"/>
  <c r="B59" i="1"/>
  <c r="C59" i="1"/>
  <c r="D59" i="1"/>
  <c r="A60" i="1"/>
  <c r="B60" i="1"/>
  <c r="C60" i="1"/>
  <c r="D60" i="1"/>
  <c r="A61" i="1"/>
  <c r="B61" i="1"/>
  <c r="C61" i="1"/>
  <c r="D61" i="1"/>
  <c r="A63" i="1"/>
  <c r="B63" i="1"/>
  <c r="C63" i="1"/>
  <c r="D63" i="1"/>
  <c r="A62" i="1"/>
  <c r="B62" i="1"/>
  <c r="C62" i="1"/>
  <c r="D62" i="1"/>
  <c r="C5" i="1"/>
  <c r="B5" i="1"/>
  <c r="D5" i="1"/>
  <c r="A5" i="1"/>
  <c r="H6" i="1"/>
  <c r="M9" i="14" s="1" a="1"/>
  <c r="M9" i="14" s="1"/>
  <c r="H5" i="1"/>
  <c r="D9" i="14" s="1" a="1"/>
  <c r="D9" i="14" s="1"/>
  <c r="H7" i="1"/>
  <c r="D9" i="19" s="1" a="1"/>
  <c r="D9" i="19" s="1"/>
  <c r="H8" i="1"/>
  <c r="D10" i="21" s="1" a="1"/>
  <c r="D10" i="21" s="1"/>
  <c r="H10" i="1"/>
  <c r="D9" i="15" s="1" a="1"/>
  <c r="D9" i="15" s="1"/>
  <c r="H11" i="1"/>
  <c r="M9" i="15" s="1" a="1"/>
  <c r="M9" i="15" s="1"/>
  <c r="H12" i="1"/>
  <c r="H13" i="1"/>
  <c r="M9" i="20" s="1" a="1"/>
  <c r="M9" i="20" s="1"/>
  <c r="H18" i="1"/>
  <c r="M10" i="14" s="1" a="1"/>
  <c r="M10" i="14" s="1"/>
  <c r="H17" i="1"/>
  <c r="D10" i="14" s="1" a="1"/>
  <c r="D10" i="14" s="1"/>
  <c r="H19" i="1"/>
  <c r="D10" i="19" s="1" a="1"/>
  <c r="D10" i="19" s="1"/>
  <c r="H20" i="1"/>
  <c r="D11" i="21" s="1" a="1"/>
  <c r="D11" i="21" s="1"/>
  <c r="H22" i="1"/>
  <c r="D10" i="15" s="1" a="1"/>
  <c r="D10" i="15" s="1"/>
  <c r="H23" i="1"/>
  <c r="M10" i="15" s="1" a="1"/>
  <c r="M10" i="15" s="1"/>
  <c r="H24" i="1"/>
  <c r="H25" i="1"/>
  <c r="M10" i="20" s="1" a="1"/>
  <c r="M10" i="20" s="1"/>
  <c r="H15" i="1"/>
  <c r="H14" i="1"/>
  <c r="H16" i="1"/>
  <c r="H26" i="1"/>
  <c r="D11" i="14" s="1" a="1"/>
  <c r="D11" i="14" s="1"/>
  <c r="H27" i="1"/>
  <c r="M11" i="14" s="1" a="1"/>
  <c r="M11" i="14" s="1"/>
  <c r="H28" i="1"/>
  <c r="D11" i="19" s="1" a="1"/>
  <c r="D11" i="19" s="1"/>
  <c r="H29" i="1"/>
  <c r="H31" i="1"/>
  <c r="H32" i="1"/>
  <c r="H33" i="1"/>
  <c r="H34" i="1"/>
  <c r="H35" i="1"/>
  <c r="H36" i="1"/>
  <c r="D11" i="15" s="1" a="1"/>
  <c r="D11" i="15" s="1"/>
  <c r="H37" i="1"/>
  <c r="M11" i="15" s="1" a="1"/>
  <c r="M11" i="15" s="1"/>
  <c r="H38" i="1"/>
  <c r="M11" i="20" s="1" a="1"/>
  <c r="M11" i="20" s="1"/>
  <c r="H39" i="1"/>
  <c r="H41" i="1"/>
  <c r="D12" i="14" s="1" a="1"/>
  <c r="D12" i="14" s="1"/>
  <c r="H42" i="1"/>
  <c r="M12" i="14" s="1" a="1"/>
  <c r="M12" i="14" s="1"/>
  <c r="H43" i="1"/>
  <c r="D12" i="19" s="1" a="1"/>
  <c r="D12" i="19" s="1"/>
  <c r="H44" i="1"/>
  <c r="H46" i="1"/>
  <c r="H47" i="1"/>
  <c r="D12" i="15" s="1" a="1"/>
  <c r="D12" i="15" s="1"/>
  <c r="H48" i="1"/>
  <c r="M12" i="15" s="1" a="1"/>
  <c r="M12" i="15" s="1"/>
  <c r="H49" i="1"/>
  <c r="M12" i="20" s="1" a="1"/>
  <c r="M12" i="20" s="1"/>
  <c r="H50" i="1"/>
  <c r="H40" i="1"/>
  <c r="H53" i="1"/>
  <c r="D13" i="14" s="1" a="1"/>
  <c r="D13" i="14" s="1"/>
  <c r="H54" i="1"/>
  <c r="M13" i="14" s="1" a="1"/>
  <c r="M13" i="14" s="1"/>
  <c r="H55" i="1"/>
  <c r="D13" i="19" s="1" a="1"/>
  <c r="D13" i="19" s="1"/>
  <c r="H56" i="1"/>
  <c r="H58" i="1"/>
  <c r="D13" i="15" s="1" a="1"/>
  <c r="D13" i="15" s="1"/>
  <c r="H59" i="1"/>
  <c r="M13" i="15" s="1" a="1"/>
  <c r="M13" i="15" s="1"/>
  <c r="H60" i="1"/>
  <c r="M13" i="20" s="1" a="1"/>
  <c r="M13" i="20" s="1"/>
  <c r="H61" i="1"/>
  <c r="H62" i="1"/>
  <c r="H63" i="1"/>
  <c r="H52" i="1"/>
  <c r="H51" i="1"/>
  <c r="D13" i="21" l="1" a="1"/>
  <c r="D13" i="21" s="1"/>
  <c r="D12" i="21" a="1"/>
  <c r="D12" i="21" s="1"/>
  <c r="D14" i="21" a="1"/>
  <c r="D14" i="21" s="1"/>
  <c r="H16" i="14"/>
  <c r="H15" i="14"/>
  <c r="H14" i="14"/>
  <c r="F10" i="14" a="1"/>
  <c r="F10" i="14" s="1"/>
  <c r="F11" i="14" a="1"/>
  <c r="F11" i="14" s="1"/>
  <c r="F12" i="14" a="1"/>
  <c r="F12" i="14" s="1"/>
  <c r="F13" i="14" a="1"/>
  <c r="F13" i="14" s="1"/>
  <c r="F9" i="14" a="1"/>
  <c r="F9" i="14" s="1"/>
  <c r="F10" i="15" a="1"/>
  <c r="F10" i="15" s="1"/>
  <c r="F11" i="15" a="1"/>
  <c r="F11" i="15" s="1"/>
  <c r="F12" i="15" a="1"/>
  <c r="F12" i="15" s="1"/>
  <c r="F13" i="15" a="1"/>
  <c r="F13" i="15" s="1"/>
  <c r="F15" i="15" a="1"/>
  <c r="F15" i="15" s="1"/>
  <c r="F16" i="15" a="1"/>
  <c r="F16" i="15" s="1"/>
  <c r="F17" i="15" a="1"/>
  <c r="F17" i="15" s="1"/>
  <c r="F18" i="15" a="1"/>
  <c r="F18" i="15" s="1"/>
  <c r="F19" i="15" a="1"/>
  <c r="F19" i="15" s="1"/>
  <c r="F9" i="15" a="1"/>
  <c r="F9" i="15" s="1"/>
  <c r="E10" i="15" a="1"/>
  <c r="E10" i="15" s="1"/>
  <c r="H10" i="15" s="1"/>
  <c r="E11" i="15" a="1"/>
  <c r="E11" i="15" s="1"/>
  <c r="E12" i="15" a="1"/>
  <c r="E12" i="15" s="1"/>
  <c r="H12" i="15" s="1"/>
  <c r="E13" i="15" a="1"/>
  <c r="E13" i="15" s="1"/>
  <c r="E14" i="15" a="1"/>
  <c r="E14" i="15" s="1"/>
  <c r="E15" i="15" a="1"/>
  <c r="E15" i="15" s="1"/>
  <c r="E16" i="15" a="1"/>
  <c r="E16" i="15" s="1"/>
  <c r="E17" i="15" a="1"/>
  <c r="E17" i="15" s="1"/>
  <c r="E18" i="15" a="1"/>
  <c r="E18" i="15" s="1"/>
  <c r="E19" i="15" a="1"/>
  <c r="E19" i="15" s="1"/>
  <c r="E9" i="15" a="1"/>
  <c r="E9" i="15" s="1"/>
  <c r="B9" i="15" a="1"/>
  <c r="B9" i="15" s="1"/>
  <c r="B10" i="15" a="1"/>
  <c r="B10" i="15" s="1"/>
  <c r="B11" i="15" a="1"/>
  <c r="B11" i="15" s="1"/>
  <c r="B12" i="15" a="1"/>
  <c r="B12" i="15" s="1"/>
  <c r="B13" i="15" a="1"/>
  <c r="B13" i="15" s="1"/>
  <c r="B14" i="15" a="1"/>
  <c r="B14" i="15" s="1"/>
  <c r="B15" i="15" a="1"/>
  <c r="B15" i="15" s="1"/>
  <c r="B16" i="15" a="1"/>
  <c r="B16" i="15" s="1"/>
  <c r="B17" i="15" a="1"/>
  <c r="B17" i="15" s="1"/>
  <c r="B18" i="15" a="1"/>
  <c r="B18" i="15" s="1"/>
  <c r="B19" i="15" a="1"/>
  <c r="B19" i="15" s="1"/>
  <c r="E10" i="14" a="1"/>
  <c r="E10" i="14" s="1"/>
  <c r="H10" i="14" s="1"/>
  <c r="E11" i="14" a="1"/>
  <c r="E11" i="14" s="1"/>
  <c r="H11" i="14" s="1"/>
  <c r="E12" i="14" a="1"/>
  <c r="E12" i="14" s="1"/>
  <c r="H12" i="14" s="1"/>
  <c r="E13" i="14" a="1"/>
  <c r="E13" i="14" s="1"/>
  <c r="H13" i="14" s="1"/>
  <c r="E9" i="14" a="1"/>
  <c r="E9" i="14" s="1"/>
  <c r="B10" i="14" a="1"/>
  <c r="B10" i="14" s="1"/>
  <c r="B11" i="14" a="1"/>
  <c r="B11" i="14" s="1"/>
  <c r="B12" i="14" a="1"/>
  <c r="B12" i="14" s="1"/>
  <c r="B13" i="14" a="1"/>
  <c r="B13" i="14" s="1"/>
  <c r="B9" i="14" a="1"/>
  <c r="B9" i="14" s="1"/>
  <c r="H11" i="15" l="1"/>
  <c r="H13" i="15"/>
  <c r="H16" i="15"/>
  <c r="H14" i="15"/>
  <c r="H17" i="15"/>
  <c r="H19" i="15"/>
  <c r="H15" i="15"/>
  <c r="G10" i="15"/>
  <c r="G11" i="15" s="1"/>
  <c r="G12" i="15" s="1"/>
  <c r="G13" i="15" s="1"/>
  <c r="G14" i="15" s="1"/>
  <c r="G15" i="15" s="1"/>
  <c r="G16" i="15" s="1"/>
  <c r="G17" i="15" s="1"/>
  <c r="G18" i="15" s="1"/>
  <c r="G19" i="15" s="1"/>
  <c r="H18" i="15"/>
  <c r="G10" i="14"/>
  <c r="G11" i="14" s="1"/>
  <c r="G12" i="14" s="1"/>
  <c r="G13" i="14" s="1"/>
  <c r="G14" i="14" s="1"/>
  <c r="G15" i="14" s="1"/>
  <c r="G16" i="14" s="1"/>
  <c r="G17" i="14" s="1"/>
  <c r="G18" i="14" s="1"/>
  <c r="G19" i="14" s="1"/>
  <c r="G20" i="14" s="1"/>
  <c r="D15" i="5"/>
  <c r="C11" i="5"/>
  <c r="C7" i="5"/>
  <c r="B3" i="5"/>
  <c r="D3" i="11"/>
  <c r="AD3" i="11"/>
  <c r="AC3" i="11"/>
  <c r="AB3" i="11"/>
  <c r="AA3" i="11"/>
  <c r="Z3" i="11"/>
  <c r="Y3" i="11"/>
  <c r="X3" i="11"/>
  <c r="W3" i="11"/>
  <c r="V3" i="11"/>
  <c r="U3" i="11"/>
  <c r="T3" i="11"/>
  <c r="S3" i="11"/>
  <c r="R3" i="11"/>
  <c r="Q3" i="11"/>
  <c r="P3" i="11"/>
  <c r="O3" i="11"/>
  <c r="N3" i="11"/>
  <c r="M3" i="11"/>
  <c r="L3" i="11"/>
  <c r="K3" i="11"/>
  <c r="J3" i="11"/>
  <c r="I3" i="11"/>
  <c r="AG3" i="11"/>
  <c r="AF3" i="11"/>
  <c r="AE3" i="11"/>
  <c r="AQ3" i="11"/>
  <c r="AP3" i="11"/>
  <c r="AO3" i="11"/>
  <c r="AN3" i="11"/>
  <c r="AM3" i="11"/>
  <c r="AL3" i="11"/>
  <c r="AK3" i="11"/>
  <c r="AJ3" i="11"/>
  <c r="AI3" i="11"/>
  <c r="H3" i="11"/>
  <c r="G3" i="11"/>
  <c r="F3" i="11"/>
  <c r="AQ3" i="10"/>
  <c r="AQ4" i="10"/>
  <c r="AQ5" i="10"/>
  <c r="AP3" i="10"/>
  <c r="AP4" i="10"/>
  <c r="AP5" i="10"/>
  <c r="AO3" i="10"/>
  <c r="AO4" i="10"/>
  <c r="AO5" i="10"/>
  <c r="AN3" i="10"/>
  <c r="AN4" i="10"/>
  <c r="AN5" i="10"/>
  <c r="AM3" i="10"/>
  <c r="AM4" i="10"/>
  <c r="AM5" i="10"/>
  <c r="AL3" i="10"/>
  <c r="AL4" i="10"/>
  <c r="AL5" i="10"/>
  <c r="AK5" i="10"/>
  <c r="AJ5" i="10"/>
  <c r="AI5" i="10"/>
  <c r="AK4" i="10"/>
  <c r="AJ4" i="10"/>
  <c r="AI4" i="10"/>
  <c r="AK3" i="10"/>
  <c r="AJ3" i="10"/>
  <c r="AI3" i="10"/>
  <c r="AG3" i="10"/>
  <c r="AG4" i="10"/>
  <c r="AG5" i="10"/>
  <c r="AF3" i="10"/>
  <c r="AF4" i="10"/>
  <c r="AF5" i="10"/>
  <c r="AE3" i="10"/>
  <c r="AE4" i="10"/>
  <c r="AE5" i="10"/>
  <c r="AD3" i="10"/>
  <c r="AD4" i="10"/>
  <c r="AD5" i="10"/>
  <c r="AC3" i="10"/>
  <c r="AC4" i="10"/>
  <c r="AC5" i="10"/>
  <c r="AB3" i="10"/>
  <c r="AB4" i="10"/>
  <c r="AB5" i="10"/>
  <c r="AA3" i="10"/>
  <c r="AA4" i="10"/>
  <c r="AA5" i="10"/>
  <c r="Z3" i="10"/>
  <c r="Z4" i="10"/>
  <c r="Z5" i="10"/>
  <c r="Y3" i="10"/>
  <c r="Y4" i="10"/>
  <c r="Y5" i="10"/>
  <c r="X3" i="10"/>
  <c r="X4" i="10"/>
  <c r="X5" i="10"/>
  <c r="W3" i="10"/>
  <c r="W4" i="10"/>
  <c r="W5" i="10"/>
  <c r="V3" i="10"/>
  <c r="V4" i="10"/>
  <c r="V5" i="10"/>
  <c r="U3" i="10"/>
  <c r="U4" i="10"/>
  <c r="U5" i="10"/>
  <c r="T3" i="10"/>
  <c r="T4" i="10"/>
  <c r="T5" i="10"/>
  <c r="S3" i="10"/>
  <c r="S4" i="10"/>
  <c r="S5" i="10"/>
  <c r="R3" i="10"/>
  <c r="R4" i="10"/>
  <c r="R5" i="10"/>
  <c r="Q3" i="10"/>
  <c r="Q4" i="10"/>
  <c r="Q5" i="10"/>
  <c r="P3" i="10"/>
  <c r="P4" i="10"/>
  <c r="P5" i="10"/>
  <c r="O3" i="10"/>
  <c r="O4" i="10"/>
  <c r="O5" i="10"/>
  <c r="N3" i="10"/>
  <c r="N4" i="10"/>
  <c r="N5" i="10"/>
  <c r="M3" i="10"/>
  <c r="M4" i="10"/>
  <c r="M5" i="10"/>
  <c r="L3" i="10"/>
  <c r="L4" i="10"/>
  <c r="L5" i="10"/>
  <c r="K3" i="10"/>
  <c r="K4" i="10"/>
  <c r="K5" i="10"/>
  <c r="J3" i="10"/>
  <c r="J4" i="10"/>
  <c r="J5" i="10"/>
  <c r="I3" i="10"/>
  <c r="I4" i="10"/>
  <c r="I5" i="10"/>
  <c r="H5" i="10"/>
  <c r="G5" i="10"/>
  <c r="F5" i="10"/>
  <c r="H4" i="10"/>
  <c r="G4" i="10"/>
  <c r="F4" i="10"/>
  <c r="H3" i="10"/>
  <c r="G3" i="10"/>
  <c r="F3" i="10"/>
  <c r="D3" i="10"/>
  <c r="D4" i="10"/>
  <c r="D5" i="10"/>
  <c r="C5" i="10"/>
  <c r="C4" i="10"/>
  <c r="C3" i="10"/>
  <c r="H36" i="9"/>
  <c r="G36" i="9"/>
  <c r="F36" i="9"/>
  <c r="H35" i="9"/>
  <c r="G35" i="9"/>
  <c r="F35" i="9"/>
  <c r="AQ4" i="9"/>
  <c r="AQ5" i="9"/>
  <c r="AP4" i="9"/>
  <c r="AP5" i="9"/>
  <c r="AO4" i="9"/>
  <c r="AO5" i="9"/>
  <c r="AN4" i="9"/>
  <c r="AN5" i="9"/>
  <c r="AM4" i="9"/>
  <c r="AM5" i="9"/>
  <c r="AL4" i="9"/>
  <c r="AL5" i="9"/>
  <c r="AG3" i="9"/>
  <c r="AI5" i="9" l="1"/>
  <c r="AJ5" i="9"/>
  <c r="AK5" i="9"/>
  <c r="AK4" i="9"/>
  <c r="AJ4" i="9"/>
  <c r="AI4" i="9"/>
  <c r="AG4" i="9"/>
  <c r="AG5" i="9"/>
  <c r="AF3" i="9"/>
  <c r="AF4" i="9"/>
  <c r="AF5" i="9"/>
  <c r="AE3" i="9"/>
  <c r="AE4" i="9"/>
  <c r="AE5" i="9"/>
  <c r="AD3" i="9"/>
  <c r="AD4" i="9"/>
  <c r="AD5" i="9"/>
  <c r="AC3" i="9"/>
  <c r="AC4" i="9"/>
  <c r="AC5" i="9"/>
  <c r="AB3" i="9"/>
  <c r="AB4" i="9"/>
  <c r="AB5" i="9"/>
  <c r="AA3" i="9"/>
  <c r="AA4" i="9"/>
  <c r="AA5" i="9"/>
  <c r="Z3" i="9"/>
  <c r="Z4" i="9"/>
  <c r="Z5" i="9"/>
  <c r="Y3" i="9"/>
  <c r="Y4" i="9"/>
  <c r="Y5" i="9"/>
  <c r="X3" i="9"/>
  <c r="X4" i="9"/>
  <c r="X5" i="9"/>
  <c r="W3" i="9"/>
  <c r="W4" i="9"/>
  <c r="W5" i="9"/>
  <c r="V3" i="9"/>
  <c r="V4" i="9"/>
  <c r="V5" i="9"/>
  <c r="U3" i="9"/>
  <c r="U4" i="9"/>
  <c r="U5" i="9"/>
  <c r="T3" i="9"/>
  <c r="T4" i="9"/>
  <c r="T5" i="9"/>
  <c r="S3" i="9"/>
  <c r="S4" i="9"/>
  <c r="S5" i="9"/>
  <c r="R3" i="9"/>
  <c r="R4" i="9"/>
  <c r="R5" i="9"/>
  <c r="Q3" i="9"/>
  <c r="Q4" i="9"/>
  <c r="Q5" i="9"/>
  <c r="P3" i="9"/>
  <c r="P4" i="9"/>
  <c r="P5" i="9"/>
  <c r="O3" i="9"/>
  <c r="O4" i="9"/>
  <c r="O5" i="9"/>
  <c r="N3" i="9"/>
  <c r="N4" i="9"/>
  <c r="N5" i="9"/>
  <c r="M5" i="9"/>
  <c r="M4" i="9"/>
  <c r="M3" i="9"/>
  <c r="L3" i="9"/>
  <c r="L4" i="9"/>
  <c r="L5" i="9"/>
  <c r="K3" i="9"/>
  <c r="K4" i="9"/>
  <c r="K5" i="9"/>
  <c r="J3" i="9"/>
  <c r="J4" i="9"/>
  <c r="J5" i="9"/>
  <c r="I3" i="9"/>
  <c r="I4" i="9"/>
  <c r="I5" i="9"/>
  <c r="F4" i="9"/>
  <c r="G4" i="9"/>
  <c r="H4" i="9"/>
  <c r="F5" i="9"/>
  <c r="G5" i="9"/>
  <c r="H5" i="9"/>
  <c r="H3" i="9"/>
  <c r="G3" i="9"/>
  <c r="F3" i="9"/>
  <c r="D3" i="9"/>
  <c r="D4" i="9"/>
  <c r="D5" i="9"/>
  <c r="D4" i="4"/>
  <c r="D5" i="4"/>
  <c r="D6" i="4"/>
  <c r="D7" i="4"/>
  <c r="D8" i="4"/>
  <c r="D9" i="4"/>
  <c r="D3" i="4"/>
  <c r="B4" i="4"/>
  <c r="B5" i="4"/>
  <c r="B6" i="4"/>
  <c r="B7" i="4"/>
  <c r="B8" i="4"/>
  <c r="B9" i="4"/>
  <c r="B3" i="4"/>
  <c r="G17" i="20" l="1"/>
</calcChain>
</file>

<file path=xl/sharedStrings.xml><?xml version="1.0" encoding="utf-8"?>
<sst xmlns="http://schemas.openxmlformats.org/spreadsheetml/2006/main" count="874" uniqueCount="238">
  <si>
    <t>日期</t>
    <phoneticPr fontId="1" type="noConversion"/>
  </si>
  <si>
    <t>得分</t>
    <phoneticPr fontId="1" type="noConversion"/>
  </si>
  <si>
    <t>备注</t>
    <phoneticPr fontId="1" type="noConversion"/>
  </si>
  <si>
    <t>得分记录</t>
    <phoneticPr fontId="1" type="noConversion"/>
  </si>
  <si>
    <t>名称</t>
    <phoneticPr fontId="1" type="noConversion"/>
  </si>
  <si>
    <t>早起</t>
  </si>
  <si>
    <t>早起</t>
    <phoneticPr fontId="1" type="noConversion"/>
  </si>
  <si>
    <t>阅读</t>
  </si>
  <si>
    <t>早餐</t>
  </si>
  <si>
    <t>锻炼</t>
  </si>
  <si>
    <t>日报</t>
  </si>
  <si>
    <t>阅读</t>
    <phoneticPr fontId="1" type="noConversion"/>
  </si>
  <si>
    <t>锻炼</t>
    <phoneticPr fontId="1" type="noConversion"/>
  </si>
  <si>
    <t>日报</t>
    <phoneticPr fontId="1" type="noConversion"/>
  </si>
  <si>
    <t>爸妈主动联系我了，没能主动联系父母，得一半的分数+0.05</t>
    <phoneticPr fontId="1" type="noConversion"/>
  </si>
  <si>
    <t>明日买菜菜单</t>
    <phoneticPr fontId="1" type="noConversion"/>
  </si>
  <si>
    <t>列出了清单，但没能将价格信息标明白。完成度40%</t>
    <phoneticPr fontId="1" type="noConversion"/>
  </si>
  <si>
    <t>制作锻炼打卡Excel</t>
    <phoneticPr fontId="1" type="noConversion"/>
  </si>
  <si>
    <t>差了一张惩罚折线图，完成度90%</t>
    <phoneticPr fontId="1" type="noConversion"/>
  </si>
  <si>
    <t>联系父母</t>
    <phoneticPr fontId="1" type="noConversion"/>
  </si>
  <si>
    <t>做早餐</t>
    <phoneticPr fontId="1" type="noConversion"/>
  </si>
  <si>
    <t>整理菜单，看价格</t>
    <phoneticPr fontId="1" type="noConversion"/>
  </si>
  <si>
    <t>买菜</t>
    <phoneticPr fontId="1" type="noConversion"/>
  </si>
  <si>
    <t>洗澡</t>
    <phoneticPr fontId="1" type="noConversion"/>
  </si>
  <si>
    <t>倒垃圾、换垃圾袋</t>
    <phoneticPr fontId="1" type="noConversion"/>
  </si>
  <si>
    <t>晾衣服、收拾衣服</t>
    <phoneticPr fontId="1" type="noConversion"/>
  </si>
  <si>
    <t>将19/20年账本分出来并汇总</t>
  </si>
  <si>
    <t>日期</t>
  </si>
  <si>
    <t>总分</t>
  </si>
  <si>
    <t>总分</t>
    <phoneticPr fontId="1" type="noConversion"/>
  </si>
  <si>
    <t>6:00</t>
  </si>
  <si>
    <t>0:00</t>
  </si>
  <si>
    <t>1:00</t>
  </si>
  <si>
    <t>2:00</t>
  </si>
  <si>
    <t>3:00</t>
  </si>
  <si>
    <t>4:00</t>
  </si>
  <si>
    <t>5:00</t>
  </si>
  <si>
    <t>7:00</t>
  </si>
  <si>
    <t>8:00</t>
  </si>
  <si>
    <t>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</si>
  <si>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</si>
  <si>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</si>
  <si>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</si>
  <si>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</si>
  <si>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</si>
  <si>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</si>
  <si>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</si>
  <si>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</si>
  <si>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</si>
  <si>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</si>
  <si>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</si>
  <si>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</si>
  <si>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</si>
  <si>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</si>
  <si>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明日日程安排</t>
  </si>
  <si>
    <t>23:59</t>
  </si>
  <si>
    <t>每日总分统计</t>
    <phoneticPr fontId="1" type="noConversion"/>
  </si>
  <si>
    <t>每日各时段得分统计</t>
    <phoneticPr fontId="1" type="noConversion"/>
  </si>
  <si>
    <t>每日专项得分统计</t>
    <phoneticPr fontId="1" type="noConversion"/>
  </si>
  <si>
    <r>
      <t>每日总分统计</t>
    </r>
    <r>
      <rPr>
        <sz val="16"/>
        <color rgb="FFFF0000"/>
        <rFont val="等线 (正文)"/>
      </rPr>
      <t>模版</t>
    </r>
    <phoneticPr fontId="1" type="noConversion"/>
  </si>
  <si>
    <r>
      <t>每日专项得分统计</t>
    </r>
    <r>
      <rPr>
        <sz val="16"/>
        <color rgb="FFFF0000"/>
        <rFont val="等线 (正文)"/>
      </rPr>
      <t>模版</t>
    </r>
    <phoneticPr fontId="1" type="noConversion"/>
  </si>
  <si>
    <r>
      <t>每周总分统计</t>
    </r>
    <r>
      <rPr>
        <sz val="16"/>
        <color rgb="FFFF0000"/>
        <rFont val="等线 (正文)"/>
      </rPr>
      <t>模版</t>
    </r>
    <phoneticPr fontId="1" type="noConversion"/>
  </si>
  <si>
    <t>周次</t>
  </si>
  <si>
    <t>周次</t>
    <phoneticPr fontId="1" type="noConversion"/>
  </si>
  <si>
    <t>开始日期</t>
  </si>
  <si>
    <t>开始日期</t>
    <phoneticPr fontId="1" type="noConversion"/>
  </si>
  <si>
    <t>结束日期</t>
  </si>
  <si>
    <t>结束日期</t>
    <phoneticPr fontId="1" type="noConversion"/>
  </si>
  <si>
    <t>每周各时段得分统计</t>
    <phoneticPr fontId="1" type="noConversion"/>
  </si>
  <si>
    <t>每周专项得分统计</t>
    <phoneticPr fontId="1" type="noConversion"/>
  </si>
  <si>
    <t>其他</t>
    <phoneticPr fontId="1" type="noConversion"/>
  </si>
  <si>
    <t>(80%)制作得分Excel</t>
    <phoneticPr fontId="1" type="noConversion"/>
  </si>
  <si>
    <t>已连续3天，增加0.1</t>
    <phoneticPr fontId="1" type="noConversion"/>
  </si>
  <si>
    <t>(90%)将Kindle上的书导入iBook</t>
    <phoneticPr fontId="1" type="noConversion"/>
  </si>
  <si>
    <t>每周总分统计</t>
    <phoneticPr fontId="1" type="noConversion"/>
  </si>
  <si>
    <r>
      <t>每年总分统计</t>
    </r>
    <r>
      <rPr>
        <sz val="16"/>
        <color rgb="FFFF0000"/>
        <rFont val="Times New Roman"/>
        <family val="1"/>
      </rPr>
      <t>模版</t>
    </r>
    <phoneticPr fontId="1" type="noConversion"/>
  </si>
  <si>
    <r>
      <t>每月总分统计</t>
    </r>
    <r>
      <rPr>
        <sz val="16"/>
        <color rgb="FFFF0000"/>
        <rFont val="Times New Roman"/>
        <family val="1"/>
      </rPr>
      <t>模版</t>
    </r>
    <phoneticPr fontId="1" type="noConversion"/>
  </si>
  <si>
    <t>月次</t>
  </si>
  <si>
    <t>月次</t>
    <phoneticPr fontId="1" type="noConversion"/>
  </si>
  <si>
    <t>每月各时段得分统计</t>
    <phoneticPr fontId="1" type="noConversion"/>
  </si>
  <si>
    <t>每月专项得分统计</t>
    <phoneticPr fontId="1" type="noConversion"/>
  </si>
  <si>
    <t>每月总分统计</t>
    <phoneticPr fontId="1" type="noConversion"/>
  </si>
  <si>
    <t>年</t>
  </si>
  <si>
    <t>年</t>
    <phoneticPr fontId="1" type="noConversion"/>
  </si>
  <si>
    <t>每年各时段得分统计</t>
    <phoneticPr fontId="1" type="noConversion"/>
  </si>
  <si>
    <t>每年专项得分统计</t>
    <phoneticPr fontId="1" type="noConversion"/>
  </si>
  <si>
    <t>每年总分统计</t>
    <phoneticPr fontId="1" type="noConversion"/>
  </si>
  <si>
    <t>开始时间</t>
    <phoneticPr fontId="1" type="noConversion"/>
  </si>
  <si>
    <t>结束时间</t>
    <phoneticPr fontId="1" type="noConversion"/>
  </si>
  <si>
    <t>分数</t>
    <phoneticPr fontId="1" type="noConversion"/>
  </si>
  <si>
    <t>查询某天的总分</t>
    <phoneticPr fontId="1" type="noConversion"/>
  </si>
  <si>
    <t>查询某段时间的总分</t>
    <phoneticPr fontId="1" type="noConversion"/>
  </si>
  <si>
    <t>查询某个时间段的总分</t>
    <phoneticPr fontId="1" type="noConversion"/>
  </si>
  <si>
    <t>查询某天某时段的总分</t>
    <phoneticPr fontId="1" type="noConversion"/>
  </si>
  <si>
    <t>负连续天数</t>
    <phoneticPr fontId="1" type="noConversion"/>
  </si>
  <si>
    <t>得分备注</t>
    <phoneticPr fontId="1" type="noConversion"/>
  </si>
  <si>
    <t>正连续天数2</t>
  </si>
  <si>
    <t>刷牙洗脸</t>
    <phoneticPr fontId="1" type="noConversion"/>
  </si>
  <si>
    <t>制作早起打卡Excel</t>
    <phoneticPr fontId="1" type="noConversion"/>
  </si>
  <si>
    <t>缺少图表汇总 -10%</t>
    <phoneticPr fontId="1" type="noConversion"/>
  </si>
  <si>
    <t>制作洗澡打卡Excel</t>
    <phoneticPr fontId="1" type="noConversion"/>
  </si>
  <si>
    <t>计划中断情况的处理规则</t>
    <phoneticPr fontId="1" type="noConversion"/>
  </si>
  <si>
    <t>有了大概构思，根据被迫程度扣除相应罚金</t>
    <phoneticPr fontId="1" type="noConversion"/>
  </si>
  <si>
    <t>持续时间</t>
    <phoneticPr fontId="1" type="noConversion"/>
  </si>
  <si>
    <t>结束时刻</t>
    <phoneticPr fontId="1" type="noConversion"/>
  </si>
  <si>
    <t>开始时刻</t>
    <phoneticPr fontId="1" type="noConversion"/>
  </si>
  <si>
    <r>
      <t>每日各时段得分统计</t>
    </r>
    <r>
      <rPr>
        <sz val="16"/>
        <color rgb="FFFF0000"/>
        <rFont val="Times New Roman"/>
        <family val="1"/>
      </rPr>
      <t>模版</t>
    </r>
    <phoneticPr fontId="1" type="noConversion"/>
  </si>
  <si>
    <t>总计</t>
  </si>
  <si>
    <t>求和项:得分</t>
  </si>
  <si>
    <t>开始分</t>
  </si>
  <si>
    <t>结束分</t>
  </si>
  <si>
    <t>各时段得分情况</t>
    <phoneticPr fontId="1" type="noConversion"/>
  </si>
  <si>
    <t>年份</t>
    <phoneticPr fontId="1" type="noConversion"/>
  </si>
  <si>
    <t>季度</t>
    <phoneticPr fontId="1" type="noConversion"/>
  </si>
  <si>
    <t>月份</t>
    <phoneticPr fontId="1" type="noConversion"/>
  </si>
  <si>
    <t>早起记录</t>
    <phoneticPr fontId="1" type="noConversion"/>
  </si>
  <si>
    <t>锻炼记录</t>
    <phoneticPr fontId="1" type="noConversion"/>
  </si>
  <si>
    <t>洗澡记录</t>
    <phoneticPr fontId="1" type="noConversion"/>
  </si>
  <si>
    <t>阅读记录</t>
    <phoneticPr fontId="1" type="noConversion"/>
  </si>
  <si>
    <t>明日日程安排记录</t>
    <phoneticPr fontId="1" type="noConversion"/>
  </si>
  <si>
    <t>没按指定时间开始，扣除10%</t>
    <phoneticPr fontId="1" type="noConversion"/>
  </si>
  <si>
    <t>修改《小狗钱钱》电子书目录</t>
  </si>
  <si>
    <t>日报模版</t>
  </si>
  <si>
    <t>还不够完善，慢慢丰富</t>
  </si>
  <si>
    <t>Exercise.md添加延迟、可原谅中断情况的处理规则</t>
  </si>
  <si>
    <t>未确定中断事件的被迫程度</t>
  </si>
  <si>
    <t>计划中断情况的处理规则</t>
  </si>
  <si>
    <t>Score.xlsx的records中把时间列改成开始时间和结束时间列</t>
  </si>
  <si>
    <t>制作明日日程安排打卡Excel</t>
  </si>
  <si>
    <t>制作阅读打卡Excel</t>
  </si>
  <si>
    <t>总体日程完成度</t>
    <phoneticPr fontId="1" type="noConversion"/>
  </si>
  <si>
    <t>早餐记录</t>
    <phoneticPr fontId="1" type="noConversion"/>
  </si>
  <si>
    <t>做</t>
    <phoneticPr fontId="1" type="noConversion"/>
  </si>
  <si>
    <t>吃</t>
    <phoneticPr fontId="1" type="noConversion"/>
  </si>
  <si>
    <t>吃早餐</t>
    <phoneticPr fontId="1" type="noConversion"/>
  </si>
  <si>
    <t>洗衣服</t>
    <phoneticPr fontId="1" type="noConversion"/>
  </si>
  <si>
    <t>完成度：100%，效率：70%</t>
    <phoneticPr fontId="1" type="noConversion"/>
  </si>
  <si>
    <t>已经拖了两天了，扣0.1</t>
    <phoneticPr fontId="1" type="noConversion"/>
  </si>
  <si>
    <t>添加【早餐】打卡表</t>
    <phoneticPr fontId="1" type="noConversion"/>
  </si>
  <si>
    <t>博客主页隐藏指定博文</t>
    <phoneticPr fontId="1" type="noConversion"/>
  </si>
  <si>
    <t>汇总2019年收支</t>
    <phoneticPr fontId="1" type="noConversion"/>
  </si>
  <si>
    <t>明日日程安排</t>
    <phoneticPr fontId="1" type="noConversion"/>
  </si>
  <si>
    <t>晚上才洗的，没洗午休枕，完成度：60%</t>
    <phoneticPr fontId="1" type="noConversion"/>
  </si>
  <si>
    <t>洗午休枕、浴巾</t>
    <phoneticPr fontId="1" type="noConversion"/>
  </si>
  <si>
    <t>深究评分，日报的日程安排问题</t>
    <phoneticPr fontId="1" type="noConversion"/>
  </si>
  <si>
    <t>午休</t>
    <phoneticPr fontId="1" type="noConversion"/>
  </si>
  <si>
    <t>关于日程没完成，推迟情况的处理方法</t>
    <phoneticPr fontId="1" type="noConversion"/>
  </si>
  <si>
    <t>评断中断事件的被迫程度</t>
    <phoneticPr fontId="1" type="noConversion"/>
  </si>
  <si>
    <t>日报模板</t>
    <phoneticPr fontId="1" type="noConversion"/>
  </si>
  <si>
    <t>周报模板</t>
    <phoneticPr fontId="1" type="noConversion"/>
  </si>
  <si>
    <t>今日日程评分</t>
    <phoneticPr fontId="1" type="noConversion"/>
  </si>
  <si>
    <t>刷牙洗脸记录</t>
    <phoneticPr fontId="1" type="noConversion"/>
  </si>
  <si>
    <t>已连续1周，增加0.2</t>
    <phoneticPr fontId="1" type="noConversion"/>
  </si>
  <si>
    <t>完成度20%</t>
    <phoneticPr fontId="1" type="noConversion"/>
  </si>
  <si>
    <t>完成度：30%，效率：50%，行动力：10%</t>
    <phoneticPr fontId="1" type="noConversion"/>
  </si>
  <si>
    <t>今日日程归档</t>
    <phoneticPr fontId="1" type="noConversion"/>
  </si>
  <si>
    <t>将【目标】类型全部改为【活动】类型</t>
    <phoneticPr fontId="1" type="noConversion"/>
  </si>
  <si>
    <t>将时间段固定的周期性活动的颜色改成另一种颜色</t>
    <phoneticPr fontId="1" type="noConversion"/>
  </si>
  <si>
    <t>修复Schedule.md中的情况处理</t>
    <phoneticPr fontId="1" type="noConversion"/>
  </si>
  <si>
    <t>家人聊天，给爸妈买车票</t>
    <phoneticPr fontId="1" type="noConversion"/>
  </si>
  <si>
    <t>认真思考森林+庄园的日程值不值得</t>
    <phoneticPr fontId="1" type="noConversion"/>
  </si>
  <si>
    <t>昨日评分归档</t>
    <phoneticPr fontId="1" type="noConversion"/>
  </si>
  <si>
    <t>昨日日报</t>
    <phoneticPr fontId="1" type="noConversion"/>
  </si>
  <si>
    <t>清理pocket</t>
    <phoneticPr fontId="1" type="noConversion"/>
  </si>
  <si>
    <t>规划谷歌日历API学习计划</t>
    <phoneticPr fontId="1" type="noConversion"/>
  </si>
  <si>
    <t>学习Google Calendar API</t>
    <phoneticPr fontId="1" type="noConversion"/>
  </si>
  <si>
    <t>思考人生目标</t>
    <phoneticPr fontId="1" type="noConversion"/>
  </si>
  <si>
    <t>完成度：30%</t>
    <phoneticPr fontId="1" type="noConversion"/>
  </si>
  <si>
    <t>看RM</t>
    <phoneticPr fontId="1" type="noConversion"/>
  </si>
  <si>
    <t>完成度：40%</t>
    <phoneticPr fontId="1" type="noConversion"/>
  </si>
  <si>
    <t>突发事件</t>
    <phoneticPr fontId="1" type="noConversion"/>
  </si>
  <si>
    <t>完成度：80%</t>
    <phoneticPr fontId="1" type="noConversion"/>
  </si>
  <si>
    <t>学习 Google Calendar API</t>
    <phoneticPr fontId="1" type="noConversion"/>
  </si>
  <si>
    <t>制定正则表达式学习计划</t>
    <phoneticPr fontId="1" type="noConversion"/>
  </si>
  <si>
    <t>制定禁欲奖惩规则</t>
    <phoneticPr fontId="1" type="noConversion"/>
  </si>
  <si>
    <t>制作禁欲打卡表</t>
    <phoneticPr fontId="1" type="noConversion"/>
  </si>
  <si>
    <t>杜杜视频</t>
    <phoneticPr fontId="1" type="noConversion"/>
  </si>
  <si>
    <t>微信聊天</t>
    <phoneticPr fontId="1" type="noConversion"/>
  </si>
  <si>
    <t>突发事件：与李佳雯、李静、杜杜等聊天</t>
    <phoneticPr fontId="1" type="noConversion"/>
  </si>
  <si>
    <t>完成度：0%</t>
    <phoneticPr fontId="1" type="noConversion"/>
  </si>
  <si>
    <t>思考蚂蚁森林+庄园值不值得做</t>
    <phoneticPr fontId="1" type="noConversion"/>
  </si>
  <si>
    <t>细化正则表达式学习计划</t>
    <phoneticPr fontId="1" type="noConversion"/>
  </si>
  <si>
    <t>午餐记录</t>
    <phoneticPr fontId="1" type="noConversion"/>
  </si>
  <si>
    <t>吃午餐</t>
  </si>
  <si>
    <t>做午餐</t>
  </si>
  <si>
    <t>奖励</t>
    <phoneticPr fontId="1" type="noConversion"/>
  </si>
  <si>
    <t>惩罚</t>
    <phoneticPr fontId="1" type="noConversion"/>
  </si>
  <si>
    <t>今日日程评分归档</t>
    <phoneticPr fontId="1" type="noConversion"/>
  </si>
  <si>
    <t>昨日日程评分</t>
    <phoneticPr fontId="1" type="noConversion"/>
  </si>
  <si>
    <t>昨日日程评分归档</t>
    <phoneticPr fontId="1" type="noConversion"/>
  </si>
  <si>
    <t>学习正则表达式</t>
    <phoneticPr fontId="1" type="noConversion"/>
  </si>
  <si>
    <t>完成度：10%</t>
    <phoneticPr fontId="1" type="noConversion"/>
  </si>
  <si>
    <t>读书笔记</t>
    <phoneticPr fontId="1" type="noConversion"/>
  </si>
  <si>
    <t>看电影</t>
    <phoneticPr fontId="1" type="noConversion"/>
  </si>
  <si>
    <t>今日日程安排</t>
    <phoneticPr fontId="1" type="noConversion"/>
  </si>
  <si>
    <t>今日日程评分记录</t>
    <phoneticPr fontId="1" type="noConversion"/>
  </si>
  <si>
    <t>今日日程评分归档记录</t>
    <phoneticPr fontId="1" type="noConversion"/>
  </si>
  <si>
    <t>奖励</t>
  </si>
  <si>
    <t>惩罚</t>
  </si>
  <si>
    <t>初始金额：0.1</t>
  </si>
  <si>
    <t>初始金额：0.1</t>
    <phoneticPr fontId="1" type="noConversion"/>
  </si>
  <si>
    <t>每坚持三天涨 0.1 元</t>
  </si>
  <si>
    <t>每坚持三天涨 0.1 元</t>
    <phoneticPr fontId="1" type="noConversion"/>
  </si>
  <si>
    <t>每坚持一周涨 0.2 元</t>
  </si>
  <si>
    <t>每坚持一个月涨 0.5 元</t>
  </si>
  <si>
    <t>均在当前已经累计的每日金额上增长。</t>
  </si>
  <si>
    <t>均在当前已经累计的每日金额上增长。</t>
    <phoneticPr fontId="1" type="noConversion"/>
  </si>
  <si>
    <t>每坚持一周涨 0.2 元</t>
    <phoneticPr fontId="1" type="noConversion"/>
  </si>
  <si>
    <t>每坚持一个月涨 0.5 元</t>
    <phoneticPr fontId="1" type="noConversion"/>
  </si>
  <si>
    <t>扣除当天应增加的金额</t>
  </si>
  <si>
    <t>奖励金额和惩罚金额同时重置为 0.1 元 / 天</t>
  </si>
  <si>
    <t>连续中断时，每日惩罚金额以 2 的指数次幂增长</t>
  </si>
  <si>
    <t>连续中断时，每日惩罚金额以 2 的指数次幂增长</t>
    <phoneticPr fontId="1" type="noConversion"/>
  </si>
  <si>
    <t>做</t>
  </si>
  <si>
    <t>吃</t>
  </si>
  <si>
    <t>开始时刻</t>
  </si>
  <si>
    <t>结束时刻</t>
  </si>
  <si>
    <t>持续时间</t>
  </si>
  <si>
    <t>得分</t>
  </si>
  <si>
    <t>得分备注</t>
  </si>
  <si>
    <t>负连续天数</t>
  </si>
  <si>
    <t>晚餐记录</t>
    <phoneticPr fontId="1" type="noConversion"/>
  </si>
  <si>
    <t>做晚餐</t>
  </si>
  <si>
    <t>吃晚餐</t>
  </si>
  <si>
    <t>正连续天数</t>
    <phoneticPr fontId="1" type="noConversion"/>
  </si>
  <si>
    <t>三餐奖惩制度</t>
    <phoneticPr fontId="1" type="noConversion"/>
  </si>
  <si>
    <t>给姐看，她要买苹果11</t>
    <phoneticPr fontId="1" type="noConversion"/>
  </si>
  <si>
    <t>Score.xlsx 完善 schedule 表</t>
    <phoneticPr fontId="1" type="noConversion"/>
  </si>
  <si>
    <t>Score.xlsx 添加奖惩制度</t>
    <phoneticPr fontId="1" type="noConversion"/>
  </si>
  <si>
    <t>做午餐</t>
    <phoneticPr fontId="1" type="noConversion"/>
  </si>
  <si>
    <t>吃午餐</t>
    <phoneticPr fontId="1" type="noConversion"/>
  </si>
  <si>
    <t>看苹果手机报价</t>
    <phoneticPr fontId="1" type="noConversion"/>
  </si>
  <si>
    <t>取快递</t>
    <phoneticPr fontId="1" type="noConversion"/>
  </si>
  <si>
    <t>做晚餐</t>
    <phoneticPr fontId="1" type="noConversion"/>
  </si>
  <si>
    <t>吃晚餐</t>
    <phoneticPr fontId="1" type="noConversion"/>
  </si>
  <si>
    <t>思考人生</t>
    <phoneticPr fontId="1" type="noConversion"/>
  </si>
  <si>
    <t>看韩剧</t>
    <phoneticPr fontId="1" type="noConversion"/>
  </si>
  <si>
    <t>完成度=2400/2600=92.3%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</si>
</sst>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[$-F400]h:mm:ss\ AM/PM"/>
    <numFmt numFmtId="177" formatCode="0_);[Red]\(0\)"/>
    <numFmt numFmtId="178" formatCode="h:mm;@"/>
    <numFmt numFmtId="179" formatCode="0.000"/>
  </numFmts>
  <fonts count="2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等线"/>
      <family val="4"/>
      <charset val="134"/>
      <scheme val="minor"/>
    </font>
    <font>
      <sz val="14"/>
      <color theme="1"/>
      <name val="等线"/>
      <family val="2"/>
      <charset val="134"/>
      <scheme val="minor"/>
    </font>
    <font>
      <sz val="14"/>
      <color theme="1"/>
      <name val="等线"/>
      <family val="4"/>
      <charset val="134"/>
      <scheme val="minor"/>
    </font>
    <font>
      <sz val="12"/>
      <color rgb="FF555555"/>
      <name val="等线"/>
      <family val="4"/>
      <charset val="134"/>
      <scheme val="minor"/>
    </font>
    <font>
      <sz val="10"/>
      <color rgb="FF000000"/>
      <name val="PingFang SC"/>
      <family val="2"/>
      <charset val="134"/>
    </font>
    <font>
      <sz val="10"/>
      <color rgb="FF000000"/>
      <name val="Helvetica Neue"/>
      <family val="2"/>
    </font>
    <font>
      <sz val="12"/>
      <color theme="1"/>
      <name val="Helvetica"/>
      <family val="2"/>
    </font>
    <font>
      <sz val="12"/>
      <color theme="1"/>
      <name val="等线"/>
      <family val="4"/>
      <charset val="134"/>
      <scheme val="minor"/>
    </font>
    <font>
      <sz val="16"/>
      <color theme="1"/>
      <name val="等线"/>
      <family val="2"/>
      <charset val="134"/>
      <scheme val="minor"/>
    </font>
    <font>
      <sz val="16"/>
      <color rgb="FFFF0000"/>
      <name val="Times New Roman"/>
      <family val="1"/>
    </font>
    <font>
      <sz val="16"/>
      <color theme="0"/>
      <name val="等线"/>
      <family val="4"/>
      <charset val="134"/>
      <scheme val="minor"/>
    </font>
    <font>
      <sz val="16"/>
      <color rgb="FFFF0000"/>
      <name val="等线"/>
      <family val="4"/>
      <charset val="134"/>
      <scheme val="minor"/>
    </font>
    <font>
      <sz val="26"/>
      <color theme="1"/>
      <name val="等线 Light"/>
      <family val="4"/>
      <charset val="134"/>
      <scheme val="major"/>
    </font>
    <font>
      <sz val="20"/>
      <color theme="1"/>
      <name val="等线"/>
      <family val="4"/>
      <charset val="134"/>
      <scheme val="minor"/>
    </font>
    <font>
      <sz val="14"/>
      <color rgb="FF3C4043"/>
      <name val="Arial"/>
      <family val="2"/>
    </font>
    <font>
      <sz val="18"/>
      <color rgb="FFFF0000"/>
      <name val="等线"/>
      <family val="2"/>
      <charset val="134"/>
      <scheme val="minor"/>
    </font>
    <font>
      <sz val="18"/>
      <color theme="9"/>
      <name val="等线"/>
      <family val="2"/>
      <charset val="134"/>
      <scheme val="minor"/>
    </font>
    <font>
      <sz val="18"/>
      <color rgb="FF70AD47"/>
      <name val="等线"/>
      <family val="4"/>
      <charset val="134"/>
      <scheme val="minor"/>
    </font>
    <font>
      <sz val="12"/>
      <color rgb="FF000000"/>
      <name val="等线"/>
      <family val="4"/>
      <charset val="134"/>
      <scheme val="minor"/>
    </font>
    <font>
      <sz val="18"/>
      <color rgb="FFFF0000"/>
      <name val="等线"/>
      <family val="4"/>
      <charset val="134"/>
      <scheme val="minor"/>
    </font>
    <font>
      <sz val="20"/>
      <color rgb="FF000000"/>
      <name val="等线"/>
      <family val="4"/>
      <charset val="134"/>
      <scheme val="minor"/>
    </font>
    <font>
      <b/>
      <sz val="12"/>
      <color rgb="FF000000"/>
      <name val="等线"/>
      <family val="4"/>
      <charset val="134"/>
      <scheme val="minor"/>
    </font>
    <font>
      <sz val="16"/>
      <color rgb="FFFF0000"/>
      <name val="等线 (正文)"/>
    </font>
  </fonts>
  <fills count="12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7E6E6"/>
        <bgColor rgb="FF000000"/>
      </patternFill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6" fillId="0" borderId="0" xfId="0" applyFont="1">
      <alignment vertical="center"/>
    </xf>
    <xf numFmtId="0" fontId="8" fillId="0" borderId="0" xfId="0" applyFont="1">
      <alignment vertical="center"/>
    </xf>
    <xf numFmtId="14" fontId="0" fillId="0" borderId="0" xfId="0" applyNumberFormat="1">
      <alignment vertical="center"/>
    </xf>
    <xf numFmtId="0" fontId="9" fillId="0" borderId="0" xfId="0" applyFont="1">
      <alignment vertical="center"/>
    </xf>
    <xf numFmtId="14" fontId="5" fillId="0" borderId="0" xfId="0" applyNumberFormat="1" applyFont="1">
      <alignment vertical="center"/>
    </xf>
    <xf numFmtId="20" fontId="5" fillId="0" borderId="0" xfId="0" applyNumberFormat="1" applyFont="1">
      <alignment vertical="center"/>
    </xf>
    <xf numFmtId="0" fontId="5" fillId="0" borderId="0" xfId="0" applyNumberFormat="1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vertical="center"/>
    </xf>
    <xf numFmtId="177" fontId="0" fillId="0" borderId="0" xfId="0" applyNumberFormat="1">
      <alignment vertical="center"/>
    </xf>
    <xf numFmtId="176" fontId="5" fillId="0" borderId="0" xfId="0" applyNumberFormat="1" applyFont="1">
      <alignment vertical="center"/>
    </xf>
    <xf numFmtId="178" fontId="0" fillId="0" borderId="0" xfId="0" applyNumberFormat="1">
      <alignment vertical="center"/>
    </xf>
    <xf numFmtId="178" fontId="3" fillId="0" borderId="0" xfId="0" applyNumberFormat="1" applyFont="1">
      <alignment vertical="center"/>
    </xf>
    <xf numFmtId="14" fontId="4" fillId="0" borderId="0" xfId="0" applyNumberFormat="1" applyFont="1">
      <alignment vertical="center"/>
    </xf>
    <xf numFmtId="20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0" xfId="0" pivotButton="1">
      <alignment vertical="center"/>
    </xf>
    <xf numFmtId="0" fontId="16" fillId="0" borderId="0" xfId="0" applyFont="1">
      <alignment vertical="center"/>
    </xf>
    <xf numFmtId="178" fontId="5" fillId="0" borderId="0" xfId="0" applyNumberFormat="1" applyFont="1">
      <alignment vertical="center"/>
    </xf>
    <xf numFmtId="178" fontId="5" fillId="0" borderId="0" xfId="0" applyNumberFormat="1" applyFont="1" applyAlignment="1">
      <alignment horizontal="right" vertical="center"/>
    </xf>
    <xf numFmtId="10" fontId="5" fillId="0" borderId="0" xfId="0" applyNumberFormat="1" applyFont="1" applyAlignment="1">
      <alignment horizontal="left" vertical="center"/>
    </xf>
    <xf numFmtId="179" fontId="5" fillId="0" borderId="0" xfId="0" applyNumberFormat="1" applyFont="1">
      <alignment vertical="center"/>
    </xf>
    <xf numFmtId="0" fontId="17" fillId="0" borderId="0" xfId="0" applyFont="1">
      <alignment vertical="center"/>
    </xf>
    <xf numFmtId="0" fontId="18" fillId="0" borderId="0" xfId="0" applyFont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14" fontId="20" fillId="11" borderId="0" xfId="0" applyNumberFormat="1" applyFont="1" applyFill="1">
      <alignment vertical="center"/>
    </xf>
    <xf numFmtId="0" fontId="20" fillId="11" borderId="0" xfId="0" applyFont="1" applyFill="1">
      <alignment vertical="center"/>
    </xf>
    <xf numFmtId="14" fontId="20" fillId="0" borderId="0" xfId="0" applyNumberFormat="1" applyFont="1">
      <alignment vertical="center"/>
    </xf>
    <xf numFmtId="0" fontId="23" fillId="0" borderId="1" xfId="0" applyFont="1" applyBorder="1">
      <alignment vertical="center"/>
    </xf>
    <xf numFmtId="14" fontId="20" fillId="0" borderId="0" xfId="0" applyNumberFormat="1" applyFont="1" applyBorder="1">
      <alignment vertical="center"/>
    </xf>
    <xf numFmtId="0" fontId="14" fillId="0" borderId="0" xfId="0" applyFont="1" applyAlignment="1">
      <alignment horizontal="center" vertical="center"/>
    </xf>
    <xf numFmtId="0" fontId="13" fillId="8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0" fillId="4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12" fillId="6" borderId="0" xfId="0" applyFont="1" applyFill="1" applyAlignment="1">
      <alignment horizontal="center" vertical="center"/>
    </xf>
    <xf numFmtId="0" fontId="12" fillId="3" borderId="0" xfId="0" applyFont="1" applyFill="1" applyAlignment="1">
      <alignment horizontal="center" vertical="center"/>
    </xf>
    <xf numFmtId="0" fontId="12" fillId="7" borderId="0" xfId="0" applyFont="1" applyFill="1" applyAlignment="1">
      <alignment horizontal="center" vertical="center"/>
    </xf>
    <xf numFmtId="0" fontId="15" fillId="9" borderId="0" xfId="0" applyFont="1" applyFill="1" applyAlignment="1">
      <alignment horizontal="center" vertical="center"/>
    </xf>
    <xf numFmtId="0" fontId="22" fillId="10" borderId="0" xfId="0" applyFont="1" applyFill="1" applyAlignment="1">
      <alignment horizontal="center" vertical="center"/>
    </xf>
    <xf numFmtId="0" fontId="22" fillId="10" borderId="1" xfId="0" applyFont="1" applyFill="1" applyBorder="1" applyAlignment="1">
      <alignment horizontal="center" vertical="center"/>
    </xf>
    <xf numFmtId="10" fontId="5" fillId="0" borderId="0" xfId="0" applyNumberFormat="1" applyFont="1">
      <alignment vertical="center"/>
    </xf>
  </cellXfs>
  <cellStyles count="1">
    <cellStyle name="常规" xfId="0" builtinId="0"/>
  </cellStyles>
  <dxfs count="268">
    <dxf>
      <numFmt numFmtId="25" formatCode="h:mm"/>
    </dxf>
    <dxf>
      <numFmt numFmtId="25" formatCode="h:mm"/>
    </dxf>
    <dxf>
      <numFmt numFmtId="25" formatCode="h:mm"/>
    </dxf>
    <dxf>
      <numFmt numFmtId="19" formatCode="yyyy/m/d"/>
    </dxf>
    <dxf>
      <numFmt numFmtId="25" formatCode="h:mm"/>
    </dxf>
    <dxf>
      <numFmt numFmtId="25" formatCode="h:mm"/>
    </dxf>
    <dxf>
      <numFmt numFmtId="25" formatCode="h:mm"/>
    </dxf>
    <dxf>
      <numFmt numFmtId="19" formatCode="yyyy/m/d"/>
    </dxf>
    <dxf>
      <numFmt numFmtId="25" formatCode="h:mm"/>
    </dxf>
    <dxf>
      <numFmt numFmtId="25" formatCode="h:mm"/>
    </dxf>
    <dxf>
      <numFmt numFmtId="25" formatCode="h:mm"/>
    </dxf>
    <dxf>
      <numFmt numFmtId="19" formatCode="yyyy/m/d"/>
    </dxf>
    <dxf>
      <numFmt numFmtId="25" formatCode="h:mm"/>
    </dxf>
    <dxf>
      <numFmt numFmtId="25" formatCode="h:mm"/>
    </dxf>
    <dxf>
      <numFmt numFmtId="25" formatCode="h:mm"/>
    </dxf>
    <dxf>
      <numFmt numFmtId="19" formatCode="yyyy/m/d"/>
    </dxf>
    <dxf>
      <numFmt numFmtId="25" formatCode="h:mm"/>
    </dxf>
    <dxf>
      <numFmt numFmtId="25" formatCode="h:mm"/>
    </dxf>
    <dxf>
      <numFmt numFmtId="25" formatCode="h:mm"/>
    </dxf>
    <dxf>
      <numFmt numFmtId="19" formatCode="yyyy/m/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  <numFmt numFmtId="25" formatCode="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  <numFmt numFmtId="25" formatCode="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  <numFmt numFmtId="25" formatCode="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  <numFmt numFmtId="19" formatCode="yyyy/m/d"/>
    </dxf>
    <dxf>
      <border outline="0"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  <numFmt numFmtId="25" formatCode="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  <numFmt numFmtId="25" formatCode="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  <numFmt numFmtId="25" formatCode="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  <numFmt numFmtId="19" formatCode="yyyy/m/d"/>
    </dxf>
    <dxf>
      <border outline="0"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</dxf>
    <dxf>
      <numFmt numFmtId="25" formatCode="h:mm"/>
    </dxf>
    <dxf>
      <numFmt numFmtId="25" formatCode="h:mm"/>
    </dxf>
    <dxf>
      <numFmt numFmtId="25" formatCode="h:mm"/>
    </dxf>
    <dxf>
      <numFmt numFmtId="19" formatCode="yyyy/m/d"/>
    </dxf>
    <dxf>
      <numFmt numFmtId="25" formatCode="h:mm"/>
    </dxf>
    <dxf>
      <numFmt numFmtId="25" formatCode="h:mm"/>
    </dxf>
    <dxf>
      <numFmt numFmtId="25" formatCode="h:mm"/>
    </dxf>
    <dxf>
      <numFmt numFmtId="19" formatCode="yyyy/m/d"/>
    </dxf>
    <dxf>
      <numFmt numFmtId="25" formatCode="h:mm"/>
    </dxf>
    <dxf>
      <numFmt numFmtId="25" formatCode="h:mm"/>
    </dxf>
    <dxf>
      <numFmt numFmtId="25" formatCode="h:mm"/>
    </dxf>
    <dxf>
      <numFmt numFmtId="19" formatCode="yyyy/m/d"/>
    </dxf>
    <dxf>
      <numFmt numFmtId="25" formatCode="h:mm"/>
    </dxf>
    <dxf>
      <numFmt numFmtId="25" formatCode="h:mm"/>
    </dxf>
    <dxf>
      <numFmt numFmtId="25" formatCode="h:mm"/>
    </dxf>
    <dxf>
      <numFmt numFmtId="19" formatCode="yyyy/m/d"/>
    </dxf>
    <dxf>
      <numFmt numFmtId="25" formatCode="h:mm"/>
    </dxf>
    <dxf>
      <numFmt numFmtId="25" formatCode="h:mm"/>
    </dxf>
    <dxf>
      <numFmt numFmtId="25" formatCode="h:mm"/>
    </dxf>
    <dxf>
      <numFmt numFmtId="19" formatCode="yyyy/m/d"/>
    </dxf>
    <dxf>
      <numFmt numFmtId="25" formatCode="h:mm"/>
    </dxf>
    <dxf>
      <numFmt numFmtId="25" formatCode="h:mm"/>
    </dxf>
    <dxf>
      <numFmt numFmtId="25" formatCode="h:mm"/>
    </dxf>
    <dxf>
      <numFmt numFmtId="19" formatCode="yyyy/m/d"/>
    </dxf>
    <dxf>
      <numFmt numFmtId="25" formatCode="h:mm"/>
    </dxf>
    <dxf>
      <numFmt numFmtId="25" formatCode="h:mm"/>
    </dxf>
    <dxf>
      <numFmt numFmtId="25" formatCode="h:mm"/>
    </dxf>
    <dxf>
      <numFmt numFmtId="19" formatCode="yyyy/m/d"/>
    </dxf>
    <dxf>
      <numFmt numFmtId="178" formatCode="h:mm;@"/>
    </dxf>
    <dxf>
      <numFmt numFmtId="178" formatCode="h:mm;@"/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78" formatCode="h:mm;@"/>
    </dxf>
    <dxf>
      <numFmt numFmtId="178" formatCode="h:mm;@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numFmt numFmtId="19" formatCode="yyyy/m/d"/>
    </dxf>
    <dxf>
      <numFmt numFmtId="177" formatCode="0_);[Red]\(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等线"/>
        <family val="4"/>
        <charset val="134"/>
        <scheme val="minor"/>
      </font>
    </dxf>
    <dxf>
      <numFmt numFmtId="19" formatCode="yyyy/m/d"/>
    </dxf>
    <dxf>
      <numFmt numFmtId="19" formatCode="yyyy/m/d"/>
    </dxf>
    <dxf>
      <numFmt numFmtId="177" formatCode="0_);[Red]\(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等线"/>
        <family val="2"/>
        <charset val="134"/>
        <scheme val="minor"/>
      </font>
    </dxf>
    <dxf>
      <numFmt numFmtId="19" formatCode="yyyy/m/d"/>
    </dxf>
    <dxf>
      <numFmt numFmtId="19" formatCode="yyyy/m/d"/>
    </dxf>
    <dxf>
      <numFmt numFmtId="177" formatCode="0_);[Red]\(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numFmt numFmtId="19" formatCode="yyyy/m/d"/>
    </dxf>
    <dxf>
      <numFmt numFmtId="19" formatCode="yyyy/m/d"/>
    </dxf>
    <dxf>
      <numFmt numFmtId="177" formatCode="0_);[Red]\(0\)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numFmt numFmtId="19" formatCode="yyyy/m/d"/>
    </dxf>
    <dxf>
      <numFmt numFmtId="19" formatCode="yyyy/m/d"/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numFmt numFmtId="19" formatCode="yyyy/m/d"/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numFmt numFmtId="19" formatCode="yyyy/m/d"/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numFmt numFmtId="19" formatCode="yyyy/m/d"/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numFmt numFmtId="19" formatCode="yyyy/m/d"/>
    </dxf>
    <dxf>
      <numFmt numFmtId="19" formatCode="yyyy/m/d"/>
    </dxf>
    <dxf>
      <numFmt numFmtId="177" formatCode="0_);[Red]\(0\)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numFmt numFmtId="19" formatCode="yyyy/m/d"/>
    </dxf>
    <dxf>
      <numFmt numFmtId="19" formatCode="yyyy/m/d"/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numFmt numFmtId="19" formatCode="yyyy/m/d"/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numFmt numFmtId="19" formatCode="yyyy/m/d"/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numFmt numFmtId="19" formatCode="yyyy/m/d"/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numFmt numFmtId="19" formatCode="yyyy/m/d"/>
    </dxf>
    <dxf>
      <numFmt numFmtId="19" formatCode="yyyy/m/d"/>
    </dxf>
    <dxf>
      <numFmt numFmtId="177" formatCode="0_);[Red]\(0\)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numFmt numFmtId="19" formatCode="yyyy/m/d"/>
    </dxf>
    <dxf>
      <numFmt numFmtId="19" formatCode="yyyy/m/d"/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rgb="FF555555"/>
        <name val="等线"/>
        <charset val="134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charset val="134"/>
        <scheme val="minor"/>
      </font>
      <numFmt numFmtId="179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charset val="134"/>
        <scheme val="minor"/>
      </font>
      <numFmt numFmtId="176" formatCode="[$-F400]h:mm:ss\ AM/P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family val="4"/>
        <charset val="134"/>
        <scheme val="minor"/>
      </font>
      <numFmt numFmtId="25" formatCode="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family val="4"/>
        <charset val="134"/>
        <scheme val="minor"/>
      </font>
      <numFmt numFmtId="25" formatCode="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charset val="134"/>
        <scheme val="minor"/>
      </font>
      <numFmt numFmtId="19" formatCode="yyyy/m/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charset val="134"/>
        <scheme val="minor"/>
      </font>
      <numFmt numFmtId="19" formatCode="yyyy/m/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charset val="134"/>
        <scheme val="minor"/>
      </font>
      <numFmt numFmtId="19" formatCode="yyyy/m/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charset val="134"/>
        <scheme val="minor"/>
      </font>
      <numFmt numFmtId="19" formatCode="yyyy/m/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charset val="134"/>
        <scheme val="minor"/>
      </font>
      <numFmt numFmtId="19" formatCode="yyyy/m/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charset val="134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microsoft.com/office/2007/relationships/slicerCache" Target="slicerCaches/slicerCache2.xml"/><Relationship Id="rId26" Type="http://schemas.microsoft.com/office/2007/relationships/slicerCache" Target="slicerCaches/slicerCache10.xml"/><Relationship Id="rId3" Type="http://schemas.openxmlformats.org/officeDocument/2006/relationships/worksheet" Target="worksheets/sheet3.xml"/><Relationship Id="rId21" Type="http://schemas.microsoft.com/office/2007/relationships/slicerCache" Target="slicerCaches/slicerCache5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07/relationships/slicerCache" Target="slicerCaches/slicerCache1.xml"/><Relationship Id="rId25" Type="http://schemas.microsoft.com/office/2007/relationships/slicerCache" Target="slicerCaches/slicerCache9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1.xml"/><Relationship Id="rId20" Type="http://schemas.microsoft.com/office/2007/relationships/slicerCache" Target="slicerCaches/slicerCache4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microsoft.com/office/2007/relationships/slicerCache" Target="slicerCaches/slicerCache8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07/relationships/slicerCache" Target="slicerCaches/slicerCache7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microsoft.com/office/2007/relationships/slicerCache" Target="slicerCaches/slicerCache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07/relationships/slicerCache" Target="slicerCaches/slicerCache6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每日得分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day!$A$3:$A$9</c:f>
              <c:numCache>
                <c:formatCode>m/d/yy</c:formatCode>
                <c:ptCount val="7"/>
                <c:pt idx="0">
                  <c:v>43885</c:v>
                </c:pt>
                <c:pt idx="1">
                  <c:v>43886</c:v>
                </c:pt>
                <c:pt idx="2">
                  <c:v>43887</c:v>
                </c:pt>
                <c:pt idx="3">
                  <c:v>43888</c:v>
                </c:pt>
                <c:pt idx="4">
                  <c:v>43889</c:v>
                </c:pt>
                <c:pt idx="5">
                  <c:v>43890</c:v>
                </c:pt>
                <c:pt idx="6">
                  <c:v>43891</c:v>
                </c:pt>
              </c:numCache>
            </c:numRef>
          </c:cat>
          <c:val>
            <c:numRef>
              <c:f>day!$B$3:$B$9</c:f>
              <c:numCache>
                <c:formatCode>General</c:formatCode>
                <c:ptCount val="7"/>
                <c:pt idx="0">
                  <c:v>-0.62000000000000011</c:v>
                </c:pt>
                <c:pt idx="1">
                  <c:v>1.7</c:v>
                </c:pt>
                <c:pt idx="2">
                  <c:v>2.9000000000000008</c:v>
                </c:pt>
                <c:pt idx="3">
                  <c:v>1.56</c:v>
                </c:pt>
                <c:pt idx="4">
                  <c:v>3.9400000000000004</c:v>
                </c:pt>
                <c:pt idx="5">
                  <c:v>4.1800000000000006</c:v>
                </c:pt>
                <c:pt idx="6">
                  <c:v>4.4880000000000004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E56-2240-8CA6-8C6E9B0C7D63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314841376"/>
        <c:axId val="418336016"/>
      </c:lineChart>
      <c:dateAx>
        <c:axId val="314841376"/>
        <c:scaling>
          <c:orientation val="minMax"/>
        </c:scaling>
        <c:delete val="1"/>
        <c:axPos val="b"/>
        <c:numFmt formatCode="m/d/yy" sourceLinked="1"/>
        <c:majorTickMark val="out"/>
        <c:minorTickMark val="none"/>
        <c:tickLblPos val="nextTo"/>
        <c:crossAx val="418336016"/>
        <c:crosses val="autoZero"/>
        <c:auto val="1"/>
        <c:lblOffset val="100"/>
        <c:baseTimeUnit val="days"/>
      </c:dateAx>
      <c:valAx>
        <c:axId val="418336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148413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week!$AL$2</c:f>
              <c:strCache>
                <c:ptCount val="1"/>
                <c:pt idx="0">
                  <c:v>早起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week!$AL$3:$AL$5</c:f>
              <c:numCache>
                <c:formatCode>General</c:formatCode>
                <c:ptCount val="3"/>
                <c:pt idx="0">
                  <c:v>-0.1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942-184B-969B-645FBAE54183}"/>
            </c:ext>
          </c:extLst>
        </c:ser>
        <c:ser>
          <c:idx val="1"/>
          <c:order val="1"/>
          <c:tx>
            <c:strRef>
              <c:f>week!$AM$2</c:f>
              <c:strCache>
                <c:ptCount val="1"/>
                <c:pt idx="0">
                  <c:v>阅读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week!$AM$3:$AM$5</c:f>
              <c:numCache>
                <c:formatCode>General</c:formatCode>
                <c:ptCount val="3"/>
                <c:pt idx="0">
                  <c:v>-0.1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942-184B-969B-645FBAE54183}"/>
            </c:ext>
          </c:extLst>
        </c:ser>
        <c:ser>
          <c:idx val="2"/>
          <c:order val="2"/>
          <c:tx>
            <c:strRef>
              <c:f>week!$AN$2</c:f>
              <c:strCache>
                <c:ptCount val="1"/>
                <c:pt idx="0">
                  <c:v>早餐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week!$AN$3:$AN$5</c:f>
              <c:numCache>
                <c:formatCode>General</c:formatCode>
                <c:ptCount val="3"/>
                <c:pt idx="0">
                  <c:v>-0.1</c:v>
                </c:pt>
                <c:pt idx="1">
                  <c:v>-0.2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942-184B-969B-645FBAE54183}"/>
            </c:ext>
          </c:extLst>
        </c:ser>
        <c:ser>
          <c:idx val="3"/>
          <c:order val="3"/>
          <c:tx>
            <c:strRef>
              <c:f>week!$AO$2</c:f>
              <c:strCache>
                <c:ptCount val="1"/>
                <c:pt idx="0">
                  <c:v>锻炼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week!$AO$3:$AO$5</c:f>
              <c:numCache>
                <c:formatCode>General</c:formatCode>
                <c:ptCount val="3"/>
                <c:pt idx="0">
                  <c:v>0.1</c:v>
                </c:pt>
                <c:pt idx="1">
                  <c:v>0.5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942-184B-969B-645FBAE54183}"/>
            </c:ext>
          </c:extLst>
        </c:ser>
        <c:ser>
          <c:idx val="4"/>
          <c:order val="4"/>
          <c:tx>
            <c:strRef>
              <c:f>week!$AP$2</c:f>
              <c:strCache>
                <c:ptCount val="1"/>
                <c:pt idx="0">
                  <c:v>日报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week!$AP$3:$AP$5</c:f>
              <c:numCache>
                <c:formatCode>General</c:formatCode>
                <c:ptCount val="3"/>
                <c:pt idx="0">
                  <c:v>0.1</c:v>
                </c:pt>
                <c:pt idx="1">
                  <c:v>0.1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942-184B-969B-645FBAE54183}"/>
            </c:ext>
          </c:extLst>
        </c:ser>
        <c:ser>
          <c:idx val="5"/>
          <c:order val="5"/>
          <c:tx>
            <c:strRef>
              <c:f>week!$AQ$2</c:f>
              <c:strCache>
                <c:ptCount val="1"/>
                <c:pt idx="0">
                  <c:v>明日日程安排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week!$AQ$3:$AQ$5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942-184B-969B-645FBAE541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4571888"/>
        <c:axId val="484582416"/>
      </c:lineChart>
      <c:catAx>
        <c:axId val="5245718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84582416"/>
        <c:crosses val="autoZero"/>
        <c:auto val="1"/>
        <c:lblAlgn val="ctr"/>
        <c:lblOffset val="100"/>
        <c:noMultiLvlLbl val="0"/>
      </c:catAx>
      <c:valAx>
        <c:axId val="484582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24571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week!$AS$2:$AX$2</c:f>
              <c:strCache>
                <c:ptCount val="6"/>
                <c:pt idx="0">
                  <c:v>早起</c:v>
                </c:pt>
                <c:pt idx="1">
                  <c:v>阅读</c:v>
                </c:pt>
                <c:pt idx="2">
                  <c:v>早餐</c:v>
                </c:pt>
                <c:pt idx="3">
                  <c:v>锻炼</c:v>
                </c:pt>
                <c:pt idx="4">
                  <c:v>日报</c:v>
                </c:pt>
                <c:pt idx="5">
                  <c:v>明日日程安排</c:v>
                </c:pt>
              </c:strCache>
            </c:strRef>
          </c:cat>
          <c:val>
            <c:numRef>
              <c:f>week!$AS$3:$AX$3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-0.2</c:v>
                </c:pt>
                <c:pt idx="3">
                  <c:v>0.5</c:v>
                </c:pt>
                <c:pt idx="4">
                  <c:v>0.1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B04-1848-8FF0-B381318A82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3311808"/>
        <c:axId val="482491200"/>
      </c:lineChart>
      <c:catAx>
        <c:axId val="483311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82491200"/>
        <c:crosses val="autoZero"/>
        <c:auto val="1"/>
        <c:lblAlgn val="ctr"/>
        <c:lblOffset val="100"/>
        <c:noMultiLvlLbl val="0"/>
      </c:catAx>
      <c:valAx>
        <c:axId val="482491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833118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每日总分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day!$B$39</c:f>
              <c:strCache>
                <c:ptCount val="1"/>
                <c:pt idx="0">
                  <c:v>总分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day!$A$40:$A$46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day!$B$40:$B$46</c:f>
              <c:numCache>
                <c:formatCode>General</c:formatCode>
                <c:ptCount val="7"/>
                <c:pt idx="0">
                  <c:v>-2.0000000000000032E-2</c:v>
                </c:pt>
                <c:pt idx="1">
                  <c:v>-0.12000000000000018</c:v>
                </c:pt>
                <c:pt idx="2">
                  <c:v>1.5999999999999999</c:v>
                </c:pt>
                <c:pt idx="3">
                  <c:v>2.8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A7-E743-B002-55B15BED999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563234015"/>
        <c:axId val="563218511"/>
      </c:barChart>
      <c:dateAx>
        <c:axId val="563234015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63218511"/>
        <c:crosses val="autoZero"/>
        <c:auto val="1"/>
        <c:lblOffset val="100"/>
        <c:baseTimeUnit val="days"/>
      </c:dateAx>
      <c:valAx>
        <c:axId val="563218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632340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每日各时段得分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line3DChart>
        <c:grouping val="standard"/>
        <c:varyColors val="0"/>
        <c:ser>
          <c:idx val="0"/>
          <c:order val="0"/>
          <c:tx>
            <c:strRef>
              <c:f>day!$E$39</c:f>
              <c:strCache>
                <c:ptCount val="1"/>
                <c:pt idx="0">
                  <c:v>0:00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day!$E$40:$E$46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57-9D47-9121-97A55F0264AA}"/>
            </c:ext>
          </c:extLst>
        </c:ser>
        <c:ser>
          <c:idx val="1"/>
          <c:order val="1"/>
          <c:tx>
            <c:strRef>
              <c:f>day!$F$39</c:f>
              <c:strCache>
                <c:ptCount val="1"/>
                <c:pt idx="0">
                  <c:v>1:00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day!$F$40:$F$46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C57-9D47-9121-97A55F0264AA}"/>
            </c:ext>
          </c:extLst>
        </c:ser>
        <c:ser>
          <c:idx val="2"/>
          <c:order val="2"/>
          <c:tx>
            <c:strRef>
              <c:f>day!$G$39</c:f>
              <c:strCache>
                <c:ptCount val="1"/>
                <c:pt idx="0">
                  <c:v>2:00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day!$G$40:$G$46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C57-9D47-9121-97A55F0264AA}"/>
            </c:ext>
          </c:extLst>
        </c:ser>
        <c:ser>
          <c:idx val="3"/>
          <c:order val="3"/>
          <c:tx>
            <c:strRef>
              <c:f>day!$H$39</c:f>
              <c:strCache>
                <c:ptCount val="1"/>
                <c:pt idx="0">
                  <c:v>3:00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day!$H$40:$H$46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C57-9D47-9121-97A55F0264AA}"/>
            </c:ext>
          </c:extLst>
        </c:ser>
        <c:ser>
          <c:idx val="4"/>
          <c:order val="4"/>
          <c:tx>
            <c:strRef>
              <c:f>day!$I$39</c:f>
              <c:strCache>
                <c:ptCount val="1"/>
                <c:pt idx="0">
                  <c:v>4:00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day!$I$40:$I$46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C57-9D47-9121-97A55F0264AA}"/>
            </c:ext>
          </c:extLst>
        </c:ser>
        <c:ser>
          <c:idx val="5"/>
          <c:order val="5"/>
          <c:tx>
            <c:strRef>
              <c:f>day!$J$39</c:f>
              <c:strCache>
                <c:ptCount val="1"/>
                <c:pt idx="0">
                  <c:v>5:00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day!$J$40:$J$46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C57-9D47-9121-97A55F0264AA}"/>
            </c:ext>
          </c:extLst>
        </c:ser>
        <c:ser>
          <c:idx val="6"/>
          <c:order val="6"/>
          <c:tx>
            <c:strRef>
              <c:f>day!$K$39</c:f>
              <c:strCache>
                <c:ptCount val="1"/>
                <c:pt idx="0">
                  <c:v>6:00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day!$K$40:$K$46</c:f>
              <c:numCache>
                <c:formatCode>General</c:formatCode>
                <c:ptCount val="7"/>
                <c:pt idx="0">
                  <c:v>-0.2</c:v>
                </c:pt>
                <c:pt idx="1">
                  <c:v>-0.4</c:v>
                </c:pt>
                <c:pt idx="2">
                  <c:v>0.2</c:v>
                </c:pt>
                <c:pt idx="3">
                  <c:v>0.2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C57-9D47-9121-97A55F0264AA}"/>
            </c:ext>
          </c:extLst>
        </c:ser>
        <c:ser>
          <c:idx val="7"/>
          <c:order val="7"/>
          <c:tx>
            <c:strRef>
              <c:f>day!$L$39</c:f>
              <c:strCache>
                <c:ptCount val="1"/>
                <c:pt idx="0">
                  <c:v>7:00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day!$L$40:$L$46</c:f>
              <c:numCache>
                <c:formatCode>General</c:formatCode>
                <c:ptCount val="7"/>
                <c:pt idx="0">
                  <c:v>-0.1</c:v>
                </c:pt>
                <c:pt idx="1">
                  <c:v>-0.2</c:v>
                </c:pt>
                <c:pt idx="2">
                  <c:v>0.1</c:v>
                </c:pt>
                <c:pt idx="3">
                  <c:v>0.1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C57-9D47-9121-97A55F0264AA}"/>
            </c:ext>
          </c:extLst>
        </c:ser>
        <c:ser>
          <c:idx val="8"/>
          <c:order val="8"/>
          <c:tx>
            <c:strRef>
              <c:f>day!$M$39</c:f>
              <c:strCache>
                <c:ptCount val="1"/>
                <c:pt idx="0">
                  <c:v>8:00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day!$M$40:$M$46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0.1</c:v>
                </c:pt>
                <c:pt idx="3">
                  <c:v>0.8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C57-9D47-9121-97A55F0264AA}"/>
            </c:ext>
          </c:extLst>
        </c:ser>
        <c:ser>
          <c:idx val="9"/>
          <c:order val="9"/>
          <c:tx>
            <c:strRef>
              <c:f>day!$N$39</c:f>
              <c:strCache>
                <c:ptCount val="1"/>
                <c:pt idx="0">
                  <c:v>9:00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day!$N$40:$N$46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0.2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C57-9D47-9121-97A55F0264AA}"/>
            </c:ext>
          </c:extLst>
        </c:ser>
        <c:ser>
          <c:idx val="10"/>
          <c:order val="10"/>
          <c:tx>
            <c:strRef>
              <c:f>day!$O$39</c:f>
              <c:strCache>
                <c:ptCount val="1"/>
                <c:pt idx="0">
                  <c:v>10:00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day!$O$40:$O$46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0.1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7C57-9D47-9121-97A55F0264AA}"/>
            </c:ext>
          </c:extLst>
        </c:ser>
        <c:ser>
          <c:idx val="11"/>
          <c:order val="11"/>
          <c:tx>
            <c:strRef>
              <c:f>day!$P$39</c:f>
              <c:strCache>
                <c:ptCount val="1"/>
                <c:pt idx="0">
                  <c:v>11:00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day!$P$40:$P$46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7C57-9D47-9121-97A55F0264AA}"/>
            </c:ext>
          </c:extLst>
        </c:ser>
        <c:ser>
          <c:idx val="12"/>
          <c:order val="12"/>
          <c:tx>
            <c:strRef>
              <c:f>day!$Q$39</c:f>
              <c:strCache>
                <c:ptCount val="1"/>
                <c:pt idx="0">
                  <c:v>12:00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day!$Q$40:$Q$46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7C57-9D47-9121-97A55F0264AA}"/>
            </c:ext>
          </c:extLst>
        </c:ser>
        <c:ser>
          <c:idx val="13"/>
          <c:order val="13"/>
          <c:tx>
            <c:strRef>
              <c:f>day!$R$39</c:f>
              <c:strCache>
                <c:ptCount val="1"/>
                <c:pt idx="0">
                  <c:v>13:00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day!$R$40:$R$46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7C57-9D47-9121-97A55F0264AA}"/>
            </c:ext>
          </c:extLst>
        </c:ser>
        <c:ser>
          <c:idx val="14"/>
          <c:order val="14"/>
          <c:tx>
            <c:strRef>
              <c:f>day!$S$39</c:f>
              <c:strCache>
                <c:ptCount val="1"/>
                <c:pt idx="0">
                  <c:v>14:00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day!$S$40:$S$46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7C57-9D47-9121-97A55F0264AA}"/>
            </c:ext>
          </c:extLst>
        </c:ser>
        <c:ser>
          <c:idx val="15"/>
          <c:order val="15"/>
          <c:tx>
            <c:strRef>
              <c:f>day!$T$39</c:f>
              <c:strCache>
                <c:ptCount val="1"/>
                <c:pt idx="0">
                  <c:v>15:00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day!$T$40:$T$46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7C57-9D47-9121-97A55F0264AA}"/>
            </c:ext>
          </c:extLst>
        </c:ser>
        <c:ser>
          <c:idx val="16"/>
          <c:order val="16"/>
          <c:tx>
            <c:strRef>
              <c:f>day!$U$39</c:f>
              <c:strCache>
                <c:ptCount val="1"/>
                <c:pt idx="0">
                  <c:v>16:00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day!$U$40:$U$46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7C57-9D47-9121-97A55F0264AA}"/>
            </c:ext>
          </c:extLst>
        </c:ser>
        <c:ser>
          <c:idx val="17"/>
          <c:order val="17"/>
          <c:tx>
            <c:strRef>
              <c:f>day!$V$39</c:f>
              <c:strCache>
                <c:ptCount val="1"/>
                <c:pt idx="0">
                  <c:v>17:00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day!$V$40:$V$46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7C57-9D47-9121-97A55F0264AA}"/>
            </c:ext>
          </c:extLst>
        </c:ser>
        <c:ser>
          <c:idx val="18"/>
          <c:order val="18"/>
          <c:tx>
            <c:strRef>
              <c:f>day!$W$39</c:f>
              <c:strCache>
                <c:ptCount val="1"/>
                <c:pt idx="0">
                  <c:v>18:00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day!$W$40:$W$46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0.1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7C57-9D47-9121-97A55F0264AA}"/>
            </c:ext>
          </c:extLst>
        </c:ser>
        <c:ser>
          <c:idx val="19"/>
          <c:order val="19"/>
          <c:tx>
            <c:strRef>
              <c:f>day!$X$39</c:f>
              <c:strCache>
                <c:ptCount val="1"/>
                <c:pt idx="0">
                  <c:v>19:00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day!$X$40:$X$46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7C57-9D47-9121-97A55F0264AA}"/>
            </c:ext>
          </c:extLst>
        </c:ser>
        <c:ser>
          <c:idx val="20"/>
          <c:order val="20"/>
          <c:tx>
            <c:strRef>
              <c:f>day!$Y$39</c:f>
              <c:strCache>
                <c:ptCount val="1"/>
                <c:pt idx="0">
                  <c:v>20:00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day!$Y$40:$Y$46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7C57-9D47-9121-97A55F0264AA}"/>
            </c:ext>
          </c:extLst>
        </c:ser>
        <c:ser>
          <c:idx val="21"/>
          <c:order val="21"/>
          <c:tx>
            <c:strRef>
              <c:f>day!$Z$39</c:f>
              <c:strCache>
                <c:ptCount val="1"/>
                <c:pt idx="0">
                  <c:v>21:00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day!$Z$40:$Z$46</c:f>
              <c:numCache>
                <c:formatCode>General</c:formatCode>
                <c:ptCount val="7"/>
                <c:pt idx="0">
                  <c:v>0.1</c:v>
                </c:pt>
                <c:pt idx="1">
                  <c:v>0.1</c:v>
                </c:pt>
                <c:pt idx="2">
                  <c:v>0.2</c:v>
                </c:pt>
                <c:pt idx="3">
                  <c:v>0.2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7C57-9D47-9121-97A55F0264AA}"/>
            </c:ext>
          </c:extLst>
        </c:ser>
        <c:ser>
          <c:idx val="22"/>
          <c:order val="22"/>
          <c:tx>
            <c:strRef>
              <c:f>day!$AA$39</c:f>
              <c:strCache>
                <c:ptCount val="1"/>
                <c:pt idx="0">
                  <c:v>22:00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day!$AA$40:$AA$46</c:f>
              <c:numCache>
                <c:formatCode>General</c:formatCode>
                <c:ptCount val="7"/>
                <c:pt idx="0">
                  <c:v>0.18</c:v>
                </c:pt>
                <c:pt idx="1">
                  <c:v>0.2</c:v>
                </c:pt>
                <c:pt idx="2">
                  <c:v>0.60000000000000009</c:v>
                </c:pt>
                <c:pt idx="3">
                  <c:v>0.60000000000000009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7C57-9D47-9121-97A55F0264AA}"/>
            </c:ext>
          </c:extLst>
        </c:ser>
        <c:ser>
          <c:idx val="23"/>
          <c:order val="23"/>
          <c:tx>
            <c:strRef>
              <c:f>day!$AB$39</c:f>
              <c:strCache>
                <c:ptCount val="1"/>
                <c:pt idx="0">
                  <c:v>23:00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day!$AB$40:$AB$46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7C57-9D47-9121-97A55F0264AA}"/>
            </c:ext>
          </c:extLst>
        </c:ser>
        <c:ser>
          <c:idx val="24"/>
          <c:order val="24"/>
          <c:tx>
            <c:strRef>
              <c:f>day!$AC$39</c:f>
              <c:strCache>
                <c:ptCount val="1"/>
                <c:pt idx="0">
                  <c:v>23:59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day!$AC$40:$AC$46</c:f>
              <c:numCache>
                <c:formatCode>General</c:formatCode>
                <c:ptCount val="7"/>
                <c:pt idx="0">
                  <c:v>0</c:v>
                </c:pt>
                <c:pt idx="1">
                  <c:v>0.18</c:v>
                </c:pt>
                <c:pt idx="2">
                  <c:v>0</c:v>
                </c:pt>
                <c:pt idx="3">
                  <c:v>0.9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7C57-9D47-9121-97A55F0264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1174351"/>
        <c:axId val="449459967"/>
        <c:axId val="81573951"/>
      </c:line3DChart>
      <c:dateAx>
        <c:axId val="501174351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9459967"/>
        <c:crosses val="autoZero"/>
        <c:auto val="1"/>
        <c:lblOffset val="100"/>
        <c:baseTimeUnit val="days"/>
      </c:dateAx>
      <c:valAx>
        <c:axId val="449459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01174351"/>
        <c:crosses val="autoZero"/>
        <c:crossBetween val="between"/>
      </c:valAx>
      <c:serAx>
        <c:axId val="81573951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9459967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每日专项得分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line3DChart>
        <c:grouping val="standard"/>
        <c:varyColors val="0"/>
        <c:ser>
          <c:idx val="0"/>
          <c:order val="0"/>
          <c:tx>
            <c:strRef>
              <c:f>day!$AF$39</c:f>
              <c:strCache>
                <c:ptCount val="1"/>
                <c:pt idx="0">
                  <c:v>早起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cat>
            <c:numRef>
              <c:f>day!$AE$40:$AE$46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day!$AF$40:$AF$46</c:f>
              <c:numCache>
                <c:formatCode>General</c:formatCode>
                <c:ptCount val="7"/>
                <c:pt idx="0">
                  <c:v>-0.1</c:v>
                </c:pt>
                <c:pt idx="1">
                  <c:v>-0.2</c:v>
                </c:pt>
                <c:pt idx="2">
                  <c:v>0.1</c:v>
                </c:pt>
                <c:pt idx="3">
                  <c:v>0.1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A0-4641-AF9B-43B6021487FE}"/>
            </c:ext>
          </c:extLst>
        </c:ser>
        <c:ser>
          <c:idx val="1"/>
          <c:order val="1"/>
          <c:tx>
            <c:strRef>
              <c:f>day!$AG$39</c:f>
              <c:strCache>
                <c:ptCount val="1"/>
                <c:pt idx="0">
                  <c:v>阅读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cat>
            <c:numRef>
              <c:f>day!$AE$40:$AE$46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day!$AG$40:$AG$46</c:f>
              <c:numCache>
                <c:formatCode>General</c:formatCode>
                <c:ptCount val="7"/>
                <c:pt idx="0">
                  <c:v>-0.1</c:v>
                </c:pt>
                <c:pt idx="1">
                  <c:v>-0.2</c:v>
                </c:pt>
                <c:pt idx="2">
                  <c:v>0.1</c:v>
                </c:pt>
                <c:pt idx="3">
                  <c:v>0.1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7A0-4641-AF9B-43B6021487FE}"/>
            </c:ext>
          </c:extLst>
        </c:ser>
        <c:ser>
          <c:idx val="2"/>
          <c:order val="2"/>
          <c:tx>
            <c:strRef>
              <c:f>day!$AH$39</c:f>
              <c:strCache>
                <c:ptCount val="1"/>
                <c:pt idx="0">
                  <c:v>早餐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cat>
            <c:numRef>
              <c:f>day!$AE$40:$AE$46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day!$AH$40:$AH$46</c:f>
              <c:numCache>
                <c:formatCode>General</c:formatCode>
                <c:ptCount val="7"/>
                <c:pt idx="0">
                  <c:v>-0.1</c:v>
                </c:pt>
                <c:pt idx="1">
                  <c:v>-0.2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7A0-4641-AF9B-43B6021487FE}"/>
            </c:ext>
          </c:extLst>
        </c:ser>
        <c:ser>
          <c:idx val="3"/>
          <c:order val="3"/>
          <c:tx>
            <c:strRef>
              <c:f>day!$AI$39</c:f>
              <c:strCache>
                <c:ptCount val="1"/>
                <c:pt idx="0">
                  <c:v>锻炼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cat>
            <c:numRef>
              <c:f>day!$AE$40:$AE$46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day!$AI$40:$AI$46</c:f>
              <c:numCache>
                <c:formatCode>General</c:formatCode>
                <c:ptCount val="7"/>
                <c:pt idx="0">
                  <c:v>0.1</c:v>
                </c:pt>
                <c:pt idx="1">
                  <c:v>0.1</c:v>
                </c:pt>
                <c:pt idx="2">
                  <c:v>0.2</c:v>
                </c:pt>
                <c:pt idx="3">
                  <c:v>0.2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7A0-4641-AF9B-43B6021487FE}"/>
            </c:ext>
          </c:extLst>
        </c:ser>
        <c:ser>
          <c:idx val="4"/>
          <c:order val="4"/>
          <c:tx>
            <c:strRef>
              <c:f>day!$AJ$39</c:f>
              <c:strCache>
                <c:ptCount val="1"/>
                <c:pt idx="0">
                  <c:v>日报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cat>
            <c:numRef>
              <c:f>day!$AE$40:$AE$46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day!$AJ$40:$AJ$46</c:f>
              <c:numCache>
                <c:formatCode>General</c:formatCode>
                <c:ptCount val="7"/>
                <c:pt idx="0">
                  <c:v>0.1</c:v>
                </c:pt>
                <c:pt idx="1">
                  <c:v>0.1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7A0-4641-AF9B-43B6021487FE}"/>
            </c:ext>
          </c:extLst>
        </c:ser>
        <c:ser>
          <c:idx val="5"/>
          <c:order val="5"/>
          <c:tx>
            <c:strRef>
              <c:f>day!$AK$39</c:f>
              <c:strCache>
                <c:ptCount val="1"/>
                <c:pt idx="0">
                  <c:v>明日日程安排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cat>
            <c:numRef>
              <c:f>day!$AE$40:$AE$46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day!$AK$40:$AK$46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7A0-4641-AF9B-43B6021487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4935935"/>
        <c:axId val="111599471"/>
        <c:axId val="111584143"/>
      </c:line3DChart>
      <c:dateAx>
        <c:axId val="374935935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1599471"/>
        <c:crosses val="autoZero"/>
        <c:auto val="1"/>
        <c:lblOffset val="100"/>
        <c:baseTimeUnit val="days"/>
      </c:dateAx>
      <c:valAx>
        <c:axId val="111599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74935935"/>
        <c:crosses val="autoZero"/>
        <c:crossBetween val="between"/>
      </c:valAx>
      <c:serAx>
        <c:axId val="111584143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1599471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每周总分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week!$A$35:$A$37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week!$D$35:$D$37</c:f>
              <c:numCache>
                <c:formatCode>General</c:formatCode>
                <c:ptCount val="3"/>
                <c:pt idx="0">
                  <c:v>-2.0000000000000032E-2</c:v>
                </c:pt>
                <c:pt idx="1">
                  <c:v>4.2799999999999994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41-D045-81D2-F7794B3CE19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83354159"/>
        <c:axId val="82931295"/>
      </c:barChart>
      <c:catAx>
        <c:axId val="833541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周次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_);[Red]\(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2931295"/>
        <c:crosses val="autoZero"/>
        <c:auto val="1"/>
        <c:lblAlgn val="ctr"/>
        <c:lblOffset val="100"/>
        <c:noMultiLvlLbl val="0"/>
      </c:catAx>
      <c:valAx>
        <c:axId val="82931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33541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每周各时段得分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line3DChart>
        <c:grouping val="standard"/>
        <c:varyColors val="0"/>
        <c:ser>
          <c:idx val="0"/>
          <c:order val="0"/>
          <c:tx>
            <c:strRef>
              <c:f>week!$I$34</c:f>
              <c:strCache>
                <c:ptCount val="1"/>
                <c:pt idx="0">
                  <c:v>0:00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week!$I$35:$I$37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53A-8545-8B86-DF914495A6F2}"/>
            </c:ext>
          </c:extLst>
        </c:ser>
        <c:ser>
          <c:idx val="1"/>
          <c:order val="1"/>
          <c:tx>
            <c:strRef>
              <c:f>week!$J$34</c:f>
              <c:strCache>
                <c:ptCount val="1"/>
                <c:pt idx="0">
                  <c:v>1:00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week!$J$35:$J$37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53A-8545-8B86-DF914495A6F2}"/>
            </c:ext>
          </c:extLst>
        </c:ser>
        <c:ser>
          <c:idx val="2"/>
          <c:order val="2"/>
          <c:tx>
            <c:strRef>
              <c:f>week!$K$34</c:f>
              <c:strCache>
                <c:ptCount val="1"/>
                <c:pt idx="0">
                  <c:v>2:00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week!$K$35:$K$37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53A-8545-8B86-DF914495A6F2}"/>
            </c:ext>
          </c:extLst>
        </c:ser>
        <c:ser>
          <c:idx val="3"/>
          <c:order val="3"/>
          <c:tx>
            <c:strRef>
              <c:f>week!$L$34</c:f>
              <c:strCache>
                <c:ptCount val="1"/>
                <c:pt idx="0">
                  <c:v>3:00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week!$L$35:$L$37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53A-8545-8B86-DF914495A6F2}"/>
            </c:ext>
          </c:extLst>
        </c:ser>
        <c:ser>
          <c:idx val="4"/>
          <c:order val="4"/>
          <c:tx>
            <c:strRef>
              <c:f>week!$M$34</c:f>
              <c:strCache>
                <c:ptCount val="1"/>
                <c:pt idx="0">
                  <c:v>4:00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week!$M$35:$M$37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53A-8545-8B86-DF914495A6F2}"/>
            </c:ext>
          </c:extLst>
        </c:ser>
        <c:ser>
          <c:idx val="5"/>
          <c:order val="5"/>
          <c:tx>
            <c:strRef>
              <c:f>week!$N$34</c:f>
              <c:strCache>
                <c:ptCount val="1"/>
                <c:pt idx="0">
                  <c:v>5:00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week!$N$35:$N$37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53A-8545-8B86-DF914495A6F2}"/>
            </c:ext>
          </c:extLst>
        </c:ser>
        <c:ser>
          <c:idx val="6"/>
          <c:order val="6"/>
          <c:tx>
            <c:strRef>
              <c:f>week!$O$34</c:f>
              <c:strCache>
                <c:ptCount val="1"/>
                <c:pt idx="0">
                  <c:v>6:00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week!$O$35:$O$37</c:f>
              <c:numCache>
                <c:formatCode>General</c:formatCode>
                <c:ptCount val="3"/>
                <c:pt idx="0">
                  <c:v>-0.2</c:v>
                </c:pt>
                <c:pt idx="1">
                  <c:v>-0.4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53A-8545-8B86-DF914495A6F2}"/>
            </c:ext>
          </c:extLst>
        </c:ser>
        <c:ser>
          <c:idx val="7"/>
          <c:order val="7"/>
          <c:tx>
            <c:strRef>
              <c:f>week!$P$34</c:f>
              <c:strCache>
                <c:ptCount val="1"/>
                <c:pt idx="0">
                  <c:v>7:00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week!$P$35:$P$37</c:f>
              <c:numCache>
                <c:formatCode>General</c:formatCode>
                <c:ptCount val="3"/>
                <c:pt idx="0">
                  <c:v>-0.1</c:v>
                </c:pt>
                <c:pt idx="1">
                  <c:v>-0.2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53A-8545-8B86-DF914495A6F2}"/>
            </c:ext>
          </c:extLst>
        </c:ser>
        <c:ser>
          <c:idx val="8"/>
          <c:order val="8"/>
          <c:tx>
            <c:strRef>
              <c:f>week!$Q$34</c:f>
              <c:strCache>
                <c:ptCount val="1"/>
                <c:pt idx="0">
                  <c:v>8:00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week!$Q$35:$Q$37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253A-8545-8B86-DF914495A6F2}"/>
            </c:ext>
          </c:extLst>
        </c:ser>
        <c:ser>
          <c:idx val="9"/>
          <c:order val="9"/>
          <c:tx>
            <c:strRef>
              <c:f>week!$R$34</c:f>
              <c:strCache>
                <c:ptCount val="1"/>
                <c:pt idx="0">
                  <c:v>9:00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week!$R$35:$R$37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253A-8545-8B86-DF914495A6F2}"/>
            </c:ext>
          </c:extLst>
        </c:ser>
        <c:ser>
          <c:idx val="10"/>
          <c:order val="10"/>
          <c:tx>
            <c:strRef>
              <c:f>week!$S$34</c:f>
              <c:strCache>
                <c:ptCount val="1"/>
                <c:pt idx="0">
                  <c:v>10:00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week!$S$35:$S$37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253A-8545-8B86-DF914495A6F2}"/>
            </c:ext>
          </c:extLst>
        </c:ser>
        <c:ser>
          <c:idx val="11"/>
          <c:order val="11"/>
          <c:tx>
            <c:strRef>
              <c:f>week!$T$34</c:f>
              <c:strCache>
                <c:ptCount val="1"/>
                <c:pt idx="0">
                  <c:v>11:00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week!$T$35:$T$37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253A-8545-8B86-DF914495A6F2}"/>
            </c:ext>
          </c:extLst>
        </c:ser>
        <c:ser>
          <c:idx val="12"/>
          <c:order val="12"/>
          <c:tx>
            <c:strRef>
              <c:f>week!$U$34</c:f>
              <c:strCache>
                <c:ptCount val="1"/>
                <c:pt idx="0">
                  <c:v>12:00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week!$U$35:$U$37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253A-8545-8B86-DF914495A6F2}"/>
            </c:ext>
          </c:extLst>
        </c:ser>
        <c:ser>
          <c:idx val="13"/>
          <c:order val="13"/>
          <c:tx>
            <c:strRef>
              <c:f>week!$V$34</c:f>
              <c:strCache>
                <c:ptCount val="1"/>
                <c:pt idx="0">
                  <c:v>13:00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week!$V$35:$V$37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53A-8545-8B86-DF914495A6F2}"/>
            </c:ext>
          </c:extLst>
        </c:ser>
        <c:ser>
          <c:idx val="14"/>
          <c:order val="14"/>
          <c:tx>
            <c:strRef>
              <c:f>week!$W$34</c:f>
              <c:strCache>
                <c:ptCount val="1"/>
                <c:pt idx="0">
                  <c:v>14:00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week!$W$35:$W$37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253A-8545-8B86-DF914495A6F2}"/>
            </c:ext>
          </c:extLst>
        </c:ser>
        <c:ser>
          <c:idx val="15"/>
          <c:order val="15"/>
          <c:tx>
            <c:strRef>
              <c:f>week!$X$34</c:f>
              <c:strCache>
                <c:ptCount val="1"/>
                <c:pt idx="0">
                  <c:v>15:00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week!$X$35:$X$37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253A-8545-8B86-DF914495A6F2}"/>
            </c:ext>
          </c:extLst>
        </c:ser>
        <c:ser>
          <c:idx val="16"/>
          <c:order val="16"/>
          <c:tx>
            <c:strRef>
              <c:f>week!$Y$34</c:f>
              <c:strCache>
                <c:ptCount val="1"/>
                <c:pt idx="0">
                  <c:v>16:00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week!$Y$35:$Y$37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253A-8545-8B86-DF914495A6F2}"/>
            </c:ext>
          </c:extLst>
        </c:ser>
        <c:ser>
          <c:idx val="17"/>
          <c:order val="17"/>
          <c:tx>
            <c:strRef>
              <c:f>week!$Z$34</c:f>
              <c:strCache>
                <c:ptCount val="1"/>
                <c:pt idx="0">
                  <c:v>17:00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week!$Z$35:$Z$37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253A-8545-8B86-DF914495A6F2}"/>
            </c:ext>
          </c:extLst>
        </c:ser>
        <c:ser>
          <c:idx val="18"/>
          <c:order val="18"/>
          <c:tx>
            <c:strRef>
              <c:f>week!$AA$34</c:f>
              <c:strCache>
                <c:ptCount val="1"/>
                <c:pt idx="0">
                  <c:v>18:00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week!$AA$35:$AA$37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253A-8545-8B86-DF914495A6F2}"/>
            </c:ext>
          </c:extLst>
        </c:ser>
        <c:ser>
          <c:idx val="19"/>
          <c:order val="19"/>
          <c:tx>
            <c:strRef>
              <c:f>week!$AB$34</c:f>
              <c:strCache>
                <c:ptCount val="1"/>
                <c:pt idx="0">
                  <c:v>19:00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week!$AB$35:$AB$37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253A-8545-8B86-DF914495A6F2}"/>
            </c:ext>
          </c:extLst>
        </c:ser>
        <c:ser>
          <c:idx val="20"/>
          <c:order val="20"/>
          <c:tx>
            <c:strRef>
              <c:f>week!$AC$34</c:f>
              <c:strCache>
                <c:ptCount val="1"/>
                <c:pt idx="0">
                  <c:v>20:00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week!$AC$35:$AC$37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253A-8545-8B86-DF914495A6F2}"/>
            </c:ext>
          </c:extLst>
        </c:ser>
        <c:ser>
          <c:idx val="21"/>
          <c:order val="21"/>
          <c:tx>
            <c:strRef>
              <c:f>week!$AD$34</c:f>
              <c:strCache>
                <c:ptCount val="1"/>
                <c:pt idx="0">
                  <c:v>21:00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week!$AD$35:$AD$37</c:f>
              <c:numCache>
                <c:formatCode>General</c:formatCode>
                <c:ptCount val="3"/>
                <c:pt idx="0">
                  <c:v>0.1</c:v>
                </c:pt>
                <c:pt idx="1">
                  <c:v>0.1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253A-8545-8B86-DF914495A6F2}"/>
            </c:ext>
          </c:extLst>
        </c:ser>
        <c:ser>
          <c:idx val="22"/>
          <c:order val="22"/>
          <c:tx>
            <c:strRef>
              <c:f>week!$AE$34</c:f>
              <c:strCache>
                <c:ptCount val="1"/>
                <c:pt idx="0">
                  <c:v>22:00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week!$AE$35:$AE$37</c:f>
              <c:numCache>
                <c:formatCode>General</c:formatCode>
                <c:ptCount val="3"/>
                <c:pt idx="0">
                  <c:v>0.18</c:v>
                </c:pt>
                <c:pt idx="1">
                  <c:v>0.2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253A-8545-8B86-DF914495A6F2}"/>
            </c:ext>
          </c:extLst>
        </c:ser>
        <c:ser>
          <c:idx val="23"/>
          <c:order val="23"/>
          <c:tx>
            <c:strRef>
              <c:f>week!$AF$34</c:f>
              <c:strCache>
                <c:ptCount val="1"/>
                <c:pt idx="0">
                  <c:v>23:00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week!$AF$35:$AF$37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253A-8545-8B86-DF914495A6F2}"/>
            </c:ext>
          </c:extLst>
        </c:ser>
        <c:ser>
          <c:idx val="24"/>
          <c:order val="24"/>
          <c:tx>
            <c:strRef>
              <c:f>week!$AG$34</c:f>
              <c:strCache>
                <c:ptCount val="1"/>
                <c:pt idx="0">
                  <c:v>23:59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week!$AG$35:$AG$37</c:f>
              <c:numCache>
                <c:formatCode>General</c:formatCode>
                <c:ptCount val="3"/>
                <c:pt idx="0">
                  <c:v>0</c:v>
                </c:pt>
                <c:pt idx="1">
                  <c:v>0.18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253A-8545-8B86-DF914495A6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594447"/>
        <c:axId val="165596079"/>
        <c:axId val="167725007"/>
      </c:line3DChart>
      <c:catAx>
        <c:axId val="165594447"/>
        <c:scaling>
          <c:orientation val="minMax"/>
        </c:scaling>
        <c:delete val="0"/>
        <c:axPos val="b"/>
        <c:numFmt formatCode="0_);[Red]\(0\)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5596079"/>
        <c:crosses val="autoZero"/>
        <c:auto val="1"/>
        <c:lblAlgn val="ctr"/>
        <c:lblOffset val="100"/>
        <c:noMultiLvlLbl val="0"/>
      </c:catAx>
      <c:valAx>
        <c:axId val="165596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5594447"/>
        <c:crosses val="autoZero"/>
        <c:crossBetween val="between"/>
      </c:valAx>
      <c:serAx>
        <c:axId val="167725007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5596079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每周专项得分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line3DChart>
        <c:grouping val="standard"/>
        <c:varyColors val="0"/>
        <c:ser>
          <c:idx val="0"/>
          <c:order val="0"/>
          <c:tx>
            <c:strRef>
              <c:f>week!$AL$34</c:f>
              <c:strCache>
                <c:ptCount val="1"/>
                <c:pt idx="0">
                  <c:v>早起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cat>
            <c:numRef>
              <c:f>week!$AI$35:$AI$37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week!$AL$35:$AL$37</c:f>
              <c:numCache>
                <c:formatCode>General</c:formatCode>
                <c:ptCount val="3"/>
                <c:pt idx="0">
                  <c:v>-0.1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8E-AB45-B2FD-999F22864025}"/>
            </c:ext>
          </c:extLst>
        </c:ser>
        <c:ser>
          <c:idx val="1"/>
          <c:order val="1"/>
          <c:tx>
            <c:strRef>
              <c:f>week!$AM$34</c:f>
              <c:strCache>
                <c:ptCount val="1"/>
                <c:pt idx="0">
                  <c:v>阅读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cat>
            <c:numRef>
              <c:f>week!$AI$35:$AI$37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week!$AM$35:$AM$37</c:f>
              <c:numCache>
                <c:formatCode>General</c:formatCode>
                <c:ptCount val="3"/>
                <c:pt idx="0">
                  <c:v>-0.1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98E-AB45-B2FD-999F22864025}"/>
            </c:ext>
          </c:extLst>
        </c:ser>
        <c:ser>
          <c:idx val="2"/>
          <c:order val="2"/>
          <c:tx>
            <c:strRef>
              <c:f>week!$AN$34</c:f>
              <c:strCache>
                <c:ptCount val="1"/>
                <c:pt idx="0">
                  <c:v>早餐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cat>
            <c:numRef>
              <c:f>week!$AI$35:$AI$37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week!$AN$35:$AN$37</c:f>
              <c:numCache>
                <c:formatCode>General</c:formatCode>
                <c:ptCount val="3"/>
                <c:pt idx="0">
                  <c:v>-0.1</c:v>
                </c:pt>
                <c:pt idx="1">
                  <c:v>-0.2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98E-AB45-B2FD-999F22864025}"/>
            </c:ext>
          </c:extLst>
        </c:ser>
        <c:ser>
          <c:idx val="3"/>
          <c:order val="3"/>
          <c:tx>
            <c:strRef>
              <c:f>week!$AO$34</c:f>
              <c:strCache>
                <c:ptCount val="1"/>
                <c:pt idx="0">
                  <c:v>锻炼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cat>
            <c:numRef>
              <c:f>week!$AI$35:$AI$37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week!$AO$35:$AO$37</c:f>
              <c:numCache>
                <c:formatCode>General</c:formatCode>
                <c:ptCount val="3"/>
                <c:pt idx="0">
                  <c:v>0.1</c:v>
                </c:pt>
                <c:pt idx="1">
                  <c:v>0.5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98E-AB45-B2FD-999F22864025}"/>
            </c:ext>
          </c:extLst>
        </c:ser>
        <c:ser>
          <c:idx val="4"/>
          <c:order val="4"/>
          <c:tx>
            <c:strRef>
              <c:f>week!$AP$34</c:f>
              <c:strCache>
                <c:ptCount val="1"/>
                <c:pt idx="0">
                  <c:v>日报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cat>
            <c:numRef>
              <c:f>week!$AI$35:$AI$37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week!$AP$35:$AP$37</c:f>
              <c:numCache>
                <c:formatCode>General</c:formatCode>
                <c:ptCount val="3"/>
                <c:pt idx="0">
                  <c:v>0.1</c:v>
                </c:pt>
                <c:pt idx="1">
                  <c:v>0.1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98E-AB45-B2FD-999F22864025}"/>
            </c:ext>
          </c:extLst>
        </c:ser>
        <c:ser>
          <c:idx val="5"/>
          <c:order val="5"/>
          <c:tx>
            <c:strRef>
              <c:f>week!$AQ$34</c:f>
              <c:strCache>
                <c:ptCount val="1"/>
                <c:pt idx="0">
                  <c:v>明日日程安排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cat>
            <c:numRef>
              <c:f>week!$AI$35:$AI$37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week!$AQ$35:$AQ$37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98E-AB45-B2FD-999F228640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541759"/>
        <c:axId val="166518943"/>
        <c:axId val="166595071"/>
      </c:line3DChart>
      <c:catAx>
        <c:axId val="166541759"/>
        <c:scaling>
          <c:orientation val="minMax"/>
        </c:scaling>
        <c:delete val="0"/>
        <c:axPos val="b"/>
        <c:numFmt formatCode="0_);[Red]\(0\)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6518943"/>
        <c:crosses val="autoZero"/>
        <c:auto val="1"/>
        <c:lblAlgn val="ctr"/>
        <c:lblOffset val="100"/>
        <c:noMultiLvlLbl val="0"/>
      </c:catAx>
      <c:valAx>
        <c:axId val="166518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6541759"/>
        <c:crosses val="autoZero"/>
        <c:crossBetween val="between"/>
      </c:valAx>
      <c:serAx>
        <c:axId val="166595071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6518943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每月总分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month!$D$34</c:f>
              <c:strCache>
                <c:ptCount val="1"/>
                <c:pt idx="0">
                  <c:v>总分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month!$A$35:$A$37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month!$D$35:$D$37</c:f>
              <c:numCache>
                <c:formatCode>General</c:formatCode>
                <c:ptCount val="3"/>
                <c:pt idx="0">
                  <c:v>4.26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03-A449-8F47-6F03C08D63B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86311199"/>
        <c:axId val="234370463"/>
      </c:barChart>
      <c:catAx>
        <c:axId val="186311199"/>
        <c:scaling>
          <c:orientation val="minMax"/>
        </c:scaling>
        <c:delete val="0"/>
        <c:axPos val="b"/>
        <c:numFmt formatCode="0_);[Red]\(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34370463"/>
        <c:crosses val="autoZero"/>
        <c:auto val="1"/>
        <c:lblAlgn val="ctr"/>
        <c:lblOffset val="100"/>
        <c:noMultiLvlLbl val="0"/>
      </c:catAx>
      <c:valAx>
        <c:axId val="234370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63111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每月各时段得分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line3DChart>
        <c:grouping val="standard"/>
        <c:varyColors val="0"/>
        <c:ser>
          <c:idx val="0"/>
          <c:order val="0"/>
          <c:tx>
            <c:strRef>
              <c:f>month!$I$34</c:f>
              <c:strCache>
                <c:ptCount val="1"/>
                <c:pt idx="0">
                  <c:v>0:00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month!$I$35:$I$37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CF-5E44-87B7-3B7968056DB6}"/>
            </c:ext>
          </c:extLst>
        </c:ser>
        <c:ser>
          <c:idx val="1"/>
          <c:order val="1"/>
          <c:tx>
            <c:strRef>
              <c:f>month!$J$34</c:f>
              <c:strCache>
                <c:ptCount val="1"/>
                <c:pt idx="0">
                  <c:v>1:00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month!$J$35:$J$37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BCF-5E44-87B7-3B7968056DB6}"/>
            </c:ext>
          </c:extLst>
        </c:ser>
        <c:ser>
          <c:idx val="2"/>
          <c:order val="2"/>
          <c:tx>
            <c:strRef>
              <c:f>month!$K$34</c:f>
              <c:strCache>
                <c:ptCount val="1"/>
                <c:pt idx="0">
                  <c:v>2:00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month!$K$35:$K$37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BCF-5E44-87B7-3B7968056DB6}"/>
            </c:ext>
          </c:extLst>
        </c:ser>
        <c:ser>
          <c:idx val="3"/>
          <c:order val="3"/>
          <c:tx>
            <c:strRef>
              <c:f>month!$L$34</c:f>
              <c:strCache>
                <c:ptCount val="1"/>
                <c:pt idx="0">
                  <c:v>3:00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month!$L$35:$L$37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BCF-5E44-87B7-3B7968056DB6}"/>
            </c:ext>
          </c:extLst>
        </c:ser>
        <c:ser>
          <c:idx val="4"/>
          <c:order val="4"/>
          <c:tx>
            <c:strRef>
              <c:f>month!$M$34</c:f>
              <c:strCache>
                <c:ptCount val="1"/>
                <c:pt idx="0">
                  <c:v>4:00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month!$M$35:$M$37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BCF-5E44-87B7-3B7968056DB6}"/>
            </c:ext>
          </c:extLst>
        </c:ser>
        <c:ser>
          <c:idx val="5"/>
          <c:order val="5"/>
          <c:tx>
            <c:strRef>
              <c:f>month!$N$34</c:f>
              <c:strCache>
                <c:ptCount val="1"/>
                <c:pt idx="0">
                  <c:v>5:00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month!$N$35:$N$37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BCF-5E44-87B7-3B7968056DB6}"/>
            </c:ext>
          </c:extLst>
        </c:ser>
        <c:ser>
          <c:idx val="6"/>
          <c:order val="6"/>
          <c:tx>
            <c:strRef>
              <c:f>month!$O$34</c:f>
              <c:strCache>
                <c:ptCount val="1"/>
                <c:pt idx="0">
                  <c:v>6:00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month!$O$35:$O$37</c:f>
              <c:numCache>
                <c:formatCode>General</c:formatCode>
                <c:ptCount val="3"/>
                <c:pt idx="0">
                  <c:v>-0.20000000000000007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BCF-5E44-87B7-3B7968056DB6}"/>
            </c:ext>
          </c:extLst>
        </c:ser>
        <c:ser>
          <c:idx val="7"/>
          <c:order val="7"/>
          <c:tx>
            <c:strRef>
              <c:f>month!$P$34</c:f>
              <c:strCache>
                <c:ptCount val="1"/>
                <c:pt idx="0">
                  <c:v>7:00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month!$P$35:$P$37</c:f>
              <c:numCache>
                <c:formatCode>General</c:formatCode>
                <c:ptCount val="3"/>
                <c:pt idx="0">
                  <c:v>-0.10000000000000003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BCF-5E44-87B7-3B7968056DB6}"/>
            </c:ext>
          </c:extLst>
        </c:ser>
        <c:ser>
          <c:idx val="8"/>
          <c:order val="8"/>
          <c:tx>
            <c:strRef>
              <c:f>month!$Q$34</c:f>
              <c:strCache>
                <c:ptCount val="1"/>
                <c:pt idx="0">
                  <c:v>8:00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month!$Q$35:$Q$37</c:f>
              <c:numCache>
                <c:formatCode>General</c:formatCode>
                <c:ptCount val="3"/>
                <c:pt idx="0">
                  <c:v>0.9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BBCF-5E44-87B7-3B7968056DB6}"/>
            </c:ext>
          </c:extLst>
        </c:ser>
        <c:ser>
          <c:idx val="9"/>
          <c:order val="9"/>
          <c:tx>
            <c:strRef>
              <c:f>month!$R$34</c:f>
              <c:strCache>
                <c:ptCount val="1"/>
                <c:pt idx="0">
                  <c:v>9:00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month!$R$35:$R$37</c:f>
              <c:numCache>
                <c:formatCode>General</c:formatCode>
                <c:ptCount val="3"/>
                <c:pt idx="0">
                  <c:v>0.2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BBCF-5E44-87B7-3B7968056DB6}"/>
            </c:ext>
          </c:extLst>
        </c:ser>
        <c:ser>
          <c:idx val="10"/>
          <c:order val="10"/>
          <c:tx>
            <c:strRef>
              <c:f>month!$S$34</c:f>
              <c:strCache>
                <c:ptCount val="1"/>
                <c:pt idx="0">
                  <c:v>10:00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month!$S$35:$S$37</c:f>
              <c:numCache>
                <c:formatCode>General</c:formatCode>
                <c:ptCount val="3"/>
                <c:pt idx="0">
                  <c:v>0.1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BBCF-5E44-87B7-3B7968056DB6}"/>
            </c:ext>
          </c:extLst>
        </c:ser>
        <c:ser>
          <c:idx val="11"/>
          <c:order val="11"/>
          <c:tx>
            <c:strRef>
              <c:f>month!$T$34</c:f>
              <c:strCache>
                <c:ptCount val="1"/>
                <c:pt idx="0">
                  <c:v>11:00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month!$T$35:$T$37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BBCF-5E44-87B7-3B7968056DB6}"/>
            </c:ext>
          </c:extLst>
        </c:ser>
        <c:ser>
          <c:idx val="12"/>
          <c:order val="12"/>
          <c:tx>
            <c:strRef>
              <c:f>month!$U$34</c:f>
              <c:strCache>
                <c:ptCount val="1"/>
                <c:pt idx="0">
                  <c:v>12:00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month!$U$35:$U$37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BBCF-5E44-87B7-3B7968056DB6}"/>
            </c:ext>
          </c:extLst>
        </c:ser>
        <c:ser>
          <c:idx val="13"/>
          <c:order val="13"/>
          <c:tx>
            <c:strRef>
              <c:f>month!$V$34</c:f>
              <c:strCache>
                <c:ptCount val="1"/>
                <c:pt idx="0">
                  <c:v>13:00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month!$V$35:$V$37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BBCF-5E44-87B7-3B7968056DB6}"/>
            </c:ext>
          </c:extLst>
        </c:ser>
        <c:ser>
          <c:idx val="14"/>
          <c:order val="14"/>
          <c:tx>
            <c:strRef>
              <c:f>month!$W$34</c:f>
              <c:strCache>
                <c:ptCount val="1"/>
                <c:pt idx="0">
                  <c:v>14:00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month!$W$35:$W$37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BBCF-5E44-87B7-3B7968056DB6}"/>
            </c:ext>
          </c:extLst>
        </c:ser>
        <c:ser>
          <c:idx val="15"/>
          <c:order val="15"/>
          <c:tx>
            <c:strRef>
              <c:f>month!$X$34</c:f>
              <c:strCache>
                <c:ptCount val="1"/>
                <c:pt idx="0">
                  <c:v>15:00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month!$X$35:$X$37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BBCF-5E44-87B7-3B7968056DB6}"/>
            </c:ext>
          </c:extLst>
        </c:ser>
        <c:ser>
          <c:idx val="16"/>
          <c:order val="16"/>
          <c:tx>
            <c:strRef>
              <c:f>month!$Y$34</c:f>
              <c:strCache>
                <c:ptCount val="1"/>
                <c:pt idx="0">
                  <c:v>16:00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month!$Y$35:$Y$37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BBCF-5E44-87B7-3B7968056DB6}"/>
            </c:ext>
          </c:extLst>
        </c:ser>
        <c:ser>
          <c:idx val="17"/>
          <c:order val="17"/>
          <c:tx>
            <c:strRef>
              <c:f>month!$Z$34</c:f>
              <c:strCache>
                <c:ptCount val="1"/>
                <c:pt idx="0">
                  <c:v>17:00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month!$Z$35:$Z$37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BBCF-5E44-87B7-3B7968056DB6}"/>
            </c:ext>
          </c:extLst>
        </c:ser>
        <c:ser>
          <c:idx val="18"/>
          <c:order val="18"/>
          <c:tx>
            <c:strRef>
              <c:f>month!$AA$34</c:f>
              <c:strCache>
                <c:ptCount val="1"/>
                <c:pt idx="0">
                  <c:v>18:00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month!$AA$35:$AA$37</c:f>
              <c:numCache>
                <c:formatCode>General</c:formatCode>
                <c:ptCount val="3"/>
                <c:pt idx="0">
                  <c:v>0.1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BBCF-5E44-87B7-3B7968056DB6}"/>
            </c:ext>
          </c:extLst>
        </c:ser>
        <c:ser>
          <c:idx val="19"/>
          <c:order val="19"/>
          <c:tx>
            <c:strRef>
              <c:f>month!$AB$34</c:f>
              <c:strCache>
                <c:ptCount val="1"/>
                <c:pt idx="0">
                  <c:v>19:00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month!$AB$35:$AB$37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BBCF-5E44-87B7-3B7968056DB6}"/>
            </c:ext>
          </c:extLst>
        </c:ser>
        <c:ser>
          <c:idx val="20"/>
          <c:order val="20"/>
          <c:tx>
            <c:strRef>
              <c:f>month!$AC$34</c:f>
              <c:strCache>
                <c:ptCount val="1"/>
                <c:pt idx="0">
                  <c:v>20:00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month!$AC$35:$AC$37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BBCF-5E44-87B7-3B7968056DB6}"/>
            </c:ext>
          </c:extLst>
        </c:ser>
        <c:ser>
          <c:idx val="21"/>
          <c:order val="21"/>
          <c:tx>
            <c:strRef>
              <c:f>month!$AD$34</c:f>
              <c:strCache>
                <c:ptCount val="1"/>
                <c:pt idx="0">
                  <c:v>21:00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month!$AD$35:$AD$37</c:f>
              <c:numCache>
                <c:formatCode>General</c:formatCode>
                <c:ptCount val="3"/>
                <c:pt idx="0">
                  <c:v>0.60000000000000009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BBCF-5E44-87B7-3B7968056DB6}"/>
            </c:ext>
          </c:extLst>
        </c:ser>
        <c:ser>
          <c:idx val="22"/>
          <c:order val="22"/>
          <c:tx>
            <c:strRef>
              <c:f>month!$AE$34</c:f>
              <c:strCache>
                <c:ptCount val="1"/>
                <c:pt idx="0">
                  <c:v>22:00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month!$AE$35:$AE$37</c:f>
              <c:numCache>
                <c:formatCode>General</c:formatCode>
                <c:ptCount val="3"/>
                <c:pt idx="0">
                  <c:v>1.58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BBCF-5E44-87B7-3B7968056DB6}"/>
            </c:ext>
          </c:extLst>
        </c:ser>
        <c:ser>
          <c:idx val="23"/>
          <c:order val="23"/>
          <c:tx>
            <c:strRef>
              <c:f>month!$AF$34</c:f>
              <c:strCache>
                <c:ptCount val="1"/>
                <c:pt idx="0">
                  <c:v>23:00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month!$AF$35:$AF$37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BBCF-5E44-87B7-3B7968056DB6}"/>
            </c:ext>
          </c:extLst>
        </c:ser>
        <c:ser>
          <c:idx val="24"/>
          <c:order val="24"/>
          <c:tx>
            <c:strRef>
              <c:f>month!$AG$34</c:f>
              <c:strCache>
                <c:ptCount val="1"/>
                <c:pt idx="0">
                  <c:v>23:59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month!$AG$35:$AG$37</c:f>
              <c:numCache>
                <c:formatCode>General</c:formatCode>
                <c:ptCount val="3"/>
                <c:pt idx="0">
                  <c:v>1.08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BBCF-5E44-87B7-3B7968056D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1952639"/>
        <c:axId val="231950303"/>
        <c:axId val="232390815"/>
      </c:line3DChart>
      <c:catAx>
        <c:axId val="231952639"/>
        <c:scaling>
          <c:orientation val="minMax"/>
        </c:scaling>
        <c:delete val="0"/>
        <c:axPos val="b"/>
        <c:numFmt formatCode="0_);[Red]\(0\)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31950303"/>
        <c:crosses val="autoZero"/>
        <c:auto val="1"/>
        <c:lblAlgn val="ctr"/>
        <c:lblOffset val="100"/>
        <c:noMultiLvlLbl val="0"/>
      </c:catAx>
      <c:valAx>
        <c:axId val="231950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31952639"/>
        <c:crosses val="autoZero"/>
        <c:crossBetween val="between"/>
      </c:valAx>
      <c:serAx>
        <c:axId val="232390815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31950303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每月专项得分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line3DChart>
        <c:grouping val="standard"/>
        <c:varyColors val="0"/>
        <c:ser>
          <c:idx val="0"/>
          <c:order val="0"/>
          <c:tx>
            <c:strRef>
              <c:f>month!$AL$34</c:f>
              <c:strCache>
                <c:ptCount val="1"/>
                <c:pt idx="0">
                  <c:v>早起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cat>
            <c:numRef>
              <c:f>month!$AI$35:$AI$37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month!$AL$35:$AL$37</c:f>
              <c:numCache>
                <c:formatCode>General</c:formatCode>
                <c:ptCount val="3"/>
                <c:pt idx="0">
                  <c:v>-0.10000000000000003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F6-4047-B6E1-69FEBBE6D5D0}"/>
            </c:ext>
          </c:extLst>
        </c:ser>
        <c:ser>
          <c:idx val="1"/>
          <c:order val="1"/>
          <c:tx>
            <c:strRef>
              <c:f>month!$AM$34</c:f>
              <c:strCache>
                <c:ptCount val="1"/>
                <c:pt idx="0">
                  <c:v>阅读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cat>
            <c:numRef>
              <c:f>month!$AI$35:$AI$37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month!$AM$35:$AM$37</c:f>
              <c:numCache>
                <c:formatCode>General</c:formatCode>
                <c:ptCount val="3"/>
                <c:pt idx="0">
                  <c:v>-0.10000000000000003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0F6-4047-B6E1-69FEBBE6D5D0}"/>
            </c:ext>
          </c:extLst>
        </c:ser>
        <c:ser>
          <c:idx val="2"/>
          <c:order val="2"/>
          <c:tx>
            <c:strRef>
              <c:f>month!$AN$34</c:f>
              <c:strCache>
                <c:ptCount val="1"/>
                <c:pt idx="0">
                  <c:v>早餐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cat>
            <c:numRef>
              <c:f>month!$AI$35:$AI$37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month!$AN$35:$AN$37</c:f>
              <c:numCache>
                <c:formatCode>General</c:formatCode>
                <c:ptCount val="3"/>
                <c:pt idx="0">
                  <c:v>-0.30000000000000004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0F6-4047-B6E1-69FEBBE6D5D0}"/>
            </c:ext>
          </c:extLst>
        </c:ser>
        <c:ser>
          <c:idx val="3"/>
          <c:order val="3"/>
          <c:tx>
            <c:strRef>
              <c:f>month!$AO$34</c:f>
              <c:strCache>
                <c:ptCount val="1"/>
                <c:pt idx="0">
                  <c:v>锻炼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cat>
            <c:numRef>
              <c:f>month!$AI$35:$AI$37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month!$AO$35:$AO$37</c:f>
              <c:numCache>
                <c:formatCode>General</c:formatCode>
                <c:ptCount val="3"/>
                <c:pt idx="0">
                  <c:v>0.60000000000000009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0F6-4047-B6E1-69FEBBE6D5D0}"/>
            </c:ext>
          </c:extLst>
        </c:ser>
        <c:ser>
          <c:idx val="4"/>
          <c:order val="4"/>
          <c:tx>
            <c:strRef>
              <c:f>month!$AP$34</c:f>
              <c:strCache>
                <c:ptCount val="1"/>
                <c:pt idx="0">
                  <c:v>日报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cat>
            <c:numRef>
              <c:f>month!$AI$35:$AI$37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month!$AP$35:$AP$37</c:f>
              <c:numCache>
                <c:formatCode>General</c:formatCode>
                <c:ptCount val="3"/>
                <c:pt idx="0">
                  <c:v>0.2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0F6-4047-B6E1-69FEBBE6D5D0}"/>
            </c:ext>
          </c:extLst>
        </c:ser>
        <c:ser>
          <c:idx val="5"/>
          <c:order val="5"/>
          <c:tx>
            <c:strRef>
              <c:f>month!$AQ$34</c:f>
              <c:strCache>
                <c:ptCount val="1"/>
                <c:pt idx="0">
                  <c:v>明日日程安排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cat>
            <c:numRef>
              <c:f>month!$AI$35:$AI$37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month!$AQ$35:$AQ$37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0F6-4047-B6E1-69FEBBE6D5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992799"/>
        <c:axId val="256047151"/>
        <c:axId val="294043023"/>
      </c:line3DChart>
      <c:catAx>
        <c:axId val="186992799"/>
        <c:scaling>
          <c:orientation val="minMax"/>
        </c:scaling>
        <c:delete val="0"/>
        <c:axPos val="b"/>
        <c:numFmt formatCode="0_);[Red]\(0\)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56047151"/>
        <c:crosses val="autoZero"/>
        <c:auto val="1"/>
        <c:lblAlgn val="ctr"/>
        <c:lblOffset val="100"/>
        <c:noMultiLvlLbl val="0"/>
      </c:catAx>
      <c:valAx>
        <c:axId val="256047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6992799"/>
        <c:crosses val="autoZero"/>
        <c:crossBetween val="between"/>
      </c:valAx>
      <c:serAx>
        <c:axId val="294043023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56047151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2020</a:t>
            </a:r>
            <a:r>
              <a:rPr lang="zh-CN" altLang="en-US"/>
              <a:t>年各时段得分</a:t>
            </a:r>
            <a:endParaRPr lang="en-US" alt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year!$F$33:$H$33</c:f>
              <c:strCache>
                <c:ptCount val="3"/>
                <c:pt idx="0">
                  <c:v>2020 </c:v>
                </c:pt>
                <c:pt idx="1">
                  <c:v>2020/1/1</c:v>
                </c:pt>
                <c:pt idx="2">
                  <c:v>2020/12/31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year!$I$32:$AG$32</c:f>
              <c:strCache>
                <c:ptCount val="25"/>
                <c:pt idx="0">
                  <c:v>0:00</c:v>
                </c:pt>
                <c:pt idx="1">
                  <c:v>1:00</c:v>
                </c:pt>
                <c:pt idx="2">
                  <c:v>2:00</c:v>
                </c:pt>
                <c:pt idx="3">
                  <c:v>3:00</c:v>
                </c:pt>
                <c:pt idx="4">
                  <c:v>4:00</c:v>
                </c:pt>
                <c:pt idx="5">
                  <c:v>5:00</c:v>
                </c:pt>
                <c:pt idx="6">
                  <c:v>6:00</c:v>
                </c:pt>
                <c:pt idx="7">
                  <c:v>7:00</c:v>
                </c:pt>
                <c:pt idx="8">
                  <c:v>8:00</c:v>
                </c:pt>
                <c:pt idx="9">
                  <c:v>9:00</c:v>
                </c:pt>
                <c:pt idx="10">
                  <c:v>10:00</c:v>
                </c:pt>
                <c:pt idx="11">
                  <c:v>11:00</c:v>
                </c:pt>
                <c:pt idx="12">
                  <c:v>12:00</c:v>
                </c:pt>
                <c:pt idx="13">
                  <c:v>13:00</c:v>
                </c:pt>
                <c:pt idx="14">
                  <c:v>14:00</c:v>
                </c:pt>
                <c:pt idx="15">
                  <c:v>15:00</c:v>
                </c:pt>
                <c:pt idx="16">
                  <c:v>16:00</c:v>
                </c:pt>
                <c:pt idx="17">
                  <c:v>17:00</c:v>
                </c:pt>
                <c:pt idx="18">
                  <c:v>18:00</c:v>
                </c:pt>
                <c:pt idx="19">
                  <c:v>19:00</c:v>
                </c:pt>
                <c:pt idx="20">
                  <c:v>20:00</c:v>
                </c:pt>
                <c:pt idx="21">
                  <c:v>21:00</c:v>
                </c:pt>
                <c:pt idx="22">
                  <c:v>22:00</c:v>
                </c:pt>
                <c:pt idx="23">
                  <c:v>23:00</c:v>
                </c:pt>
                <c:pt idx="24">
                  <c:v>23:59</c:v>
                </c:pt>
              </c:strCache>
            </c:strRef>
          </c:cat>
          <c:val>
            <c:numRef>
              <c:f>year!$I$33:$AG$33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-0.20000000000000007</c:v>
                </c:pt>
                <c:pt idx="7">
                  <c:v>-0.10000000000000003</c:v>
                </c:pt>
                <c:pt idx="8">
                  <c:v>0.9</c:v>
                </c:pt>
                <c:pt idx="9">
                  <c:v>0.2</c:v>
                </c:pt>
                <c:pt idx="10">
                  <c:v>0.1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0.1</c:v>
                </c:pt>
                <c:pt idx="19">
                  <c:v>0</c:v>
                </c:pt>
                <c:pt idx="20">
                  <c:v>0</c:v>
                </c:pt>
                <c:pt idx="21">
                  <c:v>0.60000000000000009</c:v>
                </c:pt>
                <c:pt idx="22">
                  <c:v>0.18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39-C047-A697-7BFDD7DB3C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7735087"/>
        <c:axId val="234662479"/>
      </c:lineChart>
      <c:catAx>
        <c:axId val="2577350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34662479"/>
        <c:crosses val="autoZero"/>
        <c:auto val="1"/>
        <c:lblAlgn val="ctr"/>
        <c:lblOffset val="100"/>
        <c:noMultiLvlLbl val="0"/>
      </c:catAx>
      <c:valAx>
        <c:axId val="234662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577350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year!$D$32</c:f>
              <c:strCache>
                <c:ptCount val="1"/>
                <c:pt idx="0">
                  <c:v>总分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year!$A$33</c:f>
              <c:numCache>
                <c:formatCode>0_);[Red]\(0\)</c:formatCode>
                <c:ptCount val="1"/>
                <c:pt idx="0">
                  <c:v>2020</c:v>
                </c:pt>
              </c:numCache>
            </c:numRef>
          </c:cat>
          <c:val>
            <c:numRef>
              <c:f>year!$D$33</c:f>
              <c:numCache>
                <c:formatCode>General</c:formatCode>
                <c:ptCount val="1"/>
                <c:pt idx="0">
                  <c:v>4.26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59-9A44-80DF-A2CDF496042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93952815"/>
        <c:axId val="293893055"/>
      </c:barChart>
      <c:catAx>
        <c:axId val="293952815"/>
        <c:scaling>
          <c:orientation val="minMax"/>
        </c:scaling>
        <c:delete val="0"/>
        <c:axPos val="b"/>
        <c:numFmt formatCode="0_);[Red]\(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93893055"/>
        <c:crosses val="autoZero"/>
        <c:auto val="1"/>
        <c:lblAlgn val="ctr"/>
        <c:lblOffset val="100"/>
        <c:noMultiLvlLbl val="0"/>
      </c:catAx>
      <c:valAx>
        <c:axId val="293893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939528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1.xml"/><Relationship Id="rId3" Type="http://schemas.openxmlformats.org/officeDocument/2006/relationships/chart" Target="../charts/chart6.xml"/><Relationship Id="rId7" Type="http://schemas.openxmlformats.org/officeDocument/2006/relationships/chart" Target="../charts/chart10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11" Type="http://schemas.openxmlformats.org/officeDocument/2006/relationships/chart" Target="../charts/chart14.xml"/><Relationship Id="rId5" Type="http://schemas.openxmlformats.org/officeDocument/2006/relationships/chart" Target="../charts/chart8.xml"/><Relationship Id="rId10" Type="http://schemas.openxmlformats.org/officeDocument/2006/relationships/chart" Target="../charts/chart13.xml"/><Relationship Id="rId4" Type="http://schemas.openxmlformats.org/officeDocument/2006/relationships/chart" Target="../charts/chart7.xml"/><Relationship Id="rId9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508000</xdr:colOff>
      <xdr:row>14</xdr:row>
      <xdr:rowOff>9531</xdr:rowOff>
    </xdr:from>
    <xdr:to>
      <xdr:col>13</xdr:col>
      <xdr:colOff>736600</xdr:colOff>
      <xdr:row>26</xdr:row>
      <xdr:rowOff>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5" name="持续时间">
              <a:extLst>
                <a:ext uri="{FF2B5EF4-FFF2-40B4-BE49-F238E27FC236}">
                  <a16:creationId xmlns:a16="http://schemas.microsoft.com/office/drawing/2014/main" id="{3CDCE28D-9B8F-3F4D-8440-FC0CD611991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持续时间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461500" y="2854331"/>
              <a:ext cx="1828800" cy="24288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此形状代表切片器。Excel 2010 或更高版本支持切片器。
如果形状是在较早版本的 Excel 中修改，或者工作簿是在 Excel 2003 或更早版本中保存，则无法使用切片器。</a:t>
              </a:r>
            </a:p>
          </xdr:txBody>
        </xdr:sp>
      </mc:Fallback>
    </mc:AlternateContent>
    <xdr:clientData/>
  </xdr:twoCellAnchor>
  <xdr:twoCellAnchor editAs="oneCell">
    <xdr:from>
      <xdr:col>11</xdr:col>
      <xdr:colOff>508000</xdr:colOff>
      <xdr:row>2</xdr:row>
      <xdr:rowOff>0</xdr:rowOff>
    </xdr:from>
    <xdr:to>
      <xdr:col>13</xdr:col>
      <xdr:colOff>736600</xdr:colOff>
      <xdr:row>13</xdr:row>
      <xdr:rowOff>193669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0" name="年份">
              <a:extLst>
                <a:ext uri="{FF2B5EF4-FFF2-40B4-BE49-F238E27FC236}">
                  <a16:creationId xmlns:a16="http://schemas.microsoft.com/office/drawing/2014/main" id="{911E3CAD-C973-7442-8E0B-618C955C410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年份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461500" y="406400"/>
              <a:ext cx="1828800" cy="24288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此形状代表切片器。Excel 2010 或更高版本支持切片器。
如果形状是在较早版本的 Excel 中修改，或者工作簿是在 Excel 2003 或更早版本中保存，则无法使用切片器。</a:t>
              </a:r>
            </a:p>
          </xdr:txBody>
        </xdr:sp>
      </mc:Fallback>
    </mc:AlternateContent>
    <xdr:clientData/>
  </xdr:twoCellAnchor>
  <xdr:twoCellAnchor editAs="oneCell">
    <xdr:from>
      <xdr:col>8</xdr:col>
      <xdr:colOff>571500</xdr:colOff>
      <xdr:row>2</xdr:row>
      <xdr:rowOff>0</xdr:rowOff>
    </xdr:from>
    <xdr:to>
      <xdr:col>11</xdr:col>
      <xdr:colOff>0</xdr:colOff>
      <xdr:row>13</xdr:row>
      <xdr:rowOff>193669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1" name="季度">
              <a:extLst>
                <a:ext uri="{FF2B5EF4-FFF2-40B4-BE49-F238E27FC236}">
                  <a16:creationId xmlns:a16="http://schemas.microsoft.com/office/drawing/2014/main" id="{D553B340-1C23-234C-86DE-945A52A591A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季度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124700" y="406400"/>
              <a:ext cx="1828800" cy="24288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此形状代表切片器。Excel 2010 或更高版本支持切片器。
如果形状是在较早版本的 Excel 中修改，或者工作簿是在 Excel 2003 或更早版本中保存，则无法使用切片器。</a:t>
              </a:r>
            </a:p>
          </xdr:txBody>
        </xdr:sp>
      </mc:Fallback>
    </mc:AlternateContent>
    <xdr:clientData/>
  </xdr:twoCellAnchor>
  <xdr:twoCellAnchor editAs="oneCell">
    <xdr:from>
      <xdr:col>5</xdr:col>
      <xdr:colOff>571500</xdr:colOff>
      <xdr:row>2</xdr:row>
      <xdr:rowOff>19062</xdr:rowOff>
    </xdr:from>
    <xdr:to>
      <xdr:col>8</xdr:col>
      <xdr:colOff>0</xdr:colOff>
      <xdr:row>14</xdr:row>
      <xdr:rowOff>9531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2" name="月份">
              <a:extLst>
                <a:ext uri="{FF2B5EF4-FFF2-40B4-BE49-F238E27FC236}">
                  <a16:creationId xmlns:a16="http://schemas.microsoft.com/office/drawing/2014/main" id="{D5BF8F03-5D04-5148-BF69-F47061FB1D1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月份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724400" y="425462"/>
              <a:ext cx="1828800" cy="24288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此形状代表切片器。Excel 2010 或更高版本支持切片器。
如果形状是在较早版本的 Excel 中修改，或者工作簿是在 Excel 2003 或更早版本中保存，则无法使用切片器。</a:t>
              </a:r>
            </a:p>
          </xdr:txBody>
        </xdr:sp>
      </mc:Fallback>
    </mc:AlternateContent>
    <xdr:clientData/>
  </xdr:twoCellAnchor>
  <xdr:twoCellAnchor editAs="oneCell">
    <xdr:from>
      <xdr:col>2</xdr:col>
      <xdr:colOff>571500</xdr:colOff>
      <xdr:row>2</xdr:row>
      <xdr:rowOff>19062</xdr:rowOff>
    </xdr:from>
    <xdr:to>
      <xdr:col>5</xdr:col>
      <xdr:colOff>0</xdr:colOff>
      <xdr:row>14</xdr:row>
      <xdr:rowOff>9531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3" name="周次">
              <a:extLst>
                <a:ext uri="{FF2B5EF4-FFF2-40B4-BE49-F238E27FC236}">
                  <a16:creationId xmlns:a16="http://schemas.microsoft.com/office/drawing/2014/main" id="{1453890A-A943-5641-A9DB-D3CE763CDED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周次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324100" y="425462"/>
              <a:ext cx="1828800" cy="24288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此形状代表切片器。Excel 2010 或更高版本支持切片器。
如果形状是在较早版本的 Excel 中修改，或者工作簿是在 Excel 2003 或更早版本中保存，则无法使用切片器。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0</xdr:colOff>
      <xdr:row>2</xdr:row>
      <xdr:rowOff>0</xdr:rowOff>
    </xdr:from>
    <xdr:to>
      <xdr:col>2</xdr:col>
      <xdr:colOff>76200</xdr:colOff>
      <xdr:row>13</xdr:row>
      <xdr:rowOff>193669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4" name="日期">
              <a:extLst>
                <a:ext uri="{FF2B5EF4-FFF2-40B4-BE49-F238E27FC236}">
                  <a16:creationId xmlns:a16="http://schemas.microsoft.com/office/drawing/2014/main" id="{B3504832-893F-4740-AE93-4093DEE8A21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日期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406400"/>
              <a:ext cx="1828800" cy="24288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此形状代表切片器。Excel 2010 或更高版本支持切片器。
如果形状是在较早版本的 Excel 中修改，或者工作簿是在 Excel 2003 或更早版本中保存，则无法使用切片器。</a:t>
              </a:r>
            </a:p>
          </xdr:txBody>
        </xdr:sp>
      </mc:Fallback>
    </mc:AlternateContent>
    <xdr:clientData/>
  </xdr:twoCellAnchor>
  <xdr:twoCellAnchor editAs="oneCell">
    <xdr:from>
      <xdr:col>2</xdr:col>
      <xdr:colOff>571500</xdr:colOff>
      <xdr:row>14</xdr:row>
      <xdr:rowOff>0</xdr:rowOff>
    </xdr:from>
    <xdr:to>
      <xdr:col>5</xdr:col>
      <xdr:colOff>0</xdr:colOff>
      <xdr:row>25</xdr:row>
      <xdr:rowOff>193669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5" name="开始分">
              <a:extLst>
                <a:ext uri="{FF2B5EF4-FFF2-40B4-BE49-F238E27FC236}">
                  <a16:creationId xmlns:a16="http://schemas.microsoft.com/office/drawing/2014/main" id="{70E0BD2F-3C2C-7847-9E8A-EA2C31EB952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开始分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324100" y="2844800"/>
              <a:ext cx="1828800" cy="24288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此形状代表切片器。Excel 2010 或更高版本支持切片器。
如果形状是在较早版本的 Excel 中修改，或者工作簿是在 Excel 2003 或更早版本中保存，则无法使用切片器。</a:t>
              </a:r>
            </a:p>
          </xdr:txBody>
        </xdr:sp>
      </mc:Fallback>
    </mc:AlternateContent>
    <xdr:clientData/>
  </xdr:twoCellAnchor>
  <xdr:twoCellAnchor editAs="oneCell">
    <xdr:from>
      <xdr:col>8</xdr:col>
      <xdr:colOff>571500</xdr:colOff>
      <xdr:row>14</xdr:row>
      <xdr:rowOff>0</xdr:rowOff>
    </xdr:from>
    <xdr:to>
      <xdr:col>11</xdr:col>
      <xdr:colOff>0</xdr:colOff>
      <xdr:row>25</xdr:row>
      <xdr:rowOff>193669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6" name="结束分">
              <a:extLst>
                <a:ext uri="{FF2B5EF4-FFF2-40B4-BE49-F238E27FC236}">
                  <a16:creationId xmlns:a16="http://schemas.microsoft.com/office/drawing/2014/main" id="{94DCEABF-8849-B34A-8D27-FD2D0DBE09A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结束分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124700" y="2844800"/>
              <a:ext cx="1828800" cy="24288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此形状代表切片器。Excel 2010 或更高版本支持切片器。
如果形状是在较早版本的 Excel 中修改，或者工作簿是在 Excel 2003 或更早版本中保存，则无法使用切片器。</a:t>
              </a:r>
            </a:p>
          </xdr:txBody>
        </xdr:sp>
      </mc:Fallback>
    </mc:AlternateContent>
    <xdr:clientData/>
  </xdr:twoCellAnchor>
  <xdr:twoCellAnchor editAs="oneCell">
    <xdr:from>
      <xdr:col>15</xdr:col>
      <xdr:colOff>1562100</xdr:colOff>
      <xdr:row>2</xdr:row>
      <xdr:rowOff>9531</xdr:rowOff>
    </xdr:from>
    <xdr:to>
      <xdr:col>18</xdr:col>
      <xdr:colOff>228600</xdr:colOff>
      <xdr:row>14</xdr:row>
      <xdr:rowOff>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7" name="名称">
              <a:extLst>
                <a:ext uri="{FF2B5EF4-FFF2-40B4-BE49-F238E27FC236}">
                  <a16:creationId xmlns:a16="http://schemas.microsoft.com/office/drawing/2014/main" id="{B0231164-9D6B-C441-AA62-59C10F816EF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名称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852400" y="415931"/>
              <a:ext cx="1828800" cy="24288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此形状代表切片器。Excel 2010 或更高版本支持切片器。
如果形状是在较早版本的 Excel 中修改，或者工作簿是在 Excel 2003 或更早版本中保存，则无法使用切片器。</a:t>
              </a:r>
            </a:p>
          </xdr:txBody>
        </xdr:sp>
      </mc:Fallback>
    </mc:AlternateContent>
    <xdr:clientData/>
  </xdr:twoCellAnchor>
  <xdr:twoCellAnchor editAs="oneCell">
    <xdr:from>
      <xdr:col>16</xdr:col>
      <xdr:colOff>0</xdr:colOff>
      <xdr:row>14</xdr:row>
      <xdr:rowOff>0</xdr:rowOff>
    </xdr:from>
    <xdr:to>
      <xdr:col>18</xdr:col>
      <xdr:colOff>228600</xdr:colOff>
      <xdr:row>25</xdr:row>
      <xdr:rowOff>193669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0" name="备注">
              <a:extLst>
                <a:ext uri="{FF2B5EF4-FFF2-40B4-BE49-F238E27FC236}">
                  <a16:creationId xmlns:a16="http://schemas.microsoft.com/office/drawing/2014/main" id="{8CDFF656-DA0C-B040-9FAC-0FB0BF407DE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备注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877800" y="2844800"/>
              <a:ext cx="1828800" cy="24288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此形状代表切片器。Excel 2010 或更高版本支持切片器。
如果形状是在较早版本的 Excel 中修改，或者工作簿是在 Excel 2003 或更早版本中保存，则无法使用切片器。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12700</xdr:rowOff>
    </xdr:from>
    <xdr:to>
      <xdr:col>3</xdr:col>
      <xdr:colOff>812800</xdr:colOff>
      <xdr:row>13</xdr:row>
      <xdr:rowOff>165100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18FC1486-2FF3-DD4B-AA90-55DC0A88123A}"/>
            </a:ext>
          </a:extLst>
        </xdr:cNvPr>
        <xdr:cNvSpPr txBox="1"/>
      </xdr:nvSpPr>
      <xdr:spPr>
        <a:xfrm>
          <a:off x="0" y="2311400"/>
          <a:ext cx="3289300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CN" sz="1400">
              <a:solidFill>
                <a:srgbClr val="FF0000"/>
              </a:solidFill>
            </a:rPr>
            <a:t>B3</a:t>
          </a:r>
          <a:r>
            <a:rPr lang="zh-CN" altLang="en-US" sz="1400">
              <a:solidFill>
                <a:srgbClr val="FF0000"/>
              </a:solidFill>
            </a:rPr>
            <a:t>～</a:t>
          </a:r>
          <a:r>
            <a:rPr lang="en-US" altLang="zh-CN" sz="1400">
              <a:solidFill>
                <a:srgbClr val="FF0000"/>
              </a:solidFill>
            </a:rPr>
            <a:t>B9</a:t>
          </a:r>
          <a:r>
            <a:rPr lang="zh-CN" altLang="en-US" sz="1400"/>
            <a:t>处的函数模版</a:t>
          </a:r>
          <a:endParaRPr lang="en" altLang="zh-CN" sz="1400"/>
        </a:p>
        <a:p>
          <a:pPr algn="ctr"/>
          <a:endParaRPr lang="en" altLang="zh-CN" sz="1200"/>
        </a:p>
        <a:p>
          <a:pPr algn="ctr"/>
          <a:r>
            <a:rPr lang="en" altLang="zh-CN" sz="1200"/>
            <a:t>=SUMIF(records[</a:t>
          </a:r>
          <a:r>
            <a:rPr lang="zh-CN" altLang="en-US" sz="1200"/>
            <a:t>日期</a:t>
          </a:r>
          <a:r>
            <a:rPr lang="en-US" altLang="zh-CN" sz="1200"/>
            <a:t>],[@</a:t>
          </a:r>
          <a:r>
            <a:rPr lang="zh-CN" altLang="en-US" sz="1200"/>
            <a:t>日期</a:t>
          </a:r>
          <a:r>
            <a:rPr lang="en-US" altLang="zh-CN" sz="1200"/>
            <a:t>],</a:t>
          </a:r>
          <a:r>
            <a:rPr lang="en" altLang="zh-CN" sz="1200"/>
            <a:t>records[</a:t>
          </a:r>
          <a:r>
            <a:rPr lang="zh-CN" altLang="en-US" sz="1200"/>
            <a:t>得分</a:t>
          </a:r>
          <a:r>
            <a:rPr lang="en-US" altLang="zh-CN" sz="1200"/>
            <a:t>])</a:t>
          </a:r>
          <a:endParaRPr lang="zh-CN" altLang="en-US" sz="1200"/>
        </a:p>
      </xdr:txBody>
    </xdr:sp>
    <xdr:clientData/>
  </xdr:twoCellAnchor>
  <xdr:twoCellAnchor>
    <xdr:from>
      <xdr:col>5</xdr:col>
      <xdr:colOff>0</xdr:colOff>
      <xdr:row>10</xdr:row>
      <xdr:rowOff>12700</xdr:rowOff>
    </xdr:from>
    <xdr:to>
      <xdr:col>9</xdr:col>
      <xdr:colOff>12700</xdr:colOff>
      <xdr:row>35</xdr:row>
      <xdr:rowOff>12700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4535DF63-1D1D-D847-A8A3-16EE02D1B5FF}"/>
            </a:ext>
          </a:extLst>
        </xdr:cNvPr>
        <xdr:cNvSpPr txBox="1"/>
      </xdr:nvSpPr>
      <xdr:spPr>
        <a:xfrm>
          <a:off x="4127500" y="2311400"/>
          <a:ext cx="33147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E3 ~ Y9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 sz="1200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"=SUMIFS('records'!D4:D30,'records'!A4:A30,day!D";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 sz="1200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 sz="1200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'records'!B4:B30, \"&gt;=\" &amp; day!";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 sz="1200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"E";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 sz="1200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"2,'records'!B4:B30, \"&lt;\" &amp; day!";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 sz="1200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 sz="1200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"2)";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nextChar</a:t>
          </a:r>
          <a:r>
            <a:rPr lang="en" altLang="zh-CN" sz="1200"/>
            <a:t>(c) {</a:t>
          </a:r>
          <a:br>
            <a:rPr lang="en" altLang="zh-CN" sz="1200"/>
          </a:br>
          <a:r>
            <a:rPr lang="en" altLang="zh-CN" sz="1200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en" altLang="zh-CN" sz="1200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fromCharCode</a:t>
          </a:r>
          <a:r>
            <a:rPr lang="en" altLang="zh-CN" sz="1200"/>
            <a:t>(c.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charCodeAt</a:t>
          </a:r>
          <a:r>
            <a:rPr lang="en" altLang="zh-CN" sz="1200"/>
            <a:t>(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" altLang="zh-CN" sz="1200"/>
            <a:t>) +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" altLang="zh-CN" sz="1200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200"/>
            <a:t>}</a:t>
          </a:r>
          <a:br>
            <a:rPr lang="en" altLang="zh-CN" sz="1200"/>
          </a:br>
          <a:br>
            <a:rPr lang="en" altLang="zh-CN" sz="1200"/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 </a:t>
          </a:r>
          <a:r>
            <a:rPr lang="en" altLang="zh-CN" sz="1200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 sz="1200"/>
            <a:t>&lt;=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"Z"</a:t>
          </a:r>
          <a:r>
            <a:rPr lang="en" altLang="zh-CN" sz="1200"/>
            <a:t>) {</a:t>
          </a:r>
          <a:br>
            <a:rPr lang="en" altLang="zh-CN" sz="1200"/>
          </a:br>
          <a:r>
            <a:rPr lang="en" altLang="zh-CN" sz="1200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</a:t>
          </a:r>
          <a:r>
            <a:rPr lang="en" altLang="zh-CN" sz="1200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 sz="1200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 sz="1200"/>
            <a:t>&lt;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 sz="1200"/>
            <a:t>++) {</a:t>
          </a:r>
          <a:br>
            <a:rPr lang="en" altLang="zh-CN" sz="1200"/>
          </a:br>
          <a:r>
            <a:rPr lang="en" altLang="zh-CN" sz="1200"/>
            <a:t>    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 sz="1200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 sz="1200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 sz="1200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 sz="1200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 sz="1200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 sz="1200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 sz="1200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 sz="1200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 sz="1200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200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200"/>
            <a:t>}</a:t>
          </a:r>
          <a:br>
            <a:rPr lang="en" altLang="zh-CN" sz="1200"/>
          </a:br>
          <a:r>
            <a:rPr lang="en" altLang="zh-CN" sz="1200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 sz="1200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 sz="1200"/>
            <a:t>()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 sz="1200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 sz="1200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</a:t>
          </a:r>
          <a:r>
            <a:rPr lang="en" altLang="zh-CN" sz="1200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 sz="1200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 sz="1200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 sz="1200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200"/>
            <a:t>}</a:t>
          </a:r>
          <a:endParaRPr lang="zh-CN" altLang="en-US" sz="1200"/>
        </a:p>
      </xdr:txBody>
    </xdr:sp>
    <xdr:clientData/>
  </xdr:twoCellAnchor>
  <xdr:twoCellAnchor>
    <xdr:from>
      <xdr:col>9</xdr:col>
      <xdr:colOff>800100</xdr:colOff>
      <xdr:row>10</xdr:row>
      <xdr:rowOff>0</xdr:rowOff>
    </xdr:from>
    <xdr:to>
      <xdr:col>13</xdr:col>
      <xdr:colOff>812800</xdr:colOff>
      <xdr:row>35</xdr:row>
      <xdr:rowOff>0</xdr:rowOff>
    </xdr:to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3F3195B6-F7DC-E140-BD93-87895ED8C4F3}"/>
            </a:ext>
          </a:extLst>
        </xdr:cNvPr>
        <xdr:cNvSpPr txBox="1"/>
      </xdr:nvSpPr>
      <xdr:spPr>
        <a:xfrm>
          <a:off x="8229600" y="2298700"/>
          <a:ext cx="33147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Z3 ~ Z9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"=SUMIFS('records'!D4:D30,'records'!A4:A30,day!D";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'records'!B4:B30, \"&gt;=\" &amp; day!Z2,'records'!B4:B30, \"&lt;\" &amp; day!AA2)";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++)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endParaRPr lang="zh-CN" altLang="en-US" sz="1200"/>
        </a:p>
      </xdr:txBody>
    </xdr:sp>
    <xdr:clientData/>
  </xdr:twoCellAnchor>
  <xdr:twoCellAnchor>
    <xdr:from>
      <xdr:col>15</xdr:col>
      <xdr:colOff>0</xdr:colOff>
      <xdr:row>10</xdr:row>
      <xdr:rowOff>0</xdr:rowOff>
    </xdr:from>
    <xdr:to>
      <xdr:col>19</xdr:col>
      <xdr:colOff>12700</xdr:colOff>
      <xdr:row>35</xdr:row>
      <xdr:rowOff>0</xdr:rowOff>
    </xdr:to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D53C44CE-BEB5-BF4D-9852-55149E268005}"/>
            </a:ext>
          </a:extLst>
        </xdr:cNvPr>
        <xdr:cNvSpPr txBox="1"/>
      </xdr:nvSpPr>
      <xdr:spPr>
        <a:xfrm>
          <a:off x="12382500" y="2298700"/>
          <a:ext cx="33147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AA3 ~ AB9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"=SUMIFS('records'!D4:D30,'records'!A4:A30,day!D";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'records'!B4:B30, \"&gt;=\" &amp; day!A";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"2,'records'!B4:B30, \"&lt;\" &amp; day!A";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"B";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"2)";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nextChar</a:t>
          </a:r>
          <a:r>
            <a:rPr lang="en" altLang="zh-CN"/>
            <a:t>(c)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fromCharCode</a:t>
          </a:r>
          <a:r>
            <a:rPr lang="en" altLang="zh-CN"/>
            <a:t>(c.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charCodeAt</a:t>
          </a:r>
          <a:r>
            <a:rPr lang="en" altLang="zh-CN"/>
            <a:t>(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" altLang="zh-CN"/>
            <a:t>) +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&lt;=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"C"</a:t>
          </a:r>
          <a:r>
            <a:rPr lang="en" altLang="zh-CN"/>
            <a:t>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++) {</a:t>
          </a:r>
          <a:br>
            <a:rPr lang="en" altLang="zh-CN"/>
          </a:br>
          <a:r>
            <a:rPr lang="en" altLang="zh-CN"/>
            <a:t>    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/>
            <a:t>}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endParaRPr lang="zh-CN" altLang="en-US" sz="1200"/>
        </a:p>
      </xdr:txBody>
    </xdr:sp>
    <xdr:clientData/>
  </xdr:twoCellAnchor>
  <xdr:twoCellAnchor>
    <xdr:from>
      <xdr:col>20</xdr:col>
      <xdr:colOff>0</xdr:colOff>
      <xdr:row>9</xdr:row>
      <xdr:rowOff>190500</xdr:rowOff>
    </xdr:from>
    <xdr:to>
      <xdr:col>24</xdr:col>
      <xdr:colOff>12700</xdr:colOff>
      <xdr:row>34</xdr:row>
      <xdr:rowOff>190500</xdr:rowOff>
    </xdr:to>
    <xdr:sp macro="" textlink="">
      <xdr:nvSpPr>
        <xdr:cNvPr id="6" name="文本框 5">
          <a:extLst>
            <a:ext uri="{FF2B5EF4-FFF2-40B4-BE49-F238E27FC236}">
              <a16:creationId xmlns:a16="http://schemas.microsoft.com/office/drawing/2014/main" id="{97233FFB-DEFE-434B-A54F-E9CB6877BE8A}"/>
            </a:ext>
          </a:extLst>
        </xdr:cNvPr>
        <xdr:cNvSpPr txBox="1"/>
      </xdr:nvSpPr>
      <xdr:spPr>
        <a:xfrm>
          <a:off x="16510000" y="2286000"/>
          <a:ext cx="33147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AC3 ~ AC9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"=SUMIFS('records'!D4:D30,'records'!A4:A30,day!D";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'records'!B4:B30,day!AC2";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++)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endParaRPr lang="zh-CN" altLang="en-US" sz="1200"/>
        </a:p>
      </xdr:txBody>
    </xdr:sp>
    <xdr:clientData/>
  </xdr:twoCellAnchor>
  <xdr:twoCellAnchor>
    <xdr:from>
      <xdr:col>30</xdr:col>
      <xdr:colOff>12700</xdr:colOff>
      <xdr:row>10</xdr:row>
      <xdr:rowOff>0</xdr:rowOff>
    </xdr:from>
    <xdr:to>
      <xdr:col>34</xdr:col>
      <xdr:colOff>25400</xdr:colOff>
      <xdr:row>35</xdr:row>
      <xdr:rowOff>0</xdr:rowOff>
    </xdr:to>
    <xdr:sp macro="" textlink="">
      <xdr:nvSpPr>
        <xdr:cNvPr id="7" name="文本框 6">
          <a:extLst>
            <a:ext uri="{FF2B5EF4-FFF2-40B4-BE49-F238E27FC236}">
              <a16:creationId xmlns:a16="http://schemas.microsoft.com/office/drawing/2014/main" id="{6365EB1F-ECF2-C54D-8C20-2B8AEBD49C49}"/>
            </a:ext>
          </a:extLst>
        </xdr:cNvPr>
        <xdr:cNvSpPr txBox="1"/>
      </xdr:nvSpPr>
      <xdr:spPr>
        <a:xfrm>
          <a:off x="24777700" y="2298700"/>
          <a:ext cx="33147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AF3 ~ AK9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"=SUMIFS('records'!D4:D30,'records'!A4:A30,day!A";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'records'!C4:C30, day!A";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"2)";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nextChar</a:t>
          </a:r>
          <a:r>
            <a:rPr lang="en" altLang="zh-CN"/>
            <a:t>(c)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fromCharCode</a:t>
          </a:r>
          <a:r>
            <a:rPr lang="en" altLang="zh-CN"/>
            <a:t>(c.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charCodeAt</a:t>
          </a:r>
          <a:r>
            <a:rPr lang="en" altLang="zh-CN"/>
            <a:t>(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" altLang="zh-CN"/>
            <a:t>) +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&lt;=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"K"</a:t>
          </a:r>
          <a:r>
            <a:rPr lang="en" altLang="zh-CN"/>
            <a:t>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++) {</a:t>
          </a:r>
          <a:br>
            <a:rPr lang="en" altLang="zh-CN"/>
          </a:br>
          <a:r>
            <a:rPr lang="en" altLang="zh-CN"/>
            <a:t>    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/>
            <a:t>}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endParaRPr lang="zh-CN" altLang="en-US" sz="12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0</xdr:rowOff>
    </xdr:from>
    <xdr:to>
      <xdr:col>4</xdr:col>
      <xdr:colOff>12700</xdr:colOff>
      <xdr:row>31</xdr:row>
      <xdr:rowOff>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A0E20C57-BE5E-E54E-BE24-BC1CEE539EBE}"/>
            </a:ext>
          </a:extLst>
        </xdr:cNvPr>
        <xdr:cNvSpPr txBox="1"/>
      </xdr:nvSpPr>
      <xdr:spPr>
        <a:xfrm>
          <a:off x="0" y="1308100"/>
          <a:ext cx="33147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D3 ~ D5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"=SUMIFS('day'!B40:B46,'day'!A40:A46,\"&gt;=\" &amp; week!B";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",'day'!A40:A46,\"&lt;=\" &amp; week!C";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++)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endParaRPr lang="zh-CN" altLang="en-US" sz="1200"/>
        </a:p>
      </xdr:txBody>
    </xdr:sp>
    <xdr:clientData/>
  </xdr:twoCellAnchor>
  <xdr:twoCellAnchor>
    <xdr:from>
      <xdr:col>5</xdr:col>
      <xdr:colOff>0</xdr:colOff>
      <xdr:row>6</xdr:row>
      <xdr:rowOff>0</xdr:rowOff>
    </xdr:from>
    <xdr:to>
      <xdr:col>9</xdr:col>
      <xdr:colOff>12700</xdr:colOff>
      <xdr:row>31</xdr:row>
      <xdr:rowOff>0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3329606A-63E6-1A46-A8B1-7CCFFDDEB436}"/>
            </a:ext>
          </a:extLst>
        </xdr:cNvPr>
        <xdr:cNvSpPr txBox="1"/>
      </xdr:nvSpPr>
      <xdr:spPr>
        <a:xfrm>
          <a:off x="4127500" y="1384300"/>
          <a:ext cx="34163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I3 ~ AD5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"=SUMIFS('day'!";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"E";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"40:";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"E";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"46,'day'!D40:D46,\"&gt;=\" &amp; week!B";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",'day'!D40:D46,\"&lt;=\" &amp; week!C";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s5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nextChar</a:t>
          </a:r>
          <a:r>
            <a:rPr lang="en" altLang="zh-CN"/>
            <a:t>(c)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fromCharCode</a:t>
          </a:r>
          <a:r>
            <a:rPr lang="en" altLang="zh-CN"/>
            <a:t>(c.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charCodeAt</a:t>
          </a:r>
          <a:r>
            <a:rPr lang="en" altLang="zh-CN"/>
            <a:t>(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" altLang="zh-CN"/>
            <a:t>) +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"Z"</a:t>
          </a:r>
          <a:r>
            <a:rPr lang="en" altLang="zh-CN"/>
            <a:t>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for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&lt;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/>
            <a:t>++) {</a:t>
          </a:r>
          <a:br>
            <a:rPr lang="en" altLang="zh-CN"/>
          </a:br>
          <a:r>
            <a:rPr lang="en" altLang="zh-CN"/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s5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/>
            <a:t>}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endParaRPr lang="zh-CN" altLang="en-US" sz="1200"/>
        </a:p>
      </xdr:txBody>
    </xdr:sp>
    <xdr:clientData/>
  </xdr:twoCellAnchor>
  <xdr:twoCellAnchor>
    <xdr:from>
      <xdr:col>30</xdr:col>
      <xdr:colOff>0</xdr:colOff>
      <xdr:row>6</xdr:row>
      <xdr:rowOff>12700</xdr:rowOff>
    </xdr:from>
    <xdr:to>
      <xdr:col>34</xdr:col>
      <xdr:colOff>114300</xdr:colOff>
      <xdr:row>31</xdr:row>
      <xdr:rowOff>12700</xdr:rowOff>
    </xdr:to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76AEF968-8CE3-2147-BECE-23E76592DAE3}"/>
            </a:ext>
          </a:extLst>
        </xdr:cNvPr>
        <xdr:cNvSpPr txBox="1"/>
      </xdr:nvSpPr>
      <xdr:spPr>
        <a:xfrm>
          <a:off x="24866600" y="1320800"/>
          <a:ext cx="34163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AE3 ~ AG5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"=SUMIFS('day'!A";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"40:A";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"46,'day'!D40:D46,\"&gt;=\" &amp; week!B";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",'day'!D40:D46,\"&lt;=\" &amp; week!C";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s5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nextChar</a:t>
          </a:r>
          <a:r>
            <a:rPr lang="en" altLang="zh-CN"/>
            <a:t>(c)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fromCharCode</a:t>
          </a:r>
          <a:r>
            <a:rPr lang="en" altLang="zh-CN"/>
            <a:t>(c.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charCodeAt</a:t>
          </a:r>
          <a:r>
            <a:rPr lang="en" altLang="zh-CN"/>
            <a:t>(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" altLang="zh-CN"/>
            <a:t>) +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"C"</a:t>
          </a:r>
          <a:r>
            <a:rPr lang="en" altLang="zh-CN"/>
            <a:t>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for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&lt;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/>
            <a:t>++) {</a:t>
          </a:r>
          <a:br>
            <a:rPr lang="en" altLang="zh-CN"/>
          </a:br>
          <a:r>
            <a:rPr lang="en" altLang="zh-CN"/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s5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/>
            <a:t>}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endParaRPr lang="zh-CN" altLang="en-US" sz="1200"/>
        </a:p>
      </xdr:txBody>
    </xdr:sp>
    <xdr:clientData/>
  </xdr:twoCellAnchor>
  <xdr:twoCellAnchor>
    <xdr:from>
      <xdr:col>37</xdr:col>
      <xdr:colOff>12700</xdr:colOff>
      <xdr:row>5</xdr:row>
      <xdr:rowOff>190500</xdr:rowOff>
    </xdr:from>
    <xdr:to>
      <xdr:col>42</xdr:col>
      <xdr:colOff>63500</xdr:colOff>
      <xdr:row>30</xdr:row>
      <xdr:rowOff>190500</xdr:rowOff>
    </xdr:to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A68A3E96-407B-024F-BEE8-F6AA369BBBEA}"/>
            </a:ext>
          </a:extLst>
        </xdr:cNvPr>
        <xdr:cNvSpPr txBox="1"/>
      </xdr:nvSpPr>
      <xdr:spPr>
        <a:xfrm>
          <a:off x="30988000" y="1295400"/>
          <a:ext cx="35433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AL3 ~ AQ5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"=SUMIFS('day'!A";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"40:A";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"46,'day'!D40:D46,\"&gt;=\" &amp; week!B";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",'day'!D40:D46,\"&lt;=\" &amp; week!C";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s5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nextChar</a:t>
          </a:r>
          <a:r>
            <a:rPr lang="en" altLang="zh-CN"/>
            <a:t>(c)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fromCharCode</a:t>
          </a:r>
          <a:r>
            <a:rPr lang="en" altLang="zh-CN"/>
            <a:t>(c.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charCodeAt</a:t>
          </a:r>
          <a:r>
            <a:rPr lang="en" altLang="zh-CN"/>
            <a:t>(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" altLang="zh-CN"/>
            <a:t>) +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"K"</a:t>
          </a:r>
          <a:r>
            <a:rPr lang="en" altLang="zh-CN"/>
            <a:t>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for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&lt;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/>
            <a:t>++) {</a:t>
          </a:r>
          <a:br>
            <a:rPr lang="en" altLang="zh-CN"/>
          </a:br>
          <a:r>
            <a:rPr lang="en" altLang="zh-CN"/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s5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/>
            <a:t>}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br>
            <a:rPr lang="en" altLang="zh-CN"/>
          </a:br>
          <a:br>
            <a:rPr lang="en" altLang="zh-CN"/>
          </a:br>
          <a:br>
            <a:rPr lang="en" altLang="zh-CN"/>
          </a:br>
          <a:endParaRPr lang="zh-CN" altLang="en-US" sz="1200"/>
        </a:p>
      </xdr:txBody>
    </xdr:sp>
    <xdr:clientData/>
  </xdr:twoCellAnchor>
  <xdr:twoCellAnchor>
    <xdr:from>
      <xdr:col>0</xdr:col>
      <xdr:colOff>819150</xdr:colOff>
      <xdr:row>47</xdr:row>
      <xdr:rowOff>184150</xdr:rowOff>
    </xdr:from>
    <xdr:to>
      <xdr:col>6</xdr:col>
      <xdr:colOff>438150</xdr:colOff>
      <xdr:row>61</xdr:row>
      <xdr:rowOff>82550</xdr:rowOff>
    </xdr:to>
    <xdr:graphicFrame macro="">
      <xdr:nvGraphicFramePr>
        <xdr:cNvPr id="6" name="图表 7">
          <a:extLst>
            <a:ext uri="{FF2B5EF4-FFF2-40B4-BE49-F238E27FC236}">
              <a16:creationId xmlns:a16="http://schemas.microsoft.com/office/drawing/2014/main" id="{28655365-57E0-2740-A08F-74A154ADC8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32</xdr:col>
      <xdr:colOff>107950</xdr:colOff>
      <xdr:row>11</xdr:row>
      <xdr:rowOff>69850</xdr:rowOff>
    </xdr:from>
    <xdr:to>
      <xdr:col>37</xdr:col>
      <xdr:colOff>222250</xdr:colOff>
      <xdr:row>24</xdr:row>
      <xdr:rowOff>171450</xdr:rowOff>
    </xdr:to>
    <xdr:graphicFrame macro="">
      <xdr:nvGraphicFramePr>
        <xdr:cNvPr id="8" name="图表 7">
          <a:extLst>
            <a:ext uri="{FF2B5EF4-FFF2-40B4-BE49-F238E27FC236}">
              <a16:creationId xmlns:a16="http://schemas.microsoft.com/office/drawing/2014/main" id="{402970DA-4741-FA4B-92B2-FE7B54BB0A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43</xdr:col>
      <xdr:colOff>730250</xdr:colOff>
      <xdr:row>11</xdr:row>
      <xdr:rowOff>69850</xdr:rowOff>
    </xdr:from>
    <xdr:to>
      <xdr:col>49</xdr:col>
      <xdr:colOff>349250</xdr:colOff>
      <xdr:row>24</xdr:row>
      <xdr:rowOff>171450</xdr:rowOff>
    </xdr:to>
    <xdr:graphicFrame macro="">
      <xdr:nvGraphicFramePr>
        <xdr:cNvPr id="9" name="图表 8">
          <a:extLst>
            <a:ext uri="{FF2B5EF4-FFF2-40B4-BE49-F238E27FC236}">
              <a16:creationId xmlns:a16="http://schemas.microsoft.com/office/drawing/2014/main" id="{6093B90D-57F3-2C40-8E66-5E57AC0351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0</xdr:rowOff>
    </xdr:from>
    <xdr:to>
      <xdr:col>4</xdr:col>
      <xdr:colOff>12700</xdr:colOff>
      <xdr:row>31</xdr:row>
      <xdr:rowOff>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AA9C8AEF-DEB3-2B48-AD0A-CE1549790A7F}"/>
            </a:ext>
          </a:extLst>
        </xdr:cNvPr>
        <xdr:cNvSpPr txBox="1"/>
      </xdr:nvSpPr>
      <xdr:spPr>
        <a:xfrm>
          <a:off x="0" y="1384300"/>
          <a:ext cx="33147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D3 ~ D5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"=SUMIFS(day!B40:B46,day!A40:A46,\"&gt;=\"&amp;month!B";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",day!A40:A46,\"&lt;=\"&amp;month!C";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++)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endParaRPr lang="zh-CN" altLang="en-US" sz="1200"/>
        </a:p>
      </xdr:txBody>
    </xdr:sp>
    <xdr:clientData/>
  </xdr:twoCellAnchor>
  <xdr:twoCellAnchor>
    <xdr:from>
      <xdr:col>8</xdr:col>
      <xdr:colOff>0</xdr:colOff>
      <xdr:row>6</xdr:row>
      <xdr:rowOff>0</xdr:rowOff>
    </xdr:from>
    <xdr:to>
      <xdr:col>13</xdr:col>
      <xdr:colOff>0</xdr:colOff>
      <xdr:row>31</xdr:row>
      <xdr:rowOff>0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2F543562-1A5C-FE49-8503-64FF5F2378AA}"/>
            </a:ext>
          </a:extLst>
        </xdr:cNvPr>
        <xdr:cNvSpPr txBox="1"/>
      </xdr:nvSpPr>
      <xdr:spPr>
        <a:xfrm>
          <a:off x="7137400" y="1308100"/>
          <a:ext cx="34290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I3 ~ AD5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"=SUMIFS('day'!";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"E";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"40:";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"E";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"46,'day'!D40:D46,\"&gt;=\" &amp; month!B";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",'day'!D40:D46,\"&lt;=\" &amp; month!C";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s5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nextChar</a:t>
          </a:r>
          <a:r>
            <a:rPr lang="en" altLang="zh-CN"/>
            <a:t>(c)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fromCharCode</a:t>
          </a:r>
          <a:r>
            <a:rPr lang="en" altLang="zh-CN"/>
            <a:t>(c.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charCodeAt</a:t>
          </a:r>
          <a:r>
            <a:rPr lang="en" altLang="zh-CN"/>
            <a:t>(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" altLang="zh-CN"/>
            <a:t>) +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"Z"</a:t>
          </a:r>
          <a:r>
            <a:rPr lang="en" altLang="zh-CN"/>
            <a:t>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for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&lt;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/>
            <a:t>++) {</a:t>
          </a:r>
          <a:br>
            <a:rPr lang="en" altLang="zh-CN"/>
          </a:br>
          <a:r>
            <a:rPr lang="en" altLang="zh-CN"/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s5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/>
            <a:t>}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endParaRPr lang="zh-CN" altLang="en-US" sz="1200"/>
        </a:p>
      </xdr:txBody>
    </xdr:sp>
    <xdr:clientData/>
  </xdr:twoCellAnchor>
  <xdr:twoCellAnchor>
    <xdr:from>
      <xdr:col>30</xdr:col>
      <xdr:colOff>0</xdr:colOff>
      <xdr:row>6</xdr:row>
      <xdr:rowOff>0</xdr:rowOff>
    </xdr:from>
    <xdr:to>
      <xdr:col>34</xdr:col>
      <xdr:colOff>114300</xdr:colOff>
      <xdr:row>31</xdr:row>
      <xdr:rowOff>0</xdr:rowOff>
    </xdr:to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077F3B21-B7F2-3944-A311-962F425E0B6F}"/>
            </a:ext>
          </a:extLst>
        </xdr:cNvPr>
        <xdr:cNvSpPr txBox="1"/>
      </xdr:nvSpPr>
      <xdr:spPr>
        <a:xfrm>
          <a:off x="24765000" y="1384300"/>
          <a:ext cx="34163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AE3 ~ AG5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"=SUMIFS('day'!A";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"40:A";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"46,'day'!D40:D46,\"&gt;=\" &amp; week!B";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",'day'!D40:D46,\"&lt;=\" &amp; week!C";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s5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nextChar</a:t>
          </a:r>
          <a:r>
            <a:rPr lang="en" altLang="zh-CN"/>
            <a:t>(c)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fromCharCode</a:t>
          </a:r>
          <a:r>
            <a:rPr lang="en" altLang="zh-CN"/>
            <a:t>(c.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charCodeAt</a:t>
          </a:r>
          <a:r>
            <a:rPr lang="en" altLang="zh-CN"/>
            <a:t>(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" altLang="zh-CN"/>
            <a:t>) +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"C"</a:t>
          </a:r>
          <a:r>
            <a:rPr lang="en" altLang="zh-CN"/>
            <a:t>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for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&lt;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/>
            <a:t>++) {</a:t>
          </a:r>
          <a:br>
            <a:rPr lang="en" altLang="zh-CN"/>
          </a:br>
          <a:r>
            <a:rPr lang="en" altLang="zh-CN"/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s5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/>
            <a:t>}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endParaRPr lang="zh-CN" altLang="en-US" sz="1200"/>
        </a:p>
      </xdr:txBody>
    </xdr:sp>
    <xdr:clientData/>
  </xdr:twoCellAnchor>
  <xdr:twoCellAnchor>
    <xdr:from>
      <xdr:col>37</xdr:col>
      <xdr:colOff>0</xdr:colOff>
      <xdr:row>6</xdr:row>
      <xdr:rowOff>0</xdr:rowOff>
    </xdr:from>
    <xdr:to>
      <xdr:col>42</xdr:col>
      <xdr:colOff>0</xdr:colOff>
      <xdr:row>31</xdr:row>
      <xdr:rowOff>0</xdr:rowOff>
    </xdr:to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0CD99081-5E1E-3147-96F1-497D736817EB}"/>
            </a:ext>
          </a:extLst>
        </xdr:cNvPr>
        <xdr:cNvSpPr txBox="1"/>
      </xdr:nvSpPr>
      <xdr:spPr>
        <a:xfrm>
          <a:off x="29438600" y="1308100"/>
          <a:ext cx="34925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AL3 ~ AQ5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"=SUMIFS('day'!A";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"40:A";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"46,'day'!D40:D46,\"&gt;=\" &amp; month!B";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",'day'!D40:D46,\"&lt;=\" &amp; month!C";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s5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nextChar</a:t>
          </a:r>
          <a:r>
            <a:rPr lang="en" altLang="zh-CN"/>
            <a:t>(c)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fromCharCode</a:t>
          </a:r>
          <a:r>
            <a:rPr lang="en" altLang="zh-CN"/>
            <a:t>(c.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charCodeAt</a:t>
          </a:r>
          <a:r>
            <a:rPr lang="en" altLang="zh-CN"/>
            <a:t>(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" altLang="zh-CN"/>
            <a:t>) +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"K"</a:t>
          </a:r>
          <a:r>
            <a:rPr lang="en" altLang="zh-CN"/>
            <a:t>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for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&lt;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/>
            <a:t>++) {</a:t>
          </a:r>
          <a:br>
            <a:rPr lang="en" altLang="zh-CN"/>
          </a:br>
          <a:r>
            <a:rPr lang="en" altLang="zh-CN"/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s5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/>
            <a:t>}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br>
            <a:rPr lang="en" altLang="zh-CN"/>
          </a:br>
          <a:br>
            <a:rPr lang="en" altLang="zh-CN"/>
          </a:br>
          <a:br>
            <a:rPr lang="en" altLang="zh-CN"/>
          </a:br>
          <a:br>
            <a:rPr lang="en" altLang="zh-CN"/>
          </a:br>
          <a:endParaRPr lang="zh-CN" altLang="en-US" sz="12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37</xdr:col>
      <xdr:colOff>0</xdr:colOff>
      <xdr:row>4</xdr:row>
      <xdr:rowOff>0</xdr:rowOff>
    </xdr:from>
    <xdr:to>
      <xdr:col>41</xdr:col>
      <xdr:colOff>190500</xdr:colOff>
      <xdr:row>29</xdr:row>
      <xdr:rowOff>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7D5FDB53-1DCF-3A45-ADBE-448089B09F95}"/>
            </a:ext>
          </a:extLst>
        </xdr:cNvPr>
        <xdr:cNvSpPr txBox="1"/>
      </xdr:nvSpPr>
      <xdr:spPr>
        <a:xfrm>
          <a:off x="30607000" y="901700"/>
          <a:ext cx="34925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AL3 ~ AQ</a:t>
          </a:r>
          <a:r>
            <a:rPr lang="en-US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"=SUMIFS('day'!A";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"40:A";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"46,'day'!D40:D46,\"&gt;=\" &amp; year!B3,'day'!D40:D46,\"&lt;=\" &amp; year!C3)";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nextChar</a:t>
          </a:r>
          <a:r>
            <a:rPr lang="en" altLang="zh-CN"/>
            <a:t>(c)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fromCharCode</a:t>
          </a:r>
          <a:r>
            <a:rPr lang="en" altLang="zh-CN"/>
            <a:t>(c.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charCodeAt</a:t>
          </a:r>
          <a:r>
            <a:rPr lang="en" altLang="zh-CN"/>
            <a:t>(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" altLang="zh-CN"/>
            <a:t>) +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"K"</a:t>
          </a:r>
          <a:r>
            <a:rPr lang="en" altLang="zh-CN"/>
            <a:t>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br>
            <a:rPr lang="en" altLang="zh-CN"/>
          </a:br>
          <a:br>
            <a:rPr lang="en" altLang="zh-CN"/>
          </a:br>
          <a:br>
            <a:rPr lang="en" altLang="zh-CN"/>
          </a:br>
          <a:br>
            <a:rPr lang="en" altLang="zh-CN"/>
          </a:br>
          <a:br>
            <a:rPr lang="en" altLang="zh-CN"/>
          </a:br>
          <a:endParaRPr lang="zh-CN" altLang="en-US" sz="1200"/>
        </a:p>
      </xdr:txBody>
    </xdr:sp>
    <xdr:clientData/>
  </xdr:twoCellAnchor>
  <xdr:twoCellAnchor>
    <xdr:from>
      <xdr:col>30</xdr:col>
      <xdr:colOff>0</xdr:colOff>
      <xdr:row>4</xdr:row>
      <xdr:rowOff>0</xdr:rowOff>
    </xdr:from>
    <xdr:to>
      <xdr:col>34</xdr:col>
      <xdr:colOff>0</xdr:colOff>
      <xdr:row>29</xdr:row>
      <xdr:rowOff>0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53E5BB99-DA6D-D14B-862B-17EE17903D65}"/>
            </a:ext>
          </a:extLst>
        </xdr:cNvPr>
        <xdr:cNvSpPr txBox="1"/>
      </xdr:nvSpPr>
      <xdr:spPr>
        <a:xfrm>
          <a:off x="24828500" y="927100"/>
          <a:ext cx="33020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AE3 ~ AG</a:t>
          </a:r>
          <a:r>
            <a:rPr lang="en-US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"=SUMIFS('day'!A";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"40:A";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"46,'day'!D40:D46,\"&gt;=\" &amp; week!B3,'day'!D40:D46,\"&lt;=\" &amp; week!C3)";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nextChar</a:t>
          </a:r>
          <a:r>
            <a:rPr lang="en" altLang="zh-CN"/>
            <a:t>(c)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fromCharCode</a:t>
          </a:r>
          <a:r>
            <a:rPr lang="en" altLang="zh-CN"/>
            <a:t>(c.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charCodeAt</a:t>
          </a:r>
          <a:r>
            <a:rPr lang="en" altLang="zh-CN"/>
            <a:t>(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" altLang="zh-CN"/>
            <a:t>) +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"C"</a:t>
          </a:r>
          <a:r>
            <a:rPr lang="en" altLang="zh-CN"/>
            <a:t>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br>
            <a:rPr lang="en" altLang="zh-CN"/>
          </a:br>
          <a:br>
            <a:rPr lang="en" altLang="zh-CN"/>
          </a:br>
          <a:endParaRPr lang="zh-CN" altLang="en-US" sz="1200"/>
        </a:p>
      </xdr:txBody>
    </xdr:sp>
    <xdr:clientData/>
  </xdr:twoCellAnchor>
  <xdr:twoCellAnchor>
    <xdr:from>
      <xdr:col>8</xdr:col>
      <xdr:colOff>0</xdr:colOff>
      <xdr:row>4</xdr:row>
      <xdr:rowOff>0</xdr:rowOff>
    </xdr:from>
    <xdr:to>
      <xdr:col>12</xdr:col>
      <xdr:colOff>127000</xdr:colOff>
      <xdr:row>29</xdr:row>
      <xdr:rowOff>0</xdr:rowOff>
    </xdr:to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4448AE7D-E1AF-5F40-9FD2-6AFB41C563C3}"/>
            </a:ext>
          </a:extLst>
        </xdr:cNvPr>
        <xdr:cNvSpPr txBox="1"/>
      </xdr:nvSpPr>
      <xdr:spPr>
        <a:xfrm>
          <a:off x="6667500" y="927100"/>
          <a:ext cx="34290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I3 ~ AD</a:t>
          </a:r>
          <a:r>
            <a:rPr lang="en-US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"=SUMIFS('day'!";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"E";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"40:";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"E";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"46,'day'!D40:D46,\"&gt;=\" &amp; month!B3,'day'!D40:D46,\"&lt;=\" &amp; month!C3)";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nextChar</a:t>
          </a:r>
          <a:r>
            <a:rPr lang="en" altLang="zh-CN"/>
            <a:t>(c)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fromCharCode</a:t>
          </a:r>
          <a:r>
            <a:rPr lang="en" altLang="zh-CN"/>
            <a:t>(c.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charCodeAt</a:t>
          </a:r>
          <a:r>
            <a:rPr lang="en" altLang="zh-CN"/>
            <a:t>(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" altLang="zh-CN"/>
            <a:t>) +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"Z"</a:t>
          </a:r>
          <a:r>
            <a:rPr lang="en" altLang="zh-CN"/>
            <a:t>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endParaRPr lang="zh-CN" altLang="en-US" sz="1200"/>
        </a:p>
      </xdr:txBody>
    </xdr:sp>
    <xdr:clientData/>
  </xdr:twoCellAnchor>
  <xdr:twoCellAnchor>
    <xdr:from>
      <xdr:col>0</xdr:col>
      <xdr:colOff>0</xdr:colOff>
      <xdr:row>4</xdr:row>
      <xdr:rowOff>0</xdr:rowOff>
    </xdr:from>
    <xdr:to>
      <xdr:col>4</xdr:col>
      <xdr:colOff>152400</xdr:colOff>
      <xdr:row>29</xdr:row>
      <xdr:rowOff>0</xdr:rowOff>
    </xdr:to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5E32FA76-D8B5-384D-9C41-3B696AA602EF}"/>
            </a:ext>
          </a:extLst>
        </xdr:cNvPr>
        <xdr:cNvSpPr txBox="1"/>
      </xdr:nvSpPr>
      <xdr:spPr>
        <a:xfrm>
          <a:off x="0" y="927100"/>
          <a:ext cx="35179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D3 </a:t>
          </a:r>
          <a:r>
            <a:rPr lang="zh-CN" altLang="en-US" sz="1400"/>
            <a:t>处函数</a:t>
          </a:r>
          <a:endParaRPr lang="en" altLang="zh-CN" sz="1400"/>
        </a:p>
        <a:p>
          <a:pPr algn="l"/>
          <a:endParaRPr lang="en-US" altLang="zh-CN" sz="1200"/>
        </a:p>
        <a:p>
          <a:pPr algn="l"/>
          <a:r>
            <a:rPr lang="en" altLang="zh-CN" sz="1200"/>
            <a:t>=SUMIFS(day!B40:B46,day!A40:A46,"&gt;="&amp;year!B3,day!A40:A46,"&lt;="&amp;year!C3)</a:t>
          </a:r>
          <a:endParaRPr lang="zh-CN" altLang="en-US" sz="12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1</xdr:row>
      <xdr:rowOff>0</xdr:rowOff>
    </xdr:from>
    <xdr:to>
      <xdr:col>11</xdr:col>
      <xdr:colOff>812800</xdr:colOff>
      <xdr:row>25</xdr:row>
      <xdr:rowOff>0</xdr:rowOff>
    </xdr:to>
    <xdr:graphicFrame macro="">
      <xdr:nvGraphicFramePr>
        <xdr:cNvPr id="2" name="图表 9">
          <a:extLst>
            <a:ext uri="{FF2B5EF4-FFF2-40B4-BE49-F238E27FC236}">
              <a16:creationId xmlns:a16="http://schemas.microsoft.com/office/drawing/2014/main" id="{81B39764-155D-FF4D-A917-A2AAB72AE8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6350</xdr:colOff>
      <xdr:row>1</xdr:row>
      <xdr:rowOff>6350</xdr:rowOff>
    </xdr:from>
    <xdr:to>
      <xdr:col>23</xdr:col>
      <xdr:colOff>800100</xdr:colOff>
      <xdr:row>25</xdr:row>
      <xdr:rowOff>12700</xdr:rowOff>
    </xdr:to>
    <xdr:graphicFrame macro="">
      <xdr:nvGraphicFramePr>
        <xdr:cNvPr id="3" name="图表 10">
          <a:extLst>
            <a:ext uri="{FF2B5EF4-FFF2-40B4-BE49-F238E27FC236}">
              <a16:creationId xmlns:a16="http://schemas.microsoft.com/office/drawing/2014/main" id="{67FCEA9C-0ECD-7343-B479-44C655191B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6350</xdr:colOff>
      <xdr:row>1</xdr:row>
      <xdr:rowOff>6350</xdr:rowOff>
    </xdr:from>
    <xdr:to>
      <xdr:col>34</xdr:col>
      <xdr:colOff>0</xdr:colOff>
      <xdr:row>25</xdr:row>
      <xdr:rowOff>50800</xdr:rowOff>
    </xdr:to>
    <xdr:graphicFrame macro="">
      <xdr:nvGraphicFramePr>
        <xdr:cNvPr id="4" name="图表 11">
          <a:extLst>
            <a:ext uri="{FF2B5EF4-FFF2-40B4-BE49-F238E27FC236}">
              <a16:creationId xmlns:a16="http://schemas.microsoft.com/office/drawing/2014/main" id="{C2B2570C-C457-8547-846D-30F9BDBE0B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819150</xdr:colOff>
      <xdr:row>28</xdr:row>
      <xdr:rowOff>196850</xdr:rowOff>
    </xdr:from>
    <xdr:to>
      <xdr:col>12</xdr:col>
      <xdr:colOff>0</xdr:colOff>
      <xdr:row>47</xdr:row>
      <xdr:rowOff>190500</xdr:rowOff>
    </xdr:to>
    <xdr:graphicFrame macro="">
      <xdr:nvGraphicFramePr>
        <xdr:cNvPr id="5" name="图表 6">
          <a:extLst>
            <a:ext uri="{FF2B5EF4-FFF2-40B4-BE49-F238E27FC236}">
              <a16:creationId xmlns:a16="http://schemas.microsoft.com/office/drawing/2014/main" id="{4210E64D-602E-9A4F-A817-1335A09E04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12700</xdr:colOff>
      <xdr:row>28</xdr:row>
      <xdr:rowOff>152400</xdr:rowOff>
    </xdr:from>
    <xdr:to>
      <xdr:col>24</xdr:col>
      <xdr:colOff>38100</xdr:colOff>
      <xdr:row>48</xdr:row>
      <xdr:rowOff>25400</xdr:rowOff>
    </xdr:to>
    <xdr:graphicFrame macro="">
      <xdr:nvGraphicFramePr>
        <xdr:cNvPr id="6" name="图表 8">
          <a:extLst>
            <a:ext uri="{FF2B5EF4-FFF2-40B4-BE49-F238E27FC236}">
              <a16:creationId xmlns:a16="http://schemas.microsoft.com/office/drawing/2014/main" id="{74433CD7-1564-6C43-A71A-C0E569417A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25</xdr:col>
      <xdr:colOff>6350</xdr:colOff>
      <xdr:row>29</xdr:row>
      <xdr:rowOff>19050</xdr:rowOff>
    </xdr:from>
    <xdr:to>
      <xdr:col>34</xdr:col>
      <xdr:colOff>12700</xdr:colOff>
      <xdr:row>47</xdr:row>
      <xdr:rowOff>152400</xdr:rowOff>
    </xdr:to>
    <xdr:graphicFrame macro="">
      <xdr:nvGraphicFramePr>
        <xdr:cNvPr id="7" name="图表 9">
          <a:extLst>
            <a:ext uri="{FF2B5EF4-FFF2-40B4-BE49-F238E27FC236}">
              <a16:creationId xmlns:a16="http://schemas.microsoft.com/office/drawing/2014/main" id="{86D77B9E-771D-8B4D-A306-AC0752AB0F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6350</xdr:colOff>
      <xdr:row>52</xdr:row>
      <xdr:rowOff>6350</xdr:rowOff>
    </xdr:from>
    <xdr:to>
      <xdr:col>11</xdr:col>
      <xdr:colOff>800100</xdr:colOff>
      <xdr:row>73</xdr:row>
      <xdr:rowOff>165100</xdr:rowOff>
    </xdr:to>
    <xdr:graphicFrame macro="">
      <xdr:nvGraphicFramePr>
        <xdr:cNvPr id="8" name="图表 5">
          <a:extLst>
            <a:ext uri="{FF2B5EF4-FFF2-40B4-BE49-F238E27FC236}">
              <a16:creationId xmlns:a16="http://schemas.microsoft.com/office/drawing/2014/main" id="{21CAEAF9-92A4-B042-A97A-25081AA7B0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13</xdr:col>
      <xdr:colOff>6350</xdr:colOff>
      <xdr:row>51</xdr:row>
      <xdr:rowOff>196850</xdr:rowOff>
    </xdr:from>
    <xdr:to>
      <xdr:col>24</xdr:col>
      <xdr:colOff>12700</xdr:colOff>
      <xdr:row>73</xdr:row>
      <xdr:rowOff>190500</xdr:rowOff>
    </xdr:to>
    <xdr:graphicFrame macro="">
      <xdr:nvGraphicFramePr>
        <xdr:cNvPr id="9" name="图表 6">
          <a:extLst>
            <a:ext uri="{FF2B5EF4-FFF2-40B4-BE49-F238E27FC236}">
              <a16:creationId xmlns:a16="http://schemas.microsoft.com/office/drawing/2014/main" id="{7FF3008A-1641-5F4D-AEDC-D92733DDD2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25</xdr:col>
      <xdr:colOff>6350</xdr:colOff>
      <xdr:row>52</xdr:row>
      <xdr:rowOff>6350</xdr:rowOff>
    </xdr:from>
    <xdr:to>
      <xdr:col>34</xdr:col>
      <xdr:colOff>12700</xdr:colOff>
      <xdr:row>73</xdr:row>
      <xdr:rowOff>190500</xdr:rowOff>
    </xdr:to>
    <xdr:graphicFrame macro="">
      <xdr:nvGraphicFramePr>
        <xdr:cNvPr id="10" name="图表 7">
          <a:extLst>
            <a:ext uri="{FF2B5EF4-FFF2-40B4-BE49-F238E27FC236}">
              <a16:creationId xmlns:a16="http://schemas.microsoft.com/office/drawing/2014/main" id="{49C589FC-0107-E548-8310-4F712D1A9D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12</xdr:col>
      <xdr:colOff>819150</xdr:colOff>
      <xdr:row>76</xdr:row>
      <xdr:rowOff>196850</xdr:rowOff>
    </xdr:from>
    <xdr:to>
      <xdr:col>24</xdr:col>
      <xdr:colOff>0</xdr:colOff>
      <xdr:row>97</xdr:row>
      <xdr:rowOff>25400</xdr:rowOff>
    </xdr:to>
    <xdr:graphicFrame macro="">
      <xdr:nvGraphicFramePr>
        <xdr:cNvPr id="11" name="图表 5">
          <a:extLst>
            <a:ext uri="{FF2B5EF4-FFF2-40B4-BE49-F238E27FC236}">
              <a16:creationId xmlns:a16="http://schemas.microsoft.com/office/drawing/2014/main" id="{E9645A5E-6F15-5B40-872B-55820EE0D6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</xdr:col>
      <xdr:colOff>12700</xdr:colOff>
      <xdr:row>77</xdr:row>
      <xdr:rowOff>12700</xdr:rowOff>
    </xdr:from>
    <xdr:to>
      <xdr:col>6</xdr:col>
      <xdr:colOff>25400</xdr:colOff>
      <xdr:row>93</xdr:row>
      <xdr:rowOff>165100</xdr:rowOff>
    </xdr:to>
    <xdr:graphicFrame macro="">
      <xdr:nvGraphicFramePr>
        <xdr:cNvPr id="12" name="图表 6">
          <a:extLst>
            <a:ext uri="{FF2B5EF4-FFF2-40B4-BE49-F238E27FC236}">
              <a16:creationId xmlns:a16="http://schemas.microsoft.com/office/drawing/2014/main" id="{15141F3A-44EB-9B4F-B96F-AD6A7A69D5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zhennaxia@163.com" refreshedDate="43896.353689004631" createdVersion="6" refreshedVersion="6" minRefreshableVersion="3" recordCount="220" xr:uid="{9C136832-FF93-3F47-9AFE-E34173B60C69}">
  <cacheSource type="worksheet">
    <worksheetSource name="records"/>
  </cacheSource>
  <cacheFields count="11">
    <cacheField name="年份" numFmtId="0">
      <sharedItems containsBlank="1" count="2">
        <s v="2020 年"/>
        <m u="1"/>
      </sharedItems>
    </cacheField>
    <cacheField name="季度" numFmtId="0">
      <sharedItems containsBlank="1" count="3">
        <s v="第 1 季度"/>
        <s v="第 2 季度"/>
        <m u="1"/>
      </sharedItems>
    </cacheField>
    <cacheField name="月份" numFmtId="0">
      <sharedItems containsBlank="1" count="3">
        <s v="2 月"/>
        <s v="3 月"/>
        <m u="1"/>
      </sharedItems>
    </cacheField>
    <cacheField name="周次" numFmtId="0">
      <sharedItems containsBlank="1" count="4">
        <s v="第 8 周"/>
        <s v="第 9 周"/>
        <s v="第 10 周"/>
        <m u="1"/>
      </sharedItems>
    </cacheField>
    <cacheField name="日期" numFmtId="14">
      <sharedItems containsSemiMixedTypes="0" containsNonDate="0" containsDate="1" containsString="0" minDate="2020-02-23T00:00:00" maxDate="2020-03-06T00:00:00" count="12">
        <d v="2020-02-23T00:00:00"/>
        <d v="2020-02-24T00:00:00"/>
        <d v="2020-02-25T00:00:00"/>
        <d v="2020-02-26T00:00:00"/>
        <d v="2020-02-27T00:00:00"/>
        <d v="2020-02-28T00:00:00"/>
        <d v="2020-02-29T00:00:00"/>
        <d v="2020-03-01T00:00:00"/>
        <d v="2020-03-02T00:00:00"/>
        <d v="2020-03-03T00:00:00"/>
        <d v="2020-03-04T00:00:00"/>
        <d v="2020-03-05T00:00:00"/>
      </sharedItems>
    </cacheField>
    <cacheField name="开始时刻" numFmtId="0">
      <sharedItems containsSemiMixedTypes="0" containsNonDate="0" containsDate="1" containsString="0" minDate="1899-12-30T00:00:00" maxDate="1899-12-30T23:59:00" count="53">
        <d v="1899-12-30T06:00:00"/>
        <d v="1899-12-30T06:05:00"/>
        <d v="1899-12-30T07:15:00"/>
        <d v="1899-12-30T07:45:00"/>
        <d v="1899-12-30T21:00:00"/>
        <d v="1899-12-30T22:00:00"/>
        <d v="1899-12-30T22:30:00"/>
        <d v="1899-12-30T22:45:00"/>
        <d v="1899-12-30T00:00:00"/>
        <d v="1899-12-30T08:00:00"/>
        <d v="1899-12-30T09:00:00"/>
        <d v="1899-12-30T10:30:00"/>
        <d v="1899-12-30T18:30:00"/>
        <d v="1899-12-30T23:59:00"/>
        <d v="1899-12-30T08:30:00"/>
        <d v="1899-12-30T12:30:00"/>
        <d v="1899-12-30T23:30:00"/>
        <d v="1899-12-30T10:00:00"/>
        <d v="1899-12-30T11:00:00"/>
        <d v="1899-12-30T11:30:00"/>
        <d v="1899-12-30T12:00:00"/>
        <d v="1899-12-30T13:10:00"/>
        <d v="1899-12-30T14:00:00"/>
        <d v="1899-12-30T15:00:00"/>
        <d v="1899-12-30T16:00:00"/>
        <d v="1899-12-30T17:00:00"/>
        <d v="1899-12-30T18:00:00"/>
        <d v="1899-12-30T20:00:00"/>
        <d v="1899-12-30T07:04:00"/>
        <d v="1899-12-30T07:10:00"/>
        <d v="1899-12-30T08:40:00"/>
        <d v="1899-12-30T08:45:00"/>
        <d v="1899-12-30T08:50:00"/>
        <d v="1899-12-30T09:30:00"/>
        <d v="1899-12-30T13:30:00"/>
        <d v="1899-12-30T14:30:00"/>
        <d v="1899-12-30T15:40:00"/>
        <d v="1899-12-30T19:30:00"/>
        <d v="1899-12-30T22:40:00"/>
        <d v="1899-12-30T22:50:00"/>
        <d v="1899-12-30T06:10:00"/>
        <d v="1899-12-30T07:40:00"/>
        <d v="1899-12-30T13:05:00"/>
        <d v="1899-12-30T14:10:00"/>
        <d v="1899-12-30T15:15:00"/>
        <d v="1899-12-30T17:30:00"/>
        <d v="1899-12-30T19:00:00"/>
        <d v="1899-12-30T08:15:00"/>
        <d v="1899-12-30T13:00:00"/>
        <d v="1899-12-30T15:30:00"/>
        <d v="1899-12-30T08:35:00"/>
        <d v="1899-12-30T09:05:00"/>
        <d v="1899-12-30T13:35:00"/>
      </sharedItems>
    </cacheField>
    <cacheField name="结束时刻" numFmtId="0">
      <sharedItems containsSemiMixedTypes="0" containsNonDate="0" containsDate="1" containsString="0" minDate="1899-12-30T06:00:00" maxDate="1899-12-30T23:59:00" count="56">
        <d v="1899-12-30T06:00:00"/>
        <d v="1899-12-30T06:05:00"/>
        <d v="1899-12-30T07:08:00"/>
        <d v="1899-12-30T07:45:00"/>
        <d v="1899-12-30T08:00:00"/>
        <d v="1899-12-30T22:00:00"/>
        <d v="1899-12-30T22:30:00"/>
        <d v="1899-12-30T22:45:00"/>
        <d v="1899-12-30T23:00:00"/>
        <d v="1899-12-30T23:59:00"/>
        <d v="1899-12-30T09:00:00"/>
        <d v="1899-12-30T10:30:00"/>
        <d v="1899-12-30T18:30:00"/>
        <d v="1899-12-30T07:20:00"/>
        <d v="1899-12-30T12:30:00"/>
        <d v="1899-12-30T12:33:00"/>
        <d v="1899-12-30T12:45:00"/>
        <d v="1899-12-30T20:00:00"/>
        <d v="1899-12-30T22:05:00"/>
        <d v="1899-12-30T22:50:00"/>
        <d v="1899-12-30T23:50:00"/>
        <d v="1899-12-30T10:00:00"/>
        <d v="1899-12-30T11:00:00"/>
        <d v="1899-12-30T11:30:00"/>
        <d v="1899-12-30T13:10:00"/>
        <d v="1899-12-30T14:00:00"/>
        <d v="1899-12-30T15:00:00"/>
        <d v="1899-12-30T16:00:00"/>
        <d v="1899-12-30T17:00:00"/>
        <d v="1899-12-30T18:00:00"/>
        <d v="1899-12-30T19:00:00"/>
        <d v="1899-12-30T21:00:00"/>
        <d v="1899-12-30T07:04:00"/>
        <d v="1899-12-30T07:10:00"/>
        <d v="1899-12-30T08:40:00"/>
        <d v="1899-12-30T08:45:00"/>
        <d v="1899-12-30T08:50:00"/>
        <d v="1899-12-30T12:00:00"/>
        <d v="1899-12-30T13:30:00"/>
        <d v="1899-12-30T14:15:00"/>
        <d v="1899-12-30T15:45:00"/>
        <d v="1899-12-30T16:30:00"/>
        <d v="1899-12-30T18:15:00"/>
        <d v="1899-12-30T19:30:00"/>
        <d v="1899-12-30T22:40:00"/>
        <d v="1899-12-30T06:10:00"/>
        <d v="1899-12-30T07:40:00"/>
        <d v="1899-12-30T08:30:00"/>
        <d v="1899-12-30T13:00:00"/>
        <d v="1899-12-30T14:05:00"/>
        <d v="1899-12-30T15:10:00"/>
        <d v="1899-12-30T17:30:00"/>
        <d v="1899-12-30T23:30:00"/>
        <d v="1899-12-30T08:15:00"/>
        <d v="1899-12-30T15:30:00"/>
        <d v="1899-12-30T18:55:00"/>
      </sharedItems>
    </cacheField>
    <cacheField name="持续时间" numFmtId="20">
      <sharedItems containsSemiMixedTypes="0" containsNonDate="0" containsDate="1" containsString="0" minDate="1899-12-30T00:00:00" maxDate="1899-12-31T00:00:00" count="22">
        <d v="1899-12-30T00:00:00"/>
        <d v="1899-12-30T00:05:00"/>
        <d v="1899-12-30T01:03:00"/>
        <d v="1899-12-30T00:30:00"/>
        <d v="1899-12-30T00:15:00"/>
        <d v="1899-12-30T01:00:00"/>
        <d v="1899-12-30T23:59:00"/>
        <d v="1899-12-30T04:00:00"/>
        <d v="1899-12-30T00:03:00"/>
        <d v="1899-12-30T09:30:00"/>
        <d v="1899-12-30T00:20:00"/>
        <d v="1899-12-30T02:00:00"/>
        <d v="1899-12-30T00:40:00"/>
        <d v="1899-12-30T00:50:00"/>
        <d v="1899-12-30T00:06:00"/>
        <d v="1899-12-30T00:10:00"/>
        <d v="1899-12-30T01:30:00"/>
        <d v="1899-12-30T00:45:00"/>
        <d v="1899-12-30T02:20:00"/>
        <d v="1899-12-30T00:25:00"/>
        <d v="1899-12-30T01:55:00"/>
        <d v="1899-12-30T01:25:00"/>
      </sharedItems>
    </cacheField>
    <cacheField name="名称" numFmtId="0">
      <sharedItems containsBlank="1" count="88">
        <s v="早起"/>
        <s v="刷牙洗脸"/>
        <s v="阅读"/>
        <s v="做早餐"/>
        <s v="吃早餐"/>
        <s v="锻炼"/>
        <s v="洗澡"/>
        <s v="日报"/>
        <s v="明日日程安排"/>
        <s v="制作锻炼打卡Excel"/>
        <s v="明日买菜菜单"/>
        <s v="联系父母"/>
        <s v="整理菜单，看价格"/>
        <s v="买菜"/>
        <s v="倒垃圾、换垃圾袋"/>
        <s v="晾衣服、收拾衣服"/>
        <s v="将19/20年账本分出来并汇总"/>
        <s v="其他"/>
        <s v="总体日程完成度"/>
        <s v="计划中断情况的处理规则"/>
        <s v="制作早起打卡Excel"/>
        <s v="制作洗澡打卡Excel"/>
        <s v="修改《小狗钱钱》电子书目录"/>
        <s v="日报模版"/>
        <s v="Exercise.md添加延迟、可原谅中断情况的处理规则"/>
        <s v="Score.xlsx的records中把时间列改成开始时间和结束时间列"/>
        <s v="制作阅读打卡Excel"/>
        <s v="制作明日日程安排打卡Excel"/>
        <s v="汇总2019年收支"/>
        <s v="博客主页隐藏指定博文"/>
        <s v="洗衣服"/>
        <s v="添加【早餐】打卡表"/>
        <s v="深究评分，日报的日程安排问题"/>
        <s v="洗午休枕、浴巾"/>
        <s v="做午餐"/>
        <s v="吃午餐"/>
        <s v="午休"/>
        <s v="关于日程没完成，推迟情况的处理方法"/>
        <s v="评断中断事件的被迫程度"/>
        <s v="日报模板"/>
        <s v="周报模板"/>
        <s v="做晚餐"/>
        <s v="吃晚餐"/>
        <s v="今日日程评分"/>
        <s v="将【目标】类型全部改为【活动】类型"/>
        <s v="将时间段固定的周期性活动的颜色改成另一种颜色"/>
        <s v="修复Schedule.md中的情况处理"/>
        <s v="家人聊天，给爸妈买车票"/>
        <s v="认真思考森林+庄园的日程值不值得"/>
        <s v="昨日评分归档"/>
        <s v="昨日日报"/>
        <s v="清理pocket"/>
        <s v="规划谷歌日历API学习计划"/>
        <s v="学习Google Calendar API"/>
        <s v="思考人生目标"/>
        <s v="今日日程归档"/>
        <s v="思考蚂蚁森林+庄园值不值得做"/>
        <s v="学习 Google Calendar API"/>
        <s v="制定正则表达式学习计划"/>
        <s v="制定禁欲奖惩规则"/>
        <s v="制作禁欲打卡表"/>
        <s v="细化正则表达式学习计划"/>
        <s v="杜杜视频"/>
        <s v="微信聊天"/>
        <s v="今日日程评分归档"/>
        <s v="昨日日程评分"/>
        <s v="今日日程安排"/>
        <s v="昨日日程评分归档"/>
        <s v="学习正则表达式"/>
        <s v="读书笔记"/>
        <s v="看电影"/>
        <s v="Score.xlsx 完善 schedule 表"/>
        <s v="Score.xlsx 添加奖惩制度"/>
        <s v="三餐奖惩制度"/>
        <s v="看苹果手机报价"/>
        <s v="取快递"/>
        <s v="思考人生"/>
        <m u="1"/>
        <s v="制定明日计划" u="1"/>
        <s v="整体情况" u="1"/>
        <s v="明日计划" u="1"/>
        <s v="吃午饭，看韩剧" u="1"/>
        <s v="吃午饭" u="1"/>
        <s v="做午饭" u="1"/>
        <s v="吃晚饭" u="1"/>
        <s v="做晚饭" u="1"/>
        <s v="午睡" u="1"/>
        <s v="吃午餐，看韩剧" u="1"/>
      </sharedItems>
    </cacheField>
    <cacheField name="得分" numFmtId="179">
      <sharedItems containsSemiMixedTypes="0" containsString="0" containsNumber="1" minValue="-0.6" maxValue="0.9"/>
    </cacheField>
    <cacheField name="备注" numFmtId="0">
      <sharedItems containsBlank="1" containsMixedTypes="1" containsNumber="1" minValue="0.57369999999999999" maxValue="0.85880000000000001" count="33">
        <m/>
        <s v="差了一张惩罚折线图，完成度90%"/>
        <s v="列出了清单，但没能将价格信息标明白。完成度40%"/>
        <s v="爸妈主动联系我了，没能主动联系父母，得一半的分数+0.05"/>
        <s v="已连续3天，增加0.1"/>
        <s v="(90%)将Kindle上的书导入iBook"/>
        <s v="(80%)制作得分Excel"/>
        <n v="0.57369999999999999"/>
        <s v="有了大概构思，根据被迫程度扣除相应罚金"/>
        <s v="缺少图表汇总 -10%"/>
        <n v="0.85880000000000001"/>
        <s v="还不够完善，慢慢丰富"/>
        <s v="未确定中断事件的被迫程度"/>
        <s v="没按指定时间开始，扣除10%"/>
        <n v="0.66790000000000005"/>
        <s v="已经拖了两天了，扣0.1"/>
        <s v="完成度：100%，效率：70%"/>
        <s v="已连续1周，增加0.2"/>
        <s v="晚上才洗的，没洗午休枕，完成度：60%"/>
        <n v="0.81384000000000001"/>
        <s v="看韩剧"/>
        <s v="突发事件"/>
        <s v="完成度：30%"/>
        <s v="看RM"/>
        <s v="完成度20%"/>
        <s v="完成度：40%"/>
        <s v="完成度：30%，效率：50%，行动力：10%"/>
        <s v="完成度：80%"/>
        <s v="完成度：0%"/>
        <s v="突发事件：与李佳雯、李静、杜杜等聊天"/>
        <s v="完成度：10%"/>
        <s v="完成度=2400/2600=92.3%"/>
        <s v="给姐看，她要买苹果11"/>
      </sharedItems>
    </cacheField>
  </cacheFields>
  <extLst>
    <ext xmlns:x14="http://schemas.microsoft.com/office/spreadsheetml/2009/9/main" uri="{725AE2AE-9491-48be-B2B4-4EB974FC3084}">
      <x14:pivotCacheDefinition pivotCacheId="624362989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0">
  <r>
    <x v="0"/>
    <x v="0"/>
    <x v="0"/>
    <x v="0"/>
    <x v="0"/>
    <x v="0"/>
    <x v="0"/>
    <x v="0"/>
    <x v="0"/>
    <n v="-0.1"/>
    <x v="0"/>
  </r>
  <r>
    <x v="0"/>
    <x v="0"/>
    <x v="0"/>
    <x v="0"/>
    <x v="0"/>
    <x v="0"/>
    <x v="1"/>
    <x v="1"/>
    <x v="1"/>
    <n v="-0.1"/>
    <x v="0"/>
  </r>
  <r>
    <x v="0"/>
    <x v="0"/>
    <x v="0"/>
    <x v="0"/>
    <x v="0"/>
    <x v="1"/>
    <x v="2"/>
    <x v="2"/>
    <x v="2"/>
    <n v="-0.1"/>
    <x v="0"/>
  </r>
  <r>
    <x v="0"/>
    <x v="0"/>
    <x v="0"/>
    <x v="0"/>
    <x v="0"/>
    <x v="2"/>
    <x v="3"/>
    <x v="3"/>
    <x v="3"/>
    <n v="-0.1"/>
    <x v="0"/>
  </r>
  <r>
    <x v="0"/>
    <x v="0"/>
    <x v="0"/>
    <x v="0"/>
    <x v="0"/>
    <x v="3"/>
    <x v="4"/>
    <x v="4"/>
    <x v="4"/>
    <n v="-0.1"/>
    <x v="0"/>
  </r>
  <r>
    <x v="0"/>
    <x v="0"/>
    <x v="0"/>
    <x v="0"/>
    <x v="0"/>
    <x v="4"/>
    <x v="5"/>
    <x v="5"/>
    <x v="5"/>
    <n v="0.1"/>
    <x v="0"/>
  </r>
  <r>
    <x v="0"/>
    <x v="0"/>
    <x v="0"/>
    <x v="0"/>
    <x v="0"/>
    <x v="5"/>
    <x v="6"/>
    <x v="3"/>
    <x v="6"/>
    <n v="-0.1"/>
    <x v="0"/>
  </r>
  <r>
    <x v="0"/>
    <x v="0"/>
    <x v="0"/>
    <x v="0"/>
    <x v="0"/>
    <x v="6"/>
    <x v="7"/>
    <x v="4"/>
    <x v="7"/>
    <n v="0.1"/>
    <x v="0"/>
  </r>
  <r>
    <x v="0"/>
    <x v="0"/>
    <x v="0"/>
    <x v="0"/>
    <x v="0"/>
    <x v="7"/>
    <x v="8"/>
    <x v="4"/>
    <x v="8"/>
    <n v="0.08"/>
    <x v="0"/>
  </r>
  <r>
    <x v="0"/>
    <x v="0"/>
    <x v="0"/>
    <x v="1"/>
    <x v="1"/>
    <x v="8"/>
    <x v="9"/>
    <x v="6"/>
    <x v="9"/>
    <n v="0.09"/>
    <x v="1"/>
  </r>
  <r>
    <x v="0"/>
    <x v="0"/>
    <x v="0"/>
    <x v="1"/>
    <x v="1"/>
    <x v="8"/>
    <x v="9"/>
    <x v="6"/>
    <x v="10"/>
    <n v="0.04"/>
    <x v="2"/>
  </r>
  <r>
    <x v="0"/>
    <x v="0"/>
    <x v="0"/>
    <x v="1"/>
    <x v="1"/>
    <x v="8"/>
    <x v="9"/>
    <x v="6"/>
    <x v="11"/>
    <n v="0.05"/>
    <x v="3"/>
  </r>
  <r>
    <x v="0"/>
    <x v="0"/>
    <x v="0"/>
    <x v="1"/>
    <x v="1"/>
    <x v="0"/>
    <x v="0"/>
    <x v="0"/>
    <x v="0"/>
    <n v="-0.2"/>
    <x v="0"/>
  </r>
  <r>
    <x v="0"/>
    <x v="0"/>
    <x v="0"/>
    <x v="1"/>
    <x v="1"/>
    <x v="0"/>
    <x v="1"/>
    <x v="1"/>
    <x v="1"/>
    <n v="-0.1"/>
    <x v="0"/>
  </r>
  <r>
    <x v="0"/>
    <x v="0"/>
    <x v="0"/>
    <x v="1"/>
    <x v="1"/>
    <x v="1"/>
    <x v="2"/>
    <x v="2"/>
    <x v="2"/>
    <n v="-0.2"/>
    <x v="0"/>
  </r>
  <r>
    <x v="0"/>
    <x v="0"/>
    <x v="0"/>
    <x v="1"/>
    <x v="1"/>
    <x v="2"/>
    <x v="3"/>
    <x v="3"/>
    <x v="3"/>
    <n v="-0.2"/>
    <x v="0"/>
  </r>
  <r>
    <x v="0"/>
    <x v="0"/>
    <x v="0"/>
    <x v="1"/>
    <x v="1"/>
    <x v="3"/>
    <x v="4"/>
    <x v="4"/>
    <x v="4"/>
    <n v="-0.2"/>
    <x v="0"/>
  </r>
  <r>
    <x v="0"/>
    <x v="0"/>
    <x v="0"/>
    <x v="1"/>
    <x v="1"/>
    <x v="4"/>
    <x v="5"/>
    <x v="5"/>
    <x v="5"/>
    <n v="0.1"/>
    <x v="0"/>
  </r>
  <r>
    <x v="0"/>
    <x v="0"/>
    <x v="0"/>
    <x v="1"/>
    <x v="1"/>
    <x v="5"/>
    <x v="6"/>
    <x v="3"/>
    <x v="6"/>
    <n v="-0.2"/>
    <x v="0"/>
  </r>
  <r>
    <x v="0"/>
    <x v="0"/>
    <x v="0"/>
    <x v="1"/>
    <x v="1"/>
    <x v="6"/>
    <x v="7"/>
    <x v="4"/>
    <x v="7"/>
    <n v="0.1"/>
    <x v="0"/>
  </r>
  <r>
    <x v="0"/>
    <x v="0"/>
    <x v="0"/>
    <x v="1"/>
    <x v="1"/>
    <x v="7"/>
    <x v="8"/>
    <x v="4"/>
    <x v="8"/>
    <n v="0.1"/>
    <x v="0"/>
  </r>
  <r>
    <x v="0"/>
    <x v="0"/>
    <x v="0"/>
    <x v="1"/>
    <x v="2"/>
    <x v="0"/>
    <x v="0"/>
    <x v="0"/>
    <x v="0"/>
    <n v="0.1"/>
    <x v="0"/>
  </r>
  <r>
    <x v="0"/>
    <x v="0"/>
    <x v="0"/>
    <x v="1"/>
    <x v="2"/>
    <x v="0"/>
    <x v="1"/>
    <x v="1"/>
    <x v="1"/>
    <n v="0.1"/>
    <x v="0"/>
  </r>
  <r>
    <x v="0"/>
    <x v="0"/>
    <x v="0"/>
    <x v="1"/>
    <x v="2"/>
    <x v="1"/>
    <x v="2"/>
    <x v="2"/>
    <x v="2"/>
    <n v="0.1"/>
    <x v="0"/>
  </r>
  <r>
    <x v="0"/>
    <x v="0"/>
    <x v="0"/>
    <x v="1"/>
    <x v="2"/>
    <x v="2"/>
    <x v="3"/>
    <x v="3"/>
    <x v="3"/>
    <n v="0.1"/>
    <x v="0"/>
  </r>
  <r>
    <x v="0"/>
    <x v="0"/>
    <x v="0"/>
    <x v="1"/>
    <x v="2"/>
    <x v="3"/>
    <x v="4"/>
    <x v="4"/>
    <x v="4"/>
    <n v="0.1"/>
    <x v="0"/>
  </r>
  <r>
    <x v="0"/>
    <x v="0"/>
    <x v="0"/>
    <x v="1"/>
    <x v="2"/>
    <x v="9"/>
    <x v="4"/>
    <x v="0"/>
    <x v="12"/>
    <n v="0.1"/>
    <x v="0"/>
  </r>
  <r>
    <x v="0"/>
    <x v="0"/>
    <x v="0"/>
    <x v="1"/>
    <x v="2"/>
    <x v="10"/>
    <x v="10"/>
    <x v="0"/>
    <x v="13"/>
    <n v="0.1"/>
    <x v="0"/>
  </r>
  <r>
    <x v="0"/>
    <x v="0"/>
    <x v="0"/>
    <x v="1"/>
    <x v="2"/>
    <x v="10"/>
    <x v="10"/>
    <x v="0"/>
    <x v="14"/>
    <n v="0.1"/>
    <x v="0"/>
  </r>
  <r>
    <x v="0"/>
    <x v="0"/>
    <x v="0"/>
    <x v="1"/>
    <x v="2"/>
    <x v="11"/>
    <x v="11"/>
    <x v="0"/>
    <x v="15"/>
    <n v="0.1"/>
    <x v="0"/>
  </r>
  <r>
    <x v="0"/>
    <x v="0"/>
    <x v="0"/>
    <x v="1"/>
    <x v="2"/>
    <x v="12"/>
    <x v="12"/>
    <x v="0"/>
    <x v="16"/>
    <n v="0.1"/>
    <x v="0"/>
  </r>
  <r>
    <x v="0"/>
    <x v="0"/>
    <x v="0"/>
    <x v="1"/>
    <x v="2"/>
    <x v="4"/>
    <x v="5"/>
    <x v="5"/>
    <x v="5"/>
    <n v="0.2"/>
    <x v="4"/>
  </r>
  <r>
    <x v="0"/>
    <x v="0"/>
    <x v="0"/>
    <x v="1"/>
    <x v="2"/>
    <x v="5"/>
    <x v="6"/>
    <x v="3"/>
    <x v="6"/>
    <n v="0.1"/>
    <x v="0"/>
  </r>
  <r>
    <x v="0"/>
    <x v="0"/>
    <x v="0"/>
    <x v="1"/>
    <x v="2"/>
    <x v="6"/>
    <x v="7"/>
    <x v="4"/>
    <x v="8"/>
    <n v="0.2"/>
    <x v="4"/>
  </r>
  <r>
    <x v="0"/>
    <x v="0"/>
    <x v="0"/>
    <x v="1"/>
    <x v="2"/>
    <x v="7"/>
    <x v="8"/>
    <x v="4"/>
    <x v="7"/>
    <n v="0.2"/>
    <x v="4"/>
  </r>
  <r>
    <x v="0"/>
    <x v="0"/>
    <x v="0"/>
    <x v="1"/>
    <x v="3"/>
    <x v="8"/>
    <x v="9"/>
    <x v="6"/>
    <x v="17"/>
    <n v="0.9"/>
    <x v="5"/>
  </r>
  <r>
    <x v="0"/>
    <x v="0"/>
    <x v="0"/>
    <x v="1"/>
    <x v="3"/>
    <x v="0"/>
    <x v="0"/>
    <x v="0"/>
    <x v="0"/>
    <n v="0.1"/>
    <x v="0"/>
  </r>
  <r>
    <x v="0"/>
    <x v="0"/>
    <x v="0"/>
    <x v="1"/>
    <x v="3"/>
    <x v="0"/>
    <x v="1"/>
    <x v="1"/>
    <x v="1"/>
    <n v="0.1"/>
    <x v="0"/>
  </r>
  <r>
    <x v="0"/>
    <x v="0"/>
    <x v="0"/>
    <x v="1"/>
    <x v="3"/>
    <x v="1"/>
    <x v="2"/>
    <x v="2"/>
    <x v="2"/>
    <n v="0.1"/>
    <x v="0"/>
  </r>
  <r>
    <x v="0"/>
    <x v="0"/>
    <x v="0"/>
    <x v="1"/>
    <x v="3"/>
    <x v="2"/>
    <x v="3"/>
    <x v="3"/>
    <x v="3"/>
    <n v="0.1"/>
    <x v="0"/>
  </r>
  <r>
    <x v="0"/>
    <x v="0"/>
    <x v="0"/>
    <x v="1"/>
    <x v="3"/>
    <x v="3"/>
    <x v="4"/>
    <x v="4"/>
    <x v="4"/>
    <n v="0.1"/>
    <x v="0"/>
  </r>
  <r>
    <x v="0"/>
    <x v="0"/>
    <x v="0"/>
    <x v="1"/>
    <x v="3"/>
    <x v="9"/>
    <x v="4"/>
    <x v="0"/>
    <x v="17"/>
    <n v="0.8"/>
    <x v="6"/>
  </r>
  <r>
    <x v="0"/>
    <x v="0"/>
    <x v="0"/>
    <x v="1"/>
    <x v="3"/>
    <x v="4"/>
    <x v="5"/>
    <x v="5"/>
    <x v="5"/>
    <n v="0.2"/>
    <x v="0"/>
  </r>
  <r>
    <x v="0"/>
    <x v="0"/>
    <x v="0"/>
    <x v="1"/>
    <x v="3"/>
    <x v="5"/>
    <x v="6"/>
    <x v="3"/>
    <x v="6"/>
    <n v="0.1"/>
    <x v="0"/>
  </r>
  <r>
    <x v="0"/>
    <x v="0"/>
    <x v="0"/>
    <x v="1"/>
    <x v="3"/>
    <x v="6"/>
    <x v="7"/>
    <x v="4"/>
    <x v="8"/>
    <n v="0.2"/>
    <x v="0"/>
  </r>
  <r>
    <x v="0"/>
    <x v="0"/>
    <x v="0"/>
    <x v="1"/>
    <x v="3"/>
    <x v="7"/>
    <x v="8"/>
    <x v="4"/>
    <x v="7"/>
    <n v="0.2"/>
    <x v="0"/>
  </r>
  <r>
    <x v="0"/>
    <x v="0"/>
    <x v="0"/>
    <x v="1"/>
    <x v="4"/>
    <x v="8"/>
    <x v="9"/>
    <x v="6"/>
    <x v="18"/>
    <n v="-0.43"/>
    <x v="7"/>
  </r>
  <r>
    <x v="0"/>
    <x v="0"/>
    <x v="0"/>
    <x v="1"/>
    <x v="4"/>
    <x v="8"/>
    <x v="9"/>
    <x v="6"/>
    <x v="19"/>
    <n v="0.01"/>
    <x v="8"/>
  </r>
  <r>
    <x v="0"/>
    <x v="0"/>
    <x v="0"/>
    <x v="1"/>
    <x v="4"/>
    <x v="0"/>
    <x v="0"/>
    <x v="0"/>
    <x v="0"/>
    <n v="0.2"/>
    <x v="4"/>
  </r>
  <r>
    <x v="0"/>
    <x v="0"/>
    <x v="0"/>
    <x v="1"/>
    <x v="4"/>
    <x v="0"/>
    <x v="1"/>
    <x v="1"/>
    <x v="1"/>
    <n v="0.2"/>
    <x v="4"/>
  </r>
  <r>
    <x v="0"/>
    <x v="0"/>
    <x v="0"/>
    <x v="1"/>
    <x v="4"/>
    <x v="1"/>
    <x v="2"/>
    <x v="2"/>
    <x v="2"/>
    <n v="0.2"/>
    <x v="4"/>
  </r>
  <r>
    <x v="0"/>
    <x v="0"/>
    <x v="0"/>
    <x v="1"/>
    <x v="4"/>
    <x v="2"/>
    <x v="3"/>
    <x v="3"/>
    <x v="3"/>
    <n v="0.2"/>
    <x v="4"/>
  </r>
  <r>
    <x v="0"/>
    <x v="0"/>
    <x v="0"/>
    <x v="1"/>
    <x v="4"/>
    <x v="3"/>
    <x v="4"/>
    <x v="4"/>
    <x v="4"/>
    <n v="0.2"/>
    <x v="4"/>
  </r>
  <r>
    <x v="0"/>
    <x v="0"/>
    <x v="0"/>
    <x v="1"/>
    <x v="4"/>
    <x v="4"/>
    <x v="5"/>
    <x v="5"/>
    <x v="5"/>
    <n v="0.2"/>
    <x v="0"/>
  </r>
  <r>
    <x v="0"/>
    <x v="0"/>
    <x v="0"/>
    <x v="1"/>
    <x v="4"/>
    <x v="5"/>
    <x v="6"/>
    <x v="3"/>
    <x v="6"/>
    <n v="0.2"/>
    <x v="4"/>
  </r>
  <r>
    <x v="0"/>
    <x v="0"/>
    <x v="0"/>
    <x v="1"/>
    <x v="4"/>
    <x v="6"/>
    <x v="7"/>
    <x v="4"/>
    <x v="8"/>
    <n v="0.2"/>
    <x v="0"/>
  </r>
  <r>
    <x v="0"/>
    <x v="0"/>
    <x v="0"/>
    <x v="1"/>
    <x v="4"/>
    <x v="7"/>
    <x v="8"/>
    <x v="4"/>
    <x v="7"/>
    <n v="0.2"/>
    <x v="0"/>
  </r>
  <r>
    <x v="0"/>
    <x v="0"/>
    <x v="0"/>
    <x v="1"/>
    <x v="4"/>
    <x v="13"/>
    <x v="9"/>
    <x v="0"/>
    <x v="20"/>
    <n v="0.09"/>
    <x v="9"/>
  </r>
  <r>
    <x v="0"/>
    <x v="0"/>
    <x v="0"/>
    <x v="1"/>
    <x v="4"/>
    <x v="13"/>
    <x v="9"/>
    <x v="0"/>
    <x v="21"/>
    <n v="0.09"/>
    <x v="9"/>
  </r>
  <r>
    <x v="0"/>
    <x v="0"/>
    <x v="0"/>
    <x v="1"/>
    <x v="5"/>
    <x v="8"/>
    <x v="9"/>
    <x v="6"/>
    <x v="18"/>
    <n v="-0.14000000000000001"/>
    <x v="10"/>
  </r>
  <r>
    <x v="0"/>
    <x v="0"/>
    <x v="0"/>
    <x v="1"/>
    <x v="5"/>
    <x v="8"/>
    <x v="9"/>
    <x v="6"/>
    <x v="22"/>
    <n v="0.1"/>
    <x v="0"/>
  </r>
  <r>
    <x v="0"/>
    <x v="0"/>
    <x v="0"/>
    <x v="1"/>
    <x v="5"/>
    <x v="8"/>
    <x v="9"/>
    <x v="6"/>
    <x v="23"/>
    <n v="0.4"/>
    <x v="11"/>
  </r>
  <r>
    <x v="0"/>
    <x v="0"/>
    <x v="0"/>
    <x v="1"/>
    <x v="5"/>
    <x v="8"/>
    <x v="9"/>
    <x v="6"/>
    <x v="19"/>
    <n v="0.6"/>
    <x v="0"/>
  </r>
  <r>
    <x v="0"/>
    <x v="0"/>
    <x v="0"/>
    <x v="1"/>
    <x v="5"/>
    <x v="8"/>
    <x v="9"/>
    <x v="6"/>
    <x v="24"/>
    <n v="0.6"/>
    <x v="12"/>
  </r>
  <r>
    <x v="0"/>
    <x v="0"/>
    <x v="0"/>
    <x v="1"/>
    <x v="5"/>
    <x v="0"/>
    <x v="0"/>
    <x v="0"/>
    <x v="0"/>
    <n v="0.2"/>
    <x v="0"/>
  </r>
  <r>
    <x v="0"/>
    <x v="0"/>
    <x v="0"/>
    <x v="1"/>
    <x v="5"/>
    <x v="1"/>
    <x v="2"/>
    <x v="2"/>
    <x v="2"/>
    <n v="0.2"/>
    <x v="0"/>
  </r>
  <r>
    <x v="0"/>
    <x v="0"/>
    <x v="0"/>
    <x v="1"/>
    <x v="5"/>
    <x v="2"/>
    <x v="13"/>
    <x v="1"/>
    <x v="1"/>
    <n v="0.18"/>
    <x v="13"/>
  </r>
  <r>
    <x v="0"/>
    <x v="0"/>
    <x v="0"/>
    <x v="1"/>
    <x v="5"/>
    <x v="2"/>
    <x v="3"/>
    <x v="3"/>
    <x v="3"/>
    <n v="0.2"/>
    <x v="0"/>
  </r>
  <r>
    <x v="0"/>
    <x v="0"/>
    <x v="0"/>
    <x v="1"/>
    <x v="5"/>
    <x v="3"/>
    <x v="4"/>
    <x v="4"/>
    <x v="4"/>
    <n v="0.2"/>
    <x v="0"/>
  </r>
  <r>
    <x v="0"/>
    <x v="0"/>
    <x v="0"/>
    <x v="1"/>
    <x v="5"/>
    <x v="14"/>
    <x v="14"/>
    <x v="7"/>
    <x v="25"/>
    <n v="0.1"/>
    <x v="0"/>
  </r>
  <r>
    <x v="0"/>
    <x v="0"/>
    <x v="0"/>
    <x v="1"/>
    <x v="5"/>
    <x v="15"/>
    <x v="15"/>
    <x v="8"/>
    <x v="26"/>
    <n v="0.1"/>
    <x v="0"/>
  </r>
  <r>
    <x v="0"/>
    <x v="0"/>
    <x v="0"/>
    <x v="1"/>
    <x v="5"/>
    <x v="15"/>
    <x v="16"/>
    <x v="4"/>
    <x v="27"/>
    <n v="0.1"/>
    <x v="0"/>
  </r>
  <r>
    <x v="0"/>
    <x v="0"/>
    <x v="0"/>
    <x v="1"/>
    <x v="5"/>
    <x v="4"/>
    <x v="5"/>
    <x v="5"/>
    <x v="5"/>
    <n v="0.3"/>
    <x v="4"/>
  </r>
  <r>
    <x v="0"/>
    <x v="0"/>
    <x v="0"/>
    <x v="1"/>
    <x v="5"/>
    <x v="5"/>
    <x v="6"/>
    <x v="3"/>
    <x v="6"/>
    <n v="0.2"/>
    <x v="0"/>
  </r>
  <r>
    <x v="0"/>
    <x v="0"/>
    <x v="0"/>
    <x v="1"/>
    <x v="5"/>
    <x v="6"/>
    <x v="7"/>
    <x v="4"/>
    <x v="8"/>
    <n v="0.3"/>
    <x v="4"/>
  </r>
  <r>
    <x v="0"/>
    <x v="0"/>
    <x v="0"/>
    <x v="1"/>
    <x v="5"/>
    <x v="7"/>
    <x v="8"/>
    <x v="4"/>
    <x v="7"/>
    <n v="0.3"/>
    <x v="4"/>
  </r>
  <r>
    <x v="0"/>
    <x v="0"/>
    <x v="0"/>
    <x v="1"/>
    <x v="6"/>
    <x v="8"/>
    <x v="9"/>
    <x v="6"/>
    <x v="18"/>
    <n v="0.33"/>
    <x v="14"/>
  </r>
  <r>
    <x v="0"/>
    <x v="0"/>
    <x v="0"/>
    <x v="1"/>
    <x v="6"/>
    <x v="8"/>
    <x v="9"/>
    <x v="6"/>
    <x v="28"/>
    <n v="-0.1"/>
    <x v="15"/>
  </r>
  <r>
    <x v="0"/>
    <x v="0"/>
    <x v="0"/>
    <x v="1"/>
    <x v="6"/>
    <x v="0"/>
    <x v="0"/>
    <x v="0"/>
    <x v="0"/>
    <n v="0.2"/>
    <x v="0"/>
  </r>
  <r>
    <x v="0"/>
    <x v="0"/>
    <x v="0"/>
    <x v="1"/>
    <x v="6"/>
    <x v="1"/>
    <x v="2"/>
    <x v="2"/>
    <x v="2"/>
    <n v="0.2"/>
    <x v="0"/>
  </r>
  <r>
    <x v="0"/>
    <x v="0"/>
    <x v="0"/>
    <x v="1"/>
    <x v="6"/>
    <x v="2"/>
    <x v="13"/>
    <x v="1"/>
    <x v="1"/>
    <n v="0.2"/>
    <x v="0"/>
  </r>
  <r>
    <x v="0"/>
    <x v="0"/>
    <x v="0"/>
    <x v="1"/>
    <x v="6"/>
    <x v="2"/>
    <x v="3"/>
    <x v="3"/>
    <x v="3"/>
    <n v="0.2"/>
    <x v="0"/>
  </r>
  <r>
    <x v="0"/>
    <x v="0"/>
    <x v="0"/>
    <x v="1"/>
    <x v="6"/>
    <x v="3"/>
    <x v="4"/>
    <x v="4"/>
    <x v="4"/>
    <n v="0.2"/>
    <x v="0"/>
  </r>
  <r>
    <x v="0"/>
    <x v="0"/>
    <x v="0"/>
    <x v="1"/>
    <x v="6"/>
    <x v="11"/>
    <x v="17"/>
    <x v="9"/>
    <x v="29"/>
    <n v="0.75"/>
    <x v="16"/>
  </r>
  <r>
    <x v="0"/>
    <x v="0"/>
    <x v="0"/>
    <x v="1"/>
    <x v="6"/>
    <x v="4"/>
    <x v="5"/>
    <x v="5"/>
    <x v="5"/>
    <n v="0.5"/>
    <x v="17"/>
  </r>
  <r>
    <x v="0"/>
    <x v="0"/>
    <x v="0"/>
    <x v="1"/>
    <x v="6"/>
    <x v="5"/>
    <x v="18"/>
    <x v="1"/>
    <x v="30"/>
    <n v="0.6"/>
    <x v="18"/>
  </r>
  <r>
    <x v="0"/>
    <x v="0"/>
    <x v="0"/>
    <x v="1"/>
    <x v="6"/>
    <x v="5"/>
    <x v="6"/>
    <x v="3"/>
    <x v="6"/>
    <n v="0.2"/>
    <x v="0"/>
  </r>
  <r>
    <x v="0"/>
    <x v="0"/>
    <x v="0"/>
    <x v="1"/>
    <x v="6"/>
    <x v="6"/>
    <x v="7"/>
    <x v="4"/>
    <x v="8"/>
    <n v="0.5"/>
    <x v="17"/>
  </r>
  <r>
    <x v="0"/>
    <x v="0"/>
    <x v="0"/>
    <x v="1"/>
    <x v="6"/>
    <x v="7"/>
    <x v="19"/>
    <x v="1"/>
    <x v="31"/>
    <n v="0.1"/>
    <x v="0"/>
  </r>
  <r>
    <x v="0"/>
    <x v="0"/>
    <x v="0"/>
    <x v="1"/>
    <x v="6"/>
    <x v="16"/>
    <x v="20"/>
    <x v="10"/>
    <x v="7"/>
    <n v="0.3"/>
    <x v="0"/>
  </r>
  <r>
    <x v="0"/>
    <x v="1"/>
    <x v="1"/>
    <x v="1"/>
    <x v="7"/>
    <x v="8"/>
    <x v="9"/>
    <x v="6"/>
    <x v="18"/>
    <n v="8.1000000000000003E-2"/>
    <x v="19"/>
  </r>
  <r>
    <x v="0"/>
    <x v="1"/>
    <x v="1"/>
    <x v="1"/>
    <x v="7"/>
    <x v="0"/>
    <x v="0"/>
    <x v="0"/>
    <x v="0"/>
    <n v="0.3"/>
    <x v="4"/>
  </r>
  <r>
    <x v="0"/>
    <x v="1"/>
    <x v="1"/>
    <x v="1"/>
    <x v="7"/>
    <x v="1"/>
    <x v="2"/>
    <x v="2"/>
    <x v="2"/>
    <n v="0.3"/>
    <x v="4"/>
  </r>
  <r>
    <x v="0"/>
    <x v="1"/>
    <x v="1"/>
    <x v="1"/>
    <x v="7"/>
    <x v="2"/>
    <x v="13"/>
    <x v="1"/>
    <x v="1"/>
    <n v="0.3"/>
    <x v="4"/>
  </r>
  <r>
    <x v="0"/>
    <x v="1"/>
    <x v="1"/>
    <x v="1"/>
    <x v="7"/>
    <x v="2"/>
    <x v="3"/>
    <x v="3"/>
    <x v="3"/>
    <n v="0.3"/>
    <x v="4"/>
  </r>
  <r>
    <x v="0"/>
    <x v="1"/>
    <x v="1"/>
    <x v="1"/>
    <x v="7"/>
    <x v="3"/>
    <x v="4"/>
    <x v="4"/>
    <x v="4"/>
    <n v="0.3"/>
    <x v="4"/>
  </r>
  <r>
    <x v="0"/>
    <x v="1"/>
    <x v="1"/>
    <x v="1"/>
    <x v="7"/>
    <x v="9"/>
    <x v="21"/>
    <x v="11"/>
    <x v="32"/>
    <n v="6.4000000000000001E-2"/>
    <x v="0"/>
  </r>
  <r>
    <x v="0"/>
    <x v="1"/>
    <x v="1"/>
    <x v="1"/>
    <x v="7"/>
    <x v="17"/>
    <x v="22"/>
    <x v="5"/>
    <x v="28"/>
    <n v="4.2999999999999997E-2"/>
    <x v="0"/>
  </r>
  <r>
    <x v="0"/>
    <x v="1"/>
    <x v="1"/>
    <x v="1"/>
    <x v="7"/>
    <x v="18"/>
    <x v="23"/>
    <x v="3"/>
    <x v="33"/>
    <n v="0.1"/>
    <x v="0"/>
  </r>
  <r>
    <x v="0"/>
    <x v="1"/>
    <x v="1"/>
    <x v="1"/>
    <x v="7"/>
    <x v="19"/>
    <x v="14"/>
    <x v="5"/>
    <x v="34"/>
    <n v="0.1"/>
    <x v="0"/>
  </r>
  <r>
    <x v="0"/>
    <x v="1"/>
    <x v="1"/>
    <x v="1"/>
    <x v="7"/>
    <x v="20"/>
    <x v="14"/>
    <x v="3"/>
    <x v="35"/>
    <n v="0.3"/>
    <x v="0"/>
  </r>
  <r>
    <x v="0"/>
    <x v="1"/>
    <x v="1"/>
    <x v="1"/>
    <x v="7"/>
    <x v="15"/>
    <x v="24"/>
    <x v="12"/>
    <x v="35"/>
    <n v="0.1"/>
    <x v="20"/>
  </r>
  <r>
    <x v="0"/>
    <x v="1"/>
    <x v="1"/>
    <x v="1"/>
    <x v="7"/>
    <x v="21"/>
    <x v="25"/>
    <x v="13"/>
    <x v="36"/>
    <n v="0.1"/>
    <x v="0"/>
  </r>
  <r>
    <x v="0"/>
    <x v="1"/>
    <x v="1"/>
    <x v="1"/>
    <x v="7"/>
    <x v="22"/>
    <x v="26"/>
    <x v="5"/>
    <x v="37"/>
    <n v="0.1"/>
    <x v="0"/>
  </r>
  <r>
    <x v="0"/>
    <x v="1"/>
    <x v="1"/>
    <x v="1"/>
    <x v="7"/>
    <x v="23"/>
    <x v="27"/>
    <x v="5"/>
    <x v="38"/>
    <n v="0.1"/>
    <x v="0"/>
  </r>
  <r>
    <x v="0"/>
    <x v="1"/>
    <x v="1"/>
    <x v="1"/>
    <x v="7"/>
    <x v="24"/>
    <x v="28"/>
    <x v="5"/>
    <x v="39"/>
    <n v="0.1"/>
    <x v="0"/>
  </r>
  <r>
    <x v="0"/>
    <x v="1"/>
    <x v="1"/>
    <x v="1"/>
    <x v="7"/>
    <x v="25"/>
    <x v="29"/>
    <x v="5"/>
    <x v="40"/>
    <n v="0.1"/>
    <x v="0"/>
  </r>
  <r>
    <x v="0"/>
    <x v="1"/>
    <x v="1"/>
    <x v="1"/>
    <x v="7"/>
    <x v="26"/>
    <x v="12"/>
    <x v="3"/>
    <x v="41"/>
    <n v="0.1"/>
    <x v="0"/>
  </r>
  <r>
    <x v="0"/>
    <x v="1"/>
    <x v="1"/>
    <x v="1"/>
    <x v="7"/>
    <x v="12"/>
    <x v="30"/>
    <x v="3"/>
    <x v="42"/>
    <n v="0.1"/>
    <x v="0"/>
  </r>
  <r>
    <x v="0"/>
    <x v="1"/>
    <x v="1"/>
    <x v="1"/>
    <x v="7"/>
    <x v="27"/>
    <x v="31"/>
    <x v="5"/>
    <x v="2"/>
    <n v="0.1"/>
    <x v="0"/>
  </r>
  <r>
    <x v="0"/>
    <x v="1"/>
    <x v="1"/>
    <x v="1"/>
    <x v="7"/>
    <x v="4"/>
    <x v="5"/>
    <x v="5"/>
    <x v="5"/>
    <n v="0.5"/>
    <x v="0"/>
  </r>
  <r>
    <x v="0"/>
    <x v="1"/>
    <x v="1"/>
    <x v="1"/>
    <x v="7"/>
    <x v="5"/>
    <x v="6"/>
    <x v="3"/>
    <x v="6"/>
    <n v="0.3"/>
    <x v="4"/>
  </r>
  <r>
    <x v="0"/>
    <x v="1"/>
    <x v="1"/>
    <x v="1"/>
    <x v="7"/>
    <x v="6"/>
    <x v="7"/>
    <x v="4"/>
    <x v="8"/>
    <n v="0.5"/>
    <x v="0"/>
  </r>
  <r>
    <x v="0"/>
    <x v="1"/>
    <x v="1"/>
    <x v="1"/>
    <x v="7"/>
    <x v="7"/>
    <x v="8"/>
    <x v="4"/>
    <x v="43"/>
    <n v="0.1"/>
    <x v="0"/>
  </r>
  <r>
    <x v="0"/>
    <x v="1"/>
    <x v="1"/>
    <x v="1"/>
    <x v="7"/>
    <x v="16"/>
    <x v="20"/>
    <x v="10"/>
    <x v="7"/>
    <n v="0"/>
    <x v="0"/>
  </r>
  <r>
    <x v="0"/>
    <x v="1"/>
    <x v="1"/>
    <x v="2"/>
    <x v="8"/>
    <x v="28"/>
    <x v="32"/>
    <x v="0"/>
    <x v="0"/>
    <n v="0.5"/>
    <x v="17"/>
  </r>
  <r>
    <x v="0"/>
    <x v="1"/>
    <x v="1"/>
    <x v="2"/>
    <x v="8"/>
    <x v="28"/>
    <x v="33"/>
    <x v="14"/>
    <x v="1"/>
    <n v="0.5"/>
    <x v="17"/>
  </r>
  <r>
    <x v="0"/>
    <x v="1"/>
    <x v="1"/>
    <x v="2"/>
    <x v="8"/>
    <x v="29"/>
    <x v="4"/>
    <x v="13"/>
    <x v="2"/>
    <n v="0.5"/>
    <x v="17"/>
  </r>
  <r>
    <x v="0"/>
    <x v="1"/>
    <x v="1"/>
    <x v="2"/>
    <x v="8"/>
    <x v="9"/>
    <x v="34"/>
    <x v="12"/>
    <x v="3"/>
    <n v="0.5"/>
    <x v="17"/>
  </r>
  <r>
    <x v="0"/>
    <x v="1"/>
    <x v="1"/>
    <x v="2"/>
    <x v="8"/>
    <x v="30"/>
    <x v="35"/>
    <x v="1"/>
    <x v="44"/>
    <n v="0.1"/>
    <x v="0"/>
  </r>
  <r>
    <x v="0"/>
    <x v="1"/>
    <x v="1"/>
    <x v="2"/>
    <x v="8"/>
    <x v="30"/>
    <x v="10"/>
    <x v="10"/>
    <x v="4"/>
    <n v="0.5"/>
    <x v="17"/>
  </r>
  <r>
    <x v="0"/>
    <x v="1"/>
    <x v="1"/>
    <x v="2"/>
    <x v="8"/>
    <x v="31"/>
    <x v="36"/>
    <x v="1"/>
    <x v="45"/>
    <n v="0.1"/>
    <x v="0"/>
  </r>
  <r>
    <x v="0"/>
    <x v="1"/>
    <x v="1"/>
    <x v="2"/>
    <x v="8"/>
    <x v="32"/>
    <x v="10"/>
    <x v="15"/>
    <x v="46"/>
    <n v="0.1"/>
    <x v="0"/>
  </r>
  <r>
    <x v="0"/>
    <x v="1"/>
    <x v="1"/>
    <x v="2"/>
    <x v="8"/>
    <x v="33"/>
    <x v="21"/>
    <x v="3"/>
    <x v="47"/>
    <n v="0"/>
    <x v="21"/>
  </r>
  <r>
    <x v="0"/>
    <x v="1"/>
    <x v="1"/>
    <x v="2"/>
    <x v="8"/>
    <x v="11"/>
    <x v="22"/>
    <x v="3"/>
    <x v="48"/>
    <n v="0.03"/>
    <x v="22"/>
  </r>
  <r>
    <x v="0"/>
    <x v="1"/>
    <x v="1"/>
    <x v="2"/>
    <x v="8"/>
    <x v="18"/>
    <x v="23"/>
    <x v="3"/>
    <x v="49"/>
    <n v="0.1"/>
    <x v="0"/>
  </r>
  <r>
    <x v="0"/>
    <x v="1"/>
    <x v="1"/>
    <x v="2"/>
    <x v="8"/>
    <x v="19"/>
    <x v="37"/>
    <x v="3"/>
    <x v="34"/>
    <n v="0.1"/>
    <x v="0"/>
  </r>
  <r>
    <x v="0"/>
    <x v="1"/>
    <x v="1"/>
    <x v="2"/>
    <x v="8"/>
    <x v="20"/>
    <x v="38"/>
    <x v="16"/>
    <x v="35"/>
    <n v="0.1"/>
    <x v="23"/>
  </r>
  <r>
    <x v="0"/>
    <x v="1"/>
    <x v="1"/>
    <x v="2"/>
    <x v="8"/>
    <x v="34"/>
    <x v="39"/>
    <x v="17"/>
    <x v="36"/>
    <n v="0.1"/>
    <x v="0"/>
  </r>
  <r>
    <x v="0"/>
    <x v="1"/>
    <x v="1"/>
    <x v="2"/>
    <x v="8"/>
    <x v="35"/>
    <x v="26"/>
    <x v="3"/>
    <x v="50"/>
    <n v="0.1"/>
    <x v="0"/>
  </r>
  <r>
    <x v="0"/>
    <x v="1"/>
    <x v="1"/>
    <x v="2"/>
    <x v="8"/>
    <x v="23"/>
    <x v="40"/>
    <x v="17"/>
    <x v="51"/>
    <n v="0.02"/>
    <x v="24"/>
  </r>
  <r>
    <x v="0"/>
    <x v="1"/>
    <x v="1"/>
    <x v="2"/>
    <x v="8"/>
    <x v="36"/>
    <x v="41"/>
    <x v="13"/>
    <x v="52"/>
    <n v="0.04"/>
    <x v="25"/>
  </r>
  <r>
    <x v="0"/>
    <x v="1"/>
    <x v="1"/>
    <x v="2"/>
    <x v="8"/>
    <x v="25"/>
    <x v="29"/>
    <x v="5"/>
    <x v="41"/>
    <n v="0.1"/>
    <x v="0"/>
  </r>
  <r>
    <x v="0"/>
    <x v="1"/>
    <x v="1"/>
    <x v="2"/>
    <x v="8"/>
    <x v="26"/>
    <x v="42"/>
    <x v="4"/>
    <x v="42"/>
    <n v="0.1"/>
    <x v="0"/>
  </r>
  <r>
    <x v="0"/>
    <x v="1"/>
    <x v="1"/>
    <x v="2"/>
    <x v="8"/>
    <x v="12"/>
    <x v="43"/>
    <x v="5"/>
    <x v="53"/>
    <n v="1.4999999999999999E-2"/>
    <x v="26"/>
  </r>
  <r>
    <x v="0"/>
    <x v="1"/>
    <x v="1"/>
    <x v="2"/>
    <x v="8"/>
    <x v="37"/>
    <x v="17"/>
    <x v="3"/>
    <x v="54"/>
    <n v="0.1"/>
    <x v="0"/>
  </r>
  <r>
    <x v="0"/>
    <x v="1"/>
    <x v="1"/>
    <x v="2"/>
    <x v="8"/>
    <x v="27"/>
    <x v="31"/>
    <x v="5"/>
    <x v="2"/>
    <n v="0.1"/>
    <x v="0"/>
  </r>
  <r>
    <x v="0"/>
    <x v="1"/>
    <x v="1"/>
    <x v="2"/>
    <x v="8"/>
    <x v="4"/>
    <x v="5"/>
    <x v="5"/>
    <x v="5"/>
    <n v="0.6"/>
    <x v="4"/>
  </r>
  <r>
    <x v="0"/>
    <x v="1"/>
    <x v="1"/>
    <x v="2"/>
    <x v="8"/>
    <x v="5"/>
    <x v="6"/>
    <x v="3"/>
    <x v="6"/>
    <n v="0.5"/>
    <x v="17"/>
  </r>
  <r>
    <x v="0"/>
    <x v="1"/>
    <x v="1"/>
    <x v="2"/>
    <x v="8"/>
    <x v="6"/>
    <x v="44"/>
    <x v="15"/>
    <x v="43"/>
    <n v="0.1"/>
    <x v="4"/>
  </r>
  <r>
    <x v="0"/>
    <x v="1"/>
    <x v="1"/>
    <x v="2"/>
    <x v="8"/>
    <x v="38"/>
    <x v="19"/>
    <x v="15"/>
    <x v="8"/>
    <n v="0.6"/>
    <x v="4"/>
  </r>
  <r>
    <x v="0"/>
    <x v="1"/>
    <x v="1"/>
    <x v="2"/>
    <x v="8"/>
    <x v="39"/>
    <x v="8"/>
    <x v="15"/>
    <x v="55"/>
    <n v="0.1"/>
    <x v="0"/>
  </r>
  <r>
    <x v="0"/>
    <x v="1"/>
    <x v="1"/>
    <x v="2"/>
    <x v="9"/>
    <x v="0"/>
    <x v="0"/>
    <x v="0"/>
    <x v="0"/>
    <n v="0.5"/>
    <x v="0"/>
  </r>
  <r>
    <x v="0"/>
    <x v="1"/>
    <x v="1"/>
    <x v="2"/>
    <x v="9"/>
    <x v="0"/>
    <x v="45"/>
    <x v="15"/>
    <x v="1"/>
    <n v="0.5"/>
    <x v="0"/>
  </r>
  <r>
    <x v="0"/>
    <x v="1"/>
    <x v="1"/>
    <x v="2"/>
    <x v="9"/>
    <x v="40"/>
    <x v="33"/>
    <x v="5"/>
    <x v="2"/>
    <n v="0.5"/>
    <x v="0"/>
  </r>
  <r>
    <x v="0"/>
    <x v="1"/>
    <x v="1"/>
    <x v="2"/>
    <x v="9"/>
    <x v="29"/>
    <x v="46"/>
    <x v="3"/>
    <x v="3"/>
    <n v="0.5"/>
    <x v="0"/>
  </r>
  <r>
    <x v="0"/>
    <x v="1"/>
    <x v="1"/>
    <x v="2"/>
    <x v="9"/>
    <x v="41"/>
    <x v="4"/>
    <x v="10"/>
    <x v="4"/>
    <n v="0.5"/>
    <x v="0"/>
  </r>
  <r>
    <x v="0"/>
    <x v="1"/>
    <x v="1"/>
    <x v="2"/>
    <x v="9"/>
    <x v="9"/>
    <x v="47"/>
    <x v="3"/>
    <x v="56"/>
    <n v="0.04"/>
    <x v="25"/>
  </r>
  <r>
    <x v="0"/>
    <x v="1"/>
    <x v="1"/>
    <x v="2"/>
    <x v="9"/>
    <x v="30"/>
    <x v="22"/>
    <x v="18"/>
    <x v="57"/>
    <n v="0.08"/>
    <x v="27"/>
  </r>
  <r>
    <x v="0"/>
    <x v="1"/>
    <x v="1"/>
    <x v="2"/>
    <x v="9"/>
    <x v="18"/>
    <x v="37"/>
    <x v="5"/>
    <x v="34"/>
    <n v="0.2"/>
    <x v="4"/>
  </r>
  <r>
    <x v="0"/>
    <x v="1"/>
    <x v="1"/>
    <x v="2"/>
    <x v="9"/>
    <x v="20"/>
    <x v="14"/>
    <x v="3"/>
    <x v="35"/>
    <n v="0.2"/>
    <x v="4"/>
  </r>
  <r>
    <x v="0"/>
    <x v="1"/>
    <x v="1"/>
    <x v="2"/>
    <x v="9"/>
    <x v="15"/>
    <x v="48"/>
    <x v="3"/>
    <x v="36"/>
    <n v="0.1"/>
    <x v="0"/>
  </r>
  <r>
    <x v="0"/>
    <x v="1"/>
    <x v="1"/>
    <x v="2"/>
    <x v="9"/>
    <x v="42"/>
    <x v="49"/>
    <x v="5"/>
    <x v="58"/>
    <n v="0.1"/>
    <x v="0"/>
  </r>
  <r>
    <x v="0"/>
    <x v="1"/>
    <x v="1"/>
    <x v="2"/>
    <x v="9"/>
    <x v="43"/>
    <x v="50"/>
    <x v="5"/>
    <x v="51"/>
    <n v="0.1"/>
    <x v="0"/>
  </r>
  <r>
    <x v="0"/>
    <x v="1"/>
    <x v="1"/>
    <x v="2"/>
    <x v="9"/>
    <x v="44"/>
    <x v="27"/>
    <x v="17"/>
    <x v="59"/>
    <n v="0.1"/>
    <x v="0"/>
  </r>
  <r>
    <x v="0"/>
    <x v="1"/>
    <x v="1"/>
    <x v="2"/>
    <x v="9"/>
    <x v="24"/>
    <x v="28"/>
    <x v="5"/>
    <x v="60"/>
    <n v="0.1"/>
    <x v="0"/>
  </r>
  <r>
    <x v="0"/>
    <x v="1"/>
    <x v="1"/>
    <x v="2"/>
    <x v="9"/>
    <x v="25"/>
    <x v="51"/>
    <x v="3"/>
    <x v="61"/>
    <n v="0.1"/>
    <x v="0"/>
  </r>
  <r>
    <x v="0"/>
    <x v="1"/>
    <x v="1"/>
    <x v="2"/>
    <x v="9"/>
    <x v="45"/>
    <x v="12"/>
    <x v="5"/>
    <x v="41"/>
    <n v="0.2"/>
    <x v="4"/>
  </r>
  <r>
    <x v="0"/>
    <x v="1"/>
    <x v="1"/>
    <x v="2"/>
    <x v="9"/>
    <x v="12"/>
    <x v="30"/>
    <x v="3"/>
    <x v="42"/>
    <n v="0.2"/>
    <x v="4"/>
  </r>
  <r>
    <x v="0"/>
    <x v="1"/>
    <x v="1"/>
    <x v="2"/>
    <x v="9"/>
    <x v="46"/>
    <x v="17"/>
    <x v="5"/>
    <x v="62"/>
    <n v="0.1"/>
    <x v="0"/>
  </r>
  <r>
    <x v="0"/>
    <x v="1"/>
    <x v="1"/>
    <x v="2"/>
    <x v="9"/>
    <x v="27"/>
    <x v="31"/>
    <x v="5"/>
    <x v="2"/>
    <n v="0.1"/>
    <x v="0"/>
  </r>
  <r>
    <x v="0"/>
    <x v="1"/>
    <x v="1"/>
    <x v="2"/>
    <x v="9"/>
    <x v="4"/>
    <x v="5"/>
    <x v="5"/>
    <x v="5"/>
    <n v="0.6"/>
    <x v="0"/>
  </r>
  <r>
    <x v="0"/>
    <x v="1"/>
    <x v="1"/>
    <x v="2"/>
    <x v="9"/>
    <x v="5"/>
    <x v="6"/>
    <x v="3"/>
    <x v="6"/>
    <n v="0.5"/>
    <x v="0"/>
  </r>
  <r>
    <x v="0"/>
    <x v="1"/>
    <x v="1"/>
    <x v="2"/>
    <x v="9"/>
    <x v="6"/>
    <x v="44"/>
    <x v="15"/>
    <x v="43"/>
    <n v="-0.2"/>
    <x v="28"/>
  </r>
  <r>
    <x v="0"/>
    <x v="1"/>
    <x v="1"/>
    <x v="2"/>
    <x v="9"/>
    <x v="6"/>
    <x v="52"/>
    <x v="5"/>
    <x v="63"/>
    <n v="0"/>
    <x v="29"/>
  </r>
  <r>
    <x v="0"/>
    <x v="1"/>
    <x v="1"/>
    <x v="2"/>
    <x v="9"/>
    <x v="38"/>
    <x v="19"/>
    <x v="15"/>
    <x v="8"/>
    <n v="-0.6"/>
    <x v="28"/>
  </r>
  <r>
    <x v="0"/>
    <x v="1"/>
    <x v="1"/>
    <x v="2"/>
    <x v="9"/>
    <x v="39"/>
    <x v="8"/>
    <x v="15"/>
    <x v="64"/>
    <n v="-0.1"/>
    <x v="28"/>
  </r>
  <r>
    <x v="0"/>
    <x v="1"/>
    <x v="1"/>
    <x v="2"/>
    <x v="10"/>
    <x v="8"/>
    <x v="9"/>
    <x v="6"/>
    <x v="18"/>
    <n v="9.4E-2"/>
    <x v="0"/>
  </r>
  <r>
    <x v="0"/>
    <x v="1"/>
    <x v="1"/>
    <x v="2"/>
    <x v="10"/>
    <x v="0"/>
    <x v="0"/>
    <x v="0"/>
    <x v="0"/>
    <n v="0.6"/>
    <x v="4"/>
  </r>
  <r>
    <x v="0"/>
    <x v="1"/>
    <x v="1"/>
    <x v="2"/>
    <x v="10"/>
    <x v="0"/>
    <x v="45"/>
    <x v="15"/>
    <x v="1"/>
    <n v="0.6"/>
    <x v="4"/>
  </r>
  <r>
    <x v="0"/>
    <x v="1"/>
    <x v="1"/>
    <x v="2"/>
    <x v="10"/>
    <x v="40"/>
    <x v="33"/>
    <x v="5"/>
    <x v="2"/>
    <n v="0.6"/>
    <x v="4"/>
  </r>
  <r>
    <x v="0"/>
    <x v="1"/>
    <x v="1"/>
    <x v="2"/>
    <x v="10"/>
    <x v="29"/>
    <x v="46"/>
    <x v="3"/>
    <x v="3"/>
    <n v="0.6"/>
    <x v="4"/>
  </r>
  <r>
    <x v="0"/>
    <x v="1"/>
    <x v="1"/>
    <x v="2"/>
    <x v="10"/>
    <x v="41"/>
    <x v="4"/>
    <x v="10"/>
    <x v="4"/>
    <n v="0.6"/>
    <x v="4"/>
  </r>
  <r>
    <x v="0"/>
    <x v="1"/>
    <x v="1"/>
    <x v="2"/>
    <x v="10"/>
    <x v="9"/>
    <x v="53"/>
    <x v="4"/>
    <x v="65"/>
    <n v="0.1"/>
    <x v="0"/>
  </r>
  <r>
    <x v="0"/>
    <x v="1"/>
    <x v="1"/>
    <x v="2"/>
    <x v="10"/>
    <x v="47"/>
    <x v="47"/>
    <x v="4"/>
    <x v="66"/>
    <n v="0.1"/>
    <x v="0"/>
  </r>
  <r>
    <x v="0"/>
    <x v="1"/>
    <x v="1"/>
    <x v="2"/>
    <x v="10"/>
    <x v="14"/>
    <x v="34"/>
    <x v="15"/>
    <x v="67"/>
    <n v="0.1"/>
    <x v="0"/>
  </r>
  <r>
    <x v="0"/>
    <x v="1"/>
    <x v="1"/>
    <x v="2"/>
    <x v="10"/>
    <x v="10"/>
    <x v="22"/>
    <x v="11"/>
    <x v="57"/>
    <n v="0.1"/>
    <x v="0"/>
  </r>
  <r>
    <x v="0"/>
    <x v="1"/>
    <x v="1"/>
    <x v="2"/>
    <x v="10"/>
    <x v="18"/>
    <x v="37"/>
    <x v="5"/>
    <x v="34"/>
    <n v="0.2"/>
    <x v="0"/>
  </r>
  <r>
    <x v="0"/>
    <x v="1"/>
    <x v="1"/>
    <x v="2"/>
    <x v="10"/>
    <x v="20"/>
    <x v="14"/>
    <x v="3"/>
    <x v="35"/>
    <n v="0.2"/>
    <x v="0"/>
  </r>
  <r>
    <x v="0"/>
    <x v="1"/>
    <x v="1"/>
    <x v="2"/>
    <x v="10"/>
    <x v="15"/>
    <x v="48"/>
    <x v="3"/>
    <x v="36"/>
    <n v="0.1"/>
    <x v="0"/>
  </r>
  <r>
    <x v="0"/>
    <x v="1"/>
    <x v="1"/>
    <x v="2"/>
    <x v="10"/>
    <x v="48"/>
    <x v="26"/>
    <x v="11"/>
    <x v="68"/>
    <n v="0.1"/>
    <x v="0"/>
  </r>
  <r>
    <x v="0"/>
    <x v="1"/>
    <x v="1"/>
    <x v="2"/>
    <x v="10"/>
    <x v="23"/>
    <x v="54"/>
    <x v="3"/>
    <x v="56"/>
    <n v="0.04"/>
    <x v="25"/>
  </r>
  <r>
    <x v="0"/>
    <x v="1"/>
    <x v="1"/>
    <x v="2"/>
    <x v="10"/>
    <x v="49"/>
    <x v="27"/>
    <x v="3"/>
    <x v="54"/>
    <n v="0.01"/>
    <x v="30"/>
  </r>
  <r>
    <x v="0"/>
    <x v="1"/>
    <x v="1"/>
    <x v="2"/>
    <x v="10"/>
    <x v="24"/>
    <x v="28"/>
    <x v="5"/>
    <x v="69"/>
    <n v="0.01"/>
    <x v="30"/>
  </r>
  <r>
    <x v="0"/>
    <x v="1"/>
    <x v="1"/>
    <x v="2"/>
    <x v="10"/>
    <x v="25"/>
    <x v="29"/>
    <x v="5"/>
    <x v="41"/>
    <n v="0.2"/>
    <x v="0"/>
  </r>
  <r>
    <x v="0"/>
    <x v="1"/>
    <x v="1"/>
    <x v="2"/>
    <x v="10"/>
    <x v="26"/>
    <x v="12"/>
    <x v="3"/>
    <x v="42"/>
    <n v="0.2"/>
    <x v="0"/>
  </r>
  <r>
    <x v="0"/>
    <x v="1"/>
    <x v="1"/>
    <x v="2"/>
    <x v="10"/>
    <x v="12"/>
    <x v="17"/>
    <x v="16"/>
    <x v="70"/>
    <n v="0.1"/>
    <x v="0"/>
  </r>
  <r>
    <x v="0"/>
    <x v="1"/>
    <x v="1"/>
    <x v="2"/>
    <x v="10"/>
    <x v="27"/>
    <x v="31"/>
    <x v="5"/>
    <x v="2"/>
    <n v="0.1"/>
    <x v="0"/>
  </r>
  <r>
    <x v="0"/>
    <x v="1"/>
    <x v="1"/>
    <x v="2"/>
    <x v="10"/>
    <x v="4"/>
    <x v="5"/>
    <x v="5"/>
    <x v="5"/>
    <n v="0.6"/>
    <x v="0"/>
  </r>
  <r>
    <x v="0"/>
    <x v="1"/>
    <x v="1"/>
    <x v="2"/>
    <x v="10"/>
    <x v="5"/>
    <x v="6"/>
    <x v="3"/>
    <x v="6"/>
    <n v="0.6"/>
    <x v="4"/>
  </r>
  <r>
    <x v="0"/>
    <x v="1"/>
    <x v="1"/>
    <x v="2"/>
    <x v="10"/>
    <x v="6"/>
    <x v="44"/>
    <x v="15"/>
    <x v="43"/>
    <n v="0.1"/>
    <x v="0"/>
  </r>
  <r>
    <x v="0"/>
    <x v="1"/>
    <x v="1"/>
    <x v="2"/>
    <x v="10"/>
    <x v="38"/>
    <x v="19"/>
    <x v="15"/>
    <x v="8"/>
    <n v="0.1"/>
    <x v="0"/>
  </r>
  <r>
    <x v="0"/>
    <x v="1"/>
    <x v="1"/>
    <x v="2"/>
    <x v="10"/>
    <x v="39"/>
    <x v="8"/>
    <x v="15"/>
    <x v="64"/>
    <n v="0.1"/>
    <x v="0"/>
  </r>
  <r>
    <x v="0"/>
    <x v="1"/>
    <x v="1"/>
    <x v="2"/>
    <x v="11"/>
    <x v="8"/>
    <x v="9"/>
    <x v="6"/>
    <x v="18"/>
    <n v="9.1999999999999998E-2"/>
    <x v="31"/>
  </r>
  <r>
    <x v="0"/>
    <x v="1"/>
    <x v="1"/>
    <x v="2"/>
    <x v="11"/>
    <x v="0"/>
    <x v="0"/>
    <x v="0"/>
    <x v="0"/>
    <n v="0.6"/>
    <x v="0"/>
  </r>
  <r>
    <x v="0"/>
    <x v="1"/>
    <x v="1"/>
    <x v="2"/>
    <x v="11"/>
    <x v="0"/>
    <x v="45"/>
    <x v="15"/>
    <x v="1"/>
    <n v="0.6"/>
    <x v="0"/>
  </r>
  <r>
    <x v="0"/>
    <x v="1"/>
    <x v="1"/>
    <x v="2"/>
    <x v="11"/>
    <x v="40"/>
    <x v="33"/>
    <x v="5"/>
    <x v="2"/>
    <n v="0.6"/>
    <x v="0"/>
  </r>
  <r>
    <x v="0"/>
    <x v="1"/>
    <x v="1"/>
    <x v="2"/>
    <x v="11"/>
    <x v="29"/>
    <x v="46"/>
    <x v="3"/>
    <x v="3"/>
    <n v="0.6"/>
    <x v="0"/>
  </r>
  <r>
    <x v="0"/>
    <x v="1"/>
    <x v="1"/>
    <x v="2"/>
    <x v="11"/>
    <x v="41"/>
    <x v="4"/>
    <x v="10"/>
    <x v="4"/>
    <n v="0.6"/>
    <x v="0"/>
  </r>
  <r>
    <x v="0"/>
    <x v="1"/>
    <x v="1"/>
    <x v="2"/>
    <x v="11"/>
    <x v="9"/>
    <x v="47"/>
    <x v="3"/>
    <x v="71"/>
    <n v="0.1"/>
    <x v="0"/>
  </r>
  <r>
    <x v="0"/>
    <x v="1"/>
    <x v="1"/>
    <x v="2"/>
    <x v="11"/>
    <x v="9"/>
    <x v="47"/>
    <x v="3"/>
    <x v="72"/>
    <n v="0.1"/>
    <x v="0"/>
  </r>
  <r>
    <x v="0"/>
    <x v="1"/>
    <x v="1"/>
    <x v="2"/>
    <x v="11"/>
    <x v="50"/>
    <x v="10"/>
    <x v="19"/>
    <x v="73"/>
    <n v="0.1"/>
    <x v="0"/>
  </r>
  <r>
    <x v="0"/>
    <x v="1"/>
    <x v="1"/>
    <x v="2"/>
    <x v="11"/>
    <x v="51"/>
    <x v="22"/>
    <x v="20"/>
    <x v="57"/>
    <n v="0.1"/>
    <x v="0"/>
  </r>
  <r>
    <x v="0"/>
    <x v="1"/>
    <x v="1"/>
    <x v="2"/>
    <x v="11"/>
    <x v="18"/>
    <x v="37"/>
    <x v="5"/>
    <x v="34"/>
    <n v="0.3"/>
    <x v="4"/>
  </r>
  <r>
    <x v="0"/>
    <x v="1"/>
    <x v="1"/>
    <x v="2"/>
    <x v="11"/>
    <x v="20"/>
    <x v="14"/>
    <x v="3"/>
    <x v="74"/>
    <n v="0.1"/>
    <x v="32"/>
  </r>
  <r>
    <x v="0"/>
    <x v="1"/>
    <x v="1"/>
    <x v="2"/>
    <x v="11"/>
    <x v="20"/>
    <x v="14"/>
    <x v="3"/>
    <x v="35"/>
    <n v="0.3"/>
    <x v="4"/>
  </r>
  <r>
    <x v="0"/>
    <x v="1"/>
    <x v="1"/>
    <x v="2"/>
    <x v="11"/>
    <x v="15"/>
    <x v="48"/>
    <x v="3"/>
    <x v="36"/>
    <n v="0.1"/>
    <x v="0"/>
  </r>
  <r>
    <x v="0"/>
    <x v="1"/>
    <x v="1"/>
    <x v="2"/>
    <x v="11"/>
    <x v="48"/>
    <x v="38"/>
    <x v="3"/>
    <x v="75"/>
    <n v="0.1"/>
    <x v="0"/>
  </r>
  <r>
    <x v="0"/>
    <x v="1"/>
    <x v="1"/>
    <x v="2"/>
    <x v="11"/>
    <x v="52"/>
    <x v="26"/>
    <x v="21"/>
    <x v="68"/>
    <n v="0.1"/>
    <x v="0"/>
  </r>
  <r>
    <x v="0"/>
    <x v="1"/>
    <x v="1"/>
    <x v="2"/>
    <x v="11"/>
    <x v="23"/>
    <x v="28"/>
    <x v="11"/>
    <x v="69"/>
    <n v="0.1"/>
    <x v="0"/>
  </r>
  <r>
    <x v="0"/>
    <x v="1"/>
    <x v="1"/>
    <x v="2"/>
    <x v="11"/>
    <x v="25"/>
    <x v="29"/>
    <x v="5"/>
    <x v="41"/>
    <n v="0.2"/>
    <x v="0"/>
  </r>
  <r>
    <x v="0"/>
    <x v="1"/>
    <x v="1"/>
    <x v="2"/>
    <x v="11"/>
    <x v="26"/>
    <x v="12"/>
    <x v="3"/>
    <x v="42"/>
    <n v="0.2"/>
    <x v="0"/>
  </r>
  <r>
    <x v="0"/>
    <x v="1"/>
    <x v="1"/>
    <x v="2"/>
    <x v="11"/>
    <x v="12"/>
    <x v="55"/>
    <x v="19"/>
    <x v="76"/>
    <n v="0.1"/>
    <x v="0"/>
  </r>
  <r>
    <x v="0"/>
    <x v="1"/>
    <x v="1"/>
    <x v="2"/>
    <x v="11"/>
    <x v="46"/>
    <x v="31"/>
    <x v="11"/>
    <x v="2"/>
    <n v="0.1"/>
    <x v="0"/>
  </r>
  <r>
    <x v="0"/>
    <x v="1"/>
    <x v="1"/>
    <x v="2"/>
    <x v="11"/>
    <x v="4"/>
    <x v="5"/>
    <x v="5"/>
    <x v="5"/>
    <n v="0.7"/>
    <x v="4"/>
  </r>
  <r>
    <x v="0"/>
    <x v="1"/>
    <x v="1"/>
    <x v="2"/>
    <x v="11"/>
    <x v="5"/>
    <x v="6"/>
    <x v="3"/>
    <x v="6"/>
    <n v="0.6"/>
    <x v="0"/>
  </r>
  <r>
    <x v="0"/>
    <x v="1"/>
    <x v="1"/>
    <x v="2"/>
    <x v="11"/>
    <x v="5"/>
    <x v="8"/>
    <x v="5"/>
    <x v="63"/>
    <n v="0"/>
    <x v="0"/>
  </r>
  <r>
    <x v="0"/>
    <x v="1"/>
    <x v="1"/>
    <x v="2"/>
    <x v="11"/>
    <x v="6"/>
    <x v="44"/>
    <x v="15"/>
    <x v="43"/>
    <n v="0"/>
    <x v="0"/>
  </r>
  <r>
    <x v="0"/>
    <x v="1"/>
    <x v="1"/>
    <x v="2"/>
    <x v="11"/>
    <x v="38"/>
    <x v="19"/>
    <x v="15"/>
    <x v="8"/>
    <n v="0"/>
    <x v="0"/>
  </r>
  <r>
    <x v="0"/>
    <x v="1"/>
    <x v="1"/>
    <x v="2"/>
    <x v="11"/>
    <x v="39"/>
    <x v="8"/>
    <x v="15"/>
    <x v="64"/>
    <n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AF7BE93-F9E8-8947-87E2-E18A326332D6}" name="数据透视表1" cacheId="48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compact="0" compactData="0" multipleFieldFilters="0">
  <location ref="A28:BC43" firstHeaderRow="1" firstDataRow="3" firstDataCol="1"/>
  <pivotFields count="11">
    <pivotField compact="0" outline="0" showAll="0">
      <items count="3">
        <item x="0"/>
        <item m="1" x="1"/>
        <item t="default"/>
      </items>
    </pivotField>
    <pivotField compact="0" outline="0" showAll="0">
      <items count="4">
        <item x="0"/>
        <item x="1"/>
        <item m="1" x="2"/>
        <item t="default"/>
      </items>
    </pivotField>
    <pivotField compact="0" outline="0" showAll="0">
      <items count="4">
        <item x="0"/>
        <item x="1"/>
        <item m="1" x="2"/>
        <item t="default"/>
      </items>
    </pivotField>
    <pivotField compact="0" outline="0" showAll="0">
      <items count="5">
        <item x="2"/>
        <item x="0"/>
        <item x="1"/>
        <item m="1" x="3"/>
        <item t="default"/>
      </items>
    </pivotField>
    <pivotField axis="axisRow" compact="0" numFmtId="14" outline="0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开始分" axis="axisCol" compact="0" numFmtId="20" outline="0" showAll="0">
      <items count="5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t="default" sd="0"/>
      </items>
    </pivotField>
    <pivotField name="结束分" axis="axisCol" compact="0" numFmtId="20" outline="0" showAll="0">
      <items count="5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t="default"/>
      </items>
    </pivotField>
    <pivotField compact="0" numFmtId="20" outline="0" showAll="0">
      <items count="23">
        <item x="0"/>
        <item x="8"/>
        <item x="1"/>
        <item x="14"/>
        <item x="15"/>
        <item x="4"/>
        <item x="10"/>
        <item x="19"/>
        <item x="3"/>
        <item x="12"/>
        <item x="17"/>
        <item x="13"/>
        <item x="5"/>
        <item x="2"/>
        <item x="21"/>
        <item x="16"/>
        <item x="20"/>
        <item x="11"/>
        <item x="18"/>
        <item x="7"/>
        <item x="9"/>
        <item x="6"/>
        <item t="default"/>
      </items>
    </pivotField>
    <pivotField compact="0" outline="0" showAll="0">
      <items count="89">
        <item x="24"/>
        <item x="72"/>
        <item x="71"/>
        <item x="25"/>
        <item x="29"/>
        <item x="42"/>
        <item m="1" x="84"/>
        <item x="35"/>
        <item m="1" x="87"/>
        <item m="1" x="82"/>
        <item m="1" x="81"/>
        <item x="4"/>
        <item x="14"/>
        <item x="69"/>
        <item x="62"/>
        <item x="5"/>
        <item x="37"/>
        <item x="52"/>
        <item x="28"/>
        <item x="19"/>
        <item x="47"/>
        <item x="44"/>
        <item x="16"/>
        <item x="45"/>
        <item x="66"/>
        <item x="55"/>
        <item x="43"/>
        <item x="64"/>
        <item x="70"/>
        <item x="74"/>
        <item x="11"/>
        <item x="15"/>
        <item x="13"/>
        <item m="1" x="80"/>
        <item x="10"/>
        <item x="8"/>
        <item x="38"/>
        <item x="17"/>
        <item x="51"/>
        <item x="75"/>
        <item x="48"/>
        <item x="7"/>
        <item x="39"/>
        <item x="23"/>
        <item x="73"/>
        <item x="32"/>
        <item x="1"/>
        <item x="56"/>
        <item x="76"/>
        <item x="54"/>
        <item x="31"/>
        <item x="63"/>
        <item m="1" x="86"/>
        <item x="36"/>
        <item x="33"/>
        <item x="30"/>
        <item x="6"/>
        <item x="61"/>
        <item x="46"/>
        <item x="22"/>
        <item x="57"/>
        <item x="53"/>
        <item x="68"/>
        <item x="2"/>
        <item x="0"/>
        <item x="12"/>
        <item m="1" x="79"/>
        <item x="59"/>
        <item m="1" x="78"/>
        <item x="58"/>
        <item x="9"/>
        <item x="60"/>
        <item x="27"/>
        <item x="21"/>
        <item x="26"/>
        <item x="20"/>
        <item x="40"/>
        <item x="18"/>
        <item x="49"/>
        <item x="50"/>
        <item x="65"/>
        <item x="67"/>
        <item x="41"/>
        <item m="1" x="85"/>
        <item x="34"/>
        <item m="1" x="83"/>
        <item x="3"/>
        <item m="1" x="77"/>
        <item t="default"/>
      </items>
    </pivotField>
    <pivotField dataField="1" compact="0" outline="0" showAll="0"/>
    <pivotField compact="0" outline="0" showAll="0">
      <items count="34">
        <item x="7"/>
        <item x="14"/>
        <item x="19"/>
        <item x="10"/>
        <item x="6"/>
        <item x="5"/>
        <item x="3"/>
        <item x="1"/>
        <item x="32"/>
        <item x="11"/>
        <item x="23"/>
        <item x="20"/>
        <item x="2"/>
        <item x="13"/>
        <item x="9"/>
        <item x="21"/>
        <item x="29"/>
        <item x="28"/>
        <item x="30"/>
        <item x="16"/>
        <item x="22"/>
        <item x="26"/>
        <item x="25"/>
        <item x="27"/>
        <item x="31"/>
        <item x="24"/>
        <item x="18"/>
        <item x="12"/>
        <item x="15"/>
        <item x="17"/>
        <item x="4"/>
        <item x="8"/>
        <item x="0"/>
        <item t="default"/>
      </items>
    </pivotField>
  </pivotFields>
  <rowFields count="1">
    <field x="4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2">
    <field x="5"/>
    <field x="6"/>
  </colFields>
  <colItems count="5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 t="grand">
      <x/>
    </i>
  </colItems>
  <dataFields count="1">
    <dataField name="求和项:得分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持续时间" xr10:uid="{241D2860-5A56-D646-825F-AB888F8AF605}" sourceName="持续时间">
  <pivotTables>
    <pivotTable tabId="18" name="数据透视表1"/>
  </pivotTables>
  <data>
    <tabular pivotCacheId="624362989">
      <items count="22">
        <i x="0" s="1"/>
        <i x="8" s="1"/>
        <i x="1" s="1"/>
        <i x="14" s="1"/>
        <i x="15" s="1"/>
        <i x="4" s="1"/>
        <i x="10" s="1"/>
        <i x="19" s="1"/>
        <i x="3" s="1"/>
        <i x="12" s="1"/>
        <i x="17" s="1"/>
        <i x="13" s="1"/>
        <i x="5" s="1"/>
        <i x="2" s="1"/>
        <i x="21" s="1"/>
        <i x="16" s="1"/>
        <i x="20" s="1"/>
        <i x="11" s="1"/>
        <i x="18" s="1"/>
        <i x="7" s="1"/>
        <i x="9" s="1"/>
        <i x="6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季度" xr10:uid="{AFA45B55-2E0A-3B4F-8BE6-3E52428B0D55}" sourceName="季度">
  <pivotTables>
    <pivotTable tabId="18" name="数据透视表1"/>
  </pivotTables>
  <data>
    <tabular pivotCacheId="624362989">
      <items count="3">
        <i x="0" s="1"/>
        <i x="1" s="1"/>
        <i x="2" s="1" nd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月份" xr10:uid="{E5678DF3-3FB3-FB45-8EF1-598EE9841425}" sourceName="月份">
  <pivotTables>
    <pivotTable tabId="18" name="数据透视表1"/>
  </pivotTables>
  <data>
    <tabular pivotCacheId="624362989">
      <items count="3">
        <i x="0" s="1"/>
        <i x="1" s="1"/>
        <i x="2" s="1" nd="1"/>
      </items>
    </tabular>
  </data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周次" xr10:uid="{5BEE977C-463D-9C4C-81BD-31338FEEDC0E}" sourceName="周次">
  <pivotTables>
    <pivotTable tabId="18" name="数据透视表1"/>
  </pivotTables>
  <data>
    <tabular pivotCacheId="624362989">
      <items count="4">
        <i x="2" s="1"/>
        <i x="0" s="1"/>
        <i x="1" s="1"/>
        <i x="3" s="1" nd="1"/>
      </items>
    </tabular>
  </data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日期" xr10:uid="{756F01C2-A892-414A-852D-7D6569C3564E}" sourceName="日期">
  <pivotTables>
    <pivotTable tabId="18" name="数据透视表1"/>
  </pivotTables>
  <data>
    <tabular pivotCacheId="624362989">
      <items count="12">
        <i x="0" s="1"/>
        <i x="1" s="1"/>
        <i x="2" s="1"/>
        <i x="3" s="1"/>
        <i x="4" s="1"/>
        <i x="5" s="1"/>
        <i x="6" s="1"/>
        <i x="7" s="1"/>
        <i x="8" s="1"/>
        <i x="9" s="1"/>
        <i x="10" s="1"/>
        <i x="11" s="1"/>
      </items>
    </tabular>
  </data>
</slicerCacheDefinition>
</file>

<file path=xl/slicerCaches/slicerCache6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开始时刻" xr10:uid="{DC10A162-0419-7144-996C-8D6F1792A5F5}" sourceName="开始时刻">
  <pivotTables>
    <pivotTable tabId="18" name="数据透视表1"/>
  </pivotTables>
  <data>
    <tabular pivotCacheId="624362989" showMissing="0" crossFilter="none">
      <items count="53">
        <i x="8" s="1"/>
        <i x="0" s="1"/>
        <i x="1" s="1"/>
        <i x="40" s="1"/>
        <i x="28" s="1"/>
        <i x="29" s="1"/>
        <i x="2" s="1"/>
        <i x="41" s="1"/>
        <i x="3" s="1"/>
        <i x="9" s="1"/>
        <i x="47" s="1"/>
        <i x="14" s="1"/>
        <i x="50" s="1"/>
        <i x="30" s="1"/>
        <i x="31" s="1"/>
        <i x="32" s="1"/>
        <i x="10" s="1"/>
        <i x="51" s="1"/>
        <i x="33" s="1"/>
        <i x="17" s="1"/>
        <i x="11" s="1"/>
        <i x="18" s="1"/>
        <i x="19" s="1"/>
        <i x="20" s="1"/>
        <i x="15" s="1"/>
        <i x="48" s="1"/>
        <i x="42" s="1"/>
        <i x="21" s="1"/>
        <i x="34" s="1"/>
        <i x="52" s="1"/>
        <i x="22" s="1"/>
        <i x="43" s="1"/>
        <i x="35" s="1"/>
        <i x="23" s="1"/>
        <i x="44" s="1"/>
        <i x="49" s="1"/>
        <i x="36" s="1"/>
        <i x="24" s="1"/>
        <i x="25" s="1"/>
        <i x="45" s="1"/>
        <i x="26" s="1"/>
        <i x="12" s="1"/>
        <i x="46" s="1"/>
        <i x="37" s="1"/>
        <i x="27" s="1"/>
        <i x="4" s="1"/>
        <i x="5" s="1"/>
        <i x="6" s="1"/>
        <i x="38" s="1"/>
        <i x="7" s="1"/>
        <i x="39" s="1"/>
        <i x="16" s="1"/>
        <i x="13" s="1"/>
      </items>
    </tabular>
  </data>
</slicerCacheDefinition>
</file>

<file path=xl/slicerCaches/slicerCache7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结束时刻" xr10:uid="{98B1D6EE-BEAF-5941-ADD0-880E00943020}" sourceName="结束时刻">
  <pivotTables>
    <pivotTable tabId="18" name="数据透视表1"/>
  </pivotTables>
  <data>
    <tabular pivotCacheId="624362989" showMissing="0">
      <items count="56">
        <i x="0" s="1"/>
        <i x="1" s="1"/>
        <i x="45" s="1"/>
        <i x="32" s="1"/>
        <i x="2" s="1"/>
        <i x="33" s="1"/>
        <i x="13" s="1"/>
        <i x="46" s="1"/>
        <i x="3" s="1"/>
        <i x="4" s="1"/>
        <i x="53" s="1"/>
        <i x="47" s="1"/>
        <i x="34" s="1"/>
        <i x="35" s="1"/>
        <i x="36" s="1"/>
        <i x="10" s="1"/>
        <i x="21" s="1"/>
        <i x="11" s="1"/>
        <i x="22" s="1"/>
        <i x="23" s="1"/>
        <i x="37" s="1"/>
        <i x="14" s="1"/>
        <i x="15" s="1"/>
        <i x="16" s="1"/>
        <i x="48" s="1"/>
        <i x="24" s="1"/>
        <i x="38" s="1"/>
        <i x="25" s="1"/>
        <i x="49" s="1"/>
        <i x="39" s="1"/>
        <i x="26" s="1"/>
        <i x="50" s="1"/>
        <i x="54" s="1"/>
        <i x="40" s="1"/>
        <i x="27" s="1"/>
        <i x="41" s="1"/>
        <i x="28" s="1"/>
        <i x="51" s="1"/>
        <i x="29" s="1"/>
        <i x="42" s="1"/>
        <i x="12" s="1"/>
        <i x="55" s="1"/>
        <i x="30" s="1"/>
        <i x="43" s="1"/>
        <i x="17" s="1"/>
        <i x="31" s="1"/>
        <i x="5" s="1"/>
        <i x="18" s="1"/>
        <i x="6" s="1"/>
        <i x="44" s="1"/>
        <i x="7" s="1"/>
        <i x="19" s="1"/>
        <i x="8" s="1"/>
        <i x="52" s="1"/>
        <i x="20" s="1"/>
        <i x="9" s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Caches/slicerCache8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名称" xr10:uid="{AA7D54E5-8B07-A04B-8237-8A57C44168FE}" sourceName="名称">
  <pivotTables>
    <pivotTable tabId="18" name="数据透视表1"/>
  </pivotTables>
  <data>
    <tabular pivotCacheId="624362989">
      <items count="88">
        <i x="24" s="1"/>
        <i x="72" s="1"/>
        <i x="71" s="1"/>
        <i x="25" s="1"/>
        <i x="29" s="1"/>
        <i x="42" s="1"/>
        <i x="35" s="1"/>
        <i x="4" s="1"/>
        <i x="14" s="1"/>
        <i x="69" s="1"/>
        <i x="62" s="1"/>
        <i x="5" s="1"/>
        <i x="37" s="1"/>
        <i x="52" s="1"/>
        <i x="28" s="1"/>
        <i x="19" s="1"/>
        <i x="47" s="1"/>
        <i x="44" s="1"/>
        <i x="16" s="1"/>
        <i x="45" s="1"/>
        <i x="66" s="1"/>
        <i x="55" s="1"/>
        <i x="43" s="1"/>
        <i x="64" s="1"/>
        <i x="70" s="1"/>
        <i x="74" s="1"/>
        <i x="11" s="1"/>
        <i x="15" s="1"/>
        <i x="13" s="1"/>
        <i x="10" s="1"/>
        <i x="8" s="1"/>
        <i x="38" s="1"/>
        <i x="17" s="1"/>
        <i x="51" s="1"/>
        <i x="75" s="1"/>
        <i x="48" s="1"/>
        <i x="7" s="1"/>
        <i x="39" s="1"/>
        <i x="23" s="1"/>
        <i x="73" s="1"/>
        <i x="32" s="1"/>
        <i x="1" s="1"/>
        <i x="56" s="1"/>
        <i x="76" s="1"/>
        <i x="54" s="1"/>
        <i x="31" s="1"/>
        <i x="63" s="1"/>
        <i x="36" s="1"/>
        <i x="33" s="1"/>
        <i x="30" s="1"/>
        <i x="6" s="1"/>
        <i x="61" s="1"/>
        <i x="46" s="1"/>
        <i x="22" s="1"/>
        <i x="57" s="1"/>
        <i x="53" s="1"/>
        <i x="68" s="1"/>
        <i x="2" s="1"/>
        <i x="0" s="1"/>
        <i x="12" s="1"/>
        <i x="59" s="1"/>
        <i x="58" s="1"/>
        <i x="9" s="1"/>
        <i x="60" s="1"/>
        <i x="27" s="1"/>
        <i x="21" s="1"/>
        <i x="26" s="1"/>
        <i x="20" s="1"/>
        <i x="40" s="1"/>
        <i x="18" s="1"/>
        <i x="49" s="1"/>
        <i x="50" s="1"/>
        <i x="65" s="1"/>
        <i x="67" s="1"/>
        <i x="41" s="1"/>
        <i x="34" s="1"/>
        <i x="3" s="1"/>
        <i x="84" s="1" nd="1"/>
        <i x="87" s="1" nd="1"/>
        <i x="82" s="1" nd="1"/>
        <i x="81" s="1" nd="1"/>
        <i x="80" s="1" nd="1"/>
        <i x="86" s="1" nd="1"/>
        <i x="79" s="1" nd="1"/>
        <i x="78" s="1" nd="1"/>
        <i x="85" s="1" nd="1"/>
        <i x="83" s="1" nd="1"/>
        <i x="77" s="1" nd="1"/>
      </items>
    </tabular>
  </data>
</slicerCacheDefinition>
</file>

<file path=xl/slicerCaches/slicerCache9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备注" xr10:uid="{089A603F-5406-3F41-92BB-BB9829317AC2}" sourceName="备注">
  <pivotTables>
    <pivotTable tabId="18" name="数据透视表1"/>
  </pivotTables>
  <data>
    <tabular pivotCacheId="624362989">
      <items count="33">
        <i x="7" s="1"/>
        <i x="14" s="1"/>
        <i x="19" s="1"/>
        <i x="10" s="1"/>
        <i x="6" s="1"/>
        <i x="5" s="1"/>
        <i x="3" s="1"/>
        <i x="1" s="1"/>
        <i x="32" s="1"/>
        <i x="11" s="1"/>
        <i x="23" s="1"/>
        <i x="20" s="1"/>
        <i x="2" s="1"/>
        <i x="13" s="1"/>
        <i x="9" s="1"/>
        <i x="21" s="1"/>
        <i x="29" s="1"/>
        <i x="28" s="1"/>
        <i x="30" s="1"/>
        <i x="16" s="1"/>
        <i x="22" s="1"/>
        <i x="26" s="1"/>
        <i x="25" s="1"/>
        <i x="27" s="1"/>
        <i x="31" s="1"/>
        <i x="24" s="1"/>
        <i x="18" s="1"/>
        <i x="12" s="1"/>
        <i x="15" s="1"/>
        <i x="17" s="1"/>
        <i x="4" s="1"/>
        <i x="8" s="1"/>
        <i x="0" s="1"/>
      </items>
    </tabular>
  </data>
</slicerCacheDefinition>
</file>

<file path=xl/slicerCaches/slicerCache10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年份" xr10:uid="{C44D4783-22C6-A542-B3A8-3B1EFC66CA9E}" sourceName="年份">
  <pivotTables>
    <pivotTable tabId="18" name="数据透视表1"/>
  </pivotTables>
  <data>
    <tabular pivotCacheId="624362989">
      <items count="2">
        <i x="0" s="1"/>
        <i x="1" s="1" nd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持续时间" xr10:uid="{476DADF3-14EA-6140-BCED-4ED19E23CF33}" cache="切片器_持续时间" caption="持续时间" rowHeight="230716"/>
  <slicer name="季度" xr10:uid="{A8F02378-B4E3-834A-8364-5361BA7B4AAD}" cache="切片器_季度" caption="季度" rowHeight="230716"/>
  <slicer name="月份" xr10:uid="{51077C34-675C-4A4F-8345-051C2ACD2886}" cache="切片器_月份" caption="月份" rowHeight="230716"/>
  <slicer name="周次" xr10:uid="{2C62F0FA-4670-294A-8FDD-64DED5D8EB78}" cache="切片器_周次" caption="周次" rowHeight="230716"/>
  <slicer name="日期" xr10:uid="{4E9FE854-3E59-FE40-9B99-5F316DC9DB54}" cache="切片器_日期" caption="日期" rowHeight="230716"/>
  <slicer name="开始分" xr10:uid="{C6E58C8B-5E5A-9840-8076-628E8E9AFE1C}" cache="切片器_开始时刻" caption="开始分" startItem="45" rowHeight="230716"/>
  <slicer name="结束分" xr10:uid="{48FAF351-0B11-934D-89F6-513BBD437C08}" cache="切片器_结束时刻" caption="结束分" rowHeight="230716"/>
  <slicer name="名称" xr10:uid="{36505ECB-F6C7-5941-9AF4-7597F3197D40}" cache="切片器_名称" caption="名称" rowHeight="230716"/>
  <slicer name="备注" xr10:uid="{2F863762-B686-F947-880B-471CD0E2F2B3}" cache="切片器_备注" caption="备注" rowHeight="230716"/>
  <slicer name="年份" xr10:uid="{5579C3CC-D1D3-564F-B52D-40504559B458}" cache="切片器_年份" caption="年份" rowHeight="230716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116044-F9E7-1B4C-A35A-5C183A5296A1}" name="records" displayName="records" ref="A4:K224" totalsRowShown="0" headerRowDxfId="267" dataDxfId="266">
  <autoFilter ref="A4:K224" xr:uid="{B97808FE-FDC5-9849-A57E-25C657A820BF}"/>
  <sortState xmlns:xlrd2="http://schemas.microsoft.com/office/spreadsheetml/2017/richdata2" ref="A5:K230">
    <sortCondition ref="E5:E230"/>
    <sortCondition ref="F5:F230"/>
    <sortCondition ref="G5:G230"/>
  </sortState>
  <tableColumns count="11">
    <tableColumn id="13" xr3:uid="{99F8998D-9D71-A14B-A52B-70A0AD1936C5}" name="年份" dataDxfId="265">
      <calculatedColumnFormula>YEAR(records[[#This Row],[日期]])&amp;" 年"</calculatedColumnFormula>
    </tableColumn>
    <tableColumn id="12" xr3:uid="{79048981-95B8-AE44-8023-F15E8B409D1D}" name="季度" dataDxfId="264">
      <calculatedColumnFormula>"第 "&amp;INT(MONTH(records[[#This Row],[日期]])/3+1)&amp;" 季度"</calculatedColumnFormula>
    </tableColumn>
    <tableColumn id="11" xr3:uid="{0991F159-92D8-3E4D-AC22-907FD5B3E742}" name="月份" dataDxfId="263">
      <calculatedColumnFormula>MONTH(records[[#This Row],[日期]])&amp;" 月"</calculatedColumnFormula>
    </tableColumn>
    <tableColumn id="8" xr3:uid="{D75138FC-9BDD-634B-A857-E796C90F6C02}" name="周次" dataDxfId="262">
      <calculatedColumnFormula>"第 "&amp;WEEKNUM(records[[#This Row],[日期]],2)&amp;" 周"</calculatedColumnFormula>
    </tableColumn>
    <tableColumn id="1" xr3:uid="{C122F2B9-2C27-CC49-95C8-A7AF9ECBEB4B}" name="日期" dataDxfId="261"/>
    <tableColumn id="5" xr3:uid="{C9D28CBA-D9EC-6743-A793-FFD0F93D5C41}" name="开始时刻" dataDxfId="260"/>
    <tableColumn id="6" xr3:uid="{607D6D23-94C7-C441-9805-FA4B15B54167}" name="结束时刻" dataDxfId="259"/>
    <tableColumn id="7" xr3:uid="{91709BBD-F72B-4441-AAD6-A9419A8B7AA7}" name="持续时间" dataDxfId="258">
      <calculatedColumnFormula>records[[#This Row],[结束时刻]]-records[[#This Row],[开始时刻]]</calculatedColumnFormula>
    </tableColumn>
    <tableColumn id="2" xr3:uid="{D411FE29-4477-0E4A-A7B5-60DC0ABFF15E}" name="名称" dataDxfId="257"/>
    <tableColumn id="3" xr3:uid="{9A7EEC2F-5772-324F-996D-33BE4AEDBF3E}" name="得分" dataDxfId="256"/>
    <tableColumn id="4" xr3:uid="{4FB1A93B-C8B6-6540-BFD1-25429D916D4B}" name="备注" dataDxfId="255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3BB0E91-848E-964A-9181-1A3D9710DE53}" name="表6" displayName="表6" ref="A39:B46" totalsRowShown="0" headerRowDxfId="254">
  <autoFilter ref="A39:B46" xr:uid="{9DB4F5BB-7EEE-5C42-B898-F87F2AB355F2}"/>
  <tableColumns count="2">
    <tableColumn id="1" xr3:uid="{185C662B-51F4-1A4C-BF62-6B1DF39A5D32}" name="日期" dataDxfId="253"/>
    <tableColumn id="2" xr3:uid="{D562D177-508F-A649-8BC2-3823E4B38B38}" name="总分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71BBBEE-E494-DE4F-B989-5B8BAD55F4D5}" name="表8" displayName="表8" ref="D39:AC46" totalsRowShown="0" headerRowDxfId="252">
  <autoFilter ref="D39:AC46" xr:uid="{7FF2F75D-3036-CF41-9C64-435805437521}"/>
  <tableColumns count="26">
    <tableColumn id="1" xr3:uid="{7CC3CC82-5118-D542-B8B3-2773A184C633}" name="日期" dataDxfId="251"/>
    <tableColumn id="2" xr3:uid="{1FB14F06-242B-5649-B5A1-E964F969DAEF}" name="0:00"/>
    <tableColumn id="3" xr3:uid="{856EE34E-1B34-E14F-AEDD-931D92BF941F}" name="1:00"/>
    <tableColumn id="4" xr3:uid="{E3A12EF0-9E27-B340-A463-914A4062DEF6}" name="2:00"/>
    <tableColumn id="5" xr3:uid="{33AB089B-0B28-7A48-B4DC-34A3AD1DD9DE}" name="3:00"/>
    <tableColumn id="6" xr3:uid="{02C1E06A-4EAA-884D-8B5E-ED18583DC40C}" name="4:00"/>
    <tableColumn id="7" xr3:uid="{7EDE7FB6-62A8-8148-8EE3-79E5932E6626}" name="5:00"/>
    <tableColumn id="8" xr3:uid="{3632FFC6-60F0-1748-9E0D-17812BE9EB6B}" name="6:00"/>
    <tableColumn id="9" xr3:uid="{17E34B86-9284-954D-8A20-C992545C003F}" name="7:00"/>
    <tableColumn id="10" xr3:uid="{1098A139-2AAF-7E47-98C5-45095F72EF97}" name="8:00"/>
    <tableColumn id="11" xr3:uid="{50E976E3-B625-A44B-9594-846B6A49E799}" name="9:00"/>
    <tableColumn id="12" xr3:uid="{65986C14-4934-2247-90F4-9B0DD3620AEB}" name="10:00"/>
    <tableColumn id="13" xr3:uid="{0A1E8546-6116-634F-BBAE-2BBD92D68F5D}" name="11:00"/>
    <tableColumn id="14" xr3:uid="{43065689-E7EF-AE4E-BE2C-CA231AFCB0CC}" name="12:00"/>
    <tableColumn id="15" xr3:uid="{97028E28-54E9-034F-89D8-34534A2B34AC}" name="13:00"/>
    <tableColumn id="16" xr3:uid="{30BBDBC5-FC4F-3D42-99CB-5B7F3F1254ED}" name="14:00"/>
    <tableColumn id="17" xr3:uid="{9B222C92-D447-E743-BFB8-86B1AFF234EA}" name="15:00"/>
    <tableColumn id="18" xr3:uid="{C0E2225E-EC43-AD46-9593-4AF2D7A673F6}" name="16:00"/>
    <tableColumn id="19" xr3:uid="{60F85279-B22E-D64A-9E2B-726FD6BC3278}" name="17:00"/>
    <tableColumn id="20" xr3:uid="{24236D44-202A-6842-B631-2560A0AEBB54}" name="18:00"/>
    <tableColumn id="21" xr3:uid="{4F609900-0520-104F-A1BB-343D7EDC8590}" name="19:00"/>
    <tableColumn id="22" xr3:uid="{781C8328-D841-9C42-BCC6-084FD81311E4}" name="20:00"/>
    <tableColumn id="23" xr3:uid="{0F00985D-4090-3E4B-B17C-6704133FC7BC}" name="21:00"/>
    <tableColumn id="24" xr3:uid="{1F8282CA-33AA-2241-8B99-E6CA43FBC05A}" name="22:00"/>
    <tableColumn id="25" xr3:uid="{A9F1BE33-4727-2E41-9B84-EC0508A6375E}" name="23:00"/>
    <tableColumn id="26" xr3:uid="{B510CDE3-5494-CD43-94D1-4262527077E4}" name="23:59"/>
  </tableColumns>
  <tableStyleInfo name="TableStyleLight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DCEE910-3E93-7142-A68E-D7FED83A4148}" name="表9" displayName="表9" ref="AE39:AK46" totalsRowShown="0" headerRowDxfId="250">
  <autoFilter ref="AE39:AK46" xr:uid="{32721A3C-D43B-B44A-A532-224E35D93488}"/>
  <tableColumns count="7">
    <tableColumn id="1" xr3:uid="{A65BE20C-9509-C345-9026-2A84C31AD05B}" name="日期" dataDxfId="249"/>
    <tableColumn id="2" xr3:uid="{87D83B7E-7C03-4742-B564-D5FEFFC43FB8}" name="早起"/>
    <tableColumn id="3" xr3:uid="{D9D48BF1-1E42-0647-9CE5-F877259E2309}" name="阅读"/>
    <tableColumn id="4" xr3:uid="{463197DE-1FB3-384A-9B24-57A2AAE13ADF}" name="早餐"/>
    <tableColumn id="5" xr3:uid="{3B01B148-5F54-CB4D-A504-A6CDB16EC048}" name="锻炼"/>
    <tableColumn id="6" xr3:uid="{80984781-E5D1-644D-AC48-B61A79D99B42}" name="日报"/>
    <tableColumn id="7" xr3:uid="{007491A6-7573-7244-8DDD-058FCF2E80BB}" name="明日日程安排"/>
  </tableColumns>
  <tableStyleInfo name="TableStyleLight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18A12F3-0A8D-FC4A-A738-D162C1AD8D43}" name="表6_11" displayName="表6_11" ref="A2:B9" totalsRowShown="0" headerRowDxfId="248">
  <autoFilter ref="A2:B9" xr:uid="{C2B3B872-635D-5245-974F-2BA0C18A3391}"/>
  <tableColumns count="2">
    <tableColumn id="1" xr3:uid="{F3E2ECB0-C6E4-6B45-9E91-EC20B25E2978}" name="日期" dataDxfId="247"/>
    <tableColumn id="2" xr3:uid="{461DA2CA-6149-FF49-B9A8-48A101AE768E}" name="总分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EA88512-8A0D-DB48-9C01-D75E46E7A368}" name="表8_12" displayName="表8_12" ref="D2:AC9" totalsRowShown="0" headerRowDxfId="246">
  <tableColumns count="26">
    <tableColumn id="1" xr3:uid="{690E91D5-AFA5-7E48-B86D-73C56CE28AF9}" name="日期" dataDxfId="245"/>
    <tableColumn id="2" xr3:uid="{7351BF46-02E7-2F4A-BC99-8C057D9DA4AF}" name="0:00"/>
    <tableColumn id="3" xr3:uid="{5F504154-9925-D14B-8B8A-E0CE803995F9}" name="1:00"/>
    <tableColumn id="4" xr3:uid="{AE08154A-3AF0-A749-8B12-72076BA2276A}" name="2:00"/>
    <tableColumn id="5" xr3:uid="{127370FF-1962-944D-AC9D-FD626B9CCF86}" name="3:00"/>
    <tableColumn id="6" xr3:uid="{D55D62E7-FC8C-CC46-9E0E-73E8AA2F918F}" name="4:00"/>
    <tableColumn id="7" xr3:uid="{B18E554E-ED3C-BB41-9019-8FF7FC216AF0}" name="5:00"/>
    <tableColumn id="8" xr3:uid="{D760501E-977E-9342-B6EC-22968A10FCBA}" name="6:00"/>
    <tableColumn id="9" xr3:uid="{5A994C8E-608F-EF44-833A-B2858BFC2F81}" name="7:00"/>
    <tableColumn id="10" xr3:uid="{5A8A1152-35FB-5544-9880-71C482A42E8F}" name="8:00"/>
    <tableColumn id="11" xr3:uid="{113BDC00-22D9-FB4D-BE1F-77F1C53360E1}" name="9:00"/>
    <tableColumn id="12" xr3:uid="{6FCF7FDE-DFE3-464D-98FD-19F08516CCB8}" name="10:00"/>
    <tableColumn id="13" xr3:uid="{9A902FF1-10D3-9E48-B431-BA8BC8EE4000}" name="11:00"/>
    <tableColumn id="14" xr3:uid="{167C662E-7D26-D040-8C64-B6197E56CC21}" name="12:00"/>
    <tableColumn id="15" xr3:uid="{A56FDE0B-F25D-3641-AFEA-9764944316B8}" name="13:00"/>
    <tableColumn id="16" xr3:uid="{243A74E8-516C-574B-BA0A-140509BF998F}" name="14:00"/>
    <tableColumn id="17" xr3:uid="{0E7FC3AC-F5CA-D845-A4CE-F42818774E86}" name="15:00"/>
    <tableColumn id="18" xr3:uid="{5506159F-CD7D-BB4E-8831-741D37885289}" name="16:00"/>
    <tableColumn id="19" xr3:uid="{C03AC49F-CE3C-B348-B0C2-190C591F9BDC}" name="17:00"/>
    <tableColumn id="20" xr3:uid="{2E70CBAE-286F-9E4C-B959-6507AC52609D}" name="18:00"/>
    <tableColumn id="21" xr3:uid="{F99A4249-F391-1B40-8844-1DBCE8D5D85E}" name="19:00"/>
    <tableColumn id="22" xr3:uid="{C5EEA921-F5EF-D545-B2EF-FD82276D358C}" name="20:00"/>
    <tableColumn id="23" xr3:uid="{51E77934-4E51-5F45-9EE3-94F310AB098F}" name="21:00"/>
    <tableColumn id="24" xr3:uid="{8D18A6A4-1412-564A-8B5F-98A64F0602ED}" name="22:00"/>
    <tableColumn id="25" xr3:uid="{4457D7F6-0E12-6F47-9349-2802AA08EC64}" name="23:00"/>
    <tableColumn id="26" xr3:uid="{FBB2A714-3CF3-274D-B6C7-F661A5AEFB9C}" name="23:59"/>
  </tableColumns>
  <tableStyleInfo name="TableStyleLight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FC42634-9AE0-EC46-8397-5A7BA2A40876}" name="表9_13" displayName="表9_13" ref="AE2:AK9" totalsRowShown="0" headerRowDxfId="244">
  <autoFilter ref="AE2:AK9" xr:uid="{B8D1569D-3F70-C84F-A099-E5A649E4005E}"/>
  <tableColumns count="7">
    <tableColumn id="1" xr3:uid="{8723A9A0-EBFC-634A-9F67-3396A6EE73F5}" name="日期" dataDxfId="243"/>
    <tableColumn id="2" xr3:uid="{C4035F4C-529D-E245-9881-F1A4BF201CE5}" name="早起"/>
    <tableColumn id="3" xr3:uid="{B55F1B2B-EB9D-664F-BF5A-DBC1CEF6632B}" name="阅读"/>
    <tableColumn id="4" xr3:uid="{DDB02D78-CAEC-5745-944E-FBF75CBAFC41}" name="早餐"/>
    <tableColumn id="5" xr3:uid="{EBC3A7E5-2A3A-C545-B980-0DB64C4D4D9C}" name="锻炼"/>
    <tableColumn id="6" xr3:uid="{00B815B8-24BF-124C-ADEF-7008BC148072}" name="日报"/>
    <tableColumn id="7" xr3:uid="{216A51DF-9351-864D-B3F9-DF803480460A}" name="明日日程安排"/>
  </tableColumns>
  <tableStyleInfo name="TableStyleLight3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38EC559A-B2AF-8E4E-B5FE-C1132A44822D}" name="表6_111720" displayName="表6_111720" ref="A2:D5" totalsRowShown="0" headerRowDxfId="242">
  <autoFilter ref="A2:D5" xr:uid="{73C8ED0E-89DB-9C48-BDC7-129B7DD3B516}"/>
  <tableColumns count="4">
    <tableColumn id="4" xr3:uid="{E8F22F49-5255-7F45-9F64-BE13590E2197}" name="周次" dataDxfId="241"/>
    <tableColumn id="1" xr3:uid="{34C510A8-E5B7-0244-B5C8-12177BE8D48A}" name="开始日期" dataDxfId="240"/>
    <tableColumn id="2" xr3:uid="{AE448AF4-125B-334F-ADED-8C91C5932B41}" name="结束日期" dataDxfId="239">
      <calculatedColumnFormula>SUMIF(records[日期],表6_111720[[#This Row],[开始日期]],records[得分])</calculatedColumnFormula>
    </tableColumn>
    <tableColumn id="5" xr3:uid="{9107762F-F8CA-C546-9CBA-5ED57C2C1241}" name="总分" dataDxfId="238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CF602050-9A6C-4C4B-8F23-2D0DFC4E968E}" name="表21" displayName="表21" ref="F2:AG5" totalsRowShown="0" headerRowDxfId="237">
  <autoFilter ref="F2:AG5" xr:uid="{93E3DAB2-BD19-8E43-AD51-88491ECA9868}"/>
  <tableColumns count="28">
    <tableColumn id="1" xr3:uid="{34779FC1-2A0B-F34C-8C39-66BBBB0F67FE}" name="周次">
      <calculatedColumnFormula>A3</calculatedColumnFormula>
    </tableColumn>
    <tableColumn id="2" xr3:uid="{27CEF633-E272-0847-BF4A-CE4BFFF3F042}" name="开始日期">
      <calculatedColumnFormula>B3</calculatedColumnFormula>
    </tableColumn>
    <tableColumn id="3" xr3:uid="{83701717-56EB-C247-92F9-42FA784B17E2}" name="结束日期">
      <calculatedColumnFormula>C3</calculatedColumnFormula>
    </tableColumn>
    <tableColumn id="4" xr3:uid="{7C4E4B36-2C5F-AE4E-8705-C0761819EA05}" name="0:00" dataDxfId="236"/>
    <tableColumn id="5" xr3:uid="{7BAC07BB-C3E2-5E47-B336-0C2FA72578A8}" name="1:00" dataDxfId="235"/>
    <tableColumn id="6" xr3:uid="{C9D9CDE5-4165-814C-850C-021F7B720492}" name="2:00" dataDxfId="234"/>
    <tableColumn id="7" xr3:uid="{F521A9F1-FECB-A14C-86AB-E3C2C78448BE}" name="3:00" dataDxfId="233"/>
    <tableColumn id="8" xr3:uid="{2DF4E8ED-7EFF-9944-A177-822AF04AACFF}" name="4:00" dataDxfId="232"/>
    <tableColumn id="9" xr3:uid="{93E871DB-2F0E-FF4E-BCBF-116C9ECB4084}" name="5:00" dataDxfId="231"/>
    <tableColumn id="10" xr3:uid="{A9AB3E00-79F4-D141-A6B7-507ACE2C4465}" name="6:00" dataDxfId="230"/>
    <tableColumn id="11" xr3:uid="{F8D62F52-44B3-C143-86B6-80CFC3F0875F}" name="7:00" dataDxfId="229"/>
    <tableColumn id="12" xr3:uid="{C1E0D108-CB17-0D47-BFB7-BB628FBF7506}" name="8:00" dataDxfId="228"/>
    <tableColumn id="13" xr3:uid="{3572E0ED-A656-F743-A16B-45DA2A254A41}" name="9:00" dataDxfId="227"/>
    <tableColumn id="14" xr3:uid="{92CB3AA2-1BEA-B448-864F-6429591D84CB}" name="10:00" dataDxfId="226"/>
    <tableColumn id="15" xr3:uid="{FD913EA8-A20F-214D-9FC4-A52297C30824}" name="11:00" dataDxfId="225"/>
    <tableColumn id="16" xr3:uid="{6DFB7B2F-8426-854E-B1D3-D348E3053963}" name="12:00" dataDxfId="224"/>
    <tableColumn id="17" xr3:uid="{898CE44E-8451-2D4A-9C57-A6CB3594F535}" name="13:00" dataDxfId="223"/>
    <tableColumn id="18" xr3:uid="{D90C7617-FDB1-084A-8455-45126BB50E25}" name="14:00" dataDxfId="222"/>
    <tableColumn id="19" xr3:uid="{5308EEE5-A301-3742-8B50-875F70E10B90}" name="15:00" dataDxfId="221"/>
    <tableColumn id="20" xr3:uid="{D1D06A27-319D-B64A-A510-5901A1F6DC05}" name="16:00" dataDxfId="220"/>
    <tableColumn id="21" xr3:uid="{37A741B5-B95B-534B-A646-944675A25265}" name="17:00" dataDxfId="219"/>
    <tableColumn id="22" xr3:uid="{E04B67FA-631F-C141-B688-75F89ECCFBC4}" name="18:00" dataDxfId="218"/>
    <tableColumn id="23" xr3:uid="{2920D30B-BBE3-3947-BFA8-08EE5577B44B}" name="19:00" dataDxfId="217"/>
    <tableColumn id="24" xr3:uid="{C36A7B9B-3400-3944-B0C7-7061A6638255}" name="20:00" dataDxfId="216"/>
    <tableColumn id="25" xr3:uid="{F9C1834C-B4EE-9448-BD42-ABAC800EBB61}" name="21:00" dataDxfId="215"/>
    <tableColumn id="26" xr3:uid="{43E37A04-7A1D-2542-B71B-74086D3D27E9}" name="22:00" dataDxfId="214"/>
    <tableColumn id="27" xr3:uid="{14BAE480-B828-884C-94D1-B117BC2998A6}" name="23:00" dataDxfId="213"/>
    <tableColumn id="28" xr3:uid="{48670C2B-C1F7-BD43-BD80-09240B4FCE74}" name="23:59" dataDxfId="212"/>
  </tableColumns>
  <tableStyleInfo name="TableStyleLight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82A4B9F8-5A88-D742-90DC-F411EC0C0154}" name="表9_23" displayName="表9_23" ref="AI2:AQ5" totalsRowShown="0" headerRowDxfId="211">
  <autoFilter ref="AI2:AQ5" xr:uid="{8DD7BE02-7294-CA40-B85C-FF1E80721FF3}"/>
  <tableColumns count="9">
    <tableColumn id="9" xr3:uid="{FE6241AE-B048-4240-8C18-DE57F7ADD637}" name="周次" dataDxfId="210">
      <calculatedColumnFormula>A3</calculatedColumnFormula>
    </tableColumn>
    <tableColumn id="8" xr3:uid="{C8FC5F40-3670-AE46-AB5B-9092F51FC244}" name="开始日期" dataDxfId="209">
      <calculatedColumnFormula>B3</calculatedColumnFormula>
    </tableColumn>
    <tableColumn id="1" xr3:uid="{9DFB8416-3F04-A046-AF5E-CA4655DEE818}" name="结束日期" dataDxfId="208">
      <calculatedColumnFormula>C3</calculatedColumnFormula>
    </tableColumn>
    <tableColumn id="2" xr3:uid="{714559D9-0473-A647-847D-0A2C22189331}" name="早起" dataDxfId="207"/>
    <tableColumn id="3" xr3:uid="{99B141E0-A0A9-B04C-9E28-C807DF343B9D}" name="阅读" dataDxfId="206"/>
    <tableColumn id="4" xr3:uid="{A8598802-D79F-844C-A693-2D0113B05354}" name="早餐" dataDxfId="205"/>
    <tableColumn id="5" xr3:uid="{DCB0EE9C-C3C4-4247-B045-EA42474B9871}" name="锻炼" dataDxfId="204"/>
    <tableColumn id="6" xr3:uid="{7C1ECCF1-E4CA-9942-BCF5-D25DED6FB31E}" name="日报" dataDxfId="203"/>
    <tableColumn id="7" xr3:uid="{B480D3F6-B4C9-424F-848D-A620136A9A18}" name="明日日程安排" dataDxfId="202"/>
  </tableColumns>
  <tableStyleInfo name="TableStyleLight3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AC903F1-92E2-D14B-864B-2E2C71632789}" name="表6_3" displayName="表6_3" ref="A34:D37" totalsRowShown="0" headerRowDxfId="201">
  <autoFilter ref="A34:D37" xr:uid="{E30CC314-9EDA-674C-8670-2C93823A3BB9}"/>
  <tableColumns count="4">
    <tableColumn id="4" xr3:uid="{E4B8FDBE-63DF-734C-AD0A-5B85FA0038C3}" name="周次" dataDxfId="200"/>
    <tableColumn id="3" xr3:uid="{02819495-7F74-864A-94DF-949ED94C5958}" name="开始日期" dataDxfId="199"/>
    <tableColumn id="1" xr3:uid="{695FD645-E011-E143-86EA-4380DB16A8C1}" name="结束日期" dataDxfId="198"/>
    <tableColumn id="2" xr3:uid="{2E5286EA-0FD9-DF47-8727-06669F3A8F01}" name="总分"/>
  </tableColumns>
  <tableStyleInfo name="TableStyleLight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1C0441B-E522-F748-B69A-1E76D227F9BF}" name="表8_4" displayName="表8_4" ref="F34:AG37" totalsRowShown="0" headerRowDxfId="197">
  <autoFilter ref="F34:AG37" xr:uid="{67744F99-0916-3944-925B-4E4F2F26C049}"/>
  <tableColumns count="28">
    <tableColumn id="28" xr3:uid="{83154229-4E8E-1940-83A0-E8F3B7189F4F}" name="周次" dataDxfId="196"/>
    <tableColumn id="27" xr3:uid="{1FF54441-0E71-4D42-8F04-A0C570DC414D}" name="开始日期" dataDxfId="195"/>
    <tableColumn id="1" xr3:uid="{E131BD07-27AC-6C4C-8128-EC18C5A2BB2A}" name="结束日期" dataDxfId="194"/>
    <tableColumn id="2" xr3:uid="{7D249F9B-E92A-094C-82B4-B75448F9051E}" name="0:00"/>
    <tableColumn id="3" xr3:uid="{F572B743-1176-5449-9686-A43A382860D3}" name="1:00"/>
    <tableColumn id="4" xr3:uid="{7AAB4545-C1A7-ED4D-B651-BD5220A15B67}" name="2:00"/>
    <tableColumn id="5" xr3:uid="{5421FD3E-E871-7B4F-9AFA-A0CC6E190F09}" name="3:00"/>
    <tableColumn id="6" xr3:uid="{268A5CCE-F0B7-6A4C-9B97-3A84ED4151D6}" name="4:00"/>
    <tableColumn id="7" xr3:uid="{D4BE5265-6CB5-CF4E-97B8-4DE330CE145C}" name="5:00"/>
    <tableColumn id="8" xr3:uid="{FC3D531C-0D55-2E4B-9BE3-1F6276C97D56}" name="6:00"/>
    <tableColumn id="9" xr3:uid="{4542CEE9-1F02-924D-8FFB-C07EB661176F}" name="7:00"/>
    <tableColumn id="10" xr3:uid="{5B7B48D2-1246-584E-9532-1B654A5BAC5E}" name="8:00"/>
    <tableColumn id="11" xr3:uid="{80B224C9-EF3D-6345-846E-0189F281E501}" name="9:00"/>
    <tableColumn id="12" xr3:uid="{5F53819C-E5FE-5D4A-952C-06F204DDBC7D}" name="10:00"/>
    <tableColumn id="13" xr3:uid="{39255D11-7E14-7B49-883F-E728C18A54A5}" name="11:00"/>
    <tableColumn id="14" xr3:uid="{B230F42D-87B5-0649-B57A-74A683ADE0E9}" name="12:00"/>
    <tableColumn id="15" xr3:uid="{8F3C8E66-E377-4C49-9808-FF9F5E307386}" name="13:00"/>
    <tableColumn id="16" xr3:uid="{B863F239-CDAB-5A45-A337-6E92561EDF0A}" name="14:00"/>
    <tableColumn id="17" xr3:uid="{DCF69252-80A3-F44D-B803-653E68E375A0}" name="15:00"/>
    <tableColumn id="18" xr3:uid="{2833DC3E-661A-E84C-B678-875236A8C758}" name="16:00"/>
    <tableColumn id="19" xr3:uid="{B908E257-7344-414D-B6E1-6E60FC0E0EBB}" name="17:00"/>
    <tableColumn id="20" xr3:uid="{7973ECCE-0718-E249-82B3-1AE4FE60D284}" name="18:00"/>
    <tableColumn id="21" xr3:uid="{04B2E613-86AD-2C4D-9968-C305BB0BA9AC}" name="19:00"/>
    <tableColumn id="22" xr3:uid="{33342F49-9615-A244-9B63-F92F6BB47355}" name="20:00"/>
    <tableColumn id="23" xr3:uid="{6E16A535-D75F-4241-B4BA-20645FBD16F4}" name="21:00"/>
    <tableColumn id="24" xr3:uid="{049BAE7A-0096-8346-A5A5-3DCC0CFC5EE7}" name="22:00"/>
    <tableColumn id="25" xr3:uid="{F76CDFA3-5830-BC48-8016-D3AF761D5F84}" name="23:00"/>
    <tableColumn id="26" xr3:uid="{26623A11-0A26-AB4A-ABF9-A1F91F7C9C31}" name="23:59"/>
  </tableColumns>
  <tableStyleInfo name="TableStyleLight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5867865-1903-5749-87BA-1ABB7606DB92}" name="表9_5" displayName="表9_5" ref="AI34:AQ37" totalsRowShown="0" headerRowDxfId="193">
  <autoFilter ref="AI34:AQ37" xr:uid="{E23A190F-74F2-9640-851D-0B0C26270E85}"/>
  <tableColumns count="9">
    <tableColumn id="9" xr3:uid="{BA5CF983-F8C7-7441-A189-F84DD40896A0}" name="周次" dataDxfId="192"/>
    <tableColumn id="8" xr3:uid="{9E033781-0ECB-CD49-92A8-1047C6DB5F7D}" name="开始日期" dataDxfId="191"/>
    <tableColumn id="1" xr3:uid="{80089117-FD64-1D48-BFDB-15C05C18BF76}" name="结束日期" dataDxfId="190"/>
    <tableColumn id="2" xr3:uid="{D7D86E26-824B-DB43-82B2-605046C8F537}" name="早起"/>
    <tableColumn id="3" xr3:uid="{6557ACFF-BF17-F44D-B6EE-0D6FB5AE755F}" name="阅读"/>
    <tableColumn id="4" xr3:uid="{2C59F66A-42F0-1349-B0E7-125D5FBE2A38}" name="早餐"/>
    <tableColumn id="5" xr3:uid="{C346E7C6-E7D5-6347-9EAE-4E5DCFEEB080}" name="锻炼"/>
    <tableColumn id="6" xr3:uid="{4732B006-5B07-9E42-BA25-987F2E2585C0}" name="日报"/>
    <tableColumn id="7" xr3:uid="{0FB1AA9B-5DBE-3C45-9439-79ABDDDED6E4}" name="明日日程安排"/>
  </tableColumns>
  <tableStyleInfo name="TableStyleLight3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C0194B4-D51D-ED41-8A2E-B33C636CDF25}" name="表6_1117206" displayName="表6_1117206" ref="A2:D5" totalsRowShown="0" headerRowDxfId="189">
  <autoFilter ref="A2:D5" xr:uid="{EFB21F1B-A9BB-AE4B-BE11-E3B1AF6AC445}"/>
  <tableColumns count="4">
    <tableColumn id="4" xr3:uid="{46657481-5D86-6943-8913-77B719BD4331}" name="月次" dataDxfId="188"/>
    <tableColumn id="1" xr3:uid="{90318115-0AF9-9F44-AEEC-5B7685555A06}" name="开始日期" dataDxfId="187"/>
    <tableColumn id="2" xr3:uid="{2B001BA7-68CA-224D-B80C-4282589B44F9}" name="结束日期" dataDxfId="186">
      <calculatedColumnFormula>SUMIF(records[日期],表6_1117206[[#This Row],[开始日期]],records[得分])</calculatedColumnFormula>
    </tableColumn>
    <tableColumn id="5" xr3:uid="{91B667EE-3416-9745-B2BA-7BED78B3D30E}" name="总分" dataDxfId="185"/>
  </tableColumns>
  <tableStyleInfo name="TableStyleLight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7A1626C-DE9F-7D40-AF08-EEAFACAF8C35}" name="表21_8" displayName="表21_8" ref="F2:AG5" totalsRowShown="0" headerRowDxfId="184">
  <autoFilter ref="F2:AG5" xr:uid="{14523FD4-A300-7340-BCF5-FECC8293A929}"/>
  <tableColumns count="28">
    <tableColumn id="1" xr3:uid="{090F7C31-5612-7F4C-82ED-9046B9207A3A}" name="月次">
      <calculatedColumnFormula>A3</calculatedColumnFormula>
    </tableColumn>
    <tableColumn id="2" xr3:uid="{619B856C-B4F8-5B40-81E6-BD44CA8BF429}" name="开始日期">
      <calculatedColumnFormula>B3</calculatedColumnFormula>
    </tableColumn>
    <tableColumn id="3" xr3:uid="{ED067585-515F-4C43-9313-02AF90211C61}" name="结束日期">
      <calculatedColumnFormula>C3</calculatedColumnFormula>
    </tableColumn>
    <tableColumn id="4" xr3:uid="{405FDA27-998E-9B4A-AACA-5D69A8866E7D}" name="0:00" dataDxfId="183"/>
    <tableColumn id="5" xr3:uid="{762D32D6-D532-F84D-AE0F-C5533FCB7D7B}" name="1:00" dataDxfId="182"/>
    <tableColumn id="6" xr3:uid="{C8E30361-2484-CA44-91DC-7D6B43C47B8B}" name="2:00" dataDxfId="181"/>
    <tableColumn id="7" xr3:uid="{7A2D307A-B93A-0A49-99CC-9182FA34D9BF}" name="3:00" dataDxfId="180"/>
    <tableColumn id="8" xr3:uid="{747EB82B-5BB5-124E-9972-49FB7177D7CC}" name="4:00" dataDxfId="179"/>
    <tableColumn id="9" xr3:uid="{0A04D06F-0382-4342-9424-A4766BBA81AA}" name="5:00" dataDxfId="178"/>
    <tableColumn id="10" xr3:uid="{FB395D22-0961-D045-8FEB-BB1AD2A81807}" name="6:00" dataDxfId="177"/>
    <tableColumn id="11" xr3:uid="{ED1DB384-BBB8-FC4E-AECD-E5CC57D36B01}" name="7:00" dataDxfId="176"/>
    <tableColumn id="12" xr3:uid="{C0EB7835-71FE-174D-8B48-4A61D112A80D}" name="8:00" dataDxfId="175"/>
    <tableColumn id="13" xr3:uid="{0A90C27E-BB9B-D448-914A-23239C5BB1F1}" name="9:00" dataDxfId="174"/>
    <tableColumn id="14" xr3:uid="{5C459079-F1CC-8649-A457-47A9BADC2181}" name="10:00" dataDxfId="173"/>
    <tableColumn id="15" xr3:uid="{37CA6891-FBFD-C343-9E84-A8FDED704763}" name="11:00" dataDxfId="172"/>
    <tableColumn id="16" xr3:uid="{6EBEA70B-3D46-6D41-A52A-D5D830F362E7}" name="12:00" dataDxfId="171"/>
    <tableColumn id="17" xr3:uid="{58539415-0FAF-DA45-8792-433CE5B53E30}" name="13:00" dataDxfId="170"/>
    <tableColumn id="18" xr3:uid="{DBD53A72-3ECA-A149-BAF4-B66D0222AE7E}" name="14:00" dataDxfId="169"/>
    <tableColumn id="19" xr3:uid="{154BD74A-25B6-8047-A61C-98EA9730F86D}" name="15:00" dataDxfId="168"/>
    <tableColumn id="20" xr3:uid="{38071110-4F9A-6F4E-9037-5DC0DB7DAD3F}" name="16:00" dataDxfId="167"/>
    <tableColumn id="21" xr3:uid="{A32B1682-FB6F-B14A-BA4C-71C664AACEA9}" name="17:00" dataDxfId="166"/>
    <tableColumn id="22" xr3:uid="{B4E7D504-231C-C74B-AA28-CD09715B61AD}" name="18:00" dataDxfId="165"/>
    <tableColumn id="23" xr3:uid="{06A127B5-9301-AF43-940B-DE4F0B6762D9}" name="19:00" dataDxfId="164"/>
    <tableColumn id="24" xr3:uid="{E9BDC65B-B9FE-3B4D-A900-344B63F65EEA}" name="20:00" dataDxfId="163"/>
    <tableColumn id="25" xr3:uid="{E93B1CD4-688E-E94F-AABD-BB49B3284BD6}" name="21:00" dataDxfId="162"/>
    <tableColumn id="26" xr3:uid="{95D8270A-1D70-8543-BB32-04A35207BB6F}" name="22:00" dataDxfId="161"/>
    <tableColumn id="27" xr3:uid="{F620EAED-6880-D74B-8193-D5DEC771D3AB}" name="23:00" dataDxfId="160"/>
    <tableColumn id="28" xr3:uid="{5E84164D-0BD8-034D-8608-D17EC6F40652}" name="23:59" dataDxfId="159"/>
  </tableColumns>
  <tableStyleInfo name="TableStyleLight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B11EB9A5-998D-5A47-BBD7-937DE2CB505A}" name="表9_2314" displayName="表9_2314" ref="AI2:AQ5" totalsRowShown="0" headerRowDxfId="158">
  <autoFilter ref="AI2:AQ5" xr:uid="{87C2B797-2C24-D14B-89E9-63D46DFF8C4B}"/>
  <tableColumns count="9">
    <tableColumn id="9" xr3:uid="{600E17F0-6552-D24D-BCEF-CF8F3C24D0EA}" name="月次" dataDxfId="157">
      <calculatedColumnFormula>A3</calculatedColumnFormula>
    </tableColumn>
    <tableColumn id="8" xr3:uid="{33199E61-30F7-6F4B-B0FC-23523D44645B}" name="开始日期" dataDxfId="156">
      <calculatedColumnFormula>B3</calculatedColumnFormula>
    </tableColumn>
    <tableColumn id="1" xr3:uid="{793EEC46-8D6A-7144-9557-DB8E08E9E1D5}" name="结束日期" dataDxfId="155">
      <calculatedColumnFormula>C3</calculatedColumnFormula>
    </tableColumn>
    <tableColumn id="2" xr3:uid="{7EF578DF-8841-DB40-A1C4-37C1EA7968A3}" name="早起" dataDxfId="154"/>
    <tableColumn id="3" xr3:uid="{584A0028-60D9-AE45-9D61-2F91440769CF}" name="阅读" dataDxfId="153"/>
    <tableColumn id="4" xr3:uid="{C1A28D49-923F-9C42-BFBD-2E031300240B}" name="早餐" dataDxfId="152"/>
    <tableColumn id="5" xr3:uid="{2DEF26E8-6C8B-444B-BCC9-320F199BDA2F}" name="锻炼" dataDxfId="151"/>
    <tableColumn id="6" xr3:uid="{6768D313-D3C2-434D-A4E4-CF4732F684C0}" name="日报" dataDxfId="150"/>
    <tableColumn id="7" xr3:uid="{3C619649-3A4F-EB4D-AA44-5C5076ACDC1A}" name="明日日程安排" dataDxfId="149"/>
  </tableColumns>
  <tableStyleInfo name="TableStyleLight3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E51A8FB8-6215-4A45-A310-7DE962F577EF}" name="表6_315" displayName="表6_315" ref="A34:D37" totalsRowShown="0" headerRowDxfId="148">
  <autoFilter ref="A34:D37" xr:uid="{5020670E-0A6E-A044-8955-09C1EF220D9D}"/>
  <tableColumns count="4">
    <tableColumn id="4" xr3:uid="{81573F1C-44D5-F84D-B86B-899104AA6221}" name="月次" dataDxfId="147"/>
    <tableColumn id="3" xr3:uid="{9F080DDD-4C8D-E24B-AE51-5733D40A7A78}" name="开始日期" dataDxfId="146"/>
    <tableColumn id="1" xr3:uid="{9F44C087-1E3E-CD46-8369-14F4503120D3}" name="结束日期" dataDxfId="145"/>
    <tableColumn id="2" xr3:uid="{4F0F6EE6-C1F7-514D-B84A-BB9718B80B22}" name="总分"/>
  </tableColumns>
  <tableStyleInfo name="TableStyleLight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72FA8AE5-2B05-8842-B212-3B8DC51DAEE9}" name="表8_416" displayName="表8_416" ref="F34:AG37" totalsRowShown="0" headerRowDxfId="144">
  <autoFilter ref="F34:AG37" xr:uid="{A3F921EE-F2E4-1841-BC12-D5F6AC8F0CB1}"/>
  <tableColumns count="28">
    <tableColumn id="28" xr3:uid="{F9E5BE51-0136-EC40-B802-673E70BE413A}" name="月次" dataDxfId="143"/>
    <tableColumn id="27" xr3:uid="{19C6B62B-6F98-0A4F-988F-0DDE37F5E9C5}" name="开始日期" dataDxfId="142"/>
    <tableColumn id="1" xr3:uid="{79ED134B-4CED-3749-A669-4F4DED386E99}" name="结束日期" dataDxfId="141"/>
    <tableColumn id="2" xr3:uid="{60A3AEE8-25A0-B547-9D80-BE8F8ECFFE94}" name="0:00"/>
    <tableColumn id="3" xr3:uid="{6FF5FFA7-DA0A-2343-8CCB-532EA18249EE}" name="1:00"/>
    <tableColumn id="4" xr3:uid="{0D6CCDE3-DCB9-C948-A9AB-97A057F319B2}" name="2:00"/>
    <tableColumn id="5" xr3:uid="{E1662846-A7D5-C948-8697-4084767AE5B6}" name="3:00"/>
    <tableColumn id="6" xr3:uid="{2F7CDF8B-C72A-2446-A377-2BF3D0A41294}" name="4:00"/>
    <tableColumn id="7" xr3:uid="{FB96C856-F9CB-F34B-953C-499E76A499DB}" name="5:00"/>
    <tableColumn id="8" xr3:uid="{72715B6D-ED76-4D45-BAE9-D3956AB7A678}" name="6:00"/>
    <tableColumn id="9" xr3:uid="{539F2E86-DD3D-DD4E-81E5-9F9C9FBA04C4}" name="7:00"/>
    <tableColumn id="10" xr3:uid="{31CCD902-DB1E-414A-ADB3-CE8EA415F8E6}" name="8:00"/>
    <tableColumn id="11" xr3:uid="{30960C47-772A-4040-AE7D-C2FBA7593519}" name="9:00"/>
    <tableColumn id="12" xr3:uid="{F4B480C1-67BC-B240-8301-73F50F799C09}" name="10:00"/>
    <tableColumn id="13" xr3:uid="{48FB54AE-8E30-BE4F-86F1-925C55BE08C8}" name="11:00"/>
    <tableColumn id="14" xr3:uid="{00333856-CF8D-384B-9C55-19B43EAAE55B}" name="12:00"/>
    <tableColumn id="15" xr3:uid="{B0AA6666-FE00-AC45-85AF-261906822A57}" name="13:00"/>
    <tableColumn id="16" xr3:uid="{489092D8-EA7A-4649-BEF2-3C55103B57ED}" name="14:00"/>
    <tableColumn id="17" xr3:uid="{2D2CA9EB-5660-CE49-98C9-3ABDCC79D56C}" name="15:00"/>
    <tableColumn id="18" xr3:uid="{DCAC47C2-F0E8-D742-B57D-175BB5F73338}" name="16:00"/>
    <tableColumn id="19" xr3:uid="{8084AA00-0277-F842-9F64-FB710B3A0767}" name="17:00"/>
    <tableColumn id="20" xr3:uid="{AD175A65-1155-A743-827E-19B5D9350C2E}" name="18:00"/>
    <tableColumn id="21" xr3:uid="{C818866D-C532-B14B-BE23-143564D4DF59}" name="19:00"/>
    <tableColumn id="22" xr3:uid="{2F1F8F72-8D4C-554E-9997-D44DF5AF2F0A}" name="20:00"/>
    <tableColumn id="23" xr3:uid="{1951D42D-CD1C-F644-A107-DB385DA9B5E5}" name="21:00"/>
    <tableColumn id="24" xr3:uid="{3005A84D-EF4A-8E45-8ED1-ABC1BDE8F013}" name="22:00"/>
    <tableColumn id="25" xr3:uid="{41CCF4CB-180A-A342-9953-79EC9116960E}" name="23:00"/>
    <tableColumn id="26" xr3:uid="{619FF3CF-465B-F041-BA5A-0CE5B39BD4FE}" name="23:59"/>
  </tableColumns>
  <tableStyleInfo name="TableStyleLight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339BD55F-D075-2B44-B021-5CD8C04ACEF1}" name="表9_517" displayName="表9_517" ref="AI34:AQ37" totalsRowShown="0" headerRowDxfId="140">
  <autoFilter ref="AI34:AQ37" xr:uid="{D0BD7879-7081-0944-9C0F-835D18C873CB}"/>
  <tableColumns count="9">
    <tableColumn id="9" xr3:uid="{77F8825B-6AEB-3B4E-B9FE-2EEC1D386CF1}" name="月次" dataDxfId="139"/>
    <tableColumn id="8" xr3:uid="{3C278DDB-5531-4946-A068-28787D4502A2}" name="开始日期" dataDxfId="138"/>
    <tableColumn id="1" xr3:uid="{B80DD24E-AE1F-8740-8196-940F65D004DF}" name="结束日期" dataDxfId="137"/>
    <tableColumn id="2" xr3:uid="{47EED8BC-BE76-6046-BB14-94A80BE6B0A8}" name="早起"/>
    <tableColumn id="3" xr3:uid="{D9303E20-6898-B040-8497-9DECA2022AE7}" name="阅读"/>
    <tableColumn id="4" xr3:uid="{4E494E69-C524-1548-AF28-7B330EE49257}" name="早餐"/>
    <tableColumn id="5" xr3:uid="{EF451301-A7CC-CA40-902D-9713138A9002}" name="锻炼"/>
    <tableColumn id="6" xr3:uid="{D141905D-4553-524E-8065-F20529AF251C}" name="日报"/>
    <tableColumn id="7" xr3:uid="{5A1E8677-ABE4-0D49-8327-CAE696C0BC77}" name="明日日程安排"/>
  </tableColumns>
  <tableStyleInfo name="TableStyleLight3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5E1621F9-44E1-FB47-8780-E70FA311D489}" name="表6_111720618" displayName="表6_111720618" ref="A2:D3" totalsRowShown="0" headerRowDxfId="136">
  <autoFilter ref="A2:D3" xr:uid="{43C1B49E-0DA0-D841-8E55-276A96035E33}"/>
  <tableColumns count="4">
    <tableColumn id="4" xr3:uid="{86BFD2FD-999A-B54C-8B1D-CA7F721B0C3B}" name="年" dataDxfId="135"/>
    <tableColumn id="1" xr3:uid="{2A9F4283-C7DB-7140-B028-D526782E5C2A}" name="开始日期" dataDxfId="134"/>
    <tableColumn id="2" xr3:uid="{C8405551-9194-4C4F-B1FE-2E522CF2FCB8}" name="结束日期" dataDxfId="133">
      <calculatedColumnFormula>EOMONTH(表6_111720618[[#This Row],[开始日期]],0)</calculatedColumnFormula>
    </tableColumn>
    <tableColumn id="5" xr3:uid="{FFE693FA-7D5D-E944-BEA3-0818DF9C3FCB}" name="总分" dataDxfId="132">
      <calculatedColumnFormula>SUMIFS(day!B40:B46,day!A40:A46,"&gt;="&amp;year!B3,day!A40:A46,"&lt;="&amp;year!C3)</calculatedColumnFormula>
    </tableColumn>
  </tableColumns>
  <tableStyleInfo name="TableStyleLight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99106DF0-0F4A-1347-861B-685CFE863AC2}" name="表21_819" displayName="表21_819" ref="F2:AG3" totalsRowShown="0" headerRowDxfId="131">
  <autoFilter ref="F2:AG3" xr:uid="{D5B7652F-A481-AB4A-9F25-EE385E17EAF7}"/>
  <tableColumns count="28">
    <tableColumn id="1" xr3:uid="{CA36F017-46C7-AA4B-9E3C-6535BF1E496A}" name="月次">
      <calculatedColumnFormula>A3</calculatedColumnFormula>
    </tableColumn>
    <tableColumn id="2" xr3:uid="{BF6DBEE6-A1CF-C04B-B177-17A603C98BF6}" name="开始日期">
      <calculatedColumnFormula>B3</calculatedColumnFormula>
    </tableColumn>
    <tableColumn id="3" xr3:uid="{2802CE8D-1137-5C47-B164-E24390AF1F77}" name="结束日期">
      <calculatedColumnFormula>C3</calculatedColumnFormula>
    </tableColumn>
    <tableColumn id="4" xr3:uid="{1EE0E8B3-8309-0148-B15F-77ED3708EA61}" name="0:00" dataDxfId="130">
      <calculatedColumnFormula>SUMIFS(day!E40:E46,day!D40:D46,"&gt;=" &amp; month!B3,day!D40:D46,"&lt;=" &amp; month!C3)</calculatedColumnFormula>
    </tableColumn>
    <tableColumn id="5" xr3:uid="{004A2608-F441-C74C-8D63-C6EEFD5062A1}" name="1:00" dataDxfId="129">
      <calculatedColumnFormula>SUMIFS(day!F40:F46,day!D40:D46,"&gt;=" &amp; month!B3,day!D40:D46,"&lt;=" &amp; month!C3)</calculatedColumnFormula>
    </tableColumn>
    <tableColumn id="6" xr3:uid="{920CED35-CFF4-4E4F-B03C-2FE8F079F412}" name="2:00" dataDxfId="128">
      <calculatedColumnFormula>SUMIFS(day!G40:G46,day!D40:D46,"&gt;=" &amp; month!B3,day!D40:D46,"&lt;=" &amp; month!C3)</calculatedColumnFormula>
    </tableColumn>
    <tableColumn id="7" xr3:uid="{C623AFEE-3786-D743-9731-A06749124202}" name="3:00" dataDxfId="127">
      <calculatedColumnFormula>SUMIFS(day!H40:H46,day!D40:D46,"&gt;=" &amp; month!B3,day!D40:D46,"&lt;=" &amp; month!C3)</calculatedColumnFormula>
    </tableColumn>
    <tableColumn id="8" xr3:uid="{546DDDC7-56D5-B944-B5E5-D2BC085BA51A}" name="4:00" dataDxfId="126">
      <calculatedColumnFormula>SUMIFS(day!I40:I46,day!D40:D46,"&gt;=" &amp; month!B3,day!D40:D46,"&lt;=" &amp; month!C3)</calculatedColumnFormula>
    </tableColumn>
    <tableColumn id="9" xr3:uid="{0F2F2C41-9A34-3946-B9DC-9F2CC5E6FEBE}" name="5:00" dataDxfId="125">
      <calculatedColumnFormula>SUMIFS(day!J40:J46,day!D40:D46,"&gt;=" &amp; month!B3,day!D40:D46,"&lt;=" &amp; month!C3)</calculatedColumnFormula>
    </tableColumn>
    <tableColumn id="10" xr3:uid="{E26E2FF0-A643-3442-9DA4-6AB1FBFD421E}" name="6:00" dataDxfId="124">
      <calculatedColumnFormula>SUMIFS(day!K40:K46,day!D40:D46,"&gt;=" &amp; month!B3,day!D40:D46,"&lt;=" &amp; month!C3)</calculatedColumnFormula>
    </tableColumn>
    <tableColumn id="11" xr3:uid="{B7A9F1E8-0B21-B341-9814-28BBB207AFD3}" name="7:00" dataDxfId="123">
      <calculatedColumnFormula>SUMIFS(day!L40:L46,day!D40:D46,"&gt;=" &amp; month!B3,day!D40:D46,"&lt;=" &amp; month!C3)</calculatedColumnFormula>
    </tableColumn>
    <tableColumn id="12" xr3:uid="{0B3A5293-BECB-4746-B4DD-F2C6941E46F1}" name="8:00" dataDxfId="122">
      <calculatedColumnFormula>SUMIFS(day!M40:M46,day!D40:D46,"&gt;=" &amp; month!B3,day!D40:D46,"&lt;=" &amp; month!C3)</calculatedColumnFormula>
    </tableColumn>
    <tableColumn id="13" xr3:uid="{BA84FAE7-D868-9D47-A4D0-1DAA6DC0C242}" name="9:00" dataDxfId="121">
      <calculatedColumnFormula>SUMIFS(day!N40:N46,day!D40:D46,"&gt;=" &amp; month!B3,day!D40:D46,"&lt;=" &amp; month!C3)</calculatedColumnFormula>
    </tableColumn>
    <tableColumn id="14" xr3:uid="{75762DBF-95DD-D743-B349-69E88FD3880E}" name="10:00" dataDxfId="120">
      <calculatedColumnFormula>SUMIFS(day!O40:O46,day!D40:D46,"&gt;=" &amp; month!B3,day!D40:D46,"&lt;=" &amp; month!C3)</calculatedColumnFormula>
    </tableColumn>
    <tableColumn id="15" xr3:uid="{79BA31DD-64EA-7E42-9DEE-A6BDA046F678}" name="11:00" dataDxfId="119">
      <calculatedColumnFormula>SUMIFS(day!P40:P46,day!D40:D46,"&gt;=" &amp; month!B3,day!D40:D46,"&lt;=" &amp; month!C3)</calculatedColumnFormula>
    </tableColumn>
    <tableColumn id="16" xr3:uid="{91C7E3B0-C80B-CC49-BBDD-FD6467E6D7F9}" name="12:00" dataDxfId="118">
      <calculatedColumnFormula>SUMIFS(day!Q40:Q46,day!D40:D46,"&gt;=" &amp; month!B3,day!D40:D46,"&lt;=" &amp; month!C3)</calculatedColumnFormula>
    </tableColumn>
    <tableColumn id="17" xr3:uid="{858FCEAD-7224-574B-AC80-D8C675E48365}" name="13:00" dataDxfId="117">
      <calculatedColumnFormula>SUMIFS(day!R40:R46,day!D40:D46,"&gt;=" &amp; month!B3,day!D40:D46,"&lt;=" &amp; month!C3)</calculatedColumnFormula>
    </tableColumn>
    <tableColumn id="18" xr3:uid="{982A826C-E2CA-F14A-B762-8C6160E2346E}" name="14:00" dataDxfId="116">
      <calculatedColumnFormula>SUMIFS(day!S40:S46,day!D40:D46,"&gt;=" &amp; month!B3,day!D40:D46,"&lt;=" &amp; month!C3)</calculatedColumnFormula>
    </tableColumn>
    <tableColumn id="19" xr3:uid="{1F01865B-2143-0341-8A3E-53FFBA389CC1}" name="15:00" dataDxfId="115">
      <calculatedColumnFormula>SUMIFS(day!T40:T46,day!D40:D46,"&gt;=" &amp; month!B3,day!D40:D46,"&lt;=" &amp; month!C3)</calculatedColumnFormula>
    </tableColumn>
    <tableColumn id="20" xr3:uid="{B10C887D-FB58-2B4B-8A51-4ADF8D5D6B83}" name="16:00" dataDxfId="114">
      <calculatedColumnFormula>SUMIFS(day!U40:U46,day!D40:D46,"&gt;=" &amp; month!B3,day!D40:D46,"&lt;=" &amp; month!C3)</calculatedColumnFormula>
    </tableColumn>
    <tableColumn id="21" xr3:uid="{90DFA2E3-8A31-AB42-BE1F-632D9F650273}" name="17:00" dataDxfId="113">
      <calculatedColumnFormula>SUMIFS(day!V40:V46,day!D40:D46,"&gt;=" &amp; month!B3,day!D40:D46,"&lt;=" &amp; month!C3)</calculatedColumnFormula>
    </tableColumn>
    <tableColumn id="22" xr3:uid="{647E6212-69E4-2F4C-8518-5272C2C9D652}" name="18:00" dataDxfId="112">
      <calculatedColumnFormula>SUMIFS(day!W40:W46,day!D40:D46,"&gt;=" &amp; month!B3,day!D40:D46,"&lt;=" &amp; month!C3)</calculatedColumnFormula>
    </tableColumn>
    <tableColumn id="23" xr3:uid="{87DAB4A5-7F45-0D4B-B584-96357D2BB9EF}" name="19:00" dataDxfId="111">
      <calculatedColumnFormula>SUMIFS(day!X40:X46,day!D40:D46,"&gt;=" &amp; month!B3,day!D40:D46,"&lt;=" &amp; month!C3)</calculatedColumnFormula>
    </tableColumn>
    <tableColumn id="24" xr3:uid="{E2051823-E39E-FF46-B019-2D6558FF87F8}" name="20:00" dataDxfId="110">
      <calculatedColumnFormula>SUMIFS(day!Y40:Y46,day!D40:D46,"&gt;=" &amp; month!B3,day!D40:D46,"&lt;=" &amp; month!C3)</calculatedColumnFormula>
    </tableColumn>
    <tableColumn id="25" xr3:uid="{4F8EEDF9-F8AA-B64E-96AE-4E2AE2E6EDFD}" name="21:00" dataDxfId="109">
      <calculatedColumnFormula>SUMIFS(day!Z40:Z46,day!D40:D46,"&gt;=" &amp; month!B3,day!D40:D46,"&lt;=" &amp; month!C3)</calculatedColumnFormula>
    </tableColumn>
    <tableColumn id="26" xr3:uid="{56483C1C-A9BB-9F4C-88F7-3C902944A38B}" name="22:00" dataDxfId="108">
      <calculatedColumnFormula>SUMIFS(day!AA40:AA46,day!D40:D46,"&gt;=" &amp; week!B3,day!D40:D46,"&lt;=" &amp; week!C3)</calculatedColumnFormula>
    </tableColumn>
    <tableColumn id="27" xr3:uid="{D6706B71-E45D-A144-840D-2F82900440CB}" name="23:00" dataDxfId="107">
      <calculatedColumnFormula>SUMIFS(day!AB40:AB46,day!D40:D46,"&gt;=" &amp; week!B3,day!D40:D46,"&lt;=" &amp; week!C3)</calculatedColumnFormula>
    </tableColumn>
    <tableColumn id="28" xr3:uid="{0F6B6743-510A-7D4B-A108-156F535473A1}" name="23:59" dataDxfId="106">
      <calculatedColumnFormula>SUMIFS(day!AC40:AC46,day!D40:D46,"&gt;=" &amp; week!B3,day!D40:D46,"&lt;=" &amp; week!C3)</calculatedColumnFormula>
    </tableColumn>
  </tableColumns>
  <tableStyleInfo name="TableStyleLight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5243496-D14C-AA4F-908F-D366EF3FA097}" name="表9_231421" displayName="表9_231421" ref="AI2:AQ3" totalsRowShown="0" headerRowDxfId="105">
  <autoFilter ref="AI2:AQ3" xr:uid="{E68A7614-2C4D-AA40-ACB9-68915A732768}"/>
  <tableColumns count="9">
    <tableColumn id="9" xr3:uid="{F90E13CC-DC34-E445-8533-E5261E8BD5CA}" name="年" dataDxfId="104">
      <calculatedColumnFormula>A3</calculatedColumnFormula>
    </tableColumn>
    <tableColumn id="8" xr3:uid="{6350A6AE-2423-DC4D-A68A-9695D230FA35}" name="开始日期" dataDxfId="103">
      <calculatedColumnFormula>B3</calculatedColumnFormula>
    </tableColumn>
    <tableColumn id="1" xr3:uid="{9567EDBE-B8C8-DC4F-9C02-A0159FA877E4}" name="结束日期" dataDxfId="102">
      <calculatedColumnFormula>C3</calculatedColumnFormula>
    </tableColumn>
    <tableColumn id="2" xr3:uid="{4E4CF3CD-EBF0-504D-A47C-37843C1197A9}" name="早起" dataDxfId="101">
      <calculatedColumnFormula>SUMIFS(day!AF40:AF46,day!D40:D46,"&gt;=" &amp; year!B3,day!D40:D46,"&lt;=" &amp; year!C3)</calculatedColumnFormula>
    </tableColumn>
    <tableColumn id="3" xr3:uid="{BEB7084C-5E50-FD43-8020-45BC1678773D}" name="阅读" dataDxfId="100">
      <calculatedColumnFormula>SUMIFS(day!AG40:AG46,day!D40:D46,"&gt;=" &amp; year!B3,day!D40:D46,"&lt;=" &amp; year!C3)</calculatedColumnFormula>
    </tableColumn>
    <tableColumn id="4" xr3:uid="{BD85B345-31CB-EA41-AE6F-5F68F48608BF}" name="早餐" dataDxfId="99">
      <calculatedColumnFormula>SUMIFS(day!AH40:AH46,day!D40:D46,"&gt;=" &amp; year!B3,day!D40:D46,"&lt;=" &amp; year!C3)</calculatedColumnFormula>
    </tableColumn>
    <tableColumn id="5" xr3:uid="{63576101-1B6B-2341-AB5A-20C22492B4D4}" name="锻炼" dataDxfId="98">
      <calculatedColumnFormula>SUMIFS(day!AI40:AI46,day!D40:D46,"&gt;=" &amp; year!B3,day!D40:D46,"&lt;=" &amp; year!C3)</calculatedColumnFormula>
    </tableColumn>
    <tableColumn id="6" xr3:uid="{CDC782FD-4478-6F40-9C54-B3EC18EC7885}" name="日报" dataDxfId="97">
      <calculatedColumnFormula>SUMIFS(day!AJ40:AJ46,day!D40:D46,"&gt;=" &amp; year!B3,day!D40:D46,"&lt;=" &amp; year!C3)</calculatedColumnFormula>
    </tableColumn>
    <tableColumn id="7" xr3:uid="{CF637469-E0A3-514B-980A-D1A528BA4796}" name="明日日程安排" dataDxfId="96">
      <calculatedColumnFormula>SUMIFS(day!AK40:AK46,day!D40:D46,"&gt;=" &amp; year!B3,day!D40:D46,"&lt;=" &amp; year!C3)</calculatedColumnFormula>
    </tableColumn>
  </tableColumns>
  <tableStyleInfo name="TableStyleLight3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DFCD32C4-97BA-404C-AFCE-DAEFB5FAFE5B}" name="表24" displayName="表24" ref="A32:D33" totalsRowShown="0" headerRowDxfId="95">
  <autoFilter ref="A32:D33" xr:uid="{B9A54E26-6357-944F-BC30-EEDB9045E75D}"/>
  <tableColumns count="4">
    <tableColumn id="1" xr3:uid="{643E787A-C144-9542-B8CF-714F36F12C5D}" name="年" dataDxfId="94"/>
    <tableColumn id="2" xr3:uid="{79DFBD75-77EA-AE45-AD7C-D90947F16501}" name="开始日期" dataDxfId="93"/>
    <tableColumn id="3" xr3:uid="{8E35A570-EE31-1246-A1CF-CA8E75EA6276}" name="结束日期" dataDxfId="92"/>
    <tableColumn id="4" xr3:uid="{C514C71C-00A9-184B-B63C-5B882FF99DCA}" name="总分"/>
  </tableColumns>
  <tableStyleInfo name="TableStyleLight1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57428EFB-AC66-9444-B5B4-A2D109B526B9}" name="表25" displayName="表25" ref="F32:AG33" totalsRowShown="0" headerRowDxfId="91">
  <autoFilter ref="F32:AG33" xr:uid="{28A7C99D-0396-7A42-9799-CC9C3DFC3EF2}"/>
  <tableColumns count="28">
    <tableColumn id="1" xr3:uid="{9925AE6C-512F-2643-B613-5A2E0B90C04C}" name="月次" dataDxfId="90"/>
    <tableColumn id="2" xr3:uid="{419E1E6D-5975-4A44-919C-C806B2B80DC3}" name="开始日期" dataDxfId="89"/>
    <tableColumn id="3" xr3:uid="{625A68D3-2705-A641-AFEB-E8577C71F26F}" name="结束日期" dataDxfId="88"/>
    <tableColumn id="4" xr3:uid="{005C042B-68D9-3441-8CC2-97ABE7CF8F3D}" name="0:00"/>
    <tableColumn id="5" xr3:uid="{56D56882-9CCD-0141-A3A0-B70F1723D930}" name="1:00"/>
    <tableColumn id="6" xr3:uid="{7658DC9F-DB41-544E-B1DB-7F6184EE244B}" name="2:00"/>
    <tableColumn id="7" xr3:uid="{FE21B4E0-718A-3E4B-862B-09B9203279C3}" name="3:00"/>
    <tableColumn id="8" xr3:uid="{84FA3404-C826-6845-AB70-4FD6D7B2A9F1}" name="4:00"/>
    <tableColumn id="9" xr3:uid="{9AFDD32A-917D-7C43-9196-2AB1C19DF6A8}" name="5:00"/>
    <tableColumn id="10" xr3:uid="{E0C99950-A894-E04D-8DF8-0BAFBF423DAD}" name="6:00"/>
    <tableColumn id="11" xr3:uid="{A561A234-BABD-E341-A129-292F7359819F}" name="7:00"/>
    <tableColumn id="12" xr3:uid="{CA5D07FF-1AE7-604D-8D15-C907AE02D927}" name="8:00"/>
    <tableColumn id="13" xr3:uid="{E04B5992-CFD6-A14F-9802-791CF2F0576F}" name="9:00"/>
    <tableColumn id="14" xr3:uid="{4FDAAA1E-03C8-F340-8CC5-1DF77BDCC9A1}" name="10:00"/>
    <tableColumn id="15" xr3:uid="{A020076E-8AA9-D441-86BD-2DC6187C3A38}" name="11:00"/>
    <tableColumn id="16" xr3:uid="{8211F429-3686-EC48-B966-3F4792CC96C8}" name="12:00"/>
    <tableColumn id="17" xr3:uid="{209C1358-B927-6A44-A173-E5678127C1BE}" name="13:00"/>
    <tableColumn id="18" xr3:uid="{A0566985-83F1-A443-9840-1E7ABC30F381}" name="14:00"/>
    <tableColumn id="19" xr3:uid="{87C67B85-0114-7F41-9938-43EA9F79BED6}" name="15:00"/>
    <tableColumn id="20" xr3:uid="{0CDBB001-75E7-5B44-AA96-A40440797C67}" name="16:00"/>
    <tableColumn id="21" xr3:uid="{B92777DE-2D91-5C43-8A0B-B37CBDAE4A3F}" name="17:00"/>
    <tableColumn id="22" xr3:uid="{AF69824E-B74D-C344-9ACB-1A61FA6694A2}" name="18:00"/>
    <tableColumn id="23" xr3:uid="{6295AD73-AB53-F446-AF12-B1D170AAFE79}" name="19:00"/>
    <tableColumn id="24" xr3:uid="{EBAD824C-44EB-0E48-9174-70AD37597963}" name="20:00"/>
    <tableColumn id="25" xr3:uid="{C5DBFC1D-5619-6D49-BA31-0D02EE1209BB}" name="21:00"/>
    <tableColumn id="26" xr3:uid="{BEB87ABD-3EED-3348-93FA-468366F5494A}" name="22:00"/>
    <tableColumn id="27" xr3:uid="{5A49D790-A740-8D4B-AB2F-E19D676B53AF}" name="23:00"/>
    <tableColumn id="28" xr3:uid="{155536C6-091E-744D-B84C-949C70BED298}" name="23:59"/>
  </tableColumns>
  <tableStyleInfo name="TableStyleLight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FFDFE08B-C197-A549-B87D-47F3F152A965}" name="表26" displayName="表26" ref="AI32:AQ33" totalsRowShown="0" headerRowDxfId="87">
  <autoFilter ref="AI32:AQ33" xr:uid="{5EE71B0C-4DFD-CC41-954A-E991049C87E5}"/>
  <tableColumns count="9">
    <tableColumn id="1" xr3:uid="{20168868-D0F6-0749-A068-05616127312F}" name="年" dataDxfId="86"/>
    <tableColumn id="2" xr3:uid="{9E88FBE9-AFC8-554B-B10F-0ABACAB12064}" name="开始日期" dataDxfId="85"/>
    <tableColumn id="3" xr3:uid="{FBCFA564-4B2C-234F-B5D8-308A63F59BFD}" name="结束日期" dataDxfId="84"/>
    <tableColumn id="4" xr3:uid="{9E79C8BC-3F74-E545-B35B-97B623AD4794}" name="早起"/>
    <tableColumn id="5" xr3:uid="{0EF52E61-E5B4-C44F-A328-9A38A7D0BA80}" name="阅读"/>
    <tableColumn id="6" xr3:uid="{3BC0FCE3-EC8A-3B49-A516-2000BA90E546}" name="早餐"/>
    <tableColumn id="7" xr3:uid="{E5C31183-1568-5C42-8C84-47B00275977C}" name="锻炼"/>
    <tableColumn id="8" xr3:uid="{25219034-028E-7D41-8BCB-F43D4B8EF4DE}" name="日报"/>
    <tableColumn id="9" xr3:uid="{30EAE45A-506C-5642-9DF9-9B778B20558D}" name="明日日程安排"/>
  </tableColumns>
  <tableStyleInfo name="TableStyleLight3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1528455F-43AE-8E46-A206-57791B0B92B0}" name="表27" displayName="表27" ref="A2:B3" totalsRowShown="0" headerRowDxfId="83">
  <autoFilter ref="A2:B3" xr:uid="{F2FF5C52-1F1E-6B4A-9E2E-658E7557B947}"/>
  <tableColumns count="2">
    <tableColumn id="1" xr3:uid="{330555E6-67AD-484E-A13F-C9144171AA0A}" name="日期" dataDxfId="82"/>
    <tableColumn id="2" xr3:uid="{614D4327-21DF-1F45-8BF0-D3AEE13D76A6}" name="分数">
      <calculatedColumnFormula>SUMIFS(records[得分],records[日期],search!A3)</calculatedColumnFormula>
    </tableColumn>
  </tableColumns>
  <tableStyleInfo name="TableStyleLight1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EBAD5BD2-DC53-FF45-8815-EEBFBFBF8B0A}" name="表28" displayName="表28" ref="A6:C7" totalsRowShown="0" headerRowDxfId="81">
  <autoFilter ref="A6:C7" xr:uid="{DEA2AB48-79F6-9B4B-82C2-49CD93AB8880}"/>
  <tableColumns count="3">
    <tableColumn id="1" xr3:uid="{C126EB6B-DB9E-7942-860E-9290D2AE6483}" name="开始日期" dataDxfId="80"/>
    <tableColumn id="2" xr3:uid="{006E4A71-49A3-B647-A9DB-5337AA4469A0}" name="结束日期" dataDxfId="79"/>
    <tableColumn id="3" xr3:uid="{47D88D29-DB31-AB45-A5E2-0EC48478154A}" name="分数">
      <calculatedColumnFormula>SUMIFS(records[得分],records[日期],"&gt;="&amp;search!A7,records[日期],"&lt;="&amp;search!B7)</calculatedColumnFormula>
    </tableColumn>
  </tableColumns>
  <tableStyleInfo name="TableStyleLight2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41E2A18B-79C8-4940-BAAF-D3F30E703569}" name="表29" displayName="表29" ref="A10:C11" totalsRowShown="0" headerRowDxfId="78">
  <autoFilter ref="A10:C11" xr:uid="{EA616C29-DC58-AD4B-ABD5-98C6AD2FC64C}"/>
  <tableColumns count="3">
    <tableColumn id="1" xr3:uid="{19552E0F-CFA1-3D42-ABE0-EE61CEECB21D}" name="开始时间" dataDxfId="77"/>
    <tableColumn id="3" xr3:uid="{4265D80D-CE0E-2C43-8B45-A52E7F440A92}" name="结束时间" dataDxfId="76"/>
    <tableColumn id="2" xr3:uid="{04CE9F0D-0D25-4344-8D4C-EB2F915219C4}" name="分数">
      <calculatedColumnFormula>SUMIFS(records[得分],records[开始时刻],"&gt;="&amp;search!A11,records[开始时刻],"&lt;="&amp;search!B11)</calculatedColumnFormula>
    </tableColumn>
  </tableColumns>
  <tableStyleInfo name="TableStyleLight3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A3F528D5-9946-EF4C-86F9-9E2D1CCB8B02}" name="表30" displayName="表30" ref="A14:D15" totalsRowShown="0" headerRowDxfId="75">
  <autoFilter ref="A14:D15" xr:uid="{89F8C143-1F1B-E344-BDE8-F8A37A512A08}"/>
  <tableColumns count="4">
    <tableColumn id="1" xr3:uid="{F6BF0760-3023-BE4B-A5CA-DBE999A8E6F2}" name="日期" dataDxfId="74"/>
    <tableColumn id="2" xr3:uid="{3D0DB2C9-7E7F-EB4D-AAEC-CA4C70A8F91D}" name="开始时间" dataDxfId="73"/>
    <tableColumn id="3" xr3:uid="{CE0DC205-E114-194C-B601-D92C1D5A9787}" name="结束时间" dataDxfId="72"/>
    <tableColumn id="4" xr3:uid="{C202E1AE-F6EF-8C44-B908-3B7125272410}" name="分数">
      <calculatedColumnFormula>SUMIFS(records[得分],records[日期],search!A15,records[开始时刻],"&gt;="&amp;search!B15,records[开始时刻],"&lt;="&amp;search!C15)</calculatedColumnFormula>
    </tableColumn>
  </tableColumns>
  <tableStyleInfo name="TableStyleLight4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5A954375-5C20-B54E-8F3A-0FFEE02FD940}" name="表31" displayName="表31" ref="A8:H20" totalsRowShown="0">
  <autoFilter ref="A8:H20" xr:uid="{1EFA4EEC-822A-7449-9A8A-23DC41ABE02C}"/>
  <tableColumns count="8">
    <tableColumn id="1" xr3:uid="{4E7CE900-22DD-714B-B734-45A4D027E774}" name="日期" dataDxfId="71"/>
    <tableColumn id="2" xr3:uid="{7A3991ED-B9BD-9843-8E68-4D51B39BE365}" name="开始时刻" dataDxfId="70"/>
    <tableColumn id="8" xr3:uid="{2C2C1B2B-89D6-D44B-A509-EE45B2D14642}" name="结束时刻" dataDxfId="69">
      <calculatedColumnFormula array="1">IFERROR(INDEX(records[结束时刻],MATCH(表31[[#This Row],[日期]]&amp;"早起",records[日期]&amp;records[名称],0)),"")</calculatedColumnFormula>
    </tableColumn>
    <tableColumn id="9" xr3:uid="{2B17046A-E61E-F24D-828A-9679FCBE2963}" name="持续时间" dataDxfId="68">
      <calculatedColumnFormula array="1">IFERROR(INDEX(records[持续时间],MATCH(表31[[#This Row],[日期]]&amp;"早起",records[日期]&amp;records[名称],0)),"")</calculatedColumnFormula>
    </tableColumn>
    <tableColumn id="3" xr3:uid="{75058C96-0182-D244-80D9-0BA9B15DBE1A}" name="得分">
      <calculatedColumnFormula array="1">IFERROR(INDEX(records[得分],MATCH(表31[[#This Row],[日期]]&amp;"早起",records[日期]&amp;records[名称],0)),"")</calculatedColumnFormula>
    </tableColumn>
    <tableColumn id="4" xr3:uid="{D3C9C11E-BC39-234E-A3B1-217506D48EDD}" name="得分备注">
      <calculatedColumnFormula array="1">IFERROR(INDEX(records[备注],MATCH(表31[[#This Row],[日期]]&amp;"早起",records[日期]&amp;records[名称],0))&amp;"","")</calculatedColumnFormula>
    </tableColumn>
    <tableColumn id="5" xr3:uid="{910A040C-37EB-E445-8DB8-DAE4A8CD8E86}" name="正连续天数2"/>
    <tableColumn id="6" xr3:uid="{88987EBE-318D-AB4C-896B-2585BB019AAA}" name="负连续天数"/>
  </tableColumns>
  <tableStyleInfo name="TableStyleLight1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36B40F93-07EC-744A-8F6C-8DE3C55EEE00}" name="表31_38" displayName="表31_38" ref="J8:Q20" totalsRowShown="0">
  <autoFilter ref="J8:Q20" xr:uid="{F44BE8BC-C58C-ED4C-A1A9-44E9FB8A8AF0}"/>
  <tableColumns count="8">
    <tableColumn id="1" xr3:uid="{6717EC18-DC1A-8D4D-95D3-34CA5A45CE00}" name="日期" dataDxfId="67"/>
    <tableColumn id="2" xr3:uid="{09742971-AED2-444A-A80A-0B45357F85CC}" name="开始时刻" dataDxfId="66">
      <calculatedColumnFormula array="1">IFERROR(INDEX(records[开始时刻],MATCH(表31_38[[#This Row],[日期]]&amp;"刷牙洗脸",records[日期]&amp;records[名称],0)),"")</calculatedColumnFormula>
    </tableColumn>
    <tableColumn id="8" xr3:uid="{5497CD0C-FD0D-F840-BCDE-C38F749E8D8B}" name="结束时刻" dataDxfId="65">
      <calculatedColumnFormula array="1">IFERROR(INDEX(records[结束时刻],MATCH(表31_38[[#This Row],[日期]]&amp;"刷牙洗脸",records[日期]&amp;records[名称],0)),"")</calculatedColumnFormula>
    </tableColumn>
    <tableColumn id="9" xr3:uid="{76252B13-DCA5-BF4B-9A0E-E7198AE80C8C}" name="持续时间" dataDxfId="64">
      <calculatedColumnFormula array="1">IFERROR(INDEX(records[持续时间],MATCH(表31_38[[#This Row],[日期]]&amp;"刷牙洗脸",records[日期]&amp;records[名称],0)),"")</calculatedColumnFormula>
    </tableColumn>
    <tableColumn id="3" xr3:uid="{80640791-7EF8-1244-B7A6-59EA9F2C2339}" name="得分">
      <calculatedColumnFormula array="1">IFERROR(INDEX(records[得分],MATCH(表31_38[[#This Row],[日期]]&amp;"刷牙洗脸",records[日期]&amp;records[名称],0)),"")</calculatedColumnFormula>
    </tableColumn>
    <tableColumn id="4" xr3:uid="{ED81298D-5819-C749-9A4F-775EE02BBB31}" name="得分备注">
      <calculatedColumnFormula array="1">IFERROR(INDEX(records[备注],MATCH(表31_38[[#This Row],[日期]]&amp;"刷牙洗脸",records[日期]&amp;records[名称],0))&amp;"","")</calculatedColumnFormula>
    </tableColumn>
    <tableColumn id="5" xr3:uid="{0802A5B0-EE68-C845-8F1A-0451FAC26E48}" name="正连续天数2"/>
    <tableColumn id="6" xr3:uid="{E68613DC-4148-A24F-8056-ACBC16B15E52}" name="负连续天数"/>
  </tableColumns>
  <tableStyleInfo name="TableStyleLight1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5E103895-A410-B44F-A0FD-679C7AE85807}" name="表31_24" displayName="表31_24" ref="A8:H32" totalsRowShown="0">
  <autoFilter ref="A8:H32" xr:uid="{6223C41C-E09C-5647-9085-4FB0A0D87DF6}"/>
  <tableColumns count="8">
    <tableColumn id="1" xr3:uid="{08DDE9E8-C3CA-564D-96B2-42423AC6ECAD}" name="日期" dataDxfId="63"/>
    <tableColumn id="2" xr3:uid="{0E12D098-272F-A34E-81B5-FD12721FBCCC}" name="开始时刻" dataDxfId="62">
      <calculatedColumnFormula array="1">IFERROR(INDEX(records[开始时刻],MATCH(表31_24[[#This Row],[日期]]&amp;"阅读",records[日期]&amp;records[名称],0)),"")</calculatedColumnFormula>
    </tableColumn>
    <tableColumn id="7" xr3:uid="{3097AD64-9998-934C-B24E-1B3BFD76821C}" name="结束时刻" dataDxfId="61">
      <calculatedColumnFormula array="1">IFERROR(INDEX(records[结束时刻],MATCH(表31_24[[#This Row],[日期]]&amp;"阅读",records[日期]&amp;records[名称],0)),"")</calculatedColumnFormula>
    </tableColumn>
    <tableColumn id="8" xr3:uid="{02D01728-6FAF-1040-A7AC-D8FC877EC5FF}" name="持续时间" dataDxfId="60">
      <calculatedColumnFormula array="1">IFERROR(INDEX(records[持续时间],MATCH(表31_24[[#This Row],[日期]]&amp;"阅读",records[日期]&amp;records[名称],0)),"")</calculatedColumnFormula>
    </tableColumn>
    <tableColumn id="3" xr3:uid="{6BE882FF-E7A6-7146-B199-C5B245C99458}" name="得分">
      <calculatedColumnFormula array="1">IFERROR(INDEX(records[得分],MATCH(表31_24[[#This Row],[日期]]&amp;"阅读",records[日期]&amp;records[名称],0)),"")</calculatedColumnFormula>
    </tableColumn>
    <tableColumn id="4" xr3:uid="{B8DB8AC3-836A-6347-B8A8-A681E13C2FB6}" name="得分备注">
      <calculatedColumnFormula array="1">IFERROR(INDEX(records[备注],MATCH(表31_24[[#This Row],[日期]]&amp;"阅读",records[日期]&amp;records[名称],0))&amp;"","")</calculatedColumnFormula>
    </tableColumn>
    <tableColumn id="5" xr3:uid="{6C026AEE-0200-A542-BCE4-8F4126527DB9}" name="正连续天数2"/>
    <tableColumn id="6" xr3:uid="{AD05FEBB-6EC5-9B48-A556-403822196682}" name="负连续天数"/>
  </tableColumns>
  <tableStyleInfo name="TableStyleLight1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31D7E7A6-DC60-4140-8077-68B159687F28}" name="表31_36" displayName="表31_36" ref="A9:H29" totalsRowShown="0">
  <autoFilter ref="A9:H29" xr:uid="{848BBEB5-DCCD-3F4F-91E3-D2E7646FEA92}"/>
  <tableColumns count="8">
    <tableColumn id="1" xr3:uid="{3F343841-4748-8D4D-A46F-B6C820F737BE}" name="日期" dataDxfId="59"/>
    <tableColumn id="2" xr3:uid="{029A3E6A-7D34-7446-8082-76E9CEF6555A}" name="开始时刻" dataDxfId="58">
      <calculatedColumnFormula array="1">IFERROR(INDEX(records[开始时刻],MATCH(表31_36[[#This Row],[日期]]&amp;"做早餐",records[日期]&amp;records[名称],0)),"")</calculatedColumnFormula>
    </tableColumn>
    <tableColumn id="8" xr3:uid="{9477B905-F312-5B40-84B9-D68CB70074CF}" name="结束时刻" dataDxfId="57">
      <calculatedColumnFormula array="1">IFERROR(INDEX(records[结束时刻],MATCH(表31_36[[#This Row],[日期]]&amp;"做早餐",records[日期]&amp;records[名称],0)),"")</calculatedColumnFormula>
    </tableColumn>
    <tableColumn id="9" xr3:uid="{0D806ACC-0B7B-C844-92EA-E5D9A2E20181}" name="持续时间" dataDxfId="56">
      <calculatedColumnFormula array="1">IFERROR(INDEX(records[持续时间],MATCH(表31_36[[#This Row],[日期]]&amp;"做早餐",records[日期]&amp;records[名称],0)),"")</calculatedColumnFormula>
    </tableColumn>
    <tableColumn id="3" xr3:uid="{28890857-70F5-2445-9F43-D6D84A3722BB}" name="得分">
      <calculatedColumnFormula array="1">IFERROR(INDEX(records[得分],MATCH(表31_36[[#This Row],[日期]]&amp;"做早餐",records[日期]&amp;records[名称],0)),"")</calculatedColumnFormula>
    </tableColumn>
    <tableColumn id="4" xr3:uid="{807E94FE-5A1F-0441-90B0-C1F6A098D355}" name="得分备注">
      <calculatedColumnFormula array="1">IFERROR(INDEX(records[备注],MATCH(表31_36[[#This Row],[日期]]&amp;"做早餐",records[日期]&amp;records[名称],0))&amp;"","")</calculatedColumnFormula>
    </tableColumn>
    <tableColumn id="5" xr3:uid="{A857A74A-27F5-3541-AD47-DD708C28DB56}" name="正连续天数"/>
    <tableColumn id="6" xr3:uid="{906FA0F7-EB31-5C40-8DD2-2B288AFB2DD9}" name="负连续天数"/>
  </tableColumns>
  <tableStyleInfo name="TableStyleLight1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E6B38119-3623-6244-9EAF-E485055F1811}" name="表31_3637" displayName="表31_3637" ref="J9:Q29" totalsRowShown="0">
  <autoFilter ref="J9:Q29" xr:uid="{EB3CB43A-2FEC-5A4C-8A58-585136EBE8C8}"/>
  <tableColumns count="8">
    <tableColumn id="1" xr3:uid="{8F4FD686-4CFB-E94D-A26A-8911EC02B20B}" name="日期" dataDxfId="55"/>
    <tableColumn id="2" xr3:uid="{48F65186-1E24-DB4E-86BF-56A24822844D}" name="开始时刻" dataDxfId="54">
      <calculatedColumnFormula array="1">IFERROR(INDEX(records[开始时刻],MATCH(表31_3637[[#This Row],[日期]]&amp;"吃早餐",records[日期]&amp;records[名称],0)),"")</calculatedColumnFormula>
    </tableColumn>
    <tableColumn id="8" xr3:uid="{45F0A9DE-7326-A042-B3F8-EE6D252AC3D7}" name="结束时刻" dataDxfId="53">
      <calculatedColumnFormula array="1">IFERROR(INDEX(records[结束时刻],MATCH(表31_3637[[#This Row],[日期]]&amp;"吃早餐",records[日期]&amp;records[名称],0)),"")</calculatedColumnFormula>
    </tableColumn>
    <tableColumn id="9" xr3:uid="{8521E60A-5547-1E44-88DA-B20BBC60E089}" name="持续时间" dataDxfId="52">
      <calculatedColumnFormula array="1">IFERROR(INDEX(records[持续时间],MATCH(表31_3637[[#This Row],[日期]]&amp;"吃早餐",records[日期]&amp;records[名称],0)),"")</calculatedColumnFormula>
    </tableColumn>
    <tableColumn id="3" xr3:uid="{B8917C9C-1D30-8243-902F-74E256FFDCB4}" name="得分">
      <calculatedColumnFormula array="1">IFERROR(INDEX(records[得分],MATCH(表31_3637[[#This Row],[日期]]&amp;"吃早餐",records[日期]&amp;records[名称],0)),"")</calculatedColumnFormula>
    </tableColumn>
    <tableColumn id="4" xr3:uid="{F30DECEC-5ACC-8C44-9C21-399302BFB0E1}" name="得分备注">
      <calculatedColumnFormula array="1">IFERROR(INDEX(records[备注],MATCH(表31_3637[[#This Row],[日期]]&amp;"吃早餐",records[日期]&amp;records[名称],0))&amp;"","")</calculatedColumnFormula>
    </tableColumn>
    <tableColumn id="5" xr3:uid="{4BF5A52B-EE10-AC40-86F0-2AB79D9304AD}" name="正连续天数"/>
    <tableColumn id="6" xr3:uid="{0FB5252E-1FB9-4744-91F1-C3A5CCA43FA9}" name="负连续天数"/>
  </tableColumns>
  <tableStyleInfo name="TableStyleLight1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872E6A61-DFF2-2D46-A512-79D45BA9EC2A}" name="表31_3639" displayName="表31_3639" ref="A9:H29" totalsRowShown="0">
  <autoFilter ref="A9:H29" xr:uid="{4B3DB238-23A5-494A-ACBD-72AC079B9DD0}"/>
  <tableColumns count="8">
    <tableColumn id="1" xr3:uid="{69EDC7D4-6481-884D-BAC2-7DA1397A409D}" name="日期" dataDxfId="51"/>
    <tableColumn id="2" xr3:uid="{9FE0A3E7-E2FB-3D4E-A34B-DB3D2B2E48D1}" name="开始时刻" dataDxfId="50">
      <calculatedColumnFormula array="1">IFERROR(INDEX(records[开始时刻],MATCH(表31_3639[[#This Row],[日期]]&amp;"做午餐",records[日期]&amp;records[名称],0)),"")</calculatedColumnFormula>
    </tableColumn>
    <tableColumn id="8" xr3:uid="{62CF416F-D919-D84F-8622-800BB3A2E5F3}" name="结束时刻" dataDxfId="49">
      <calculatedColumnFormula array="1">IFERROR(INDEX(records[结束时刻],MATCH(表31_3639[[#This Row],[日期]]&amp;"做午餐",records[日期]&amp;records[名称],0)),"")</calculatedColumnFormula>
    </tableColumn>
    <tableColumn id="9" xr3:uid="{2D625A63-1588-EA47-881B-5B15DAE22CC9}" name="持续时间" dataDxfId="48">
      <calculatedColumnFormula array="1">IFERROR(INDEX(records[持续时间],MATCH(表31_3639[[#This Row],[日期]]&amp;"做午餐",records[日期]&amp;records[名称],0)),"")</calculatedColumnFormula>
    </tableColumn>
    <tableColumn id="3" xr3:uid="{42CC92B9-414B-D241-BE5B-A8E1E5801A91}" name="得分">
      <calculatedColumnFormula array="1">IFERROR(INDEX(records[得分],MATCH(表31_3639[[#This Row],[日期]]&amp;"做午餐",records[日期]&amp;records[名称],0)),"")</calculatedColumnFormula>
    </tableColumn>
    <tableColumn id="4" xr3:uid="{C4F88115-7EA1-F54E-8BCE-8C86ADFA8CE7}" name="得分备注">
      <calculatedColumnFormula array="1">IFERROR(INDEX(records[备注],MATCH(表31_3639[[#This Row],[日期]]&amp;"做午餐",records[日期]&amp;records[名称],0))&amp;"","")</calculatedColumnFormula>
    </tableColumn>
    <tableColumn id="5" xr3:uid="{A0880E69-E586-8549-8822-C27404679353}" name="正连续天数"/>
    <tableColumn id="6" xr3:uid="{33E347F3-5D2E-CE4B-BF11-8FFE0F391D75}" name="负连续天数"/>
  </tableColumns>
  <tableStyleInfo name="TableStyleLight1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433A5C7A-D794-784F-8561-ED9CDB8A5D72}" name="表31_363740" displayName="表31_363740" ref="J9:Q29" totalsRowShown="0">
  <autoFilter ref="J9:Q29" xr:uid="{439CD93A-7D05-6846-A72F-230ADB9F4F67}"/>
  <tableColumns count="8">
    <tableColumn id="1" xr3:uid="{211A868B-2DF1-4143-B383-B8D294145DB4}" name="日期" dataDxfId="47"/>
    <tableColumn id="2" xr3:uid="{596520A2-02DC-3943-9426-32116267AE1B}" name="开始时刻" dataDxfId="46">
      <calculatedColumnFormula array="1">IFERROR(INDEX(records[开始时刻],MATCH(表31_363740[[#This Row],[日期]]&amp;"吃午餐",records[日期]&amp;records[名称],0)),"")</calculatedColumnFormula>
    </tableColumn>
    <tableColumn id="8" xr3:uid="{3C573DE6-06B8-F24C-BAA0-861E661AC84A}" name="结束时刻" dataDxfId="45">
      <calculatedColumnFormula array="1">IFERROR(INDEX(records[结束时刻],MATCH(表31_363740[[#This Row],[日期]]&amp;"吃午餐",records[日期]&amp;records[名称],0)),"")</calculatedColumnFormula>
    </tableColumn>
    <tableColumn id="9" xr3:uid="{FB5B531C-7244-D24F-822C-8C3BD2F132FB}" name="持续时间" dataDxfId="44">
      <calculatedColumnFormula array="1">IFERROR(INDEX(records[持续时间],MATCH(表31_363740[[#This Row],[日期]]&amp;"吃午餐",records[日期]&amp;records[名称],0)),"")</calculatedColumnFormula>
    </tableColumn>
    <tableColumn id="3" xr3:uid="{83109AF6-813D-F54E-9C66-FCB1DF4C14D4}" name="得分">
      <calculatedColumnFormula array="1">IFERROR(INDEX(records[得分],MATCH(表31_363740[[#This Row],[日期]]&amp;"吃午餐",records[日期]&amp;records[名称],0)),"")</calculatedColumnFormula>
    </tableColumn>
    <tableColumn id="4" xr3:uid="{E97F6E5D-F11A-BD49-8C9B-A68BD223C056}" name="得分备注">
      <calculatedColumnFormula array="1">IFERROR(INDEX(records[备注],MATCH(表31_363740[[#This Row],[日期]]&amp;"吃午餐",records[日期]&amp;records[名称],0))&amp;"","")</calculatedColumnFormula>
    </tableColumn>
    <tableColumn id="5" xr3:uid="{C94260F1-91B9-9048-B3A9-0F94F6A5C477}" name="正连续天数"/>
    <tableColumn id="6" xr3:uid="{4AF30172-B629-9745-8874-DF568A89C4AB}" name="负连续天数"/>
  </tableColumns>
  <tableStyleInfo name="TableStyleLight1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4EF08CAA-8082-BD48-A945-8AF9BD7EE491}" name="表42" displayName="表42" ref="A9:H29" totalsRowShown="0" headerRowDxfId="43" dataDxfId="41" headerRowBorderDxfId="42" tableBorderDxfId="40">
  <autoFilter ref="A9:H29" xr:uid="{482B60F4-9D22-4542-B557-B765EBBA340D}"/>
  <tableColumns count="8">
    <tableColumn id="1" xr3:uid="{D6FD79F4-9843-0543-B93A-1758073B44BD}" name="日期" dataDxfId="39"/>
    <tableColumn id="2" xr3:uid="{93AF5AB7-CC0E-0A4F-8927-A91FDBAB48B8}" name="开始时刻" dataDxfId="38">
      <calculatedColumnFormula array="1">IFERROR(INDEX(records[开始时刻],MATCH(表42[[#This Row],[日期]]&amp;"做晚餐",records[日期]&amp;records[名称],0)),"")</calculatedColumnFormula>
    </tableColumn>
    <tableColumn id="3" xr3:uid="{527EB13C-F6E0-2945-B65F-2C6CD51B7309}" name="结束时刻" dataDxfId="37">
      <calculatedColumnFormula array="1">IFERROR(INDEX(records[结束时刻],MATCH(表42[[#This Row],[日期]]&amp;"做晚餐",records[日期]&amp;records[名称],0)),"")</calculatedColumnFormula>
    </tableColumn>
    <tableColumn id="4" xr3:uid="{92D62099-6A5A-4146-A115-33B6C6C8C886}" name="持续时间" dataDxfId="36">
      <calculatedColumnFormula array="1">IFERROR(INDEX(records[持续时间],MATCH(表42[[#This Row],[日期]]&amp;"做晚餐",records[日期]&amp;records[名称],0)),"")</calculatedColumnFormula>
    </tableColumn>
    <tableColumn id="5" xr3:uid="{0A18FE1D-764F-5247-BA7E-DE1FFCAC06D4}" name="得分" dataDxfId="35">
      <calculatedColumnFormula array="1">IFERROR(INDEX(records[得分],MATCH(表42[[#This Row],[日期]]&amp;"做晚餐",records[日期]&amp;records[名称],0)),"")</calculatedColumnFormula>
    </tableColumn>
    <tableColumn id="6" xr3:uid="{35349134-F753-464F-98C8-326CBF76178E}" name="得分备注" dataDxfId="34">
      <calculatedColumnFormula array="1">IFERROR(INDEX(records[备注],MATCH(表42[[#This Row],[日期]]&amp;"做晚餐",records[日期]&amp;records[名称],0))&amp;"","")</calculatedColumnFormula>
    </tableColumn>
    <tableColumn id="7" xr3:uid="{3FCE0E21-A30E-3143-829F-124ECB18086F}" name="正连续天数" dataDxfId="33"/>
    <tableColumn id="8" xr3:uid="{9FFBE13F-DEE9-A640-BE8A-D8C041CD4DBF}" name="负连续天数" dataDxfId="32"/>
  </tableColumns>
  <tableStyleInfo name="TableStyleLight1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2F352C50-2783-B043-9A39-49383FC02170}" name="表43" displayName="表43" ref="J9:Q29" totalsRowShown="0" headerRowDxfId="31" dataDxfId="29" headerRowBorderDxfId="30" tableBorderDxfId="28">
  <autoFilter ref="J9:Q29" xr:uid="{041DC3F4-A6FE-ED49-98F3-CC6947624B4C}"/>
  <tableColumns count="8">
    <tableColumn id="1" xr3:uid="{6CC3783A-360B-B14F-91E2-A214393FDD35}" name="日期" dataDxfId="27"/>
    <tableColumn id="2" xr3:uid="{13B260FB-3EC8-5844-8ED1-6A3C35FA4283}" name="开始时刻" dataDxfId="26">
      <calculatedColumnFormula array="1">IFERROR(INDEX(records[开始时刻],MATCH(表42[[#This Row],[日期]]&amp;"做晚餐",records[日期]&amp;records[名称],0)),"")</calculatedColumnFormula>
    </tableColumn>
    <tableColumn id="3" xr3:uid="{5012B263-4B7B-AA4E-B1BE-8CD41D8582CE}" name="结束时刻" dataDxfId="25">
      <calculatedColumnFormula array="1">IFERROR(INDEX(records[结束时刻],MATCH(表42[[#This Row],[日期]]&amp;"做晚餐",records[日期]&amp;records[名称],0)),"")</calculatedColumnFormula>
    </tableColumn>
    <tableColumn id="4" xr3:uid="{C541BEB5-C949-364D-AEF3-F14171EDFE8E}" name="持续时间" dataDxfId="24">
      <calculatedColumnFormula array="1">IFERROR(INDEX(records[持续时间],MATCH(表42[[#This Row],[日期]]&amp;"做晚餐",records[日期]&amp;records[名称],0)),"")</calculatedColumnFormula>
    </tableColumn>
    <tableColumn id="5" xr3:uid="{391CC4A7-1A2F-C94C-90CE-9F1EA2980254}" name="得分" dataDxfId="23">
      <calculatedColumnFormula array="1">IFERROR(INDEX(records[得分],MATCH(表42[[#This Row],[日期]]&amp;"做晚餐",records[日期]&amp;records[名称],0)),"")</calculatedColumnFormula>
    </tableColumn>
    <tableColumn id="6" xr3:uid="{7C5A147E-BCB3-8D41-9B4C-4B6EF8DB297B}" name="得分备注" dataDxfId="22">
      <calculatedColumnFormula array="1">IFERROR(INDEX(records[备注],MATCH(表42[[#This Row],[日期]]&amp;"做晚餐",records[日期]&amp;records[名称],0))&amp;"","")</calculatedColumnFormula>
    </tableColumn>
    <tableColumn id="7" xr3:uid="{CB21EE15-365B-4749-8E79-B9EE0C75C272}" name="正连续天数" dataDxfId="21"/>
    <tableColumn id="8" xr3:uid="{1127693E-F5F7-9A4B-94FE-5FB2D0F3D29D}" name="负连续天数" dataDxfId="20"/>
  </tableColumns>
  <tableStyleInfo name="TableStyleLight1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2F627844-7667-424A-BDED-6098ED2EAAA1}" name="表31_33" displayName="表31_33" ref="A8:H33" totalsRowShown="0">
  <autoFilter ref="A8:H33" xr:uid="{02CB6C5F-CAC1-D347-893E-438E30C15643}"/>
  <tableColumns count="8">
    <tableColumn id="1" xr3:uid="{093C3A35-27EC-0247-8DB2-BE3564B083B5}" name="日期" dataDxfId="19"/>
    <tableColumn id="2" xr3:uid="{66D3BBCE-C0C5-154D-96FE-244EA2FEF793}" name="开始时刻" dataDxfId="18">
      <calculatedColumnFormula array="1">IFERROR(INDEX(records[开始时刻],MATCH(表31_33[[#This Row],[日期]]&amp;"锻炼",records[日期]&amp;records[名称],0)),"")</calculatedColumnFormula>
    </tableColumn>
    <tableColumn id="7" xr3:uid="{55504D32-5D8C-B04A-ABF4-053B16221586}" name="结束时刻" dataDxfId="17">
      <calculatedColumnFormula array="1">IFERROR(INDEX(records[结束时刻],MATCH(表31_33[[#This Row],[日期]]&amp;"锻炼",records[日期]&amp;records[名称],0)),"")</calculatedColumnFormula>
    </tableColumn>
    <tableColumn id="8" xr3:uid="{1B8E44D3-7FC2-5F40-98AF-D90112745CFB}" name="持续时间" dataDxfId="16">
      <calculatedColumnFormula array="1">IFERROR(INDEX(records[持续时间],MATCH(表31_33[[#This Row],[日期]]&amp;"锻炼",records[日期]&amp;records[名称],0)),"")</calculatedColumnFormula>
    </tableColumn>
    <tableColumn id="3" xr3:uid="{D7F2474D-3322-2945-A8A3-0ACCEDE596A4}" name="得分">
      <calculatedColumnFormula array="1">IFERROR(INDEX(records[得分],MATCH(表31_33[[#This Row],[日期]]&amp;"锻炼",records[日期]&amp;records[名称],0)),"")</calculatedColumnFormula>
    </tableColumn>
    <tableColumn id="4" xr3:uid="{C1AF0911-21B1-3341-824E-B031A094CB0F}" name="得分备注">
      <calculatedColumnFormula array="1">IFERROR(INDEX(records[备注],MATCH(表31_33[[#This Row],[日期]]&amp;"锻炼",records[日期]&amp;records[名称],0))&amp;"","")</calculatedColumnFormula>
    </tableColumn>
    <tableColumn id="5" xr3:uid="{E94821B7-F593-D84C-A766-561010FBD5F8}" name="正连续天数2"/>
    <tableColumn id="6" xr3:uid="{0C3733F0-A38A-D64E-9BE8-D69AF2E6E74F}" name="负连续天数"/>
  </tableColumns>
  <tableStyleInfo name="TableStyleLight1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B8DB747F-8DCB-B248-93AD-368C58B147FF}" name="表31_34" displayName="表31_34" ref="J8:Q33" totalsRowShown="0">
  <autoFilter ref="J8:Q33" xr:uid="{640EBBDD-4252-F44C-87AC-0086FBD145B5}"/>
  <tableColumns count="8">
    <tableColumn id="1" xr3:uid="{8CD79330-2DA6-7C44-9E1C-DEABB7DCD8F0}" name="日期" dataDxfId="15"/>
    <tableColumn id="2" xr3:uid="{3183B1FE-B760-774A-960B-211746DC187A}" name="开始时刻" dataDxfId="14">
      <calculatedColumnFormula array="1">IFERROR(INDEX(records[开始时刻],MATCH(表31_34[[#This Row],[日期]]&amp;"洗澡",records[日期]&amp;records[名称],0)),"")</calculatedColumnFormula>
    </tableColumn>
    <tableColumn id="7" xr3:uid="{52009FEB-D423-284E-878D-7363AA2407EB}" name="结束时刻" dataDxfId="13">
      <calculatedColumnFormula array="1">IFERROR(INDEX(records[结束时刻],MATCH(表31_34[[#This Row],[日期]]&amp;"洗澡",records[日期]&amp;records[名称],0)),"")</calculatedColumnFormula>
    </tableColumn>
    <tableColumn id="8" xr3:uid="{CC674831-7672-B241-AFE7-8BC0A482397F}" name="持续时间" dataDxfId="12">
      <calculatedColumnFormula array="1">IFERROR(INDEX(records[持续时间],MATCH(表31_34[[#This Row],[日期]]&amp;"洗澡",records[日期]&amp;records[名称],0)),"")</calculatedColumnFormula>
    </tableColumn>
    <tableColumn id="3" xr3:uid="{A075A8A2-A42C-294D-9927-27F4CE1C5002}" name="得分">
      <calculatedColumnFormula array="1">IFERROR(INDEX(records[得分],MATCH(表31_34[[#This Row],[日期]]&amp;"洗澡",records[日期]&amp;records[名称],0)),"")</calculatedColumnFormula>
    </tableColumn>
    <tableColumn id="4" xr3:uid="{5A6B0AC1-EAA1-C34F-BDE5-62113EDB64AB}" name="得分备注">
      <calculatedColumnFormula array="1">IFERROR(INDEX(records[备注],MATCH(表31_34[[#This Row],[日期]]&amp;"洗澡",records[日期]&amp;records[名称],0))&amp;"","")</calculatedColumnFormula>
    </tableColumn>
    <tableColumn id="5" xr3:uid="{7A22204D-D1EC-E745-8380-53EEC6666D41}" name="正连续天数2"/>
    <tableColumn id="6" xr3:uid="{421978A7-8E40-9D47-B71E-76F3A40976F1}" name="负连续天数"/>
  </tableColumns>
  <tableStyleInfo name="TableStyleLight1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ADF757C6-755D-4640-B47D-4D975140C570}" name="表31_3435" displayName="表31_3435" ref="A8:H27" totalsRowShown="0">
  <autoFilter ref="A8:H27" xr:uid="{A31FA149-E606-664B-BEE7-36127220C4F1}"/>
  <tableColumns count="8">
    <tableColumn id="1" xr3:uid="{C21E1E3A-A537-8547-AC16-1F76DECA152A}" name="日期" dataDxfId="11"/>
    <tableColumn id="2" xr3:uid="{3FD9E703-F39C-9740-AFD3-01A08B26F74D}" name="开始时刻" dataDxfId="10">
      <calculatedColumnFormula array="1">IFERROR(INDEX(records[开始时刻],MATCH(表31_3435[[#This Row],[日期]]&amp;"今日日程评分",records[日期]&amp;records[名称],0)),"")</calculatedColumnFormula>
    </tableColumn>
    <tableColumn id="7" xr3:uid="{24CE002F-72DB-0B47-BA77-A182834FFAA8}" name="结束时刻" dataDxfId="9">
      <calculatedColumnFormula>IFERROR(INDEX(records[结束时刻],MATCH(表31_3435[[#This Row],[日期]]&amp;"今日日程评分",records[日期]&amp;records[名称],0)),"")</calculatedColumnFormula>
    </tableColumn>
    <tableColumn id="8" xr3:uid="{FD7C5EF3-64B0-7E47-BE2E-74BED8CA853B}" name="持续时间" dataDxfId="8">
      <calculatedColumnFormula>IFERROR(INDEX(records[持续时间],MATCH(表31_3435[[#This Row],[日期]]&amp;"今日日程评分",records[日期]&amp;records[名称],0)),"")</calculatedColumnFormula>
    </tableColumn>
    <tableColumn id="3" xr3:uid="{CEFF6E3B-1BFC-084D-B39D-F6C14FE3A9EB}" name="得分">
      <calculatedColumnFormula array="1">IFERROR(INDEX(records[得分],MATCH(表31_3435[[#This Row],[日期]]&amp;"今日日程评分",records[日期]&amp;records[名称],0)),"")</calculatedColumnFormula>
    </tableColumn>
    <tableColumn id="4" xr3:uid="{73454E19-F58B-2A43-957B-5431437366EF}" name="得分备注">
      <calculatedColumnFormula array="1">IFERROR(INDEX(records[备注],MATCH(表31_3435[[#This Row],[日期]]&amp;"今日日程评分",records[日期]&amp;records[名称],0))&amp;"","")</calculatedColumnFormula>
    </tableColumn>
    <tableColumn id="5" xr3:uid="{275D4D30-66C1-504A-BB7A-1D99B7D4399E}" name="正连续天数2"/>
    <tableColumn id="6" xr3:uid="{1B8B4876-9504-694A-B8EB-04442A0CA93F}" name="负连续天数"/>
  </tableColumns>
  <tableStyleInfo name="TableStyleLight1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82390664-6A32-4542-8DF6-ED72915653C0}" name="表31_343541" displayName="表31_343541" ref="J8:Q27" totalsRowShown="0">
  <autoFilter ref="J8:Q27" xr:uid="{E93D5193-E399-6947-96ED-CC779EEE548B}"/>
  <tableColumns count="8">
    <tableColumn id="1" xr3:uid="{F53C019F-7AF2-454C-AB5F-05CC4AC94924}" name="日期" dataDxfId="7"/>
    <tableColumn id="2" xr3:uid="{BB7BEAE6-3125-9F4C-AD59-DE66EA2873EF}" name="开始时刻" dataDxfId="6">
      <calculatedColumnFormula array="1">IFERROR(INDEX(records[开始时刻],MATCH(表31_343541[[#This Row],[日期]]&amp;"明日日程安排",records[日期]&amp;records[名称],0)),"")</calculatedColumnFormula>
    </tableColumn>
    <tableColumn id="7" xr3:uid="{6483D578-00B2-8E41-B48E-40AA03D69C76}" name="结束时刻" dataDxfId="5">
      <calculatedColumnFormula array="1">IFERROR(INDEX(records[结束时刻],MATCH(表31_343541[[#This Row],[日期]]&amp;"明日日程安排",records[日期]&amp;records[名称],0)),"")</calculatedColumnFormula>
    </tableColumn>
    <tableColumn id="8" xr3:uid="{11DAE2FC-9C2D-D544-8E1E-A99F23503682}" name="持续时间" dataDxfId="4">
      <calculatedColumnFormula array="1">IFERROR(INDEX(records[持续时间],MATCH(表31_343541[[#This Row],[日期]]&amp;"明日日程安排",records[日期]&amp;records[名称],0)),"")</calculatedColumnFormula>
    </tableColumn>
    <tableColumn id="3" xr3:uid="{8D2F7AD2-3C1E-4849-AA04-9EDDFE51BFFE}" name="得分">
      <calculatedColumnFormula array="1">IFERROR(INDEX(records[得分],MATCH(表31_343541[[#This Row],[日期]]&amp;"明日日程安排",records[日期]&amp;records[名称],0)),"")</calculatedColumnFormula>
    </tableColumn>
    <tableColumn id="4" xr3:uid="{6EBCA4F5-08B9-8B43-9059-7A66C312D8F6}" name="得分备注">
      <calculatedColumnFormula array="1">IFERROR(INDEX(records[备注],MATCH(表31_343541[[#This Row],[日期]]&amp;"明日日程安排",records[日期]&amp;records[名称],0))&amp;"","")</calculatedColumnFormula>
    </tableColumn>
    <tableColumn id="5" xr3:uid="{9ED9766B-F86B-1B4D-96C9-315FD0C91D72}" name="正连续天数2"/>
    <tableColumn id="6" xr3:uid="{5EF8DCDE-2BE4-8C48-8727-E49EAE5EFFD1}" name="负连续天数"/>
  </tableColumns>
  <tableStyleInfo name="TableStyleLight1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E81F3941-022E-2C43-B17F-843AD6F23318}" name="表31_34354142" displayName="表31_34354142" ref="S8:Z27" totalsRowShown="0">
  <autoFilter ref="S8:Z27" xr:uid="{ED3FEE01-4488-F640-84CB-7786289B265C}"/>
  <tableColumns count="8">
    <tableColumn id="1" xr3:uid="{04C45985-A77F-A94F-9851-6D18E785BA83}" name="日期" dataDxfId="3"/>
    <tableColumn id="2" xr3:uid="{897F29F9-8D59-FB48-95F0-98E74FBF4941}" name="开始时刻" dataDxfId="2">
      <calculatedColumnFormula array="1">IFERROR(INDEX(records[开始时刻],MATCH(表31_34354142[[#This Row],[日期]]&amp;"今日日程评分归档",records[日期]&amp;records[名称],0)),"")</calculatedColumnFormula>
    </tableColumn>
    <tableColumn id="7" xr3:uid="{B7FB1206-5D7F-304E-A9A4-266449E879DD}" name="结束时刻" dataDxfId="1">
      <calculatedColumnFormula array="1">IFERROR(INDEX(records[结束时刻],MATCH(表31_34354142[[#This Row],[日期]]&amp;"今日日程评分归档",records[日期]&amp;records[名称],0)),"")</calculatedColumnFormula>
    </tableColumn>
    <tableColumn id="8" xr3:uid="{AEB286E5-2FC8-2943-8249-755C2C1AD929}" name="持续时间" dataDxfId="0">
      <calculatedColumnFormula array="1">IFERROR(INDEX(records[持续时间],MATCH(表31_34354142[[#This Row],[日期]]&amp;"今日日程评分归档",records[日期]&amp;records[名称],0)),"")</calculatedColumnFormula>
    </tableColumn>
    <tableColumn id="3" xr3:uid="{9B5C4D9F-23C7-C64F-850D-70B2477ABA94}" name="得分">
      <calculatedColumnFormula array="1">IFERROR(INDEX(records[得分],MATCH(表31_34354142[[#This Row],[日期]]&amp;"今日日程评分归档",records[日期]&amp;records[名称],0)),"")</calculatedColumnFormula>
    </tableColumn>
    <tableColumn id="4" xr3:uid="{559894E6-38B0-4A46-943A-2A1F6ED5CC16}" name="得分备注">
      <calculatedColumnFormula array="1">IFERROR(INDEX(records[备注],MATCH(表31_34354142[[#This Row],[日期]]&amp;"今日日程评分归档",records[日期]&amp;records[名称],0))&amp;"","")</calculatedColumnFormula>
    </tableColumn>
    <tableColumn id="5" xr3:uid="{3A5BE153-53A3-8843-8460-2A25FB9C89FC}" name="正连续天数2"/>
    <tableColumn id="6" xr3:uid="{9E6DA2E2-ADEB-1943-A347-2E81377AB422}" name="负连续天数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7" Type="http://schemas.openxmlformats.org/officeDocument/2006/relationships/table" Target="../tables/table13.xml"/><Relationship Id="rId2" Type="http://schemas.openxmlformats.org/officeDocument/2006/relationships/table" Target="../tables/table8.xml"/><Relationship Id="rId1" Type="http://schemas.openxmlformats.org/officeDocument/2006/relationships/drawing" Target="../drawings/drawing3.xml"/><Relationship Id="rId6" Type="http://schemas.openxmlformats.org/officeDocument/2006/relationships/table" Target="../tables/table12.xml"/><Relationship Id="rId5" Type="http://schemas.openxmlformats.org/officeDocument/2006/relationships/table" Target="../tables/table11.xml"/><Relationship Id="rId4" Type="http://schemas.openxmlformats.org/officeDocument/2006/relationships/table" Target="../tables/table10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7" Type="http://schemas.openxmlformats.org/officeDocument/2006/relationships/table" Target="../tables/table19.xml"/><Relationship Id="rId2" Type="http://schemas.openxmlformats.org/officeDocument/2006/relationships/table" Target="../tables/table14.xml"/><Relationship Id="rId1" Type="http://schemas.openxmlformats.org/officeDocument/2006/relationships/drawing" Target="../drawings/drawing4.xml"/><Relationship Id="rId6" Type="http://schemas.openxmlformats.org/officeDocument/2006/relationships/table" Target="../tables/table18.xml"/><Relationship Id="rId5" Type="http://schemas.openxmlformats.org/officeDocument/2006/relationships/table" Target="../tables/table17.xml"/><Relationship Id="rId4" Type="http://schemas.openxmlformats.org/officeDocument/2006/relationships/table" Target="../tables/table16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1.xml"/><Relationship Id="rId7" Type="http://schemas.openxmlformats.org/officeDocument/2006/relationships/table" Target="../tables/table25.xml"/><Relationship Id="rId2" Type="http://schemas.openxmlformats.org/officeDocument/2006/relationships/table" Target="../tables/table20.xml"/><Relationship Id="rId1" Type="http://schemas.openxmlformats.org/officeDocument/2006/relationships/drawing" Target="../drawings/drawing5.xml"/><Relationship Id="rId6" Type="http://schemas.openxmlformats.org/officeDocument/2006/relationships/table" Target="../tables/table24.xml"/><Relationship Id="rId5" Type="http://schemas.openxmlformats.org/officeDocument/2006/relationships/table" Target="../tables/table23.xml"/><Relationship Id="rId4" Type="http://schemas.openxmlformats.org/officeDocument/2006/relationships/table" Target="../tables/table22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8.xml"/><Relationship Id="rId2" Type="http://schemas.openxmlformats.org/officeDocument/2006/relationships/table" Target="../tables/table27.xml"/><Relationship Id="rId1" Type="http://schemas.openxmlformats.org/officeDocument/2006/relationships/table" Target="../tables/table26.xml"/><Relationship Id="rId4" Type="http://schemas.openxmlformats.org/officeDocument/2006/relationships/table" Target="../tables/table29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1.xml"/><Relationship Id="rId1" Type="http://schemas.openxmlformats.org/officeDocument/2006/relationships/table" Target="../tables/table3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4.xml"/><Relationship Id="rId1" Type="http://schemas.openxmlformats.org/officeDocument/2006/relationships/table" Target="../tables/table33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6.xml"/><Relationship Id="rId1" Type="http://schemas.openxmlformats.org/officeDocument/2006/relationships/table" Target="../tables/table35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8.xml"/><Relationship Id="rId1" Type="http://schemas.openxmlformats.org/officeDocument/2006/relationships/table" Target="../tables/table37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0.xml"/><Relationship Id="rId1" Type="http://schemas.openxmlformats.org/officeDocument/2006/relationships/table" Target="../tables/table39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3.xml"/><Relationship Id="rId2" Type="http://schemas.openxmlformats.org/officeDocument/2006/relationships/table" Target="../tables/table42.xml"/><Relationship Id="rId1" Type="http://schemas.openxmlformats.org/officeDocument/2006/relationships/table" Target="../tables/table4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9BA94-3697-444E-A1CA-5AFDE3C5B3F6}">
  <dimension ref="A1:O230"/>
  <sheetViews>
    <sheetView topLeftCell="A209" workbookViewId="0">
      <selection activeCell="K232" sqref="K232"/>
    </sheetView>
  </sheetViews>
  <sheetFormatPr baseColWidth="10" defaultRowHeight="16"/>
  <cols>
    <col min="1" max="1" width="9.1640625" bestFit="1" customWidth="1"/>
    <col min="2" max="2" width="10.1640625" bestFit="1" customWidth="1"/>
    <col min="3" max="4" width="9.1640625" bestFit="1" customWidth="1"/>
    <col min="5" max="5" width="10.6640625" bestFit="1" customWidth="1"/>
    <col min="6" max="8" width="13.83203125" bestFit="1" customWidth="1"/>
    <col min="9" max="9" width="28.6640625" bestFit="1" customWidth="1"/>
    <col min="10" max="10" width="11.33203125" bestFit="1" customWidth="1"/>
    <col min="11" max="11" width="60" bestFit="1" customWidth="1"/>
  </cols>
  <sheetData>
    <row r="1" spans="1:15" ht="16" customHeight="1">
      <c r="A1" s="36" t="s">
        <v>3</v>
      </c>
      <c r="B1" s="36"/>
      <c r="C1" s="36"/>
      <c r="D1" s="36"/>
      <c r="E1" s="36"/>
      <c r="F1" s="36"/>
      <c r="G1" s="36"/>
      <c r="H1" s="36"/>
      <c r="I1" s="36"/>
      <c r="J1" s="36"/>
      <c r="K1" s="36"/>
    </row>
    <row r="2" spans="1:15" ht="23" customHeight="1">
      <c r="A2" s="36"/>
      <c r="B2" s="36"/>
      <c r="C2" s="36"/>
      <c r="D2" s="36"/>
      <c r="E2" s="36"/>
      <c r="F2" s="36"/>
      <c r="G2" s="36"/>
      <c r="H2" s="36"/>
      <c r="I2" s="36"/>
      <c r="J2" s="36"/>
      <c r="K2" s="36"/>
    </row>
    <row r="3" spans="1:15" ht="23" customHeight="1">
      <c r="A3" s="36"/>
      <c r="B3" s="36"/>
      <c r="C3" s="36"/>
      <c r="D3" s="36"/>
      <c r="E3" s="36"/>
      <c r="F3" s="36"/>
      <c r="G3" s="36"/>
      <c r="H3" s="36"/>
      <c r="I3" s="36"/>
      <c r="J3" s="36"/>
      <c r="K3" s="36"/>
    </row>
    <row r="4" spans="1:15" ht="18">
      <c r="A4" s="11" t="s">
        <v>112</v>
      </c>
      <c r="B4" s="11" t="s">
        <v>113</v>
      </c>
      <c r="C4" s="11" t="s">
        <v>114</v>
      </c>
      <c r="D4" s="11" t="s">
        <v>63</v>
      </c>
      <c r="E4" s="11" t="s">
        <v>0</v>
      </c>
      <c r="F4" s="11" t="s">
        <v>105</v>
      </c>
      <c r="G4" s="11" t="s">
        <v>104</v>
      </c>
      <c r="H4" s="11" t="s">
        <v>103</v>
      </c>
      <c r="I4" s="11" t="s">
        <v>4</v>
      </c>
      <c r="J4" s="11" t="s">
        <v>1</v>
      </c>
      <c r="K4" s="11" t="s">
        <v>2</v>
      </c>
      <c r="M4" s="4"/>
      <c r="N4" s="5"/>
      <c r="O4" s="5"/>
    </row>
    <row r="5" spans="1:15">
      <c r="A5" s="10" t="str">
        <f>YEAR(records[[#This Row],[日期]])&amp;" 年"</f>
        <v>2020 年</v>
      </c>
      <c r="B5" s="10" t="str">
        <f>"第 "&amp;INT(MONTH(records[[#This Row],[日期]])/3+1)&amp;" 季度"</f>
        <v>第 1 季度</v>
      </c>
      <c r="C5" s="10" t="str">
        <f>MONTH(records[[#This Row],[日期]])&amp;" 月"</f>
        <v>2 月</v>
      </c>
      <c r="D5" s="10" t="str">
        <f>"第 "&amp;WEEKNUM(records[[#This Row],[日期]],2)&amp;" 周"</f>
        <v>第 8 周</v>
      </c>
      <c r="E5" s="8">
        <v>43884</v>
      </c>
      <c r="F5" s="9">
        <v>0.25</v>
      </c>
      <c r="G5" s="9">
        <v>0.25</v>
      </c>
      <c r="H5" s="9">
        <f>records[[#This Row],[结束时刻]]-records[[#This Row],[开始时刻]]</f>
        <v>0</v>
      </c>
      <c r="I5" s="8" t="s">
        <v>6</v>
      </c>
      <c r="J5" s="25">
        <v>-0.1</v>
      </c>
      <c r="K5" s="10"/>
      <c r="M5" s="5"/>
      <c r="N5" s="5"/>
      <c r="O5" s="5"/>
    </row>
    <row r="6" spans="1:15">
      <c r="A6" s="10" t="str">
        <f>YEAR(records[[#This Row],[日期]])&amp;" 年"</f>
        <v>2020 年</v>
      </c>
      <c r="B6" s="10" t="str">
        <f>"第 "&amp;INT(MONTH(records[[#This Row],[日期]])/3+1)&amp;" 季度"</f>
        <v>第 1 季度</v>
      </c>
      <c r="C6" s="10" t="str">
        <f>MONTH(records[[#This Row],[日期]])&amp;" 月"</f>
        <v>2 月</v>
      </c>
      <c r="D6" s="10" t="str">
        <f>"第 "&amp;WEEKNUM(records[[#This Row],[日期]],2)&amp;" 周"</f>
        <v>第 8 周</v>
      </c>
      <c r="E6" s="8">
        <v>43884</v>
      </c>
      <c r="F6" s="9">
        <v>0.25</v>
      </c>
      <c r="G6" s="9">
        <v>0.25347222222222221</v>
      </c>
      <c r="H6" s="9">
        <f>records[[#This Row],[结束时刻]]-records[[#This Row],[开始时刻]]</f>
        <v>3.4722222222222099E-3</v>
      </c>
      <c r="I6" s="8" t="s">
        <v>97</v>
      </c>
      <c r="J6" s="25">
        <v>-0.1</v>
      </c>
      <c r="K6" s="10"/>
      <c r="M6" s="5"/>
      <c r="N6" s="5"/>
      <c r="O6" s="5"/>
    </row>
    <row r="7" spans="1:15">
      <c r="A7" s="10" t="str">
        <f>YEAR(records[[#This Row],[日期]])&amp;" 年"</f>
        <v>2020 年</v>
      </c>
      <c r="B7" s="10" t="str">
        <f>"第 "&amp;INT(MONTH(records[[#This Row],[日期]])/3+1)&amp;" 季度"</f>
        <v>第 1 季度</v>
      </c>
      <c r="C7" s="10" t="str">
        <f>MONTH(records[[#This Row],[日期]])&amp;" 月"</f>
        <v>2 月</v>
      </c>
      <c r="D7" s="10" t="str">
        <f>"第 "&amp;WEEKNUM(records[[#This Row],[日期]],2)&amp;" 周"</f>
        <v>第 8 周</v>
      </c>
      <c r="E7" s="8">
        <v>43884</v>
      </c>
      <c r="F7" s="9">
        <v>0.25347222222222221</v>
      </c>
      <c r="G7" s="9">
        <v>0.29722222222222222</v>
      </c>
      <c r="H7" s="9">
        <f>records[[#This Row],[结束时刻]]-records[[#This Row],[开始时刻]]</f>
        <v>4.3750000000000011E-2</v>
      </c>
      <c r="I7" s="8" t="s">
        <v>11</v>
      </c>
      <c r="J7" s="25">
        <v>-0.1</v>
      </c>
      <c r="K7" s="10"/>
      <c r="M7" s="3"/>
      <c r="N7" s="5"/>
      <c r="O7" s="5"/>
    </row>
    <row r="8" spans="1:15">
      <c r="A8" s="10" t="str">
        <f>YEAR(records[[#This Row],[日期]])&amp;" 年"</f>
        <v>2020 年</v>
      </c>
      <c r="B8" s="10" t="str">
        <f>"第 "&amp;INT(MONTH(records[[#This Row],[日期]])/3+1)&amp;" 季度"</f>
        <v>第 1 季度</v>
      </c>
      <c r="C8" s="10" t="str">
        <f>MONTH(records[[#This Row],[日期]])&amp;" 月"</f>
        <v>2 月</v>
      </c>
      <c r="D8" s="10" t="str">
        <f>"第 "&amp;WEEKNUM(records[[#This Row],[日期]],2)&amp;" 周"</f>
        <v>第 8 周</v>
      </c>
      <c r="E8" s="8">
        <v>43884</v>
      </c>
      <c r="F8" s="9">
        <v>0.30208333333333331</v>
      </c>
      <c r="G8" s="9">
        <v>0.32291666666666669</v>
      </c>
      <c r="H8" s="9">
        <f>records[[#This Row],[结束时刻]]-records[[#This Row],[开始时刻]]</f>
        <v>2.083333333333337E-2</v>
      </c>
      <c r="I8" s="8" t="s">
        <v>20</v>
      </c>
      <c r="J8" s="25">
        <v>-0.1</v>
      </c>
      <c r="K8" s="10"/>
      <c r="M8" s="5"/>
      <c r="N8" s="5"/>
      <c r="O8" s="5"/>
    </row>
    <row r="9" spans="1:15">
      <c r="A9" s="10" t="str">
        <f>YEAR(records[[#This Row],[日期]])&amp;" 年"</f>
        <v>2020 年</v>
      </c>
      <c r="B9" s="8" t="str">
        <f>"第 "&amp;INT(MONTH(records[[#This Row],[日期]])/3+1)&amp;" 季度"</f>
        <v>第 1 季度</v>
      </c>
      <c r="C9" s="8" t="str">
        <f>MONTH(records[[#This Row],[日期]])&amp;" 月"</f>
        <v>2 月</v>
      </c>
      <c r="D9" s="8" t="str">
        <f>"第 "&amp;WEEKNUM(records[[#This Row],[日期]],2)&amp;" 周"</f>
        <v>第 8 周</v>
      </c>
      <c r="E9" s="8">
        <v>43884</v>
      </c>
      <c r="F9" s="9">
        <v>0.32291666666666669</v>
      </c>
      <c r="G9" s="9">
        <v>0.33333333333333331</v>
      </c>
      <c r="H9" s="9">
        <f>records[[#This Row],[结束时刻]]-records[[#This Row],[开始时刻]]</f>
        <v>1.041666666666663E-2</v>
      </c>
      <c r="I9" s="8" t="s">
        <v>134</v>
      </c>
      <c r="J9" s="25">
        <v>-0.1</v>
      </c>
      <c r="K9" s="10"/>
      <c r="M9" s="5"/>
      <c r="N9" s="5"/>
      <c r="O9" s="4"/>
    </row>
    <row r="10" spans="1:15">
      <c r="A10" s="10" t="str">
        <f>YEAR(records[[#This Row],[日期]])&amp;" 年"</f>
        <v>2020 年</v>
      </c>
      <c r="B10" s="10" t="str">
        <f>"第 "&amp;INT(MONTH(records[[#This Row],[日期]])/3+1)&amp;" 季度"</f>
        <v>第 1 季度</v>
      </c>
      <c r="C10" s="10" t="str">
        <f>MONTH(records[[#This Row],[日期]])&amp;" 月"</f>
        <v>2 月</v>
      </c>
      <c r="D10" s="10" t="str">
        <f>"第 "&amp;WEEKNUM(records[[#This Row],[日期]],2)&amp;" 周"</f>
        <v>第 8 周</v>
      </c>
      <c r="E10" s="8">
        <v>43884</v>
      </c>
      <c r="F10" s="9">
        <v>0.875</v>
      </c>
      <c r="G10" s="9">
        <v>0.91666666666666663</v>
      </c>
      <c r="H10" s="9">
        <f>records[[#This Row],[结束时刻]]-records[[#This Row],[开始时刻]]</f>
        <v>4.166666666666663E-2</v>
      </c>
      <c r="I10" s="8" t="s">
        <v>12</v>
      </c>
      <c r="J10" s="25">
        <v>0.1</v>
      </c>
      <c r="K10" s="10"/>
      <c r="M10" s="5"/>
      <c r="N10" s="5"/>
      <c r="O10" s="5"/>
    </row>
    <row r="11" spans="1:15">
      <c r="A11" s="10" t="str">
        <f>YEAR(records[[#This Row],[日期]])&amp;" 年"</f>
        <v>2020 年</v>
      </c>
      <c r="B11" s="10" t="str">
        <f>"第 "&amp;INT(MONTH(records[[#This Row],[日期]])/3+1)&amp;" 季度"</f>
        <v>第 1 季度</v>
      </c>
      <c r="C11" s="10" t="str">
        <f>MONTH(records[[#This Row],[日期]])&amp;" 月"</f>
        <v>2 月</v>
      </c>
      <c r="D11" s="10" t="str">
        <f>"第 "&amp;WEEKNUM(records[[#This Row],[日期]],2)&amp;" 周"</f>
        <v>第 8 周</v>
      </c>
      <c r="E11" s="8">
        <v>43884</v>
      </c>
      <c r="F11" s="9">
        <v>0.91666666666666663</v>
      </c>
      <c r="G11" s="9">
        <v>0.9375</v>
      </c>
      <c r="H11" s="9">
        <f>records[[#This Row],[结束时刻]]-records[[#This Row],[开始时刻]]</f>
        <v>2.083333333333337E-2</v>
      </c>
      <c r="I11" s="8" t="s">
        <v>23</v>
      </c>
      <c r="J11" s="25">
        <v>-0.1</v>
      </c>
      <c r="K11" s="10"/>
      <c r="M11" s="5"/>
      <c r="N11" s="3"/>
      <c r="O11" s="5"/>
    </row>
    <row r="12" spans="1:15">
      <c r="A12" s="10" t="str">
        <f>YEAR(records[[#This Row],[日期]])&amp;" 年"</f>
        <v>2020 年</v>
      </c>
      <c r="B12" s="10" t="str">
        <f>"第 "&amp;INT(MONTH(records[[#This Row],[日期]])/3+1)&amp;" 季度"</f>
        <v>第 1 季度</v>
      </c>
      <c r="C12" s="10" t="str">
        <f>MONTH(records[[#This Row],[日期]])&amp;" 月"</f>
        <v>2 月</v>
      </c>
      <c r="D12" s="10" t="str">
        <f>"第 "&amp;WEEKNUM(records[[#This Row],[日期]],2)&amp;" 周"</f>
        <v>第 8 周</v>
      </c>
      <c r="E12" s="8">
        <v>43884</v>
      </c>
      <c r="F12" s="9">
        <v>0.9375</v>
      </c>
      <c r="G12" s="9">
        <v>0.94791666666666663</v>
      </c>
      <c r="H12" s="9">
        <f>records[[#This Row],[结束时刻]]-records[[#This Row],[开始时刻]]</f>
        <v>1.041666666666663E-2</v>
      </c>
      <c r="I12" s="8" t="s">
        <v>13</v>
      </c>
      <c r="J12" s="25">
        <v>0.1</v>
      </c>
      <c r="K12" s="10"/>
      <c r="M12" s="5"/>
      <c r="N12" s="3"/>
      <c r="O12" s="5"/>
    </row>
    <row r="13" spans="1:15">
      <c r="A13" s="10" t="str">
        <f>YEAR(records[[#This Row],[日期]])&amp;" 年"</f>
        <v>2020 年</v>
      </c>
      <c r="B13" s="10" t="str">
        <f>"第 "&amp;INT(MONTH(records[[#This Row],[日期]])/3+1)&amp;" 季度"</f>
        <v>第 1 季度</v>
      </c>
      <c r="C13" s="10" t="str">
        <f>MONTH(records[[#This Row],[日期]])&amp;" 月"</f>
        <v>2 月</v>
      </c>
      <c r="D13" s="10" t="str">
        <f>"第 "&amp;WEEKNUM(records[[#This Row],[日期]],2)&amp;" 周"</f>
        <v>第 8 周</v>
      </c>
      <c r="E13" s="8">
        <v>43884</v>
      </c>
      <c r="F13" s="9">
        <v>0.94791666666666663</v>
      </c>
      <c r="G13" s="9">
        <v>0.95833333333333337</v>
      </c>
      <c r="H13" s="9">
        <f>records[[#This Row],[结束时刻]]-records[[#This Row],[开始时刻]]</f>
        <v>1.0416666666666741E-2</v>
      </c>
      <c r="I13" s="8" t="s">
        <v>54</v>
      </c>
      <c r="J13" s="25">
        <v>0.08</v>
      </c>
      <c r="K13" s="10"/>
      <c r="M13" s="5"/>
      <c r="N13" s="5"/>
      <c r="O13" s="5"/>
    </row>
    <row r="14" spans="1:15">
      <c r="A14" s="10" t="str">
        <f>YEAR(records[[#This Row],[日期]])&amp;" 年"</f>
        <v>2020 年</v>
      </c>
      <c r="B14" s="10" t="str">
        <f>"第 "&amp;INT(MONTH(records[[#This Row],[日期]])/3+1)&amp;" 季度"</f>
        <v>第 1 季度</v>
      </c>
      <c r="C14" s="10" t="str">
        <f>MONTH(records[[#This Row],[日期]])&amp;" 月"</f>
        <v>2 月</v>
      </c>
      <c r="D14" s="10" t="str">
        <f>"第 "&amp;WEEKNUM(records[[#This Row],[日期]],2)&amp;" 周"</f>
        <v>第 9 周</v>
      </c>
      <c r="E14" s="8">
        <v>43885</v>
      </c>
      <c r="F14" s="9">
        <v>0</v>
      </c>
      <c r="G14" s="9">
        <v>0.99930555555555556</v>
      </c>
      <c r="H14" s="9">
        <f>records[[#This Row],[结束时刻]]-records[[#This Row],[开始时刻]]</f>
        <v>0.99930555555555556</v>
      </c>
      <c r="I14" s="8" t="s">
        <v>17</v>
      </c>
      <c r="J14" s="25">
        <v>0.09</v>
      </c>
      <c r="K14" s="10" t="s">
        <v>18</v>
      </c>
      <c r="M14" s="5"/>
      <c r="N14" s="3"/>
      <c r="O14" s="5"/>
    </row>
    <row r="15" spans="1:15">
      <c r="A15" s="10" t="str">
        <f>YEAR(records[[#This Row],[日期]])&amp;" 年"</f>
        <v>2020 年</v>
      </c>
      <c r="B15" s="10" t="str">
        <f>"第 "&amp;INT(MONTH(records[[#This Row],[日期]])/3+1)&amp;" 季度"</f>
        <v>第 1 季度</v>
      </c>
      <c r="C15" s="10" t="str">
        <f>MONTH(records[[#This Row],[日期]])&amp;" 月"</f>
        <v>2 月</v>
      </c>
      <c r="D15" s="10" t="str">
        <f>"第 "&amp;WEEKNUM(records[[#This Row],[日期]],2)&amp;" 周"</f>
        <v>第 9 周</v>
      </c>
      <c r="E15" s="8">
        <v>43885</v>
      </c>
      <c r="F15" s="9">
        <v>0</v>
      </c>
      <c r="G15" s="9">
        <v>0.99930555555555556</v>
      </c>
      <c r="H15" s="9">
        <f>records[[#This Row],[结束时刻]]-records[[#This Row],[开始时刻]]</f>
        <v>0.99930555555555556</v>
      </c>
      <c r="I15" s="8" t="s">
        <v>15</v>
      </c>
      <c r="J15" s="25">
        <v>0.04</v>
      </c>
      <c r="K15" s="10" t="s">
        <v>16</v>
      </c>
      <c r="M15" s="5"/>
      <c r="N15" s="3"/>
      <c r="O15" s="5"/>
    </row>
    <row r="16" spans="1:15">
      <c r="A16" s="10" t="str">
        <f>YEAR(records[[#This Row],[日期]])&amp;" 年"</f>
        <v>2020 年</v>
      </c>
      <c r="B16" s="10" t="str">
        <f>"第 "&amp;INT(MONTH(records[[#This Row],[日期]])/3+1)&amp;" 季度"</f>
        <v>第 1 季度</v>
      </c>
      <c r="C16" s="10" t="str">
        <f>MONTH(records[[#This Row],[日期]])&amp;" 月"</f>
        <v>2 月</v>
      </c>
      <c r="D16" s="10" t="str">
        <f>"第 "&amp;WEEKNUM(records[[#This Row],[日期]],2)&amp;" 周"</f>
        <v>第 9 周</v>
      </c>
      <c r="E16" s="8">
        <v>43885</v>
      </c>
      <c r="F16" s="9">
        <v>0</v>
      </c>
      <c r="G16" s="9">
        <v>0.99930555555555556</v>
      </c>
      <c r="H16" s="9">
        <f>records[[#This Row],[结束时刻]]-records[[#This Row],[开始时刻]]</f>
        <v>0.99930555555555556</v>
      </c>
      <c r="I16" s="8" t="s">
        <v>19</v>
      </c>
      <c r="J16" s="25">
        <v>0.05</v>
      </c>
      <c r="K16" s="10" t="s">
        <v>14</v>
      </c>
    </row>
    <row r="17" spans="1:11">
      <c r="A17" s="10" t="str">
        <f>YEAR(records[[#This Row],[日期]])&amp;" 年"</f>
        <v>2020 年</v>
      </c>
      <c r="B17" s="10" t="str">
        <f>"第 "&amp;INT(MONTH(records[[#This Row],[日期]])/3+1)&amp;" 季度"</f>
        <v>第 1 季度</v>
      </c>
      <c r="C17" s="10" t="str">
        <f>MONTH(records[[#This Row],[日期]])&amp;" 月"</f>
        <v>2 月</v>
      </c>
      <c r="D17" s="10" t="str">
        <f>"第 "&amp;WEEKNUM(records[[#This Row],[日期]],2)&amp;" 周"</f>
        <v>第 9 周</v>
      </c>
      <c r="E17" s="8">
        <v>43885</v>
      </c>
      <c r="F17" s="9">
        <v>0.25</v>
      </c>
      <c r="G17" s="9">
        <v>0.25</v>
      </c>
      <c r="H17" s="9">
        <f>records[[#This Row],[结束时刻]]-records[[#This Row],[开始时刻]]</f>
        <v>0</v>
      </c>
      <c r="I17" s="8" t="s">
        <v>6</v>
      </c>
      <c r="J17" s="25">
        <v>-0.2</v>
      </c>
      <c r="K17" s="10"/>
    </row>
    <row r="18" spans="1:11">
      <c r="A18" s="10" t="str">
        <f>YEAR(records[[#This Row],[日期]])&amp;" 年"</f>
        <v>2020 年</v>
      </c>
      <c r="B18" s="10" t="str">
        <f>"第 "&amp;INT(MONTH(records[[#This Row],[日期]])/3+1)&amp;" 季度"</f>
        <v>第 1 季度</v>
      </c>
      <c r="C18" s="10" t="str">
        <f>MONTH(records[[#This Row],[日期]])&amp;" 月"</f>
        <v>2 月</v>
      </c>
      <c r="D18" s="10" t="str">
        <f>"第 "&amp;WEEKNUM(records[[#This Row],[日期]],2)&amp;" 周"</f>
        <v>第 9 周</v>
      </c>
      <c r="E18" s="8">
        <v>43885</v>
      </c>
      <c r="F18" s="9">
        <v>0.25</v>
      </c>
      <c r="G18" s="9">
        <v>0.25347222222222221</v>
      </c>
      <c r="H18" s="9">
        <f>records[[#This Row],[结束时刻]]-records[[#This Row],[开始时刻]]</f>
        <v>3.4722222222222099E-3</v>
      </c>
      <c r="I18" s="8" t="s">
        <v>97</v>
      </c>
      <c r="J18" s="25">
        <v>-0.1</v>
      </c>
      <c r="K18" s="10"/>
    </row>
    <row r="19" spans="1:11">
      <c r="A19" s="10" t="str">
        <f>YEAR(records[[#This Row],[日期]])&amp;" 年"</f>
        <v>2020 年</v>
      </c>
      <c r="B19" s="10" t="str">
        <f>"第 "&amp;INT(MONTH(records[[#This Row],[日期]])/3+1)&amp;" 季度"</f>
        <v>第 1 季度</v>
      </c>
      <c r="C19" s="10" t="str">
        <f>MONTH(records[[#This Row],[日期]])&amp;" 月"</f>
        <v>2 月</v>
      </c>
      <c r="D19" s="10" t="str">
        <f>"第 "&amp;WEEKNUM(records[[#This Row],[日期]],2)&amp;" 周"</f>
        <v>第 9 周</v>
      </c>
      <c r="E19" s="8">
        <v>43885</v>
      </c>
      <c r="F19" s="9">
        <v>0.25347222222222221</v>
      </c>
      <c r="G19" s="9">
        <v>0.29722222222222222</v>
      </c>
      <c r="H19" s="9">
        <f>records[[#This Row],[结束时刻]]-records[[#This Row],[开始时刻]]</f>
        <v>4.3750000000000011E-2</v>
      </c>
      <c r="I19" s="8" t="s">
        <v>11</v>
      </c>
      <c r="J19" s="25">
        <v>-0.2</v>
      </c>
      <c r="K19" s="10"/>
    </row>
    <row r="20" spans="1:11">
      <c r="A20" s="10" t="str">
        <f>YEAR(records[[#This Row],[日期]])&amp;" 年"</f>
        <v>2020 年</v>
      </c>
      <c r="B20" s="10" t="str">
        <f>"第 "&amp;INT(MONTH(records[[#This Row],[日期]])/3+1)&amp;" 季度"</f>
        <v>第 1 季度</v>
      </c>
      <c r="C20" s="10" t="str">
        <f>MONTH(records[[#This Row],[日期]])&amp;" 月"</f>
        <v>2 月</v>
      </c>
      <c r="D20" s="10" t="str">
        <f>"第 "&amp;WEEKNUM(records[[#This Row],[日期]],2)&amp;" 周"</f>
        <v>第 9 周</v>
      </c>
      <c r="E20" s="8">
        <v>43885</v>
      </c>
      <c r="F20" s="9">
        <v>0.30208333333333331</v>
      </c>
      <c r="G20" s="9">
        <v>0.32291666666666669</v>
      </c>
      <c r="H20" s="9">
        <f>records[[#This Row],[结束时刻]]-records[[#This Row],[开始时刻]]</f>
        <v>2.083333333333337E-2</v>
      </c>
      <c r="I20" s="8" t="s">
        <v>20</v>
      </c>
      <c r="J20" s="25">
        <v>-0.2</v>
      </c>
      <c r="K20" s="10"/>
    </row>
    <row r="21" spans="1:11">
      <c r="A21" s="10" t="str">
        <f>YEAR(records[[#This Row],[日期]])&amp;" 年"</f>
        <v>2020 年</v>
      </c>
      <c r="B21" s="8" t="str">
        <f>"第 "&amp;INT(MONTH(records[[#This Row],[日期]])/3+1)&amp;" 季度"</f>
        <v>第 1 季度</v>
      </c>
      <c r="C21" s="8" t="str">
        <f>MONTH(records[[#This Row],[日期]])&amp;" 月"</f>
        <v>2 月</v>
      </c>
      <c r="D21" s="8" t="str">
        <f>"第 "&amp;WEEKNUM(records[[#This Row],[日期]],2)&amp;" 周"</f>
        <v>第 9 周</v>
      </c>
      <c r="E21" s="8">
        <v>43885</v>
      </c>
      <c r="F21" s="9">
        <v>0.32291666666666669</v>
      </c>
      <c r="G21" s="9">
        <v>0.33333333333333331</v>
      </c>
      <c r="H21" s="9">
        <f>records[[#This Row],[结束时刻]]-records[[#This Row],[开始时刻]]</f>
        <v>1.041666666666663E-2</v>
      </c>
      <c r="I21" s="8" t="s">
        <v>134</v>
      </c>
      <c r="J21" s="25">
        <v>-0.2</v>
      </c>
      <c r="K21" s="10"/>
    </row>
    <row r="22" spans="1:11">
      <c r="A22" s="10" t="str">
        <f>YEAR(records[[#This Row],[日期]])&amp;" 年"</f>
        <v>2020 年</v>
      </c>
      <c r="B22" s="10" t="str">
        <f>"第 "&amp;INT(MONTH(records[[#This Row],[日期]])/3+1)&amp;" 季度"</f>
        <v>第 1 季度</v>
      </c>
      <c r="C22" s="10" t="str">
        <f>MONTH(records[[#This Row],[日期]])&amp;" 月"</f>
        <v>2 月</v>
      </c>
      <c r="D22" s="10" t="str">
        <f>"第 "&amp;WEEKNUM(records[[#This Row],[日期]],2)&amp;" 周"</f>
        <v>第 9 周</v>
      </c>
      <c r="E22" s="8">
        <v>43885</v>
      </c>
      <c r="F22" s="9">
        <v>0.875</v>
      </c>
      <c r="G22" s="9">
        <v>0.91666666666666663</v>
      </c>
      <c r="H22" s="9">
        <f>records[[#This Row],[结束时刻]]-records[[#This Row],[开始时刻]]</f>
        <v>4.166666666666663E-2</v>
      </c>
      <c r="I22" s="8" t="s">
        <v>12</v>
      </c>
      <c r="J22" s="25">
        <v>0.1</v>
      </c>
      <c r="K22" s="10"/>
    </row>
    <row r="23" spans="1:11">
      <c r="A23" s="10" t="str">
        <f>YEAR(records[[#This Row],[日期]])&amp;" 年"</f>
        <v>2020 年</v>
      </c>
      <c r="B23" s="10" t="str">
        <f>"第 "&amp;INT(MONTH(records[[#This Row],[日期]])/3+1)&amp;" 季度"</f>
        <v>第 1 季度</v>
      </c>
      <c r="C23" s="10" t="str">
        <f>MONTH(records[[#This Row],[日期]])&amp;" 月"</f>
        <v>2 月</v>
      </c>
      <c r="D23" s="10" t="str">
        <f>"第 "&amp;WEEKNUM(records[[#This Row],[日期]],2)&amp;" 周"</f>
        <v>第 9 周</v>
      </c>
      <c r="E23" s="8">
        <v>43885</v>
      </c>
      <c r="F23" s="9">
        <v>0.91666666666666663</v>
      </c>
      <c r="G23" s="9">
        <v>0.9375</v>
      </c>
      <c r="H23" s="9">
        <f>records[[#This Row],[结束时刻]]-records[[#This Row],[开始时刻]]</f>
        <v>2.083333333333337E-2</v>
      </c>
      <c r="I23" s="8" t="s">
        <v>23</v>
      </c>
      <c r="J23" s="25">
        <v>-0.2</v>
      </c>
      <c r="K23" s="10"/>
    </row>
    <row r="24" spans="1:11">
      <c r="A24" s="10" t="str">
        <f>YEAR(records[[#This Row],[日期]])&amp;" 年"</f>
        <v>2020 年</v>
      </c>
      <c r="B24" s="10" t="str">
        <f>"第 "&amp;INT(MONTH(records[[#This Row],[日期]])/3+1)&amp;" 季度"</f>
        <v>第 1 季度</v>
      </c>
      <c r="C24" s="10" t="str">
        <f>MONTH(records[[#This Row],[日期]])&amp;" 月"</f>
        <v>2 月</v>
      </c>
      <c r="D24" s="10" t="str">
        <f>"第 "&amp;WEEKNUM(records[[#This Row],[日期]],2)&amp;" 周"</f>
        <v>第 9 周</v>
      </c>
      <c r="E24" s="8">
        <v>43885</v>
      </c>
      <c r="F24" s="9">
        <v>0.9375</v>
      </c>
      <c r="G24" s="9">
        <v>0.94791666666666663</v>
      </c>
      <c r="H24" s="9">
        <f>records[[#This Row],[结束时刻]]-records[[#This Row],[开始时刻]]</f>
        <v>1.041666666666663E-2</v>
      </c>
      <c r="I24" s="8" t="s">
        <v>13</v>
      </c>
      <c r="J24" s="25">
        <v>0.1</v>
      </c>
      <c r="K24" s="10"/>
    </row>
    <row r="25" spans="1:11">
      <c r="A25" s="10" t="str">
        <f>YEAR(records[[#This Row],[日期]])&amp;" 年"</f>
        <v>2020 年</v>
      </c>
      <c r="B25" s="10" t="str">
        <f>"第 "&amp;INT(MONTH(records[[#This Row],[日期]])/3+1)&amp;" 季度"</f>
        <v>第 1 季度</v>
      </c>
      <c r="C25" s="10" t="str">
        <f>MONTH(records[[#This Row],[日期]])&amp;" 月"</f>
        <v>2 月</v>
      </c>
      <c r="D25" s="10" t="str">
        <f>"第 "&amp;WEEKNUM(records[[#This Row],[日期]],2)&amp;" 周"</f>
        <v>第 9 周</v>
      </c>
      <c r="E25" s="8">
        <v>43885</v>
      </c>
      <c r="F25" s="9">
        <v>0.94791666666666663</v>
      </c>
      <c r="G25" s="9">
        <v>0.95833333333333337</v>
      </c>
      <c r="H25" s="9">
        <f>records[[#This Row],[结束时刻]]-records[[#This Row],[开始时刻]]</f>
        <v>1.0416666666666741E-2</v>
      </c>
      <c r="I25" s="8" t="s">
        <v>54</v>
      </c>
      <c r="J25" s="25">
        <v>0.1</v>
      </c>
      <c r="K25" s="10"/>
    </row>
    <row r="26" spans="1:11">
      <c r="A26" s="10" t="str">
        <f>YEAR(records[[#This Row],[日期]])&amp;" 年"</f>
        <v>2020 年</v>
      </c>
      <c r="B26" s="10" t="str">
        <f>"第 "&amp;INT(MONTH(records[[#This Row],[日期]])/3+1)&amp;" 季度"</f>
        <v>第 1 季度</v>
      </c>
      <c r="C26" s="10" t="str">
        <f>MONTH(records[[#This Row],[日期]])&amp;" 月"</f>
        <v>2 月</v>
      </c>
      <c r="D26" s="10" t="str">
        <f>"第 "&amp;WEEKNUM(records[[#This Row],[日期]],2)&amp;" 周"</f>
        <v>第 9 周</v>
      </c>
      <c r="E26" s="8">
        <v>43886</v>
      </c>
      <c r="F26" s="9">
        <v>0.25</v>
      </c>
      <c r="G26" s="9">
        <v>0.25</v>
      </c>
      <c r="H26" s="9">
        <f>records[[#This Row],[结束时刻]]-records[[#This Row],[开始时刻]]</f>
        <v>0</v>
      </c>
      <c r="I26" s="8" t="s">
        <v>6</v>
      </c>
      <c r="J26" s="25">
        <v>0.1</v>
      </c>
      <c r="K26" s="10"/>
    </row>
    <row r="27" spans="1:11">
      <c r="A27" s="10" t="str">
        <f>YEAR(records[[#This Row],[日期]])&amp;" 年"</f>
        <v>2020 年</v>
      </c>
      <c r="B27" s="10" t="str">
        <f>"第 "&amp;INT(MONTH(records[[#This Row],[日期]])/3+1)&amp;" 季度"</f>
        <v>第 1 季度</v>
      </c>
      <c r="C27" s="10" t="str">
        <f>MONTH(records[[#This Row],[日期]])&amp;" 月"</f>
        <v>2 月</v>
      </c>
      <c r="D27" s="10" t="str">
        <f>"第 "&amp;WEEKNUM(records[[#This Row],[日期]],2)&amp;" 周"</f>
        <v>第 9 周</v>
      </c>
      <c r="E27" s="8">
        <v>43886</v>
      </c>
      <c r="F27" s="9">
        <v>0.25</v>
      </c>
      <c r="G27" s="9">
        <v>0.25347222222222221</v>
      </c>
      <c r="H27" s="9">
        <f>records[[#This Row],[结束时刻]]-records[[#This Row],[开始时刻]]</f>
        <v>3.4722222222222099E-3</v>
      </c>
      <c r="I27" s="8" t="s">
        <v>97</v>
      </c>
      <c r="J27" s="25">
        <v>0.1</v>
      </c>
      <c r="K27" s="10"/>
    </row>
    <row r="28" spans="1:11">
      <c r="A28" s="10" t="str">
        <f>YEAR(records[[#This Row],[日期]])&amp;" 年"</f>
        <v>2020 年</v>
      </c>
      <c r="B28" s="10" t="str">
        <f>"第 "&amp;INT(MONTH(records[[#This Row],[日期]])/3+1)&amp;" 季度"</f>
        <v>第 1 季度</v>
      </c>
      <c r="C28" s="10" t="str">
        <f>MONTH(records[[#This Row],[日期]])&amp;" 月"</f>
        <v>2 月</v>
      </c>
      <c r="D28" s="10" t="str">
        <f>"第 "&amp;WEEKNUM(records[[#This Row],[日期]],2)&amp;" 周"</f>
        <v>第 9 周</v>
      </c>
      <c r="E28" s="8">
        <v>43886</v>
      </c>
      <c r="F28" s="9">
        <v>0.25347222222222221</v>
      </c>
      <c r="G28" s="9">
        <v>0.29722222222222222</v>
      </c>
      <c r="H28" s="9">
        <f>records[[#This Row],[结束时刻]]-records[[#This Row],[开始时刻]]</f>
        <v>4.3750000000000011E-2</v>
      </c>
      <c r="I28" s="8" t="s">
        <v>11</v>
      </c>
      <c r="J28" s="25">
        <v>0.1</v>
      </c>
      <c r="K28" s="10"/>
    </row>
    <row r="29" spans="1:11">
      <c r="A29" s="10" t="str">
        <f>YEAR(records[[#This Row],[日期]])&amp;" 年"</f>
        <v>2020 年</v>
      </c>
      <c r="B29" s="10" t="str">
        <f>"第 "&amp;INT(MONTH(records[[#This Row],[日期]])/3+1)&amp;" 季度"</f>
        <v>第 1 季度</v>
      </c>
      <c r="C29" s="10" t="str">
        <f>MONTH(records[[#This Row],[日期]])&amp;" 月"</f>
        <v>2 月</v>
      </c>
      <c r="D29" s="10" t="str">
        <f>"第 "&amp;WEEKNUM(records[[#This Row],[日期]],2)&amp;" 周"</f>
        <v>第 9 周</v>
      </c>
      <c r="E29" s="8">
        <v>43886</v>
      </c>
      <c r="F29" s="9">
        <v>0.30208333333333331</v>
      </c>
      <c r="G29" s="9">
        <v>0.32291666666666669</v>
      </c>
      <c r="H29" s="9">
        <f>records[[#This Row],[结束时刻]]-records[[#This Row],[开始时刻]]</f>
        <v>2.083333333333337E-2</v>
      </c>
      <c r="I29" s="8" t="s">
        <v>20</v>
      </c>
      <c r="J29" s="25">
        <v>0.1</v>
      </c>
      <c r="K29" s="10"/>
    </row>
    <row r="30" spans="1:11">
      <c r="A30" s="10" t="str">
        <f>YEAR(records[[#This Row],[日期]])&amp;" 年"</f>
        <v>2020 年</v>
      </c>
      <c r="B30" s="8" t="str">
        <f>"第 "&amp;INT(MONTH(records[[#This Row],[日期]])/3+1)&amp;" 季度"</f>
        <v>第 1 季度</v>
      </c>
      <c r="C30" s="8" t="str">
        <f>MONTH(records[[#This Row],[日期]])&amp;" 月"</f>
        <v>2 月</v>
      </c>
      <c r="D30" s="8" t="str">
        <f>"第 "&amp;WEEKNUM(records[[#This Row],[日期]],2)&amp;" 周"</f>
        <v>第 9 周</v>
      </c>
      <c r="E30" s="8">
        <v>43886</v>
      </c>
      <c r="F30" s="9">
        <v>0.32291666666666669</v>
      </c>
      <c r="G30" s="9">
        <v>0.33333333333333331</v>
      </c>
      <c r="H30" s="9">
        <f>records[[#This Row],[结束时刻]]-records[[#This Row],[开始时刻]]</f>
        <v>1.041666666666663E-2</v>
      </c>
      <c r="I30" s="8" t="s">
        <v>134</v>
      </c>
      <c r="J30" s="25">
        <v>0.1</v>
      </c>
      <c r="K30" s="10"/>
    </row>
    <row r="31" spans="1:11">
      <c r="A31" s="10" t="str">
        <f>YEAR(records[[#This Row],[日期]])&amp;" 年"</f>
        <v>2020 年</v>
      </c>
      <c r="B31" s="10" t="str">
        <f>"第 "&amp;INT(MONTH(records[[#This Row],[日期]])/3+1)&amp;" 季度"</f>
        <v>第 1 季度</v>
      </c>
      <c r="C31" s="10" t="str">
        <f>MONTH(records[[#This Row],[日期]])&amp;" 月"</f>
        <v>2 月</v>
      </c>
      <c r="D31" s="10" t="str">
        <f>"第 "&amp;WEEKNUM(records[[#This Row],[日期]],2)&amp;" 周"</f>
        <v>第 9 周</v>
      </c>
      <c r="E31" s="8">
        <v>43886</v>
      </c>
      <c r="F31" s="9">
        <v>0.33333333333333331</v>
      </c>
      <c r="G31" s="9">
        <v>0.33333333333333331</v>
      </c>
      <c r="H31" s="9">
        <f>records[[#This Row],[结束时刻]]-records[[#This Row],[开始时刻]]</f>
        <v>0</v>
      </c>
      <c r="I31" s="8" t="s">
        <v>21</v>
      </c>
      <c r="J31" s="25">
        <v>0.1</v>
      </c>
      <c r="K31" s="10"/>
    </row>
    <row r="32" spans="1:11">
      <c r="A32" s="10" t="str">
        <f>YEAR(records[[#This Row],[日期]])&amp;" 年"</f>
        <v>2020 年</v>
      </c>
      <c r="B32" s="10" t="str">
        <f>"第 "&amp;INT(MONTH(records[[#This Row],[日期]])/3+1)&amp;" 季度"</f>
        <v>第 1 季度</v>
      </c>
      <c r="C32" s="10" t="str">
        <f>MONTH(records[[#This Row],[日期]])&amp;" 月"</f>
        <v>2 月</v>
      </c>
      <c r="D32" s="10" t="str">
        <f>"第 "&amp;WEEKNUM(records[[#This Row],[日期]],2)&amp;" 周"</f>
        <v>第 9 周</v>
      </c>
      <c r="E32" s="8">
        <v>43886</v>
      </c>
      <c r="F32" s="9">
        <v>0.375</v>
      </c>
      <c r="G32" s="9">
        <v>0.375</v>
      </c>
      <c r="H32" s="9">
        <f>records[[#This Row],[结束时刻]]-records[[#This Row],[开始时刻]]</f>
        <v>0</v>
      </c>
      <c r="I32" s="8" t="s">
        <v>22</v>
      </c>
      <c r="J32" s="25">
        <v>0.1</v>
      </c>
      <c r="K32" s="10"/>
    </row>
    <row r="33" spans="1:11">
      <c r="A33" s="10" t="str">
        <f>YEAR(records[[#This Row],[日期]])&amp;" 年"</f>
        <v>2020 年</v>
      </c>
      <c r="B33" s="10" t="str">
        <f>"第 "&amp;INT(MONTH(records[[#This Row],[日期]])/3+1)&amp;" 季度"</f>
        <v>第 1 季度</v>
      </c>
      <c r="C33" s="10" t="str">
        <f>MONTH(records[[#This Row],[日期]])&amp;" 月"</f>
        <v>2 月</v>
      </c>
      <c r="D33" s="10" t="str">
        <f>"第 "&amp;WEEKNUM(records[[#This Row],[日期]],2)&amp;" 周"</f>
        <v>第 9 周</v>
      </c>
      <c r="E33" s="8">
        <v>43886</v>
      </c>
      <c r="F33" s="9">
        <v>0.375</v>
      </c>
      <c r="G33" s="9">
        <v>0.375</v>
      </c>
      <c r="H33" s="9">
        <f>records[[#This Row],[结束时刻]]-records[[#This Row],[开始时刻]]</f>
        <v>0</v>
      </c>
      <c r="I33" s="8" t="s">
        <v>24</v>
      </c>
      <c r="J33" s="25">
        <v>0.1</v>
      </c>
      <c r="K33" s="10"/>
    </row>
    <row r="34" spans="1:11">
      <c r="A34" s="10" t="str">
        <f>YEAR(records[[#This Row],[日期]])&amp;" 年"</f>
        <v>2020 年</v>
      </c>
      <c r="B34" s="10" t="str">
        <f>"第 "&amp;INT(MONTH(records[[#This Row],[日期]])/3+1)&amp;" 季度"</f>
        <v>第 1 季度</v>
      </c>
      <c r="C34" s="10" t="str">
        <f>MONTH(records[[#This Row],[日期]])&amp;" 月"</f>
        <v>2 月</v>
      </c>
      <c r="D34" s="10" t="str">
        <f>"第 "&amp;WEEKNUM(records[[#This Row],[日期]],2)&amp;" 周"</f>
        <v>第 9 周</v>
      </c>
      <c r="E34" s="8">
        <v>43886</v>
      </c>
      <c r="F34" s="9">
        <v>0.4375</v>
      </c>
      <c r="G34" s="9">
        <v>0.4375</v>
      </c>
      <c r="H34" s="9">
        <f>records[[#This Row],[结束时刻]]-records[[#This Row],[开始时刻]]</f>
        <v>0</v>
      </c>
      <c r="I34" s="8" t="s">
        <v>25</v>
      </c>
      <c r="J34" s="25">
        <v>0.1</v>
      </c>
      <c r="K34" s="10"/>
    </row>
    <row r="35" spans="1:11">
      <c r="A35" s="10" t="str">
        <f>YEAR(records[[#This Row],[日期]])&amp;" 年"</f>
        <v>2020 年</v>
      </c>
      <c r="B35" s="10" t="str">
        <f>"第 "&amp;INT(MONTH(records[[#This Row],[日期]])/3+1)&amp;" 季度"</f>
        <v>第 1 季度</v>
      </c>
      <c r="C35" s="10" t="str">
        <f>MONTH(records[[#This Row],[日期]])&amp;" 月"</f>
        <v>2 月</v>
      </c>
      <c r="D35" s="10" t="str">
        <f>"第 "&amp;WEEKNUM(records[[#This Row],[日期]],2)&amp;" 周"</f>
        <v>第 9 周</v>
      </c>
      <c r="E35" s="8">
        <v>43886</v>
      </c>
      <c r="F35" s="9">
        <v>0.77083333333333337</v>
      </c>
      <c r="G35" s="9">
        <v>0.77083333333333337</v>
      </c>
      <c r="H35" s="9">
        <f>records[[#This Row],[结束时刻]]-records[[#This Row],[开始时刻]]</f>
        <v>0</v>
      </c>
      <c r="I35" s="8" t="s">
        <v>26</v>
      </c>
      <c r="J35" s="25">
        <v>0.1</v>
      </c>
      <c r="K35" s="10"/>
    </row>
    <row r="36" spans="1:11">
      <c r="A36" s="10" t="str">
        <f>YEAR(records[[#This Row],[日期]])&amp;" 年"</f>
        <v>2020 年</v>
      </c>
      <c r="B36" s="10" t="str">
        <f>"第 "&amp;INT(MONTH(records[[#This Row],[日期]])/3+1)&amp;" 季度"</f>
        <v>第 1 季度</v>
      </c>
      <c r="C36" s="10" t="str">
        <f>MONTH(records[[#This Row],[日期]])&amp;" 月"</f>
        <v>2 月</v>
      </c>
      <c r="D36" s="10" t="str">
        <f>"第 "&amp;WEEKNUM(records[[#This Row],[日期]],2)&amp;" 周"</f>
        <v>第 9 周</v>
      </c>
      <c r="E36" s="8">
        <v>43886</v>
      </c>
      <c r="F36" s="9">
        <v>0.875</v>
      </c>
      <c r="G36" s="9">
        <v>0.91666666666666663</v>
      </c>
      <c r="H36" s="9">
        <f>records[[#This Row],[结束时刻]]-records[[#This Row],[开始时刻]]</f>
        <v>4.166666666666663E-2</v>
      </c>
      <c r="I36" s="8" t="s">
        <v>12</v>
      </c>
      <c r="J36" s="25">
        <v>0.2</v>
      </c>
      <c r="K36" s="10" t="s">
        <v>72</v>
      </c>
    </row>
    <row r="37" spans="1:11">
      <c r="A37" s="10" t="str">
        <f>YEAR(records[[#This Row],[日期]])&amp;" 年"</f>
        <v>2020 年</v>
      </c>
      <c r="B37" s="10" t="str">
        <f>"第 "&amp;INT(MONTH(records[[#This Row],[日期]])/3+1)&amp;" 季度"</f>
        <v>第 1 季度</v>
      </c>
      <c r="C37" s="10" t="str">
        <f>MONTH(records[[#This Row],[日期]])&amp;" 月"</f>
        <v>2 月</v>
      </c>
      <c r="D37" s="10" t="str">
        <f>"第 "&amp;WEEKNUM(records[[#This Row],[日期]],2)&amp;" 周"</f>
        <v>第 9 周</v>
      </c>
      <c r="E37" s="8">
        <v>43886</v>
      </c>
      <c r="F37" s="9">
        <v>0.91666666666666663</v>
      </c>
      <c r="G37" s="9">
        <v>0.9375</v>
      </c>
      <c r="H37" s="9">
        <f>records[[#This Row],[结束时刻]]-records[[#This Row],[开始时刻]]</f>
        <v>2.083333333333337E-2</v>
      </c>
      <c r="I37" s="8" t="s">
        <v>23</v>
      </c>
      <c r="J37" s="25">
        <v>0.1</v>
      </c>
      <c r="K37" s="10"/>
    </row>
    <row r="38" spans="1:11">
      <c r="A38" s="10" t="str">
        <f>YEAR(records[[#This Row],[日期]])&amp;" 年"</f>
        <v>2020 年</v>
      </c>
      <c r="B38" s="10" t="str">
        <f>"第 "&amp;INT(MONTH(records[[#This Row],[日期]])/3+1)&amp;" 季度"</f>
        <v>第 1 季度</v>
      </c>
      <c r="C38" s="10" t="str">
        <f>MONTH(records[[#This Row],[日期]])&amp;" 月"</f>
        <v>2 月</v>
      </c>
      <c r="D38" s="10" t="str">
        <f>"第 "&amp;WEEKNUM(records[[#This Row],[日期]],2)&amp;" 周"</f>
        <v>第 9 周</v>
      </c>
      <c r="E38" s="8">
        <v>43886</v>
      </c>
      <c r="F38" s="9">
        <v>0.9375</v>
      </c>
      <c r="G38" s="9">
        <v>0.94791666666666663</v>
      </c>
      <c r="H38" s="9">
        <f>records[[#This Row],[结束时刻]]-records[[#This Row],[开始时刻]]</f>
        <v>1.041666666666663E-2</v>
      </c>
      <c r="I38" s="8" t="s">
        <v>54</v>
      </c>
      <c r="J38" s="25">
        <v>0.2</v>
      </c>
      <c r="K38" s="10" t="s">
        <v>72</v>
      </c>
    </row>
    <row r="39" spans="1:11">
      <c r="A39" s="10" t="str">
        <f>YEAR(records[[#This Row],[日期]])&amp;" 年"</f>
        <v>2020 年</v>
      </c>
      <c r="B39" s="10" t="str">
        <f>"第 "&amp;INT(MONTH(records[[#This Row],[日期]])/3+1)&amp;" 季度"</f>
        <v>第 1 季度</v>
      </c>
      <c r="C39" s="10" t="str">
        <f>MONTH(records[[#This Row],[日期]])&amp;" 月"</f>
        <v>2 月</v>
      </c>
      <c r="D39" s="10" t="str">
        <f>"第 "&amp;WEEKNUM(records[[#This Row],[日期]],2)&amp;" 周"</f>
        <v>第 9 周</v>
      </c>
      <c r="E39" s="8">
        <v>43886</v>
      </c>
      <c r="F39" s="9">
        <v>0.94791666666666663</v>
      </c>
      <c r="G39" s="9">
        <v>0.95833333333333337</v>
      </c>
      <c r="H39" s="9">
        <f>records[[#This Row],[结束时刻]]-records[[#This Row],[开始时刻]]</f>
        <v>1.0416666666666741E-2</v>
      </c>
      <c r="I39" s="8" t="s">
        <v>13</v>
      </c>
      <c r="J39" s="25">
        <v>0.2</v>
      </c>
      <c r="K39" s="10" t="s">
        <v>72</v>
      </c>
    </row>
    <row r="40" spans="1:11">
      <c r="A40" s="10" t="str">
        <f>YEAR(records[[#This Row],[日期]])&amp;" 年"</f>
        <v>2020 年</v>
      </c>
      <c r="B40" s="10" t="str">
        <f>"第 "&amp;INT(MONTH(records[[#This Row],[日期]])/3+1)&amp;" 季度"</f>
        <v>第 1 季度</v>
      </c>
      <c r="C40" s="10" t="str">
        <f>MONTH(records[[#This Row],[日期]])&amp;" 月"</f>
        <v>2 月</v>
      </c>
      <c r="D40" s="10" t="str">
        <f>"第 "&amp;WEEKNUM(records[[#This Row],[日期]],2)&amp;" 周"</f>
        <v>第 9 周</v>
      </c>
      <c r="E40" s="8">
        <v>43887</v>
      </c>
      <c r="F40" s="9">
        <v>0</v>
      </c>
      <c r="G40" s="9">
        <v>0.99930555555555556</v>
      </c>
      <c r="H40" s="9">
        <f>records[[#This Row],[结束时刻]]-records[[#This Row],[开始时刻]]</f>
        <v>0.99930555555555556</v>
      </c>
      <c r="I40" s="14" t="s">
        <v>70</v>
      </c>
      <c r="J40" s="25">
        <v>0.9</v>
      </c>
      <c r="K40" s="10" t="s">
        <v>73</v>
      </c>
    </row>
    <row r="41" spans="1:11">
      <c r="A41" s="10" t="str">
        <f>YEAR(records[[#This Row],[日期]])&amp;" 年"</f>
        <v>2020 年</v>
      </c>
      <c r="B41" s="10" t="str">
        <f>"第 "&amp;INT(MONTH(records[[#This Row],[日期]])/3+1)&amp;" 季度"</f>
        <v>第 1 季度</v>
      </c>
      <c r="C41" s="10" t="str">
        <f>MONTH(records[[#This Row],[日期]])&amp;" 月"</f>
        <v>2 月</v>
      </c>
      <c r="D41" s="10" t="str">
        <f>"第 "&amp;WEEKNUM(records[[#This Row],[日期]],2)&amp;" 周"</f>
        <v>第 9 周</v>
      </c>
      <c r="E41" s="8">
        <v>43887</v>
      </c>
      <c r="F41" s="9">
        <v>0.25</v>
      </c>
      <c r="G41" s="9">
        <v>0.25</v>
      </c>
      <c r="H41" s="9">
        <f>records[[#This Row],[结束时刻]]-records[[#This Row],[开始时刻]]</f>
        <v>0</v>
      </c>
      <c r="I41" s="8" t="s">
        <v>6</v>
      </c>
      <c r="J41" s="25">
        <v>0.1</v>
      </c>
      <c r="K41" s="10"/>
    </row>
    <row r="42" spans="1:11">
      <c r="A42" s="10" t="str">
        <f>YEAR(records[[#This Row],[日期]])&amp;" 年"</f>
        <v>2020 年</v>
      </c>
      <c r="B42" s="10" t="str">
        <f>"第 "&amp;INT(MONTH(records[[#This Row],[日期]])/3+1)&amp;" 季度"</f>
        <v>第 1 季度</v>
      </c>
      <c r="C42" s="10" t="str">
        <f>MONTH(records[[#This Row],[日期]])&amp;" 月"</f>
        <v>2 月</v>
      </c>
      <c r="D42" s="10" t="str">
        <f>"第 "&amp;WEEKNUM(records[[#This Row],[日期]],2)&amp;" 周"</f>
        <v>第 9 周</v>
      </c>
      <c r="E42" s="8">
        <v>43887</v>
      </c>
      <c r="F42" s="9">
        <v>0.25</v>
      </c>
      <c r="G42" s="9">
        <v>0.25347222222222221</v>
      </c>
      <c r="H42" s="9">
        <f>records[[#This Row],[结束时刻]]-records[[#This Row],[开始时刻]]</f>
        <v>3.4722222222222099E-3</v>
      </c>
      <c r="I42" s="8" t="s">
        <v>97</v>
      </c>
      <c r="J42" s="25">
        <v>0.1</v>
      </c>
      <c r="K42" s="10"/>
    </row>
    <row r="43" spans="1:11">
      <c r="A43" s="10" t="str">
        <f>YEAR(records[[#This Row],[日期]])&amp;" 年"</f>
        <v>2020 年</v>
      </c>
      <c r="B43" s="10" t="str">
        <f>"第 "&amp;INT(MONTH(records[[#This Row],[日期]])/3+1)&amp;" 季度"</f>
        <v>第 1 季度</v>
      </c>
      <c r="C43" s="10" t="str">
        <f>MONTH(records[[#This Row],[日期]])&amp;" 月"</f>
        <v>2 月</v>
      </c>
      <c r="D43" s="10" t="str">
        <f>"第 "&amp;WEEKNUM(records[[#This Row],[日期]],2)&amp;" 周"</f>
        <v>第 9 周</v>
      </c>
      <c r="E43" s="8">
        <v>43887</v>
      </c>
      <c r="F43" s="9">
        <v>0.25347222222222221</v>
      </c>
      <c r="G43" s="9">
        <v>0.29722222222222222</v>
      </c>
      <c r="H43" s="9">
        <f>records[[#This Row],[结束时刻]]-records[[#This Row],[开始时刻]]</f>
        <v>4.3750000000000011E-2</v>
      </c>
      <c r="I43" s="8" t="s">
        <v>11</v>
      </c>
      <c r="J43" s="25">
        <v>0.1</v>
      </c>
      <c r="K43" s="10"/>
    </row>
    <row r="44" spans="1:11">
      <c r="A44" s="10" t="str">
        <f>YEAR(records[[#This Row],[日期]])&amp;" 年"</f>
        <v>2020 年</v>
      </c>
      <c r="B44" s="10" t="str">
        <f>"第 "&amp;INT(MONTH(records[[#This Row],[日期]])/3+1)&amp;" 季度"</f>
        <v>第 1 季度</v>
      </c>
      <c r="C44" s="10" t="str">
        <f>MONTH(records[[#This Row],[日期]])&amp;" 月"</f>
        <v>2 月</v>
      </c>
      <c r="D44" s="10" t="str">
        <f>"第 "&amp;WEEKNUM(records[[#This Row],[日期]],2)&amp;" 周"</f>
        <v>第 9 周</v>
      </c>
      <c r="E44" s="8">
        <v>43887</v>
      </c>
      <c r="F44" s="9">
        <v>0.30208333333333331</v>
      </c>
      <c r="G44" s="9">
        <v>0.32291666666666669</v>
      </c>
      <c r="H44" s="9">
        <f>records[[#This Row],[结束时刻]]-records[[#This Row],[开始时刻]]</f>
        <v>2.083333333333337E-2</v>
      </c>
      <c r="I44" s="8" t="s">
        <v>20</v>
      </c>
      <c r="J44" s="25">
        <v>0.1</v>
      </c>
      <c r="K44" s="10"/>
    </row>
    <row r="45" spans="1:11">
      <c r="A45" s="10" t="str">
        <f>YEAR(records[[#This Row],[日期]])&amp;" 年"</f>
        <v>2020 年</v>
      </c>
      <c r="B45" s="8" t="str">
        <f>"第 "&amp;INT(MONTH(records[[#This Row],[日期]])/3+1)&amp;" 季度"</f>
        <v>第 1 季度</v>
      </c>
      <c r="C45" s="8" t="str">
        <f>MONTH(records[[#This Row],[日期]])&amp;" 月"</f>
        <v>2 月</v>
      </c>
      <c r="D45" s="8" t="str">
        <f>"第 "&amp;WEEKNUM(records[[#This Row],[日期]],2)&amp;" 周"</f>
        <v>第 9 周</v>
      </c>
      <c r="E45" s="8">
        <v>43887</v>
      </c>
      <c r="F45" s="9">
        <v>0.32291666666666669</v>
      </c>
      <c r="G45" s="9">
        <v>0.33333333333333331</v>
      </c>
      <c r="H45" s="9">
        <f>records[[#This Row],[结束时刻]]-records[[#This Row],[开始时刻]]</f>
        <v>1.041666666666663E-2</v>
      </c>
      <c r="I45" s="8" t="s">
        <v>134</v>
      </c>
      <c r="J45" s="25">
        <v>0.1</v>
      </c>
      <c r="K45" s="10"/>
    </row>
    <row r="46" spans="1:11">
      <c r="A46" s="10" t="str">
        <f>YEAR(records[[#This Row],[日期]])&amp;" 年"</f>
        <v>2020 年</v>
      </c>
      <c r="B46" s="10" t="str">
        <f>"第 "&amp;INT(MONTH(records[[#This Row],[日期]])/3+1)&amp;" 季度"</f>
        <v>第 1 季度</v>
      </c>
      <c r="C46" s="10" t="str">
        <f>MONTH(records[[#This Row],[日期]])&amp;" 月"</f>
        <v>2 月</v>
      </c>
      <c r="D46" s="10" t="str">
        <f>"第 "&amp;WEEKNUM(records[[#This Row],[日期]],2)&amp;" 周"</f>
        <v>第 9 周</v>
      </c>
      <c r="E46" s="8">
        <v>43887</v>
      </c>
      <c r="F46" s="9">
        <v>0.33333333333333331</v>
      </c>
      <c r="G46" s="9">
        <v>0.33333333333333331</v>
      </c>
      <c r="H46" s="9">
        <f>records[[#This Row],[结束时刻]]-records[[#This Row],[开始时刻]]</f>
        <v>0</v>
      </c>
      <c r="I46" s="14" t="s">
        <v>70</v>
      </c>
      <c r="J46" s="25">
        <v>0.8</v>
      </c>
      <c r="K46" s="10" t="s">
        <v>71</v>
      </c>
    </row>
    <row r="47" spans="1:11">
      <c r="A47" s="10" t="str">
        <f>YEAR(records[[#This Row],[日期]])&amp;" 年"</f>
        <v>2020 年</v>
      </c>
      <c r="B47" s="10" t="str">
        <f>"第 "&amp;INT(MONTH(records[[#This Row],[日期]])/3+1)&amp;" 季度"</f>
        <v>第 1 季度</v>
      </c>
      <c r="C47" s="10" t="str">
        <f>MONTH(records[[#This Row],[日期]])&amp;" 月"</f>
        <v>2 月</v>
      </c>
      <c r="D47" s="10" t="str">
        <f>"第 "&amp;WEEKNUM(records[[#This Row],[日期]],2)&amp;" 周"</f>
        <v>第 9 周</v>
      </c>
      <c r="E47" s="8">
        <v>43887</v>
      </c>
      <c r="F47" s="9">
        <v>0.875</v>
      </c>
      <c r="G47" s="9">
        <v>0.91666666666666663</v>
      </c>
      <c r="H47" s="9">
        <f>records[[#This Row],[结束时刻]]-records[[#This Row],[开始时刻]]</f>
        <v>4.166666666666663E-2</v>
      </c>
      <c r="I47" s="8" t="s">
        <v>12</v>
      </c>
      <c r="J47" s="25">
        <v>0.2</v>
      </c>
      <c r="K47" s="10"/>
    </row>
    <row r="48" spans="1:11">
      <c r="A48" s="10" t="str">
        <f>YEAR(records[[#This Row],[日期]])&amp;" 年"</f>
        <v>2020 年</v>
      </c>
      <c r="B48" s="10" t="str">
        <f>"第 "&amp;INT(MONTH(records[[#This Row],[日期]])/3+1)&amp;" 季度"</f>
        <v>第 1 季度</v>
      </c>
      <c r="C48" s="10" t="str">
        <f>MONTH(records[[#This Row],[日期]])&amp;" 月"</f>
        <v>2 月</v>
      </c>
      <c r="D48" s="10" t="str">
        <f>"第 "&amp;WEEKNUM(records[[#This Row],[日期]],2)&amp;" 周"</f>
        <v>第 9 周</v>
      </c>
      <c r="E48" s="8">
        <v>43887</v>
      </c>
      <c r="F48" s="9">
        <v>0.91666666666666663</v>
      </c>
      <c r="G48" s="9">
        <v>0.9375</v>
      </c>
      <c r="H48" s="9">
        <f>records[[#This Row],[结束时刻]]-records[[#This Row],[开始时刻]]</f>
        <v>2.083333333333337E-2</v>
      </c>
      <c r="I48" s="8" t="s">
        <v>23</v>
      </c>
      <c r="J48" s="25">
        <v>0.1</v>
      </c>
      <c r="K48" s="10"/>
    </row>
    <row r="49" spans="1:11">
      <c r="A49" s="10" t="str">
        <f>YEAR(records[[#This Row],[日期]])&amp;" 年"</f>
        <v>2020 年</v>
      </c>
      <c r="B49" s="10" t="str">
        <f>"第 "&amp;INT(MONTH(records[[#This Row],[日期]])/3+1)&amp;" 季度"</f>
        <v>第 1 季度</v>
      </c>
      <c r="C49" s="10" t="str">
        <f>MONTH(records[[#This Row],[日期]])&amp;" 月"</f>
        <v>2 月</v>
      </c>
      <c r="D49" s="10" t="str">
        <f>"第 "&amp;WEEKNUM(records[[#This Row],[日期]],2)&amp;" 周"</f>
        <v>第 9 周</v>
      </c>
      <c r="E49" s="8">
        <v>43887</v>
      </c>
      <c r="F49" s="9">
        <v>0.9375</v>
      </c>
      <c r="G49" s="9">
        <v>0.94791666666666663</v>
      </c>
      <c r="H49" s="9">
        <f>records[[#This Row],[结束时刻]]-records[[#This Row],[开始时刻]]</f>
        <v>1.041666666666663E-2</v>
      </c>
      <c r="I49" s="8" t="s">
        <v>54</v>
      </c>
      <c r="J49" s="25">
        <v>0.2</v>
      </c>
      <c r="K49" s="10"/>
    </row>
    <row r="50" spans="1:11">
      <c r="A50" s="10" t="str">
        <f>YEAR(records[[#This Row],[日期]])&amp;" 年"</f>
        <v>2020 年</v>
      </c>
      <c r="B50" s="10" t="str">
        <f>"第 "&amp;INT(MONTH(records[[#This Row],[日期]])/3+1)&amp;" 季度"</f>
        <v>第 1 季度</v>
      </c>
      <c r="C50" s="10" t="str">
        <f>MONTH(records[[#This Row],[日期]])&amp;" 月"</f>
        <v>2 月</v>
      </c>
      <c r="D50" s="10" t="str">
        <f>"第 "&amp;WEEKNUM(records[[#This Row],[日期]],2)&amp;" 周"</f>
        <v>第 9 周</v>
      </c>
      <c r="E50" s="8">
        <v>43887</v>
      </c>
      <c r="F50" s="9">
        <v>0.94791666666666663</v>
      </c>
      <c r="G50" s="9">
        <v>0.95833333333333337</v>
      </c>
      <c r="H50" s="9">
        <f>records[[#This Row],[结束时刻]]-records[[#This Row],[开始时刻]]</f>
        <v>1.0416666666666741E-2</v>
      </c>
      <c r="I50" s="8" t="s">
        <v>13</v>
      </c>
      <c r="J50" s="25">
        <v>0.2</v>
      </c>
      <c r="K50" s="10"/>
    </row>
    <row r="51" spans="1:11">
      <c r="A51" s="10" t="str">
        <f>YEAR(records[[#This Row],[日期]])&amp;" 年"</f>
        <v>2020 年</v>
      </c>
      <c r="B51" s="10" t="str">
        <f>"第 "&amp;INT(MONTH(records[[#This Row],[日期]])/3+1)&amp;" 季度"</f>
        <v>第 1 季度</v>
      </c>
      <c r="C51" s="10" t="str">
        <f>MONTH(records[[#This Row],[日期]])&amp;" 月"</f>
        <v>2 月</v>
      </c>
      <c r="D51" s="10" t="str">
        <f>"第 "&amp;WEEKNUM(records[[#This Row],[日期]],2)&amp;" 周"</f>
        <v>第 9 周</v>
      </c>
      <c r="E51" s="8">
        <v>43888</v>
      </c>
      <c r="F51" s="9">
        <v>0</v>
      </c>
      <c r="G51" s="9">
        <v>0.99930555555555556</v>
      </c>
      <c r="H51" s="9">
        <f>records[[#This Row],[结束时刻]]-records[[#This Row],[开始时刻]]</f>
        <v>0.99930555555555556</v>
      </c>
      <c r="I51" s="10" t="s">
        <v>130</v>
      </c>
      <c r="J51" s="25">
        <v>-0.43</v>
      </c>
      <c r="K51" s="24">
        <v>0.57369999999999999</v>
      </c>
    </row>
    <row r="52" spans="1:11">
      <c r="A52" s="10" t="str">
        <f>YEAR(records[[#This Row],[日期]])&amp;" 年"</f>
        <v>2020 年</v>
      </c>
      <c r="B52" s="10" t="str">
        <f>"第 "&amp;INT(MONTH(records[[#This Row],[日期]])/3+1)&amp;" 季度"</f>
        <v>第 1 季度</v>
      </c>
      <c r="C52" s="10" t="str">
        <f>MONTH(records[[#This Row],[日期]])&amp;" 月"</f>
        <v>2 月</v>
      </c>
      <c r="D52" s="10" t="str">
        <f>"第 "&amp;WEEKNUM(records[[#This Row],[日期]],2)&amp;" 周"</f>
        <v>第 9 周</v>
      </c>
      <c r="E52" s="8">
        <v>43888</v>
      </c>
      <c r="F52" s="9">
        <v>0</v>
      </c>
      <c r="G52" s="9">
        <v>0.99930555555555556</v>
      </c>
      <c r="H52" s="9">
        <f>records[[#This Row],[结束时刻]]-records[[#This Row],[开始时刻]]</f>
        <v>0.99930555555555556</v>
      </c>
      <c r="I52" s="8" t="s">
        <v>101</v>
      </c>
      <c r="J52" s="25">
        <v>0.01</v>
      </c>
      <c r="K52" s="10" t="s">
        <v>102</v>
      </c>
    </row>
    <row r="53" spans="1:11">
      <c r="A53" s="10" t="str">
        <f>YEAR(records[[#This Row],[日期]])&amp;" 年"</f>
        <v>2020 年</v>
      </c>
      <c r="B53" s="10" t="str">
        <f>"第 "&amp;INT(MONTH(records[[#This Row],[日期]])/3+1)&amp;" 季度"</f>
        <v>第 1 季度</v>
      </c>
      <c r="C53" s="10" t="str">
        <f>MONTH(records[[#This Row],[日期]])&amp;" 月"</f>
        <v>2 月</v>
      </c>
      <c r="D53" s="10" t="str">
        <f>"第 "&amp;WEEKNUM(records[[#This Row],[日期]],2)&amp;" 周"</f>
        <v>第 9 周</v>
      </c>
      <c r="E53" s="8">
        <v>43888</v>
      </c>
      <c r="F53" s="9">
        <v>0.25</v>
      </c>
      <c r="G53" s="9">
        <v>0.25</v>
      </c>
      <c r="H53" s="9">
        <f>records[[#This Row],[结束时刻]]-records[[#This Row],[开始时刻]]</f>
        <v>0</v>
      </c>
      <c r="I53" s="8" t="s">
        <v>6</v>
      </c>
      <c r="J53" s="25">
        <v>0.2</v>
      </c>
      <c r="K53" s="10" t="s">
        <v>72</v>
      </c>
    </row>
    <row r="54" spans="1:11">
      <c r="A54" s="10" t="str">
        <f>YEAR(records[[#This Row],[日期]])&amp;" 年"</f>
        <v>2020 年</v>
      </c>
      <c r="B54" s="10" t="str">
        <f>"第 "&amp;INT(MONTH(records[[#This Row],[日期]])/3+1)&amp;" 季度"</f>
        <v>第 1 季度</v>
      </c>
      <c r="C54" s="10" t="str">
        <f>MONTH(records[[#This Row],[日期]])&amp;" 月"</f>
        <v>2 月</v>
      </c>
      <c r="D54" s="10" t="str">
        <f>"第 "&amp;WEEKNUM(records[[#This Row],[日期]],2)&amp;" 周"</f>
        <v>第 9 周</v>
      </c>
      <c r="E54" s="8">
        <v>43888</v>
      </c>
      <c r="F54" s="9">
        <v>0.25</v>
      </c>
      <c r="G54" s="9">
        <v>0.25347222222222221</v>
      </c>
      <c r="H54" s="9">
        <f>records[[#This Row],[结束时刻]]-records[[#This Row],[开始时刻]]</f>
        <v>3.4722222222222099E-3</v>
      </c>
      <c r="I54" s="14" t="s">
        <v>97</v>
      </c>
      <c r="J54" s="25">
        <v>0.2</v>
      </c>
      <c r="K54" s="10" t="s">
        <v>72</v>
      </c>
    </row>
    <row r="55" spans="1:11">
      <c r="A55" s="10" t="str">
        <f>YEAR(records[[#This Row],[日期]])&amp;" 年"</f>
        <v>2020 年</v>
      </c>
      <c r="B55" s="10" t="str">
        <f>"第 "&amp;INT(MONTH(records[[#This Row],[日期]])/3+1)&amp;" 季度"</f>
        <v>第 1 季度</v>
      </c>
      <c r="C55" s="10" t="str">
        <f>MONTH(records[[#This Row],[日期]])&amp;" 月"</f>
        <v>2 月</v>
      </c>
      <c r="D55" s="10" t="str">
        <f>"第 "&amp;WEEKNUM(records[[#This Row],[日期]],2)&amp;" 周"</f>
        <v>第 9 周</v>
      </c>
      <c r="E55" s="8">
        <v>43888</v>
      </c>
      <c r="F55" s="9">
        <v>0.25347222222222221</v>
      </c>
      <c r="G55" s="9">
        <v>0.29722222222222222</v>
      </c>
      <c r="H55" s="9">
        <f>records[[#This Row],[结束时刻]]-records[[#This Row],[开始时刻]]</f>
        <v>4.3750000000000011E-2</v>
      </c>
      <c r="I55" s="8" t="s">
        <v>11</v>
      </c>
      <c r="J55" s="25">
        <v>0.2</v>
      </c>
      <c r="K55" s="10" t="s">
        <v>72</v>
      </c>
    </row>
    <row r="56" spans="1:11">
      <c r="A56" s="10" t="str">
        <f>YEAR(records[[#This Row],[日期]])&amp;" 年"</f>
        <v>2020 年</v>
      </c>
      <c r="B56" s="10" t="str">
        <f>"第 "&amp;INT(MONTH(records[[#This Row],[日期]])/3+1)&amp;" 季度"</f>
        <v>第 1 季度</v>
      </c>
      <c r="C56" s="10" t="str">
        <f>MONTH(records[[#This Row],[日期]])&amp;" 月"</f>
        <v>2 月</v>
      </c>
      <c r="D56" s="10" t="str">
        <f>"第 "&amp;WEEKNUM(records[[#This Row],[日期]],2)&amp;" 周"</f>
        <v>第 9 周</v>
      </c>
      <c r="E56" s="8">
        <v>43888</v>
      </c>
      <c r="F56" s="9">
        <v>0.30208333333333331</v>
      </c>
      <c r="G56" s="9">
        <v>0.32291666666666669</v>
      </c>
      <c r="H56" s="9">
        <f>records[[#This Row],[结束时刻]]-records[[#This Row],[开始时刻]]</f>
        <v>2.083333333333337E-2</v>
      </c>
      <c r="I56" s="8" t="s">
        <v>20</v>
      </c>
      <c r="J56" s="25">
        <v>0.2</v>
      </c>
      <c r="K56" s="10" t="s">
        <v>72</v>
      </c>
    </row>
    <row r="57" spans="1:11">
      <c r="A57" s="10" t="str">
        <f>YEAR(records[[#This Row],[日期]])&amp;" 年"</f>
        <v>2020 年</v>
      </c>
      <c r="B57" s="8" t="str">
        <f>"第 "&amp;INT(MONTH(records[[#This Row],[日期]])/3+1)&amp;" 季度"</f>
        <v>第 1 季度</v>
      </c>
      <c r="C57" s="8" t="str">
        <f>MONTH(records[[#This Row],[日期]])&amp;" 月"</f>
        <v>2 月</v>
      </c>
      <c r="D57" s="8" t="str">
        <f>"第 "&amp;WEEKNUM(records[[#This Row],[日期]],2)&amp;" 周"</f>
        <v>第 9 周</v>
      </c>
      <c r="E57" s="8">
        <v>43888</v>
      </c>
      <c r="F57" s="9">
        <v>0.32291666666666669</v>
      </c>
      <c r="G57" s="9">
        <v>0.33333333333333331</v>
      </c>
      <c r="H57" s="9">
        <f>records[[#This Row],[结束时刻]]-records[[#This Row],[开始时刻]]</f>
        <v>1.041666666666663E-2</v>
      </c>
      <c r="I57" s="8" t="s">
        <v>134</v>
      </c>
      <c r="J57" s="25">
        <v>0.2</v>
      </c>
      <c r="K57" s="10" t="s">
        <v>72</v>
      </c>
    </row>
    <row r="58" spans="1:11">
      <c r="A58" s="10" t="str">
        <f>YEAR(records[[#This Row],[日期]])&amp;" 年"</f>
        <v>2020 年</v>
      </c>
      <c r="B58" s="10" t="str">
        <f>"第 "&amp;INT(MONTH(records[[#This Row],[日期]])/3+1)&amp;" 季度"</f>
        <v>第 1 季度</v>
      </c>
      <c r="C58" s="10" t="str">
        <f>MONTH(records[[#This Row],[日期]])&amp;" 月"</f>
        <v>2 月</v>
      </c>
      <c r="D58" s="10" t="str">
        <f>"第 "&amp;WEEKNUM(records[[#This Row],[日期]],2)&amp;" 周"</f>
        <v>第 9 周</v>
      </c>
      <c r="E58" s="8">
        <v>43888</v>
      </c>
      <c r="F58" s="9">
        <v>0.875</v>
      </c>
      <c r="G58" s="9">
        <v>0.91666666666666663</v>
      </c>
      <c r="H58" s="9">
        <f>records[[#This Row],[结束时刻]]-records[[#This Row],[开始时刻]]</f>
        <v>4.166666666666663E-2</v>
      </c>
      <c r="I58" s="8" t="s">
        <v>12</v>
      </c>
      <c r="J58" s="25">
        <v>0.2</v>
      </c>
      <c r="K58" s="10"/>
    </row>
    <row r="59" spans="1:11">
      <c r="A59" s="10" t="str">
        <f>YEAR(records[[#This Row],[日期]])&amp;" 年"</f>
        <v>2020 年</v>
      </c>
      <c r="B59" s="10" t="str">
        <f>"第 "&amp;INT(MONTH(records[[#This Row],[日期]])/3+1)&amp;" 季度"</f>
        <v>第 1 季度</v>
      </c>
      <c r="C59" s="10" t="str">
        <f>MONTH(records[[#This Row],[日期]])&amp;" 月"</f>
        <v>2 月</v>
      </c>
      <c r="D59" s="10" t="str">
        <f>"第 "&amp;WEEKNUM(records[[#This Row],[日期]],2)&amp;" 周"</f>
        <v>第 9 周</v>
      </c>
      <c r="E59" s="8">
        <v>43888</v>
      </c>
      <c r="F59" s="9">
        <v>0.91666666666666663</v>
      </c>
      <c r="G59" s="9">
        <v>0.9375</v>
      </c>
      <c r="H59" s="9">
        <f>records[[#This Row],[结束时刻]]-records[[#This Row],[开始时刻]]</f>
        <v>2.083333333333337E-2</v>
      </c>
      <c r="I59" s="8" t="s">
        <v>23</v>
      </c>
      <c r="J59" s="25">
        <v>0.2</v>
      </c>
      <c r="K59" s="10" t="s">
        <v>72</v>
      </c>
    </row>
    <row r="60" spans="1:11">
      <c r="A60" s="10" t="str">
        <f>YEAR(records[[#This Row],[日期]])&amp;" 年"</f>
        <v>2020 年</v>
      </c>
      <c r="B60" s="10" t="str">
        <f>"第 "&amp;INT(MONTH(records[[#This Row],[日期]])/3+1)&amp;" 季度"</f>
        <v>第 1 季度</v>
      </c>
      <c r="C60" s="10" t="str">
        <f>MONTH(records[[#This Row],[日期]])&amp;" 月"</f>
        <v>2 月</v>
      </c>
      <c r="D60" s="10" t="str">
        <f>"第 "&amp;WEEKNUM(records[[#This Row],[日期]],2)&amp;" 周"</f>
        <v>第 9 周</v>
      </c>
      <c r="E60" s="8">
        <v>43888</v>
      </c>
      <c r="F60" s="9">
        <v>0.9375</v>
      </c>
      <c r="G60" s="9">
        <v>0.94791666666666663</v>
      </c>
      <c r="H60" s="9">
        <f>records[[#This Row],[结束时刻]]-records[[#This Row],[开始时刻]]</f>
        <v>1.041666666666663E-2</v>
      </c>
      <c r="I60" s="8" t="s">
        <v>54</v>
      </c>
      <c r="J60" s="25">
        <v>0.2</v>
      </c>
      <c r="K60" s="10"/>
    </row>
    <row r="61" spans="1:11">
      <c r="A61" s="10" t="str">
        <f>YEAR(records[[#This Row],[日期]])&amp;" 年"</f>
        <v>2020 年</v>
      </c>
      <c r="B61" s="10" t="str">
        <f>"第 "&amp;INT(MONTH(records[[#This Row],[日期]])/3+1)&amp;" 季度"</f>
        <v>第 1 季度</v>
      </c>
      <c r="C61" s="10" t="str">
        <f>MONTH(records[[#This Row],[日期]])&amp;" 月"</f>
        <v>2 月</v>
      </c>
      <c r="D61" s="10" t="str">
        <f>"第 "&amp;WEEKNUM(records[[#This Row],[日期]],2)&amp;" 周"</f>
        <v>第 9 周</v>
      </c>
      <c r="E61" s="8">
        <v>43888</v>
      </c>
      <c r="F61" s="9">
        <v>0.94791666666666663</v>
      </c>
      <c r="G61" s="9">
        <v>0.95833333333333337</v>
      </c>
      <c r="H61" s="9">
        <f>records[[#This Row],[结束时刻]]-records[[#This Row],[开始时刻]]</f>
        <v>1.0416666666666741E-2</v>
      </c>
      <c r="I61" s="8" t="s">
        <v>13</v>
      </c>
      <c r="J61" s="25">
        <v>0.2</v>
      </c>
      <c r="K61" s="10"/>
    </row>
    <row r="62" spans="1:11">
      <c r="A62" s="10" t="str">
        <f>YEAR(records[[#This Row],[日期]])&amp;" 年"</f>
        <v>2020 年</v>
      </c>
      <c r="B62" s="10" t="str">
        <f>"第 "&amp;INT(MONTH(records[[#This Row],[日期]])/3+1)&amp;" 季度"</f>
        <v>第 1 季度</v>
      </c>
      <c r="C62" s="10" t="str">
        <f>MONTH(records[[#This Row],[日期]])&amp;" 月"</f>
        <v>2 月</v>
      </c>
      <c r="D62" s="10" t="str">
        <f>"第 "&amp;WEEKNUM(records[[#This Row],[日期]],2)&amp;" 周"</f>
        <v>第 9 周</v>
      </c>
      <c r="E62" s="8">
        <v>43888</v>
      </c>
      <c r="F62" s="9">
        <v>0.99930555555555556</v>
      </c>
      <c r="G62" s="9">
        <v>0.99930555555555556</v>
      </c>
      <c r="H62" s="9">
        <f>records[[#This Row],[结束时刻]]-records[[#This Row],[开始时刻]]</f>
        <v>0</v>
      </c>
      <c r="I62" s="8" t="s">
        <v>98</v>
      </c>
      <c r="J62" s="25">
        <v>0.09</v>
      </c>
      <c r="K62" s="10" t="s">
        <v>99</v>
      </c>
    </row>
    <row r="63" spans="1:11">
      <c r="A63" s="10" t="str">
        <f>YEAR(records[[#This Row],[日期]])&amp;" 年"</f>
        <v>2020 年</v>
      </c>
      <c r="B63" s="10" t="str">
        <f>"第 "&amp;INT(MONTH(records[[#This Row],[日期]])/3+1)&amp;" 季度"</f>
        <v>第 1 季度</v>
      </c>
      <c r="C63" s="10" t="str">
        <f>MONTH(records[[#This Row],[日期]])&amp;" 月"</f>
        <v>2 月</v>
      </c>
      <c r="D63" s="10" t="str">
        <f>"第 "&amp;WEEKNUM(records[[#This Row],[日期]],2)&amp;" 周"</f>
        <v>第 9 周</v>
      </c>
      <c r="E63" s="8">
        <v>43888</v>
      </c>
      <c r="F63" s="9">
        <v>0.99930555555555556</v>
      </c>
      <c r="G63" s="9">
        <v>0.99930555555555556</v>
      </c>
      <c r="H63" s="9">
        <f>records[[#This Row],[结束时刻]]-records[[#This Row],[开始时刻]]</f>
        <v>0</v>
      </c>
      <c r="I63" s="8" t="s">
        <v>100</v>
      </c>
      <c r="J63" s="25">
        <v>0.09</v>
      </c>
      <c r="K63" s="10" t="s">
        <v>99</v>
      </c>
    </row>
    <row r="64" spans="1:11">
      <c r="A64" s="10" t="str">
        <f>YEAR(records[[#This Row],[日期]])&amp;" 年"</f>
        <v>2020 年</v>
      </c>
      <c r="B64" s="8" t="str">
        <f>"第 "&amp;INT(MONTH(records[[#This Row],[日期]])/3+1)&amp;" 季度"</f>
        <v>第 1 季度</v>
      </c>
      <c r="C64" s="8" t="str">
        <f>MONTH(records[[#This Row],[日期]])&amp;" 月"</f>
        <v>2 月</v>
      </c>
      <c r="D64" s="8" t="str">
        <f>"第 "&amp;WEEKNUM(records[[#This Row],[日期]],2)&amp;" 周"</f>
        <v>第 9 周</v>
      </c>
      <c r="E64" s="8">
        <v>43889</v>
      </c>
      <c r="F64" s="9">
        <v>0</v>
      </c>
      <c r="G64" s="9">
        <v>0.99930555555555556</v>
      </c>
      <c r="H64" s="9">
        <f>records[[#This Row],[结束时刻]]-records[[#This Row],[开始时刻]]</f>
        <v>0.99930555555555556</v>
      </c>
      <c r="I64" s="10" t="s">
        <v>130</v>
      </c>
      <c r="J64" s="25">
        <v>-0.14000000000000001</v>
      </c>
      <c r="K64" s="24">
        <v>0.85880000000000001</v>
      </c>
    </row>
    <row r="65" spans="1:11">
      <c r="A65" s="10" t="str">
        <f>YEAR(records[[#This Row],[日期]])&amp;" 年"</f>
        <v>2020 年</v>
      </c>
      <c r="B65" s="8" t="str">
        <f>"第 "&amp;INT(MONTH(records[[#This Row],[日期]])/3+1)&amp;" 季度"</f>
        <v>第 1 季度</v>
      </c>
      <c r="C65" s="8" t="str">
        <f>MONTH(records[[#This Row],[日期]])&amp;" 月"</f>
        <v>2 月</v>
      </c>
      <c r="D65" s="8" t="str">
        <f>"第 "&amp;WEEKNUM(records[[#This Row],[日期]],2)&amp;" 周"</f>
        <v>第 9 周</v>
      </c>
      <c r="E65" s="8">
        <v>43889</v>
      </c>
      <c r="F65" s="9">
        <v>0</v>
      </c>
      <c r="G65" s="9">
        <v>0.99930555555555556</v>
      </c>
      <c r="H65" s="9">
        <f>records[[#This Row],[结束时刻]]-records[[#This Row],[开始时刻]]</f>
        <v>0.99930555555555556</v>
      </c>
      <c r="I65" s="8" t="s">
        <v>121</v>
      </c>
      <c r="J65" s="25">
        <v>0.1</v>
      </c>
      <c r="K65" s="10"/>
    </row>
    <row r="66" spans="1:11" ht="18">
      <c r="A66" s="10" t="str">
        <f>YEAR(records[[#This Row],[日期]])&amp;" 年"</f>
        <v>2020 年</v>
      </c>
      <c r="B66" s="8" t="str">
        <f>"第 "&amp;INT(MONTH(records[[#This Row],[日期]])/3+1)&amp;" 季度"</f>
        <v>第 1 季度</v>
      </c>
      <c r="C66" s="8" t="str">
        <f>MONTH(records[[#This Row],[日期]])&amp;" 月"</f>
        <v>2 月</v>
      </c>
      <c r="D66" s="8" t="str">
        <f>"第 "&amp;WEEKNUM(records[[#This Row],[日期]],2)&amp;" 周"</f>
        <v>第 9 周</v>
      </c>
      <c r="E66" s="8">
        <v>43889</v>
      </c>
      <c r="F66" s="9">
        <v>0</v>
      </c>
      <c r="G66" s="9">
        <v>0.99930555555555556</v>
      </c>
      <c r="H66" s="9">
        <f>records[[#This Row],[结束时刻]]-records[[#This Row],[开始时刻]]</f>
        <v>0.99930555555555556</v>
      </c>
      <c r="I66" s="8" t="s">
        <v>122</v>
      </c>
      <c r="J66" s="25">
        <v>0.4</v>
      </c>
      <c r="K66" s="21" t="s">
        <v>123</v>
      </c>
    </row>
    <row r="67" spans="1:11">
      <c r="A67" s="10" t="str">
        <f>YEAR(records[[#This Row],[日期]])&amp;" 年"</f>
        <v>2020 年</v>
      </c>
      <c r="B67" s="8" t="str">
        <f>"第 "&amp;INT(MONTH(records[[#This Row],[日期]])/3+1)&amp;" 季度"</f>
        <v>第 1 季度</v>
      </c>
      <c r="C67" s="8" t="str">
        <f>MONTH(records[[#This Row],[日期]])&amp;" 月"</f>
        <v>2 月</v>
      </c>
      <c r="D67" s="8" t="str">
        <f>"第 "&amp;WEEKNUM(records[[#This Row],[日期]],2)&amp;" 周"</f>
        <v>第 9 周</v>
      </c>
      <c r="E67" s="8">
        <v>43889</v>
      </c>
      <c r="F67" s="9">
        <v>0</v>
      </c>
      <c r="G67" s="9">
        <v>0.99930555555555556</v>
      </c>
      <c r="H67" s="9">
        <f>records[[#This Row],[结束时刻]]-records[[#This Row],[开始时刻]]</f>
        <v>0.99930555555555556</v>
      </c>
      <c r="I67" s="8" t="s">
        <v>126</v>
      </c>
      <c r="J67" s="25">
        <v>0.6</v>
      </c>
      <c r="K67" s="10"/>
    </row>
    <row r="68" spans="1:11" ht="18">
      <c r="A68" s="10" t="str">
        <f>YEAR(records[[#This Row],[日期]])&amp;" 年"</f>
        <v>2020 年</v>
      </c>
      <c r="B68" s="8" t="str">
        <f>"第 "&amp;INT(MONTH(records[[#This Row],[日期]])/3+1)&amp;" 季度"</f>
        <v>第 1 季度</v>
      </c>
      <c r="C68" s="8" t="str">
        <f>MONTH(records[[#This Row],[日期]])&amp;" 月"</f>
        <v>2 月</v>
      </c>
      <c r="D68" s="8" t="str">
        <f>"第 "&amp;WEEKNUM(records[[#This Row],[日期]],2)&amp;" 周"</f>
        <v>第 9 周</v>
      </c>
      <c r="E68" s="8">
        <v>43889</v>
      </c>
      <c r="F68" s="9">
        <v>0</v>
      </c>
      <c r="G68" s="9">
        <v>0.99930555555555556</v>
      </c>
      <c r="H68" s="9">
        <f>records[[#This Row],[结束时刻]]-records[[#This Row],[开始时刻]]</f>
        <v>0.99930555555555556</v>
      </c>
      <c r="I68" s="8" t="s">
        <v>124</v>
      </c>
      <c r="J68" s="25">
        <v>0.6</v>
      </c>
      <c r="K68" s="21" t="s">
        <v>125</v>
      </c>
    </row>
    <row r="69" spans="1:11">
      <c r="A69" s="10" t="str">
        <f>YEAR(records[[#This Row],[日期]])&amp;" 年"</f>
        <v>2020 年</v>
      </c>
      <c r="B69" s="8" t="str">
        <f>"第 "&amp;INT(MONTH(records[[#This Row],[日期]])/3+1)&amp;" 季度"</f>
        <v>第 1 季度</v>
      </c>
      <c r="C69" s="8" t="str">
        <f>MONTH(records[[#This Row],[日期]])&amp;" 月"</f>
        <v>2 月</v>
      </c>
      <c r="D69" s="8" t="str">
        <f>"第 "&amp;WEEKNUM(records[[#This Row],[日期]],2)&amp;" 周"</f>
        <v>第 9 周</v>
      </c>
      <c r="E69" s="8">
        <v>43889</v>
      </c>
      <c r="F69" s="9">
        <v>0.25</v>
      </c>
      <c r="G69" s="9">
        <v>0.25</v>
      </c>
      <c r="H69" s="9">
        <f>records[[#This Row],[结束时刻]]-records[[#This Row],[开始时刻]]</f>
        <v>0</v>
      </c>
      <c r="I69" s="8" t="s">
        <v>6</v>
      </c>
      <c r="J69" s="25">
        <v>0.2</v>
      </c>
      <c r="K69" s="10"/>
    </row>
    <row r="70" spans="1:11">
      <c r="A70" s="10" t="str">
        <f>YEAR(records[[#This Row],[日期]])&amp;" 年"</f>
        <v>2020 年</v>
      </c>
      <c r="B70" s="8" t="str">
        <f>"第 "&amp;INT(MONTH(records[[#This Row],[日期]])/3+1)&amp;" 季度"</f>
        <v>第 1 季度</v>
      </c>
      <c r="C70" s="8" t="str">
        <f>MONTH(records[[#This Row],[日期]])&amp;" 月"</f>
        <v>2 月</v>
      </c>
      <c r="D70" s="8" t="str">
        <f>"第 "&amp;WEEKNUM(records[[#This Row],[日期]],2)&amp;" 周"</f>
        <v>第 9 周</v>
      </c>
      <c r="E70" s="8">
        <v>43889</v>
      </c>
      <c r="F70" s="9">
        <v>0.25347222222222221</v>
      </c>
      <c r="G70" s="9">
        <v>0.29722222222222222</v>
      </c>
      <c r="H70" s="9">
        <f>records[[#This Row],[结束时刻]]-records[[#This Row],[开始时刻]]</f>
        <v>4.3750000000000011E-2</v>
      </c>
      <c r="I70" s="8" t="s">
        <v>11</v>
      </c>
      <c r="J70" s="25">
        <v>0.2</v>
      </c>
      <c r="K70" s="10"/>
    </row>
    <row r="71" spans="1:11">
      <c r="A71" s="10" t="str">
        <f>YEAR(records[[#This Row],[日期]])&amp;" 年"</f>
        <v>2020 年</v>
      </c>
      <c r="B71" s="8" t="str">
        <f>"第 "&amp;INT(MONTH(records[[#This Row],[日期]])/3+1)&amp;" 季度"</f>
        <v>第 1 季度</v>
      </c>
      <c r="C71" s="8" t="str">
        <f>MONTH(records[[#This Row],[日期]])&amp;" 月"</f>
        <v>2 月</v>
      </c>
      <c r="D71" s="8" t="str">
        <f>"第 "&amp;WEEKNUM(records[[#This Row],[日期]],2)&amp;" 周"</f>
        <v>第 9 周</v>
      </c>
      <c r="E71" s="8">
        <v>43889</v>
      </c>
      <c r="F71" s="9">
        <v>0.30208333333333331</v>
      </c>
      <c r="G71" s="9">
        <v>0.30555555555555552</v>
      </c>
      <c r="H71" s="9">
        <f>records[[#This Row],[结束时刻]]-records[[#This Row],[开始时刻]]</f>
        <v>3.4722222222222099E-3</v>
      </c>
      <c r="I71" s="14" t="s">
        <v>97</v>
      </c>
      <c r="J71" s="25">
        <v>0.18</v>
      </c>
      <c r="K71" s="10" t="s">
        <v>120</v>
      </c>
    </row>
    <row r="72" spans="1:11">
      <c r="A72" s="10" t="str">
        <f>YEAR(records[[#This Row],[日期]])&amp;" 年"</f>
        <v>2020 年</v>
      </c>
      <c r="B72" s="8" t="str">
        <f>"第 "&amp;INT(MONTH(records[[#This Row],[日期]])/3+1)&amp;" 季度"</f>
        <v>第 1 季度</v>
      </c>
      <c r="C72" s="8" t="str">
        <f>MONTH(records[[#This Row],[日期]])&amp;" 月"</f>
        <v>2 月</v>
      </c>
      <c r="D72" s="8" t="str">
        <f>"第 "&amp;WEEKNUM(records[[#This Row],[日期]],2)&amp;" 周"</f>
        <v>第 9 周</v>
      </c>
      <c r="E72" s="8">
        <v>43889</v>
      </c>
      <c r="F72" s="9">
        <v>0.30208333333333331</v>
      </c>
      <c r="G72" s="9">
        <v>0.32291666666666669</v>
      </c>
      <c r="H72" s="9">
        <f>records[[#This Row],[结束时刻]]-records[[#This Row],[开始时刻]]</f>
        <v>2.083333333333337E-2</v>
      </c>
      <c r="I72" s="8" t="s">
        <v>20</v>
      </c>
      <c r="J72" s="25">
        <v>0.2</v>
      </c>
      <c r="K72" s="10"/>
    </row>
    <row r="73" spans="1:11">
      <c r="A73" s="10" t="str">
        <f>YEAR(records[[#This Row],[日期]])&amp;" 年"</f>
        <v>2020 年</v>
      </c>
      <c r="B73" s="8" t="str">
        <f>"第 "&amp;INT(MONTH(records[[#This Row],[日期]])/3+1)&amp;" 季度"</f>
        <v>第 1 季度</v>
      </c>
      <c r="C73" s="8" t="str">
        <f>MONTH(records[[#This Row],[日期]])&amp;" 月"</f>
        <v>2 月</v>
      </c>
      <c r="D73" s="8" t="str">
        <f>"第 "&amp;WEEKNUM(records[[#This Row],[日期]],2)&amp;" 周"</f>
        <v>第 9 周</v>
      </c>
      <c r="E73" s="8">
        <v>43889</v>
      </c>
      <c r="F73" s="9">
        <v>0.32291666666666669</v>
      </c>
      <c r="G73" s="9">
        <v>0.33333333333333331</v>
      </c>
      <c r="H73" s="9">
        <f>records[[#This Row],[结束时刻]]-records[[#This Row],[开始时刻]]</f>
        <v>1.041666666666663E-2</v>
      </c>
      <c r="I73" s="8" t="s">
        <v>134</v>
      </c>
      <c r="J73" s="25">
        <v>0.2</v>
      </c>
      <c r="K73" s="10"/>
    </row>
    <row r="74" spans="1:11">
      <c r="A74" s="10" t="str">
        <f>YEAR(records[[#This Row],[日期]])&amp;" 年"</f>
        <v>2020 年</v>
      </c>
      <c r="B74" s="8" t="str">
        <f>"第 "&amp;INT(MONTH(records[[#This Row],[日期]])/3+1)&amp;" 季度"</f>
        <v>第 1 季度</v>
      </c>
      <c r="C74" s="8" t="str">
        <f>MONTH(records[[#This Row],[日期]])&amp;" 月"</f>
        <v>2 月</v>
      </c>
      <c r="D74" s="8" t="str">
        <f>"第 "&amp;WEEKNUM(records[[#This Row],[日期]],2)&amp;" 周"</f>
        <v>第 9 周</v>
      </c>
      <c r="E74" s="8">
        <v>43889</v>
      </c>
      <c r="F74" s="23">
        <v>0.35416666666666669</v>
      </c>
      <c r="G74" s="22">
        <v>0.52083333333333337</v>
      </c>
      <c r="H74" s="9">
        <f>records[[#This Row],[结束时刻]]-records[[#This Row],[开始时刻]]</f>
        <v>0.16666666666666669</v>
      </c>
      <c r="I74" s="8" t="s">
        <v>127</v>
      </c>
      <c r="J74" s="25">
        <v>0.1</v>
      </c>
      <c r="K74" s="10"/>
    </row>
    <row r="75" spans="1:11">
      <c r="A75" s="10" t="str">
        <f>YEAR(records[[#This Row],[日期]])&amp;" 年"</f>
        <v>2020 年</v>
      </c>
      <c r="B75" s="8" t="str">
        <f>"第 "&amp;INT(MONTH(records[[#This Row],[日期]])/3+1)&amp;" 季度"</f>
        <v>第 1 季度</v>
      </c>
      <c r="C75" s="8" t="str">
        <f>MONTH(records[[#This Row],[日期]])&amp;" 月"</f>
        <v>2 月</v>
      </c>
      <c r="D75" s="8" t="str">
        <f>"第 "&amp;WEEKNUM(records[[#This Row],[日期]],2)&amp;" 周"</f>
        <v>第 9 周</v>
      </c>
      <c r="E75" s="8">
        <v>43889</v>
      </c>
      <c r="F75" s="22">
        <v>0.52083333333333337</v>
      </c>
      <c r="G75" s="9">
        <v>0.5229166666666667</v>
      </c>
      <c r="H75" s="9">
        <f>records[[#This Row],[结束时刻]]-records[[#This Row],[开始时刻]]</f>
        <v>2.0833333333333259E-3</v>
      </c>
      <c r="I75" s="8" t="s">
        <v>129</v>
      </c>
      <c r="J75" s="25">
        <v>0.1</v>
      </c>
      <c r="K75" s="10"/>
    </row>
    <row r="76" spans="1:11">
      <c r="A76" s="10" t="str">
        <f>YEAR(records[[#This Row],[日期]])&amp;" 年"</f>
        <v>2020 年</v>
      </c>
      <c r="B76" s="8" t="str">
        <f>"第 "&amp;INT(MONTH(records[[#This Row],[日期]])/3+1)&amp;" 季度"</f>
        <v>第 1 季度</v>
      </c>
      <c r="C76" s="8" t="str">
        <f>MONTH(records[[#This Row],[日期]])&amp;" 月"</f>
        <v>2 月</v>
      </c>
      <c r="D76" s="8" t="str">
        <f>"第 "&amp;WEEKNUM(records[[#This Row],[日期]],2)&amp;" 周"</f>
        <v>第 9 周</v>
      </c>
      <c r="E76" s="8">
        <v>43889</v>
      </c>
      <c r="F76" s="22">
        <v>0.52083333333333337</v>
      </c>
      <c r="G76" s="22">
        <v>0.53125</v>
      </c>
      <c r="H76" s="9">
        <f>records[[#This Row],[结束时刻]]-records[[#This Row],[开始时刻]]</f>
        <v>1.041666666666663E-2</v>
      </c>
      <c r="I76" s="8" t="s">
        <v>128</v>
      </c>
      <c r="J76" s="25">
        <v>0.1</v>
      </c>
      <c r="K76" s="10"/>
    </row>
    <row r="77" spans="1:11">
      <c r="A77" s="10" t="str">
        <f>YEAR(records[[#This Row],[日期]])&amp;" 年"</f>
        <v>2020 年</v>
      </c>
      <c r="B77" s="8" t="str">
        <f>"第 "&amp;INT(MONTH(records[[#This Row],[日期]])/3+1)&amp;" 季度"</f>
        <v>第 1 季度</v>
      </c>
      <c r="C77" s="8" t="str">
        <f>MONTH(records[[#This Row],[日期]])&amp;" 月"</f>
        <v>2 月</v>
      </c>
      <c r="D77" s="8" t="str">
        <f>"第 "&amp;WEEKNUM(records[[#This Row],[日期]],2)&amp;" 周"</f>
        <v>第 9 周</v>
      </c>
      <c r="E77" s="8">
        <v>43889</v>
      </c>
      <c r="F77" s="9">
        <v>0.875</v>
      </c>
      <c r="G77" s="9">
        <v>0.91666666666666663</v>
      </c>
      <c r="H77" s="9">
        <f>records[[#This Row],[结束时刻]]-records[[#This Row],[开始时刻]]</f>
        <v>4.166666666666663E-2</v>
      </c>
      <c r="I77" s="8" t="s">
        <v>12</v>
      </c>
      <c r="J77" s="25">
        <v>0.3</v>
      </c>
      <c r="K77" s="10" t="s">
        <v>72</v>
      </c>
    </row>
    <row r="78" spans="1:11">
      <c r="A78" s="10" t="str">
        <f>YEAR(records[[#This Row],[日期]])&amp;" 年"</f>
        <v>2020 年</v>
      </c>
      <c r="B78" s="8" t="str">
        <f>"第 "&amp;INT(MONTH(records[[#This Row],[日期]])/3+1)&amp;" 季度"</f>
        <v>第 1 季度</v>
      </c>
      <c r="C78" s="8" t="str">
        <f>MONTH(records[[#This Row],[日期]])&amp;" 月"</f>
        <v>2 月</v>
      </c>
      <c r="D78" s="8" t="str">
        <f>"第 "&amp;WEEKNUM(records[[#This Row],[日期]],2)&amp;" 周"</f>
        <v>第 9 周</v>
      </c>
      <c r="E78" s="8">
        <v>43889</v>
      </c>
      <c r="F78" s="9">
        <v>0.91666666666666663</v>
      </c>
      <c r="G78" s="9">
        <v>0.9375</v>
      </c>
      <c r="H78" s="9">
        <f>records[[#This Row],[结束时刻]]-records[[#This Row],[开始时刻]]</f>
        <v>2.083333333333337E-2</v>
      </c>
      <c r="I78" s="8" t="s">
        <v>23</v>
      </c>
      <c r="J78" s="25">
        <v>0.2</v>
      </c>
      <c r="K78" s="10"/>
    </row>
    <row r="79" spans="1:11">
      <c r="A79" s="10" t="str">
        <f>YEAR(records[[#This Row],[日期]])&amp;" 年"</f>
        <v>2020 年</v>
      </c>
      <c r="B79" s="8" t="str">
        <f>"第 "&amp;INT(MONTH(records[[#This Row],[日期]])/3+1)&amp;" 季度"</f>
        <v>第 1 季度</v>
      </c>
      <c r="C79" s="8" t="str">
        <f>MONTH(records[[#This Row],[日期]])&amp;" 月"</f>
        <v>2 月</v>
      </c>
      <c r="D79" s="8" t="str">
        <f>"第 "&amp;WEEKNUM(records[[#This Row],[日期]],2)&amp;" 周"</f>
        <v>第 9 周</v>
      </c>
      <c r="E79" s="8">
        <v>43889</v>
      </c>
      <c r="F79" s="9">
        <v>0.9375</v>
      </c>
      <c r="G79" s="9">
        <v>0.94791666666666663</v>
      </c>
      <c r="H79" s="9">
        <f>records[[#This Row],[结束时刻]]-records[[#This Row],[开始时刻]]</f>
        <v>1.041666666666663E-2</v>
      </c>
      <c r="I79" s="8" t="s">
        <v>54</v>
      </c>
      <c r="J79" s="25">
        <v>0.3</v>
      </c>
      <c r="K79" s="10" t="s">
        <v>72</v>
      </c>
    </row>
    <row r="80" spans="1:11">
      <c r="A80" s="10" t="str">
        <f>YEAR(records[[#This Row],[日期]])&amp;" 年"</f>
        <v>2020 年</v>
      </c>
      <c r="B80" s="8" t="str">
        <f>"第 "&amp;INT(MONTH(records[[#This Row],[日期]])/3+1)&amp;" 季度"</f>
        <v>第 1 季度</v>
      </c>
      <c r="C80" s="8" t="str">
        <f>MONTH(records[[#This Row],[日期]])&amp;" 月"</f>
        <v>2 月</v>
      </c>
      <c r="D80" s="8" t="str">
        <f>"第 "&amp;WEEKNUM(records[[#This Row],[日期]],2)&amp;" 周"</f>
        <v>第 9 周</v>
      </c>
      <c r="E80" s="8">
        <v>43889</v>
      </c>
      <c r="F80" s="9">
        <v>0.94791666666666663</v>
      </c>
      <c r="G80" s="9">
        <v>0.95833333333333337</v>
      </c>
      <c r="H80" s="9">
        <f>records[[#This Row],[结束时刻]]-records[[#This Row],[开始时刻]]</f>
        <v>1.0416666666666741E-2</v>
      </c>
      <c r="I80" s="8" t="s">
        <v>13</v>
      </c>
      <c r="J80" s="25">
        <v>0.3</v>
      </c>
      <c r="K80" s="10" t="s">
        <v>72</v>
      </c>
    </row>
    <row r="81" spans="1:11">
      <c r="A81" s="10" t="str">
        <f>YEAR(records[[#This Row],[日期]])&amp;" 年"</f>
        <v>2020 年</v>
      </c>
      <c r="B81" s="8" t="str">
        <f>"第 "&amp;INT(MONTH(records[[#This Row],[日期]])/3+1)&amp;" 季度"</f>
        <v>第 1 季度</v>
      </c>
      <c r="C81" s="8" t="str">
        <f>MONTH(records[[#This Row],[日期]])&amp;" 月"</f>
        <v>2 月</v>
      </c>
      <c r="D81" s="8" t="str">
        <f>"第 "&amp;WEEKNUM(records[[#This Row],[日期]],2)&amp;" 周"</f>
        <v>第 9 周</v>
      </c>
      <c r="E81" s="8">
        <v>43890</v>
      </c>
      <c r="F81" s="9">
        <v>0</v>
      </c>
      <c r="G81" s="9">
        <v>0.99930555555555556</v>
      </c>
      <c r="H81" s="9">
        <f>records[[#This Row],[结束时刻]]-records[[#This Row],[开始时刻]]</f>
        <v>0.99930555555555556</v>
      </c>
      <c r="I81" s="8" t="s">
        <v>130</v>
      </c>
      <c r="J81" s="25">
        <v>0.33</v>
      </c>
      <c r="K81" s="24">
        <v>0.66790000000000005</v>
      </c>
    </row>
    <row r="82" spans="1:11">
      <c r="A82" s="10" t="str">
        <f>YEAR(records[[#This Row],[日期]])&amp;" 年"</f>
        <v>2020 年</v>
      </c>
      <c r="B82" s="8" t="str">
        <f>"第 "&amp;INT(MONTH(records[[#This Row],[日期]])/3+1)&amp;" 季度"</f>
        <v>第 1 季度</v>
      </c>
      <c r="C82" s="8" t="str">
        <f>MONTH(records[[#This Row],[日期]])&amp;" 月"</f>
        <v>2 月</v>
      </c>
      <c r="D82" s="8" t="str">
        <f>"第 "&amp;WEEKNUM(records[[#This Row],[日期]],2)&amp;" 周"</f>
        <v>第 9 周</v>
      </c>
      <c r="E82" s="8">
        <v>43890</v>
      </c>
      <c r="F82" s="9">
        <v>0</v>
      </c>
      <c r="G82" s="9">
        <v>0.99930555555555556</v>
      </c>
      <c r="H82" s="9">
        <f>records[[#This Row],[结束时刻]]-records[[#This Row],[开始时刻]]</f>
        <v>0.99930555555555556</v>
      </c>
      <c r="I82" s="8" t="s">
        <v>140</v>
      </c>
      <c r="J82" s="25">
        <v>-0.1</v>
      </c>
      <c r="K82" s="10" t="s">
        <v>137</v>
      </c>
    </row>
    <row r="83" spans="1:11">
      <c r="A83" s="10" t="str">
        <f>YEAR(records[[#This Row],[日期]])&amp;" 年"</f>
        <v>2020 年</v>
      </c>
      <c r="B83" s="8" t="str">
        <f>"第 "&amp;INT(MONTH(records[[#This Row],[日期]])/3+1)&amp;" 季度"</f>
        <v>第 1 季度</v>
      </c>
      <c r="C83" s="8" t="str">
        <f>MONTH(records[[#This Row],[日期]])&amp;" 月"</f>
        <v>2 月</v>
      </c>
      <c r="D83" s="8" t="str">
        <f>"第 "&amp;WEEKNUM(records[[#This Row],[日期]],2)&amp;" 周"</f>
        <v>第 9 周</v>
      </c>
      <c r="E83" s="8">
        <v>43890</v>
      </c>
      <c r="F83" s="9">
        <v>0.25</v>
      </c>
      <c r="G83" s="9">
        <v>0.25</v>
      </c>
      <c r="H83" s="9">
        <f>records[[#This Row],[结束时刻]]-records[[#This Row],[开始时刻]]</f>
        <v>0</v>
      </c>
      <c r="I83" s="8" t="s">
        <v>6</v>
      </c>
      <c r="J83" s="25">
        <v>0.2</v>
      </c>
      <c r="K83" s="10"/>
    </row>
    <row r="84" spans="1:11">
      <c r="A84" s="10" t="str">
        <f>YEAR(records[[#This Row],[日期]])&amp;" 年"</f>
        <v>2020 年</v>
      </c>
      <c r="B84" s="8" t="str">
        <f>"第 "&amp;INT(MONTH(records[[#This Row],[日期]])/3+1)&amp;" 季度"</f>
        <v>第 1 季度</v>
      </c>
      <c r="C84" s="8" t="str">
        <f>MONTH(records[[#This Row],[日期]])&amp;" 月"</f>
        <v>2 月</v>
      </c>
      <c r="D84" s="8" t="str">
        <f>"第 "&amp;WEEKNUM(records[[#This Row],[日期]],2)&amp;" 周"</f>
        <v>第 9 周</v>
      </c>
      <c r="E84" s="8">
        <v>43890</v>
      </c>
      <c r="F84" s="9">
        <v>0.25347222222222221</v>
      </c>
      <c r="G84" s="9">
        <v>0.29722222222222222</v>
      </c>
      <c r="H84" s="9">
        <f>records[[#This Row],[结束时刻]]-records[[#This Row],[开始时刻]]</f>
        <v>4.3750000000000011E-2</v>
      </c>
      <c r="I84" s="8" t="s">
        <v>11</v>
      </c>
      <c r="J84" s="25">
        <v>0.2</v>
      </c>
      <c r="K84" s="10"/>
    </row>
    <row r="85" spans="1:11">
      <c r="A85" s="10" t="str">
        <f>YEAR(records[[#This Row],[日期]])&amp;" 年"</f>
        <v>2020 年</v>
      </c>
      <c r="B85" s="8" t="str">
        <f>"第 "&amp;INT(MONTH(records[[#This Row],[日期]])/3+1)&amp;" 季度"</f>
        <v>第 1 季度</v>
      </c>
      <c r="C85" s="8" t="str">
        <f>MONTH(records[[#This Row],[日期]])&amp;" 月"</f>
        <v>2 月</v>
      </c>
      <c r="D85" s="8" t="str">
        <f>"第 "&amp;WEEKNUM(records[[#This Row],[日期]],2)&amp;" 周"</f>
        <v>第 9 周</v>
      </c>
      <c r="E85" s="8">
        <v>43890</v>
      </c>
      <c r="F85" s="9">
        <v>0.30208333333333331</v>
      </c>
      <c r="G85" s="9">
        <v>0.30555555555555552</v>
      </c>
      <c r="H85" s="9">
        <f>records[[#This Row],[结束时刻]]-records[[#This Row],[开始时刻]]</f>
        <v>3.4722222222222099E-3</v>
      </c>
      <c r="I85" s="14" t="s">
        <v>97</v>
      </c>
      <c r="J85" s="25">
        <v>0.2</v>
      </c>
      <c r="K85" s="10"/>
    </row>
    <row r="86" spans="1:11">
      <c r="A86" s="10" t="str">
        <f>YEAR(records[[#This Row],[日期]])&amp;" 年"</f>
        <v>2020 年</v>
      </c>
      <c r="B86" s="8" t="str">
        <f>"第 "&amp;INT(MONTH(records[[#This Row],[日期]])/3+1)&amp;" 季度"</f>
        <v>第 1 季度</v>
      </c>
      <c r="C86" s="8" t="str">
        <f>MONTH(records[[#This Row],[日期]])&amp;" 月"</f>
        <v>2 月</v>
      </c>
      <c r="D86" s="8" t="str">
        <f>"第 "&amp;WEEKNUM(records[[#This Row],[日期]],2)&amp;" 周"</f>
        <v>第 9 周</v>
      </c>
      <c r="E86" s="8">
        <v>43890</v>
      </c>
      <c r="F86" s="9">
        <v>0.30208333333333331</v>
      </c>
      <c r="G86" s="9">
        <v>0.32291666666666669</v>
      </c>
      <c r="H86" s="9">
        <f>records[[#This Row],[结束时刻]]-records[[#This Row],[开始时刻]]</f>
        <v>2.083333333333337E-2</v>
      </c>
      <c r="I86" s="8" t="s">
        <v>20</v>
      </c>
      <c r="J86" s="25">
        <v>0.2</v>
      </c>
      <c r="K86" s="10"/>
    </row>
    <row r="87" spans="1:11">
      <c r="A87" s="10" t="str">
        <f>YEAR(records[[#This Row],[日期]])&amp;" 年"</f>
        <v>2020 年</v>
      </c>
      <c r="B87" s="8" t="str">
        <f>"第 "&amp;INT(MONTH(records[[#This Row],[日期]])/3+1)&amp;" 季度"</f>
        <v>第 1 季度</v>
      </c>
      <c r="C87" s="8" t="str">
        <f>MONTH(records[[#This Row],[日期]])&amp;" 月"</f>
        <v>2 月</v>
      </c>
      <c r="D87" s="8" t="str">
        <f>"第 "&amp;WEEKNUM(records[[#This Row],[日期]],2)&amp;" 周"</f>
        <v>第 9 周</v>
      </c>
      <c r="E87" s="8">
        <v>43890</v>
      </c>
      <c r="F87" s="9">
        <v>0.32291666666666669</v>
      </c>
      <c r="G87" s="9">
        <v>0.33333333333333331</v>
      </c>
      <c r="H87" s="9">
        <f>records[[#This Row],[结束时刻]]-records[[#This Row],[开始时刻]]</f>
        <v>1.041666666666663E-2</v>
      </c>
      <c r="I87" s="8" t="s">
        <v>134</v>
      </c>
      <c r="J87" s="25">
        <v>0.2</v>
      </c>
      <c r="K87" s="10"/>
    </row>
    <row r="88" spans="1:11">
      <c r="A88" s="10" t="str">
        <f>YEAR(records[[#This Row],[日期]])&amp;" 年"</f>
        <v>2020 年</v>
      </c>
      <c r="B88" s="8" t="str">
        <f>"第 "&amp;INT(MONTH(records[[#This Row],[日期]])/3+1)&amp;" 季度"</f>
        <v>第 1 季度</v>
      </c>
      <c r="C88" s="8" t="str">
        <f>MONTH(records[[#This Row],[日期]])&amp;" 月"</f>
        <v>2 月</v>
      </c>
      <c r="D88" s="8" t="str">
        <f>"第 "&amp;WEEKNUM(records[[#This Row],[日期]],2)&amp;" 周"</f>
        <v>第 9 周</v>
      </c>
      <c r="E88" s="8">
        <v>43890</v>
      </c>
      <c r="F88" s="9">
        <v>0.4375</v>
      </c>
      <c r="G88" s="9">
        <v>0.83333333333333337</v>
      </c>
      <c r="H88" s="9">
        <f>records[[#This Row],[结束时刻]]-records[[#This Row],[开始时刻]]</f>
        <v>0.39583333333333337</v>
      </c>
      <c r="I88" s="8" t="s">
        <v>139</v>
      </c>
      <c r="J88" s="25">
        <v>0.75</v>
      </c>
      <c r="K88" s="10" t="s">
        <v>136</v>
      </c>
    </row>
    <row r="89" spans="1:11">
      <c r="A89" s="10" t="str">
        <f>YEAR(records[[#This Row],[日期]])&amp;" 年"</f>
        <v>2020 年</v>
      </c>
      <c r="B89" s="8" t="str">
        <f>"第 "&amp;INT(MONTH(records[[#This Row],[日期]])/3+1)&amp;" 季度"</f>
        <v>第 1 季度</v>
      </c>
      <c r="C89" s="8" t="str">
        <f>MONTH(records[[#This Row],[日期]])&amp;" 月"</f>
        <v>2 月</v>
      </c>
      <c r="D89" s="8" t="str">
        <f>"第 "&amp;WEEKNUM(records[[#This Row],[日期]],2)&amp;" 周"</f>
        <v>第 9 周</v>
      </c>
      <c r="E89" s="8">
        <v>43890</v>
      </c>
      <c r="F89" s="9">
        <v>0.875</v>
      </c>
      <c r="G89" s="9">
        <v>0.91666666666666663</v>
      </c>
      <c r="H89" s="9">
        <f>records[[#This Row],[结束时刻]]-records[[#This Row],[开始时刻]]</f>
        <v>4.166666666666663E-2</v>
      </c>
      <c r="I89" s="8" t="s">
        <v>12</v>
      </c>
      <c r="J89" s="25">
        <v>0.5</v>
      </c>
      <c r="K89" s="10" t="s">
        <v>152</v>
      </c>
    </row>
    <row r="90" spans="1:11" ht="18">
      <c r="A90" s="10" t="str">
        <f>YEAR(records[[#This Row],[日期]])&amp;" 年"</f>
        <v>2020 年</v>
      </c>
      <c r="B90" s="8" t="str">
        <f>"第 "&amp;INT(MONTH(records[[#This Row],[日期]])/3+1)&amp;" 季度"</f>
        <v>第 1 季度</v>
      </c>
      <c r="C90" s="8" t="str">
        <f>MONTH(records[[#This Row],[日期]])&amp;" 月"</f>
        <v>2 月</v>
      </c>
      <c r="D90" s="8" t="str">
        <f>"第 "&amp;WEEKNUM(records[[#This Row],[日期]],2)&amp;" 周"</f>
        <v>第 9 周</v>
      </c>
      <c r="E90" s="8">
        <v>43890</v>
      </c>
      <c r="F90" s="9">
        <v>0.91666666666666663</v>
      </c>
      <c r="G90" s="9">
        <v>0.92013888888888884</v>
      </c>
      <c r="H90" s="9">
        <f>records[[#This Row],[结束时刻]]-records[[#This Row],[开始时刻]]</f>
        <v>3.4722222222222099E-3</v>
      </c>
      <c r="I90" s="14" t="s">
        <v>135</v>
      </c>
      <c r="J90" s="25">
        <v>0.6</v>
      </c>
      <c r="K90" s="21" t="s">
        <v>142</v>
      </c>
    </row>
    <row r="91" spans="1:11">
      <c r="A91" s="10" t="str">
        <f>YEAR(records[[#This Row],[日期]])&amp;" 年"</f>
        <v>2020 年</v>
      </c>
      <c r="B91" s="8" t="str">
        <f>"第 "&amp;INT(MONTH(records[[#This Row],[日期]])/3+1)&amp;" 季度"</f>
        <v>第 1 季度</v>
      </c>
      <c r="C91" s="8" t="str">
        <f>MONTH(records[[#This Row],[日期]])&amp;" 月"</f>
        <v>2 月</v>
      </c>
      <c r="D91" s="8" t="str">
        <f>"第 "&amp;WEEKNUM(records[[#This Row],[日期]],2)&amp;" 周"</f>
        <v>第 9 周</v>
      </c>
      <c r="E91" s="8">
        <v>43890</v>
      </c>
      <c r="F91" s="9">
        <v>0.91666666666666663</v>
      </c>
      <c r="G91" s="9">
        <v>0.9375</v>
      </c>
      <c r="H91" s="9">
        <f>records[[#This Row],[结束时刻]]-records[[#This Row],[开始时刻]]</f>
        <v>2.083333333333337E-2</v>
      </c>
      <c r="I91" s="8" t="s">
        <v>23</v>
      </c>
      <c r="J91" s="25">
        <v>0.2</v>
      </c>
      <c r="K91" s="10"/>
    </row>
    <row r="92" spans="1:11">
      <c r="A92" s="10" t="str">
        <f>YEAR(records[[#This Row],[日期]])&amp;" 年"</f>
        <v>2020 年</v>
      </c>
      <c r="B92" s="8" t="str">
        <f>"第 "&amp;INT(MONTH(records[[#This Row],[日期]])/3+1)&amp;" 季度"</f>
        <v>第 1 季度</v>
      </c>
      <c r="C92" s="8" t="str">
        <f>MONTH(records[[#This Row],[日期]])&amp;" 月"</f>
        <v>2 月</v>
      </c>
      <c r="D92" s="8" t="str">
        <f>"第 "&amp;WEEKNUM(records[[#This Row],[日期]],2)&amp;" 周"</f>
        <v>第 9 周</v>
      </c>
      <c r="E92" s="8">
        <v>43890</v>
      </c>
      <c r="F92" s="9">
        <v>0.9375</v>
      </c>
      <c r="G92" s="9">
        <v>0.94791666666666663</v>
      </c>
      <c r="H92" s="9">
        <f>records[[#This Row],[结束时刻]]-records[[#This Row],[开始时刻]]</f>
        <v>1.041666666666663E-2</v>
      </c>
      <c r="I92" s="8" t="s">
        <v>141</v>
      </c>
      <c r="J92" s="25">
        <v>0.5</v>
      </c>
      <c r="K92" s="10" t="s">
        <v>152</v>
      </c>
    </row>
    <row r="93" spans="1:11">
      <c r="A93" s="10" t="str">
        <f>YEAR(records[[#This Row],[日期]])&amp;" 年"</f>
        <v>2020 年</v>
      </c>
      <c r="B93" s="8" t="str">
        <f>"第 "&amp;INT(MONTH(records[[#This Row],[日期]])/3+1)&amp;" 季度"</f>
        <v>第 1 季度</v>
      </c>
      <c r="C93" s="8" t="str">
        <f>MONTH(records[[#This Row],[日期]])&amp;" 月"</f>
        <v>2 月</v>
      </c>
      <c r="D93" s="8" t="str">
        <f>"第 "&amp;WEEKNUM(records[[#This Row],[日期]],2)&amp;" 周"</f>
        <v>第 9 周</v>
      </c>
      <c r="E93" s="8">
        <v>43890</v>
      </c>
      <c r="F93" s="9">
        <v>0.94791666666666663</v>
      </c>
      <c r="G93" s="9">
        <v>0.95138888888888884</v>
      </c>
      <c r="H93" s="9">
        <f>records[[#This Row],[结束时刻]]-records[[#This Row],[开始时刻]]</f>
        <v>3.4722222222222099E-3</v>
      </c>
      <c r="I93" s="8" t="s">
        <v>138</v>
      </c>
      <c r="J93" s="25">
        <v>0.1</v>
      </c>
      <c r="K93" s="10"/>
    </row>
    <row r="94" spans="1:11">
      <c r="A94" s="10" t="str">
        <f>YEAR(records[[#This Row],[日期]])&amp;" 年"</f>
        <v>2020 年</v>
      </c>
      <c r="B94" s="8" t="str">
        <f>"第 "&amp;INT(MONTH(records[[#This Row],[日期]])/3+1)&amp;" 季度"</f>
        <v>第 1 季度</v>
      </c>
      <c r="C94" s="8" t="str">
        <f>MONTH(records[[#This Row],[日期]])&amp;" 月"</f>
        <v>2 月</v>
      </c>
      <c r="D94" s="8" t="str">
        <f>"第 "&amp;WEEKNUM(records[[#This Row],[日期]],2)&amp;" 周"</f>
        <v>第 9 周</v>
      </c>
      <c r="E94" s="8">
        <v>43890</v>
      </c>
      <c r="F94" s="9">
        <v>0.97916666666666663</v>
      </c>
      <c r="G94" s="9">
        <v>0.99305555555555547</v>
      </c>
      <c r="H94" s="9">
        <f>records[[#This Row],[结束时刻]]-records[[#This Row],[开始时刻]]</f>
        <v>1.388888888888884E-2</v>
      </c>
      <c r="I94" s="8" t="s">
        <v>13</v>
      </c>
      <c r="J94" s="25">
        <v>0.3</v>
      </c>
      <c r="K94" s="10"/>
    </row>
    <row r="95" spans="1:11">
      <c r="A95" s="10" t="str">
        <f>YEAR(records[[#This Row],[日期]])&amp;" 年"</f>
        <v>2020 年</v>
      </c>
      <c r="B95" s="8" t="str">
        <f>"第 "&amp;INT(MONTH(records[[#This Row],[日期]])/3+1)&amp;" 季度"</f>
        <v>第 2 季度</v>
      </c>
      <c r="C95" s="8" t="str">
        <f>MONTH(records[[#This Row],[日期]])&amp;" 月"</f>
        <v>3 月</v>
      </c>
      <c r="D95" s="8" t="str">
        <f>"第 "&amp;WEEKNUM(records[[#This Row],[日期]],2)&amp;" 周"</f>
        <v>第 9 周</v>
      </c>
      <c r="E95" s="8">
        <v>43891</v>
      </c>
      <c r="F95" s="9">
        <v>0</v>
      </c>
      <c r="G95" s="9">
        <v>0.99930555555555556</v>
      </c>
      <c r="H95" s="9">
        <f>records[[#This Row],[结束时刻]]-records[[#This Row],[开始时刻]]</f>
        <v>0.99930555555555556</v>
      </c>
      <c r="I95" s="10" t="s">
        <v>130</v>
      </c>
      <c r="J95" s="25">
        <v>8.1000000000000003E-2</v>
      </c>
      <c r="K95" s="24">
        <v>0.81384000000000001</v>
      </c>
    </row>
    <row r="96" spans="1:11">
      <c r="A96" s="10" t="str">
        <f>YEAR(records[[#This Row],[日期]])&amp;" 年"</f>
        <v>2020 年</v>
      </c>
      <c r="B96" s="8" t="str">
        <f>"第 "&amp;INT(MONTH(records[[#This Row],[日期]])/3+1)&amp;" 季度"</f>
        <v>第 2 季度</v>
      </c>
      <c r="C96" s="8" t="str">
        <f>MONTH(records[[#This Row],[日期]])&amp;" 月"</f>
        <v>3 月</v>
      </c>
      <c r="D96" s="8" t="str">
        <f>"第 "&amp;WEEKNUM(records[[#This Row],[日期]],2)&amp;" 周"</f>
        <v>第 9 周</v>
      </c>
      <c r="E96" s="8">
        <v>43891</v>
      </c>
      <c r="F96" s="9">
        <v>0.25</v>
      </c>
      <c r="G96" s="9">
        <v>0.25</v>
      </c>
      <c r="H96" s="9">
        <f>records[[#This Row],[结束时刻]]-records[[#This Row],[开始时刻]]</f>
        <v>0</v>
      </c>
      <c r="I96" s="8" t="s">
        <v>6</v>
      </c>
      <c r="J96" s="25">
        <v>0.3</v>
      </c>
      <c r="K96" s="10" t="s">
        <v>72</v>
      </c>
    </row>
    <row r="97" spans="1:11">
      <c r="A97" s="10" t="str">
        <f>YEAR(records[[#This Row],[日期]])&amp;" 年"</f>
        <v>2020 年</v>
      </c>
      <c r="B97" s="8" t="str">
        <f>"第 "&amp;INT(MONTH(records[[#This Row],[日期]])/3+1)&amp;" 季度"</f>
        <v>第 2 季度</v>
      </c>
      <c r="C97" s="8" t="str">
        <f>MONTH(records[[#This Row],[日期]])&amp;" 月"</f>
        <v>3 月</v>
      </c>
      <c r="D97" s="8" t="str">
        <f>"第 "&amp;WEEKNUM(records[[#This Row],[日期]],2)&amp;" 周"</f>
        <v>第 9 周</v>
      </c>
      <c r="E97" s="8">
        <v>43891</v>
      </c>
      <c r="F97" s="9">
        <v>0.25347222222222221</v>
      </c>
      <c r="G97" s="9">
        <v>0.29722222222222222</v>
      </c>
      <c r="H97" s="9">
        <f>records[[#This Row],[结束时刻]]-records[[#This Row],[开始时刻]]</f>
        <v>4.3750000000000011E-2</v>
      </c>
      <c r="I97" s="8" t="s">
        <v>11</v>
      </c>
      <c r="J97" s="25">
        <v>0.3</v>
      </c>
      <c r="K97" s="10" t="s">
        <v>72</v>
      </c>
    </row>
    <row r="98" spans="1:11">
      <c r="A98" s="10" t="str">
        <f>YEAR(records[[#This Row],[日期]])&amp;" 年"</f>
        <v>2020 年</v>
      </c>
      <c r="B98" s="8" t="str">
        <f>"第 "&amp;INT(MONTH(records[[#This Row],[日期]])/3+1)&amp;" 季度"</f>
        <v>第 2 季度</v>
      </c>
      <c r="C98" s="8" t="str">
        <f>MONTH(records[[#This Row],[日期]])&amp;" 月"</f>
        <v>3 月</v>
      </c>
      <c r="D98" s="8" t="str">
        <f>"第 "&amp;WEEKNUM(records[[#This Row],[日期]],2)&amp;" 周"</f>
        <v>第 9 周</v>
      </c>
      <c r="E98" s="8">
        <v>43891</v>
      </c>
      <c r="F98" s="9">
        <v>0.30208333333333331</v>
      </c>
      <c r="G98" s="9">
        <v>0.30555555555555552</v>
      </c>
      <c r="H98" s="9">
        <f>records[[#This Row],[结束时刻]]-records[[#This Row],[开始时刻]]</f>
        <v>3.4722222222222099E-3</v>
      </c>
      <c r="I98" s="14" t="s">
        <v>97</v>
      </c>
      <c r="J98" s="25">
        <v>0.3</v>
      </c>
      <c r="K98" s="10" t="s">
        <v>72</v>
      </c>
    </row>
    <row r="99" spans="1:11">
      <c r="A99" s="10" t="str">
        <f>YEAR(records[[#This Row],[日期]])&amp;" 年"</f>
        <v>2020 年</v>
      </c>
      <c r="B99" s="8" t="str">
        <f>"第 "&amp;INT(MONTH(records[[#This Row],[日期]])/3+1)&amp;" 季度"</f>
        <v>第 2 季度</v>
      </c>
      <c r="C99" s="8" t="str">
        <f>MONTH(records[[#This Row],[日期]])&amp;" 月"</f>
        <v>3 月</v>
      </c>
      <c r="D99" s="8" t="str">
        <f>"第 "&amp;WEEKNUM(records[[#This Row],[日期]],2)&amp;" 周"</f>
        <v>第 9 周</v>
      </c>
      <c r="E99" s="8">
        <v>43891</v>
      </c>
      <c r="F99" s="9">
        <v>0.30208333333333331</v>
      </c>
      <c r="G99" s="9">
        <v>0.32291666666666669</v>
      </c>
      <c r="H99" s="9">
        <f>records[[#This Row],[结束时刻]]-records[[#This Row],[开始时刻]]</f>
        <v>2.083333333333337E-2</v>
      </c>
      <c r="I99" s="8" t="s">
        <v>20</v>
      </c>
      <c r="J99" s="25">
        <v>0.3</v>
      </c>
      <c r="K99" s="10" t="s">
        <v>72</v>
      </c>
    </row>
    <row r="100" spans="1:11">
      <c r="A100" s="10" t="str">
        <f>YEAR(records[[#This Row],[日期]])&amp;" 年"</f>
        <v>2020 年</v>
      </c>
      <c r="B100" s="8" t="str">
        <f>"第 "&amp;INT(MONTH(records[[#This Row],[日期]])/3+1)&amp;" 季度"</f>
        <v>第 2 季度</v>
      </c>
      <c r="C100" s="8" t="str">
        <f>MONTH(records[[#This Row],[日期]])&amp;" 月"</f>
        <v>3 月</v>
      </c>
      <c r="D100" s="8" t="str">
        <f>"第 "&amp;WEEKNUM(records[[#This Row],[日期]],2)&amp;" 周"</f>
        <v>第 9 周</v>
      </c>
      <c r="E100" s="8">
        <v>43891</v>
      </c>
      <c r="F100" s="9">
        <v>0.32291666666666669</v>
      </c>
      <c r="G100" s="9">
        <v>0.33333333333333331</v>
      </c>
      <c r="H100" s="9">
        <f>records[[#This Row],[结束时刻]]-records[[#This Row],[开始时刻]]</f>
        <v>1.041666666666663E-2</v>
      </c>
      <c r="I100" s="8" t="s">
        <v>134</v>
      </c>
      <c r="J100" s="25">
        <v>0.3</v>
      </c>
      <c r="K100" s="10" t="s">
        <v>72</v>
      </c>
    </row>
    <row r="101" spans="1:11">
      <c r="A101" s="10" t="str">
        <f>YEAR(records[[#This Row],[日期]])&amp;" 年"</f>
        <v>2020 年</v>
      </c>
      <c r="B101" s="8" t="str">
        <f>"第 "&amp;INT(MONTH(records[[#This Row],[日期]])/3+1)&amp;" 季度"</f>
        <v>第 2 季度</v>
      </c>
      <c r="C101" s="8" t="str">
        <f>MONTH(records[[#This Row],[日期]])&amp;" 月"</f>
        <v>3 月</v>
      </c>
      <c r="D101" s="8" t="str">
        <f>"第 "&amp;WEEKNUM(records[[#This Row],[日期]],2)&amp;" 周"</f>
        <v>第 9 周</v>
      </c>
      <c r="E101" s="8">
        <v>43891</v>
      </c>
      <c r="F101" s="9">
        <v>0.33333333333333331</v>
      </c>
      <c r="G101" s="9">
        <v>0.41666666666666669</v>
      </c>
      <c r="H101" s="9">
        <f>records[[#This Row],[结束时刻]]-records[[#This Row],[开始时刻]]</f>
        <v>8.333333333333337E-2</v>
      </c>
      <c r="I101" s="8" t="s">
        <v>144</v>
      </c>
      <c r="J101" s="25">
        <v>6.4000000000000001E-2</v>
      </c>
      <c r="K101" s="10"/>
    </row>
    <row r="102" spans="1:11">
      <c r="A102" s="10" t="str">
        <f>YEAR(records[[#This Row],[日期]])&amp;" 年"</f>
        <v>2020 年</v>
      </c>
      <c r="B102" s="8" t="str">
        <f>"第 "&amp;INT(MONTH(records[[#This Row],[日期]])/3+1)&amp;" 季度"</f>
        <v>第 2 季度</v>
      </c>
      <c r="C102" s="8" t="str">
        <f>MONTH(records[[#This Row],[日期]])&amp;" 月"</f>
        <v>3 月</v>
      </c>
      <c r="D102" s="8" t="str">
        <f>"第 "&amp;WEEKNUM(records[[#This Row],[日期]],2)&amp;" 周"</f>
        <v>第 9 周</v>
      </c>
      <c r="E102" s="8">
        <v>43891</v>
      </c>
      <c r="F102" s="9">
        <v>0.41666666666666669</v>
      </c>
      <c r="G102" s="9">
        <v>0.45833333333333331</v>
      </c>
      <c r="H102" s="9">
        <f>records[[#This Row],[结束时刻]]-records[[#This Row],[开始时刻]]</f>
        <v>4.166666666666663E-2</v>
      </c>
      <c r="I102" s="8" t="s">
        <v>140</v>
      </c>
      <c r="J102" s="25">
        <v>4.2999999999999997E-2</v>
      </c>
      <c r="K102" s="10"/>
    </row>
    <row r="103" spans="1:11">
      <c r="A103" s="10" t="str">
        <f>YEAR(records[[#This Row],[日期]])&amp;" 年"</f>
        <v>2020 年</v>
      </c>
      <c r="B103" s="8" t="str">
        <f>"第 "&amp;INT(MONTH(records[[#This Row],[日期]])/3+1)&amp;" 季度"</f>
        <v>第 2 季度</v>
      </c>
      <c r="C103" s="8" t="str">
        <f>MONTH(records[[#This Row],[日期]])&amp;" 月"</f>
        <v>3 月</v>
      </c>
      <c r="D103" s="8" t="str">
        <f>"第 "&amp;WEEKNUM(records[[#This Row],[日期]],2)&amp;" 周"</f>
        <v>第 9 周</v>
      </c>
      <c r="E103" s="8">
        <v>43891</v>
      </c>
      <c r="F103" s="9">
        <v>0.45833333333333331</v>
      </c>
      <c r="G103" s="9">
        <v>0.47916666666666669</v>
      </c>
      <c r="H103" s="9">
        <f>records[[#This Row],[结束时刻]]-records[[#This Row],[开始时刻]]</f>
        <v>2.083333333333337E-2</v>
      </c>
      <c r="I103" s="8" t="s">
        <v>143</v>
      </c>
      <c r="J103" s="25">
        <v>0.1</v>
      </c>
      <c r="K103" s="10"/>
    </row>
    <row r="104" spans="1:11">
      <c r="A104" s="10" t="str">
        <f>YEAR(records[[#This Row],[日期]])&amp;" 年"</f>
        <v>2020 年</v>
      </c>
      <c r="B104" s="8" t="str">
        <f>"第 "&amp;INT(MONTH(records[[#This Row],[日期]])/3+1)&amp;" 季度"</f>
        <v>第 2 季度</v>
      </c>
      <c r="C104" s="8" t="str">
        <f>MONTH(records[[#This Row],[日期]])&amp;" 月"</f>
        <v>3 月</v>
      </c>
      <c r="D104" s="8" t="str">
        <f>"第 "&amp;WEEKNUM(records[[#This Row],[日期]],2)&amp;" 周"</f>
        <v>第 9 周</v>
      </c>
      <c r="E104" s="8">
        <v>43891</v>
      </c>
      <c r="F104" s="9">
        <v>0.47916666666666669</v>
      </c>
      <c r="G104" s="9">
        <v>0.52083333333333337</v>
      </c>
      <c r="H104" s="9">
        <f>records[[#This Row],[结束时刻]]-records[[#This Row],[开始时刻]]</f>
        <v>4.1666666666666685E-2</v>
      </c>
      <c r="I104" s="8" t="s">
        <v>184</v>
      </c>
      <c r="J104" s="25">
        <v>0.1</v>
      </c>
      <c r="K104" s="10"/>
    </row>
    <row r="105" spans="1:11">
      <c r="A105" s="10" t="str">
        <f>YEAR(records[[#This Row],[日期]])&amp;" 年"</f>
        <v>2020 年</v>
      </c>
      <c r="B105" s="8" t="str">
        <f>"第 "&amp;INT(MONTH(records[[#This Row],[日期]])/3+1)&amp;" 季度"</f>
        <v>第 2 季度</v>
      </c>
      <c r="C105" s="8" t="str">
        <f>MONTH(records[[#This Row],[日期]])&amp;" 月"</f>
        <v>3 月</v>
      </c>
      <c r="D105" s="8" t="str">
        <f>"第 "&amp;WEEKNUM(records[[#This Row],[日期]],2)&amp;" 周"</f>
        <v>第 9 周</v>
      </c>
      <c r="E105" s="8">
        <v>43891</v>
      </c>
      <c r="F105" s="9">
        <v>0.5</v>
      </c>
      <c r="G105" s="9">
        <v>0.52083333333333337</v>
      </c>
      <c r="H105" s="9">
        <f>records[[#This Row],[结束时刻]]-records[[#This Row],[开始时刻]]</f>
        <v>2.083333333333337E-2</v>
      </c>
      <c r="I105" s="14" t="s">
        <v>230</v>
      </c>
      <c r="J105" s="25">
        <v>0.3</v>
      </c>
      <c r="K105" s="10"/>
    </row>
    <row r="106" spans="1:11">
      <c r="A106" s="10" t="str">
        <f>YEAR(records[[#This Row],[日期]])&amp;" 年"</f>
        <v>2020 年</v>
      </c>
      <c r="B106" s="8" t="str">
        <f>"第 "&amp;INT(MONTH(records[[#This Row],[日期]])/3+1)&amp;" 季度"</f>
        <v>第 2 季度</v>
      </c>
      <c r="C106" s="8" t="str">
        <f>MONTH(records[[#This Row],[日期]])&amp;" 月"</f>
        <v>3 月</v>
      </c>
      <c r="D106" s="8" t="str">
        <f>"第 "&amp;WEEKNUM(records[[#This Row],[日期]],2)&amp;" 周"</f>
        <v>第 9 周</v>
      </c>
      <c r="E106" s="8">
        <v>43891</v>
      </c>
      <c r="F106" s="9">
        <v>0.52083333333333337</v>
      </c>
      <c r="G106" s="9">
        <v>0.54861111111111105</v>
      </c>
      <c r="H106" s="9">
        <f>records[[#This Row],[结束时刻]]-records[[#This Row],[开始时刻]]</f>
        <v>2.7777777777777679E-2</v>
      </c>
      <c r="I106" s="8" t="s">
        <v>230</v>
      </c>
      <c r="J106" s="25">
        <v>0.1</v>
      </c>
      <c r="K106" s="10" t="s">
        <v>236</v>
      </c>
    </row>
    <row r="107" spans="1:11">
      <c r="A107" s="10" t="str">
        <f>YEAR(records[[#This Row],[日期]])&amp;" 年"</f>
        <v>2020 年</v>
      </c>
      <c r="B107" s="8" t="str">
        <f>"第 "&amp;INT(MONTH(records[[#This Row],[日期]])/3+1)&amp;" 季度"</f>
        <v>第 2 季度</v>
      </c>
      <c r="C107" s="8" t="str">
        <f>MONTH(records[[#This Row],[日期]])&amp;" 月"</f>
        <v>3 月</v>
      </c>
      <c r="D107" s="8" t="str">
        <f>"第 "&amp;WEEKNUM(records[[#This Row],[日期]],2)&amp;" 周"</f>
        <v>第 9 周</v>
      </c>
      <c r="E107" s="8">
        <v>43891</v>
      </c>
      <c r="F107" s="9">
        <v>0.54861111111111105</v>
      </c>
      <c r="G107" s="9">
        <v>0.58333333333333337</v>
      </c>
      <c r="H107" s="9">
        <f>records[[#This Row],[结束时刻]]-records[[#This Row],[开始时刻]]</f>
        <v>3.4722222222222321E-2</v>
      </c>
      <c r="I107" s="8" t="s">
        <v>145</v>
      </c>
      <c r="J107" s="25">
        <v>0.1</v>
      </c>
      <c r="K107" s="10"/>
    </row>
    <row r="108" spans="1:11">
      <c r="A108" s="10" t="str">
        <f>YEAR(records[[#This Row],[日期]])&amp;" 年"</f>
        <v>2020 年</v>
      </c>
      <c r="B108" s="8" t="str">
        <f>"第 "&amp;INT(MONTH(records[[#This Row],[日期]])/3+1)&amp;" 季度"</f>
        <v>第 2 季度</v>
      </c>
      <c r="C108" s="8" t="str">
        <f>MONTH(records[[#This Row],[日期]])&amp;" 月"</f>
        <v>3 月</v>
      </c>
      <c r="D108" s="8" t="str">
        <f>"第 "&amp;WEEKNUM(records[[#This Row],[日期]],2)&amp;" 周"</f>
        <v>第 9 周</v>
      </c>
      <c r="E108" s="8">
        <v>43891</v>
      </c>
      <c r="F108" s="9">
        <v>0.58333333333333337</v>
      </c>
      <c r="G108" s="9">
        <v>0.625</v>
      </c>
      <c r="H108" s="9">
        <f>records[[#This Row],[结束时刻]]-records[[#This Row],[开始时刻]]</f>
        <v>4.166666666666663E-2</v>
      </c>
      <c r="I108" s="8" t="s">
        <v>146</v>
      </c>
      <c r="J108" s="25">
        <v>0.1</v>
      </c>
      <c r="K108" s="10"/>
    </row>
    <row r="109" spans="1:11">
      <c r="A109" s="10" t="str">
        <f>YEAR(records[[#This Row],[日期]])&amp;" 年"</f>
        <v>2020 年</v>
      </c>
      <c r="B109" s="8" t="str">
        <f>"第 "&amp;INT(MONTH(records[[#This Row],[日期]])/3+1)&amp;" 季度"</f>
        <v>第 2 季度</v>
      </c>
      <c r="C109" s="8" t="str">
        <f>MONTH(records[[#This Row],[日期]])&amp;" 月"</f>
        <v>3 月</v>
      </c>
      <c r="D109" s="8" t="str">
        <f>"第 "&amp;WEEKNUM(records[[#This Row],[日期]],2)&amp;" 周"</f>
        <v>第 9 周</v>
      </c>
      <c r="E109" s="8">
        <v>43891</v>
      </c>
      <c r="F109" s="9">
        <v>0.625</v>
      </c>
      <c r="G109" s="9">
        <v>0.66666666666666663</v>
      </c>
      <c r="H109" s="9">
        <f>records[[#This Row],[结束时刻]]-records[[#This Row],[开始时刻]]</f>
        <v>4.166666666666663E-2</v>
      </c>
      <c r="I109" s="8" t="s">
        <v>147</v>
      </c>
      <c r="J109" s="25">
        <v>0.1</v>
      </c>
      <c r="K109" s="10"/>
    </row>
    <row r="110" spans="1:11">
      <c r="A110" s="10" t="str">
        <f>YEAR(records[[#This Row],[日期]])&amp;" 年"</f>
        <v>2020 年</v>
      </c>
      <c r="B110" s="8" t="str">
        <f>"第 "&amp;INT(MONTH(records[[#This Row],[日期]])/3+1)&amp;" 季度"</f>
        <v>第 2 季度</v>
      </c>
      <c r="C110" s="8" t="str">
        <f>MONTH(records[[#This Row],[日期]])&amp;" 月"</f>
        <v>3 月</v>
      </c>
      <c r="D110" s="8" t="str">
        <f>"第 "&amp;WEEKNUM(records[[#This Row],[日期]],2)&amp;" 周"</f>
        <v>第 9 周</v>
      </c>
      <c r="E110" s="8">
        <v>43891</v>
      </c>
      <c r="F110" s="9">
        <v>0.66666666666666663</v>
      </c>
      <c r="G110" s="9">
        <v>0.70833333333333337</v>
      </c>
      <c r="H110" s="9">
        <f>records[[#This Row],[结束时刻]]-records[[#This Row],[开始时刻]]</f>
        <v>4.1666666666666741E-2</v>
      </c>
      <c r="I110" s="8" t="s">
        <v>148</v>
      </c>
      <c r="J110" s="25">
        <v>0.1</v>
      </c>
      <c r="K110" s="10"/>
    </row>
    <row r="111" spans="1:11">
      <c r="A111" s="10" t="str">
        <f>YEAR(records[[#This Row],[日期]])&amp;" 年"</f>
        <v>2020 年</v>
      </c>
      <c r="B111" s="8" t="str">
        <f>"第 "&amp;INT(MONTH(records[[#This Row],[日期]])/3+1)&amp;" 季度"</f>
        <v>第 2 季度</v>
      </c>
      <c r="C111" s="8" t="str">
        <f>MONTH(records[[#This Row],[日期]])&amp;" 月"</f>
        <v>3 月</v>
      </c>
      <c r="D111" s="8" t="str">
        <f>"第 "&amp;WEEKNUM(records[[#This Row],[日期]],2)&amp;" 周"</f>
        <v>第 9 周</v>
      </c>
      <c r="E111" s="8">
        <v>43891</v>
      </c>
      <c r="F111" s="9">
        <v>0.70833333333333337</v>
      </c>
      <c r="G111" s="9">
        <v>0.75</v>
      </c>
      <c r="H111" s="9">
        <f>records[[#This Row],[结束时刻]]-records[[#This Row],[开始时刻]]</f>
        <v>4.166666666666663E-2</v>
      </c>
      <c r="I111" s="8" t="s">
        <v>149</v>
      </c>
      <c r="J111" s="25">
        <v>0.1</v>
      </c>
      <c r="K111" s="10"/>
    </row>
    <row r="112" spans="1:11">
      <c r="A112" s="10" t="str">
        <f>YEAR(records[[#This Row],[日期]])&amp;" 年"</f>
        <v>2020 年</v>
      </c>
      <c r="B112" s="8" t="str">
        <f>"第 "&amp;INT(MONTH(records[[#This Row],[日期]])/3+1)&amp;" 季度"</f>
        <v>第 2 季度</v>
      </c>
      <c r="C112" s="8" t="str">
        <f>MONTH(records[[#This Row],[日期]])&amp;" 月"</f>
        <v>3 月</v>
      </c>
      <c r="D112" s="8" t="str">
        <f>"第 "&amp;WEEKNUM(records[[#This Row],[日期]],2)&amp;" 周"</f>
        <v>第 9 周</v>
      </c>
      <c r="E112" s="8">
        <v>43891</v>
      </c>
      <c r="F112" s="9">
        <v>0.75</v>
      </c>
      <c r="G112" s="9">
        <v>0.77083333333333337</v>
      </c>
      <c r="H112" s="9">
        <f>records[[#This Row],[结束时刻]]-records[[#This Row],[开始时刻]]</f>
        <v>2.083333333333337E-2</v>
      </c>
      <c r="I112" s="8" t="s">
        <v>222</v>
      </c>
      <c r="J112" s="25">
        <v>0.1</v>
      </c>
      <c r="K112" s="10"/>
    </row>
    <row r="113" spans="1:11">
      <c r="A113" s="10" t="str">
        <f>YEAR(records[[#This Row],[日期]])&amp;" 年"</f>
        <v>2020 年</v>
      </c>
      <c r="B113" s="8" t="str">
        <f>"第 "&amp;INT(MONTH(records[[#This Row],[日期]])/3+1)&amp;" 季度"</f>
        <v>第 2 季度</v>
      </c>
      <c r="C113" s="8" t="str">
        <f>MONTH(records[[#This Row],[日期]])&amp;" 月"</f>
        <v>3 月</v>
      </c>
      <c r="D113" s="8" t="str">
        <f>"第 "&amp;WEEKNUM(records[[#This Row],[日期]],2)&amp;" 周"</f>
        <v>第 9 周</v>
      </c>
      <c r="E113" s="8">
        <v>43891</v>
      </c>
      <c r="F113" s="9">
        <v>0.77083333333333337</v>
      </c>
      <c r="G113" s="9">
        <v>0.79166666666666663</v>
      </c>
      <c r="H113" s="9">
        <f>records[[#This Row],[结束时刻]]-records[[#This Row],[开始时刻]]</f>
        <v>2.0833333333333259E-2</v>
      </c>
      <c r="I113" s="8" t="s">
        <v>223</v>
      </c>
      <c r="J113" s="25">
        <v>0.1</v>
      </c>
      <c r="K113" s="10"/>
    </row>
    <row r="114" spans="1:11">
      <c r="A114" s="10" t="str">
        <f>YEAR(records[[#This Row],[日期]])&amp;" 年"</f>
        <v>2020 年</v>
      </c>
      <c r="B114" s="8" t="str">
        <f>"第 "&amp;INT(MONTH(records[[#This Row],[日期]])/3+1)&amp;" 季度"</f>
        <v>第 2 季度</v>
      </c>
      <c r="C114" s="8" t="str">
        <f>MONTH(records[[#This Row],[日期]])&amp;" 月"</f>
        <v>3 月</v>
      </c>
      <c r="D114" s="8" t="str">
        <f>"第 "&amp;WEEKNUM(records[[#This Row],[日期]],2)&amp;" 周"</f>
        <v>第 9 周</v>
      </c>
      <c r="E114" s="8">
        <v>43891</v>
      </c>
      <c r="F114" s="9">
        <v>0.83333333333333337</v>
      </c>
      <c r="G114" s="9">
        <v>0.875</v>
      </c>
      <c r="H114" s="9">
        <f>records[[#This Row],[结束时刻]]-records[[#This Row],[开始时刻]]</f>
        <v>4.166666666666663E-2</v>
      </c>
      <c r="I114" s="8" t="s">
        <v>11</v>
      </c>
      <c r="J114" s="25">
        <v>0.1</v>
      </c>
      <c r="K114" s="10"/>
    </row>
    <row r="115" spans="1:11">
      <c r="A115" s="10" t="str">
        <f>YEAR(records[[#This Row],[日期]])&amp;" 年"</f>
        <v>2020 年</v>
      </c>
      <c r="B115" s="8" t="str">
        <f>"第 "&amp;INT(MONTH(records[[#This Row],[日期]])/3+1)&amp;" 季度"</f>
        <v>第 2 季度</v>
      </c>
      <c r="C115" s="8" t="str">
        <f>MONTH(records[[#This Row],[日期]])&amp;" 月"</f>
        <v>3 月</v>
      </c>
      <c r="D115" s="8" t="str">
        <f>"第 "&amp;WEEKNUM(records[[#This Row],[日期]],2)&amp;" 周"</f>
        <v>第 9 周</v>
      </c>
      <c r="E115" s="8">
        <v>43891</v>
      </c>
      <c r="F115" s="9">
        <v>0.875</v>
      </c>
      <c r="G115" s="9">
        <v>0.91666666666666663</v>
      </c>
      <c r="H115" s="9">
        <f>records[[#This Row],[结束时刻]]-records[[#This Row],[开始时刻]]</f>
        <v>4.166666666666663E-2</v>
      </c>
      <c r="I115" s="8" t="s">
        <v>12</v>
      </c>
      <c r="J115" s="25">
        <v>0.5</v>
      </c>
      <c r="K115" s="10"/>
    </row>
    <row r="116" spans="1:11">
      <c r="A116" s="10" t="str">
        <f>YEAR(records[[#This Row],[日期]])&amp;" 年"</f>
        <v>2020 年</v>
      </c>
      <c r="B116" s="8" t="str">
        <f>"第 "&amp;INT(MONTH(records[[#This Row],[日期]])/3+1)&amp;" 季度"</f>
        <v>第 2 季度</v>
      </c>
      <c r="C116" s="8" t="str">
        <f>MONTH(records[[#This Row],[日期]])&amp;" 月"</f>
        <v>3 月</v>
      </c>
      <c r="D116" s="8" t="str">
        <f>"第 "&amp;WEEKNUM(records[[#This Row],[日期]],2)&amp;" 周"</f>
        <v>第 9 周</v>
      </c>
      <c r="E116" s="8">
        <v>43891</v>
      </c>
      <c r="F116" s="9">
        <v>0.91666666666666663</v>
      </c>
      <c r="G116" s="9">
        <v>0.9375</v>
      </c>
      <c r="H116" s="9">
        <f>records[[#This Row],[结束时刻]]-records[[#This Row],[开始时刻]]</f>
        <v>2.083333333333337E-2</v>
      </c>
      <c r="I116" s="8" t="s">
        <v>23</v>
      </c>
      <c r="J116" s="25">
        <v>0.3</v>
      </c>
      <c r="K116" s="10" t="s">
        <v>72</v>
      </c>
    </row>
    <row r="117" spans="1:11">
      <c r="A117" s="10" t="str">
        <f>YEAR(records[[#This Row],[日期]])&amp;" 年"</f>
        <v>2020 年</v>
      </c>
      <c r="B117" s="8" t="str">
        <f>"第 "&amp;INT(MONTH(records[[#This Row],[日期]])/3+1)&amp;" 季度"</f>
        <v>第 2 季度</v>
      </c>
      <c r="C117" s="8" t="str">
        <f>MONTH(records[[#This Row],[日期]])&amp;" 月"</f>
        <v>3 月</v>
      </c>
      <c r="D117" s="8" t="str">
        <f>"第 "&amp;WEEKNUM(records[[#This Row],[日期]],2)&amp;" 周"</f>
        <v>第 9 周</v>
      </c>
      <c r="E117" s="8">
        <v>43891</v>
      </c>
      <c r="F117" s="9">
        <v>0.9375</v>
      </c>
      <c r="G117" s="9">
        <v>0.94791666666666663</v>
      </c>
      <c r="H117" s="9">
        <f>records[[#This Row],[结束时刻]]-records[[#This Row],[开始时刻]]</f>
        <v>1.041666666666663E-2</v>
      </c>
      <c r="I117" s="8" t="s">
        <v>141</v>
      </c>
      <c r="J117" s="25">
        <v>0.5</v>
      </c>
      <c r="K117" s="10"/>
    </row>
    <row r="118" spans="1:11">
      <c r="A118" s="10" t="str">
        <f>YEAR(records[[#This Row],[日期]])&amp;" 年"</f>
        <v>2020 年</v>
      </c>
      <c r="B118" s="8" t="str">
        <f>"第 "&amp;INT(MONTH(records[[#This Row],[日期]])/3+1)&amp;" 季度"</f>
        <v>第 2 季度</v>
      </c>
      <c r="C118" s="8" t="str">
        <f>MONTH(records[[#This Row],[日期]])&amp;" 月"</f>
        <v>3 月</v>
      </c>
      <c r="D118" s="8" t="str">
        <f>"第 "&amp;WEEKNUM(records[[#This Row],[日期]],2)&amp;" 周"</f>
        <v>第 9 周</v>
      </c>
      <c r="E118" s="8">
        <v>43891</v>
      </c>
      <c r="F118" s="9">
        <v>0.94791666666666663</v>
      </c>
      <c r="G118" s="9">
        <v>0.95833333333333337</v>
      </c>
      <c r="H118" s="9">
        <f>records[[#This Row],[结束时刻]]-records[[#This Row],[开始时刻]]</f>
        <v>1.0416666666666741E-2</v>
      </c>
      <c r="I118" s="8" t="s">
        <v>150</v>
      </c>
      <c r="J118" s="25">
        <v>0.1</v>
      </c>
      <c r="K118" s="10"/>
    </row>
    <row r="119" spans="1:11">
      <c r="A119" s="10" t="str">
        <f>YEAR(records[[#This Row],[日期]])&amp;" 年"</f>
        <v>2020 年</v>
      </c>
      <c r="B119" s="8" t="str">
        <f>"第 "&amp;INT(MONTH(records[[#This Row],[日期]])/3+1)&amp;" 季度"</f>
        <v>第 2 季度</v>
      </c>
      <c r="C119" s="8" t="str">
        <f>MONTH(records[[#This Row],[日期]])&amp;" 月"</f>
        <v>3 月</v>
      </c>
      <c r="D119" s="8" t="str">
        <f>"第 "&amp;WEEKNUM(records[[#This Row],[日期]],2)&amp;" 周"</f>
        <v>第 9 周</v>
      </c>
      <c r="E119" s="8">
        <v>43891</v>
      </c>
      <c r="F119" s="9">
        <v>0.97916666666666663</v>
      </c>
      <c r="G119" s="9">
        <v>0.99305555555555547</v>
      </c>
      <c r="H119" s="9">
        <f>records[[#This Row],[结束时刻]]-records[[#This Row],[开始时刻]]</f>
        <v>1.388888888888884E-2</v>
      </c>
      <c r="I119" s="8" t="s">
        <v>13</v>
      </c>
      <c r="J119" s="25">
        <v>0</v>
      </c>
      <c r="K119" s="10"/>
    </row>
    <row r="120" spans="1:11">
      <c r="A120" s="10" t="str">
        <f>YEAR(records[[#This Row],[日期]])&amp;" 年"</f>
        <v>2020 年</v>
      </c>
      <c r="B120" s="8" t="str">
        <f>"第 "&amp;INT(MONTH(records[[#This Row],[日期]])/3+1)&amp;" 季度"</f>
        <v>第 2 季度</v>
      </c>
      <c r="C120" s="8" t="str">
        <f>MONTH(records[[#This Row],[日期]])&amp;" 月"</f>
        <v>3 月</v>
      </c>
      <c r="D120" s="8" t="str">
        <f>"第 "&amp;WEEKNUM(records[[#This Row],[日期]],2)&amp;" 周"</f>
        <v>第 10 周</v>
      </c>
      <c r="E120" s="8">
        <v>43892</v>
      </c>
      <c r="F120" s="9">
        <v>0.29444444444444445</v>
      </c>
      <c r="G120" s="9">
        <v>0.29444444444444445</v>
      </c>
      <c r="H120" s="9">
        <f>records[[#This Row],[结束时刻]]-records[[#This Row],[开始时刻]]</f>
        <v>0</v>
      </c>
      <c r="I120" s="8" t="s">
        <v>6</v>
      </c>
      <c r="J120" s="25">
        <v>0.5</v>
      </c>
      <c r="K120" s="10" t="s">
        <v>152</v>
      </c>
    </row>
    <row r="121" spans="1:11">
      <c r="A121" s="10" t="str">
        <f>YEAR(records[[#This Row],[日期]])&amp;" 年"</f>
        <v>2020 年</v>
      </c>
      <c r="B121" s="8" t="str">
        <f>"第 "&amp;INT(MONTH(records[[#This Row],[日期]])/3+1)&amp;" 季度"</f>
        <v>第 2 季度</v>
      </c>
      <c r="C121" s="8" t="str">
        <f>MONTH(records[[#This Row],[日期]])&amp;" 月"</f>
        <v>3 月</v>
      </c>
      <c r="D121" s="8" t="str">
        <f>"第 "&amp;WEEKNUM(records[[#This Row],[日期]],2)&amp;" 周"</f>
        <v>第 10 周</v>
      </c>
      <c r="E121" s="8">
        <v>43892</v>
      </c>
      <c r="F121" s="9">
        <v>0.29444444444444445</v>
      </c>
      <c r="G121" s="9">
        <v>0.2986111111111111</v>
      </c>
      <c r="H121" s="9">
        <f>records[[#This Row],[结束时刻]]-records[[#This Row],[开始时刻]]</f>
        <v>4.1666666666666519E-3</v>
      </c>
      <c r="I121" s="8" t="s">
        <v>97</v>
      </c>
      <c r="J121" s="25">
        <v>0.5</v>
      </c>
      <c r="K121" s="10" t="s">
        <v>152</v>
      </c>
    </row>
    <row r="122" spans="1:11">
      <c r="A122" s="10" t="str">
        <f>YEAR(records[[#This Row],[日期]])&amp;" 年"</f>
        <v>2020 年</v>
      </c>
      <c r="B122" s="8" t="str">
        <f>"第 "&amp;INT(MONTH(records[[#This Row],[日期]])/3+1)&amp;" 季度"</f>
        <v>第 2 季度</v>
      </c>
      <c r="C122" s="8" t="str">
        <f>MONTH(records[[#This Row],[日期]])&amp;" 月"</f>
        <v>3 月</v>
      </c>
      <c r="D122" s="8" t="str">
        <f>"第 "&amp;WEEKNUM(records[[#This Row],[日期]],2)&amp;" 周"</f>
        <v>第 10 周</v>
      </c>
      <c r="E122" s="8">
        <v>43892</v>
      </c>
      <c r="F122" s="9">
        <v>0.2986111111111111</v>
      </c>
      <c r="G122" s="9">
        <v>0.33333333333333331</v>
      </c>
      <c r="H122" s="9">
        <f>records[[#This Row],[结束时刻]]-records[[#This Row],[开始时刻]]</f>
        <v>3.472222222222221E-2</v>
      </c>
      <c r="I122" s="14" t="s">
        <v>11</v>
      </c>
      <c r="J122" s="25">
        <v>0.5</v>
      </c>
      <c r="K122" s="10" t="s">
        <v>152</v>
      </c>
    </row>
    <row r="123" spans="1:11">
      <c r="A123" s="10" t="str">
        <f>YEAR(records[[#This Row],[日期]])&amp;" 年"</f>
        <v>2020 年</v>
      </c>
      <c r="B123" s="8" t="str">
        <f>"第 "&amp;INT(MONTH(records[[#This Row],[日期]])/3+1)&amp;" 季度"</f>
        <v>第 2 季度</v>
      </c>
      <c r="C123" s="8" t="str">
        <f>MONTH(records[[#This Row],[日期]])&amp;" 月"</f>
        <v>3 月</v>
      </c>
      <c r="D123" s="8" t="str">
        <f>"第 "&amp;WEEKNUM(records[[#This Row],[日期]],2)&amp;" 周"</f>
        <v>第 10 周</v>
      </c>
      <c r="E123" s="8">
        <v>43892</v>
      </c>
      <c r="F123" s="9">
        <v>0.33333333333333331</v>
      </c>
      <c r="G123" s="9">
        <v>0.3611111111111111</v>
      </c>
      <c r="H123" s="9">
        <f>records[[#This Row],[结束时刻]]-records[[#This Row],[开始时刻]]</f>
        <v>2.777777777777779E-2</v>
      </c>
      <c r="I123" s="14" t="s">
        <v>20</v>
      </c>
      <c r="J123" s="25">
        <v>0.5</v>
      </c>
      <c r="K123" s="10" t="s">
        <v>152</v>
      </c>
    </row>
    <row r="124" spans="1:11">
      <c r="A124" s="10" t="str">
        <f>YEAR(records[[#This Row],[日期]])&amp;" 年"</f>
        <v>2020 年</v>
      </c>
      <c r="B124" s="8" t="str">
        <f>"第 "&amp;INT(MONTH(records[[#This Row],[日期]])/3+1)&amp;" 季度"</f>
        <v>第 2 季度</v>
      </c>
      <c r="C124" s="8" t="str">
        <f>MONTH(records[[#This Row],[日期]])&amp;" 月"</f>
        <v>3 月</v>
      </c>
      <c r="D124" s="8" t="str">
        <f>"第 "&amp;WEEKNUM(records[[#This Row],[日期]],2)&amp;" 周"</f>
        <v>第 10 周</v>
      </c>
      <c r="E124" s="8">
        <v>43892</v>
      </c>
      <c r="F124" s="9">
        <v>0.3611111111111111</v>
      </c>
      <c r="G124" s="9">
        <v>0.36458333333333331</v>
      </c>
      <c r="H124" s="9">
        <f>records[[#This Row],[结束时刻]]-records[[#This Row],[开始时刻]]</f>
        <v>3.4722222222222099E-3</v>
      </c>
      <c r="I124" s="14" t="s">
        <v>156</v>
      </c>
      <c r="J124" s="25">
        <v>0.1</v>
      </c>
      <c r="K124" s="10"/>
    </row>
    <row r="125" spans="1:11">
      <c r="A125" s="10" t="str">
        <f>YEAR(records[[#This Row],[日期]])&amp;" 年"</f>
        <v>2020 年</v>
      </c>
      <c r="B125" s="8" t="str">
        <f>"第 "&amp;INT(MONTH(records[[#This Row],[日期]])/3+1)&amp;" 季度"</f>
        <v>第 2 季度</v>
      </c>
      <c r="C125" s="8" t="str">
        <f>MONTH(records[[#This Row],[日期]])&amp;" 月"</f>
        <v>3 月</v>
      </c>
      <c r="D125" s="8" t="str">
        <f>"第 "&amp;WEEKNUM(records[[#This Row],[日期]],2)&amp;" 周"</f>
        <v>第 10 周</v>
      </c>
      <c r="E125" s="8">
        <v>43892</v>
      </c>
      <c r="F125" s="9">
        <v>0.3611111111111111</v>
      </c>
      <c r="G125" s="9">
        <v>0.375</v>
      </c>
      <c r="H125" s="9">
        <f>records[[#This Row],[结束时刻]]-records[[#This Row],[开始时刻]]</f>
        <v>1.3888888888888895E-2</v>
      </c>
      <c r="I125" s="14" t="s">
        <v>134</v>
      </c>
      <c r="J125" s="25">
        <v>0.5</v>
      </c>
      <c r="K125" s="10" t="s">
        <v>152</v>
      </c>
    </row>
    <row r="126" spans="1:11">
      <c r="A126" s="10" t="str">
        <f>YEAR(records[[#This Row],[日期]])&amp;" 年"</f>
        <v>2020 年</v>
      </c>
      <c r="B126" s="8" t="str">
        <f>"第 "&amp;INT(MONTH(records[[#This Row],[日期]])/3+1)&amp;" 季度"</f>
        <v>第 2 季度</v>
      </c>
      <c r="C126" s="8" t="str">
        <f>MONTH(records[[#This Row],[日期]])&amp;" 月"</f>
        <v>3 月</v>
      </c>
      <c r="D126" s="8" t="str">
        <f>"第 "&amp;WEEKNUM(records[[#This Row],[日期]],2)&amp;" 周"</f>
        <v>第 10 周</v>
      </c>
      <c r="E126" s="8">
        <v>43892</v>
      </c>
      <c r="F126" s="9">
        <v>0.36458333333333331</v>
      </c>
      <c r="G126" s="9">
        <v>0.36805555555555558</v>
      </c>
      <c r="H126" s="9">
        <f>records[[#This Row],[结束时刻]]-records[[#This Row],[开始时刻]]</f>
        <v>3.4722222222222654E-3</v>
      </c>
      <c r="I126" s="14" t="s">
        <v>157</v>
      </c>
      <c r="J126" s="25">
        <v>0.1</v>
      </c>
      <c r="K126" s="10"/>
    </row>
    <row r="127" spans="1:11">
      <c r="A127" s="10" t="str">
        <f>YEAR(records[[#This Row],[日期]])&amp;" 年"</f>
        <v>2020 年</v>
      </c>
      <c r="B127" s="8" t="str">
        <f>"第 "&amp;INT(MONTH(records[[#This Row],[日期]])/3+1)&amp;" 季度"</f>
        <v>第 2 季度</v>
      </c>
      <c r="C127" s="8" t="str">
        <f>MONTH(records[[#This Row],[日期]])&amp;" 月"</f>
        <v>3 月</v>
      </c>
      <c r="D127" s="8" t="str">
        <f>"第 "&amp;WEEKNUM(records[[#This Row],[日期]],2)&amp;" 周"</f>
        <v>第 10 周</v>
      </c>
      <c r="E127" s="8">
        <v>43892</v>
      </c>
      <c r="F127" s="9">
        <v>0.36805555555555558</v>
      </c>
      <c r="G127" s="9">
        <v>0.375</v>
      </c>
      <c r="H127" s="9">
        <f>records[[#This Row],[结束时刻]]-records[[#This Row],[开始时刻]]</f>
        <v>6.9444444444444198E-3</v>
      </c>
      <c r="I127" s="14" t="s">
        <v>158</v>
      </c>
      <c r="J127" s="25">
        <v>0.1</v>
      </c>
      <c r="K127" s="10"/>
    </row>
    <row r="128" spans="1:11">
      <c r="A128" s="10" t="str">
        <f>YEAR(records[[#This Row],[日期]])&amp;" 年"</f>
        <v>2020 年</v>
      </c>
      <c r="B128" s="8" t="str">
        <f>"第 "&amp;INT(MONTH(records[[#This Row],[日期]])/3+1)&amp;" 季度"</f>
        <v>第 2 季度</v>
      </c>
      <c r="C128" s="8" t="str">
        <f>MONTH(records[[#This Row],[日期]])&amp;" 月"</f>
        <v>3 月</v>
      </c>
      <c r="D128" s="8" t="str">
        <f>"第 "&amp;WEEKNUM(records[[#This Row],[日期]],2)&amp;" 周"</f>
        <v>第 10 周</v>
      </c>
      <c r="E128" s="8">
        <v>43892</v>
      </c>
      <c r="F128" s="9">
        <v>0.39583333333333331</v>
      </c>
      <c r="G128" s="9">
        <v>0.41666666666666669</v>
      </c>
      <c r="H128" s="9">
        <f>records[[#This Row],[结束时刻]]-records[[#This Row],[开始时刻]]</f>
        <v>2.083333333333337E-2</v>
      </c>
      <c r="I128" s="14" t="s">
        <v>159</v>
      </c>
      <c r="J128" s="25">
        <v>0</v>
      </c>
      <c r="K128" s="10" t="s">
        <v>170</v>
      </c>
    </row>
    <row r="129" spans="1:11">
      <c r="A129" s="10" t="str">
        <f>YEAR(records[[#This Row],[日期]])&amp;" 年"</f>
        <v>2020 年</v>
      </c>
      <c r="B129" s="8" t="str">
        <f>"第 "&amp;INT(MONTH(records[[#This Row],[日期]])/3+1)&amp;" 季度"</f>
        <v>第 2 季度</v>
      </c>
      <c r="C129" s="8" t="str">
        <f>MONTH(records[[#This Row],[日期]])&amp;" 月"</f>
        <v>3 月</v>
      </c>
      <c r="D129" s="8" t="str">
        <f>"第 "&amp;WEEKNUM(records[[#This Row],[日期]],2)&amp;" 周"</f>
        <v>第 10 周</v>
      </c>
      <c r="E129" s="8">
        <v>43892</v>
      </c>
      <c r="F129" s="9">
        <v>0.4375</v>
      </c>
      <c r="G129" s="9">
        <v>0.45833333333333331</v>
      </c>
      <c r="H129" s="9">
        <f>records[[#This Row],[结束时刻]]-records[[#This Row],[开始时刻]]</f>
        <v>2.0833333333333315E-2</v>
      </c>
      <c r="I129" s="14" t="s">
        <v>160</v>
      </c>
      <c r="J129" s="25">
        <v>0.03</v>
      </c>
      <c r="K129" s="10" t="s">
        <v>167</v>
      </c>
    </row>
    <row r="130" spans="1:11">
      <c r="A130" s="10" t="str">
        <f>YEAR(records[[#This Row],[日期]])&amp;" 年"</f>
        <v>2020 年</v>
      </c>
      <c r="B130" s="8" t="str">
        <f>"第 "&amp;INT(MONTH(records[[#This Row],[日期]])/3+1)&amp;" 季度"</f>
        <v>第 2 季度</v>
      </c>
      <c r="C130" s="8" t="str">
        <f>MONTH(records[[#This Row],[日期]])&amp;" 月"</f>
        <v>3 月</v>
      </c>
      <c r="D130" s="8" t="str">
        <f>"第 "&amp;WEEKNUM(records[[#This Row],[日期]],2)&amp;" 周"</f>
        <v>第 10 周</v>
      </c>
      <c r="E130" s="8">
        <v>43892</v>
      </c>
      <c r="F130" s="9">
        <v>0.45833333333333331</v>
      </c>
      <c r="G130" s="9">
        <v>0.47916666666666669</v>
      </c>
      <c r="H130" s="9">
        <f>records[[#This Row],[结束时刻]]-records[[#This Row],[开始时刻]]</f>
        <v>2.083333333333337E-2</v>
      </c>
      <c r="I130" s="14" t="s">
        <v>161</v>
      </c>
      <c r="J130" s="25">
        <v>0.1</v>
      </c>
      <c r="K130" s="10"/>
    </row>
    <row r="131" spans="1:11">
      <c r="A131" s="10" t="str">
        <f>YEAR(records[[#This Row],[日期]])&amp;" 年"</f>
        <v>2020 年</v>
      </c>
      <c r="B131" s="8" t="str">
        <f>"第 "&amp;INT(MONTH(records[[#This Row],[日期]])/3+1)&amp;" 季度"</f>
        <v>第 2 季度</v>
      </c>
      <c r="C131" s="8" t="str">
        <f>MONTH(records[[#This Row],[日期]])&amp;" 月"</f>
        <v>3 月</v>
      </c>
      <c r="D131" s="8" t="str">
        <f>"第 "&amp;WEEKNUM(records[[#This Row],[日期]],2)&amp;" 周"</f>
        <v>第 10 周</v>
      </c>
      <c r="E131" s="8">
        <v>43892</v>
      </c>
      <c r="F131" s="9">
        <v>0.47916666666666669</v>
      </c>
      <c r="G131" s="9">
        <v>0.5</v>
      </c>
      <c r="H131" s="9">
        <f>records[[#This Row],[结束时刻]]-records[[#This Row],[开始时刻]]</f>
        <v>2.0833333333333315E-2</v>
      </c>
      <c r="I131" s="14" t="s">
        <v>184</v>
      </c>
      <c r="J131" s="25">
        <v>0.1</v>
      </c>
      <c r="K131" s="10"/>
    </row>
    <row r="132" spans="1:11">
      <c r="A132" s="10" t="str">
        <f>YEAR(records[[#This Row],[日期]])&amp;" 年"</f>
        <v>2020 年</v>
      </c>
      <c r="B132" s="8" t="str">
        <f>"第 "&amp;INT(MONTH(records[[#This Row],[日期]])/3+1)&amp;" 季度"</f>
        <v>第 2 季度</v>
      </c>
      <c r="C132" s="8" t="str">
        <f>MONTH(records[[#This Row],[日期]])&amp;" 月"</f>
        <v>3 月</v>
      </c>
      <c r="D132" s="8" t="str">
        <f>"第 "&amp;WEEKNUM(records[[#This Row],[日期]],2)&amp;" 周"</f>
        <v>第 10 周</v>
      </c>
      <c r="E132" s="8">
        <v>43892</v>
      </c>
      <c r="F132" s="9">
        <v>0.5</v>
      </c>
      <c r="G132" s="9">
        <v>0.5625</v>
      </c>
      <c r="H132" s="9">
        <f>records[[#This Row],[结束时刻]]-records[[#This Row],[开始时刻]]</f>
        <v>6.25E-2</v>
      </c>
      <c r="I132" s="14" t="s">
        <v>183</v>
      </c>
      <c r="J132" s="25">
        <v>0.1</v>
      </c>
      <c r="K132" s="10" t="s">
        <v>168</v>
      </c>
    </row>
    <row r="133" spans="1:11">
      <c r="A133" s="10" t="str">
        <f>YEAR(records[[#This Row],[日期]])&amp;" 年"</f>
        <v>2020 年</v>
      </c>
      <c r="B133" s="8" t="str">
        <f>"第 "&amp;INT(MONTH(records[[#This Row],[日期]])/3+1)&amp;" 季度"</f>
        <v>第 2 季度</v>
      </c>
      <c r="C133" s="8" t="str">
        <f>MONTH(records[[#This Row],[日期]])&amp;" 月"</f>
        <v>3 月</v>
      </c>
      <c r="D133" s="8" t="str">
        <f>"第 "&amp;WEEKNUM(records[[#This Row],[日期]],2)&amp;" 周"</f>
        <v>第 10 周</v>
      </c>
      <c r="E133" s="8">
        <v>43892</v>
      </c>
      <c r="F133" s="9">
        <v>0.5625</v>
      </c>
      <c r="G133" s="9">
        <v>0.59375</v>
      </c>
      <c r="H133" s="9">
        <f>records[[#This Row],[结束时刻]]-records[[#This Row],[开始时刻]]</f>
        <v>3.125E-2</v>
      </c>
      <c r="I133" s="14" t="s">
        <v>145</v>
      </c>
      <c r="J133" s="25">
        <v>0.1</v>
      </c>
      <c r="K133" s="10"/>
    </row>
    <row r="134" spans="1:11">
      <c r="A134" s="10" t="str">
        <f>YEAR(records[[#This Row],[日期]])&amp;" 年"</f>
        <v>2020 年</v>
      </c>
      <c r="B134" s="8" t="str">
        <f>"第 "&amp;INT(MONTH(records[[#This Row],[日期]])/3+1)&amp;" 季度"</f>
        <v>第 2 季度</v>
      </c>
      <c r="C134" s="8" t="str">
        <f>MONTH(records[[#This Row],[日期]])&amp;" 月"</f>
        <v>3 月</v>
      </c>
      <c r="D134" s="8" t="str">
        <f>"第 "&amp;WEEKNUM(records[[#This Row],[日期]],2)&amp;" 周"</f>
        <v>第 10 周</v>
      </c>
      <c r="E134" s="8">
        <v>43892</v>
      </c>
      <c r="F134" s="9">
        <v>0.60416666666666663</v>
      </c>
      <c r="G134" s="9">
        <v>0.625</v>
      </c>
      <c r="H134" s="9">
        <f>records[[#This Row],[结束时刻]]-records[[#This Row],[开始时刻]]</f>
        <v>2.083333333333337E-2</v>
      </c>
      <c r="I134" s="14" t="s">
        <v>162</v>
      </c>
      <c r="J134" s="25">
        <v>0.1</v>
      </c>
      <c r="K134" s="10"/>
    </row>
    <row r="135" spans="1:11">
      <c r="A135" s="10" t="str">
        <f>YEAR(records[[#This Row],[日期]])&amp;" 年"</f>
        <v>2020 年</v>
      </c>
      <c r="B135" s="8" t="str">
        <f>"第 "&amp;INT(MONTH(records[[#This Row],[日期]])/3+1)&amp;" 季度"</f>
        <v>第 2 季度</v>
      </c>
      <c r="C135" s="8" t="str">
        <f>MONTH(records[[#This Row],[日期]])&amp;" 月"</f>
        <v>3 月</v>
      </c>
      <c r="D135" s="8" t="str">
        <f>"第 "&amp;WEEKNUM(records[[#This Row],[日期]],2)&amp;" 周"</f>
        <v>第 10 周</v>
      </c>
      <c r="E135" s="8">
        <v>43892</v>
      </c>
      <c r="F135" s="9">
        <v>0.625</v>
      </c>
      <c r="G135" s="9">
        <v>0.65625</v>
      </c>
      <c r="H135" s="9">
        <f>records[[#This Row],[结束时刻]]-records[[#This Row],[开始时刻]]</f>
        <v>3.125E-2</v>
      </c>
      <c r="I135" s="14" t="s">
        <v>163</v>
      </c>
      <c r="J135" s="25">
        <v>0.02</v>
      </c>
      <c r="K135" s="10" t="s">
        <v>153</v>
      </c>
    </row>
    <row r="136" spans="1:11">
      <c r="A136" s="10" t="str">
        <f>YEAR(records[[#This Row],[日期]])&amp;" 年"</f>
        <v>2020 年</v>
      </c>
      <c r="B136" s="8" t="str">
        <f>"第 "&amp;INT(MONTH(records[[#This Row],[日期]])/3+1)&amp;" 季度"</f>
        <v>第 2 季度</v>
      </c>
      <c r="C136" s="8" t="str">
        <f>MONTH(records[[#This Row],[日期]])&amp;" 月"</f>
        <v>3 月</v>
      </c>
      <c r="D136" s="8" t="str">
        <f>"第 "&amp;WEEKNUM(records[[#This Row],[日期]],2)&amp;" 周"</f>
        <v>第 10 周</v>
      </c>
      <c r="E136" s="8">
        <v>43892</v>
      </c>
      <c r="F136" s="9">
        <v>0.65277777777777779</v>
      </c>
      <c r="G136" s="9">
        <v>0.6875</v>
      </c>
      <c r="H136" s="9">
        <f>records[[#This Row],[结束时刻]]-records[[#This Row],[开始时刻]]</f>
        <v>3.472222222222221E-2</v>
      </c>
      <c r="I136" s="14" t="s">
        <v>164</v>
      </c>
      <c r="J136" s="25">
        <v>0.04</v>
      </c>
      <c r="K136" s="10" t="s">
        <v>169</v>
      </c>
    </row>
    <row r="137" spans="1:11">
      <c r="A137" s="10" t="str">
        <f>YEAR(records[[#This Row],[日期]])&amp;" 年"</f>
        <v>2020 年</v>
      </c>
      <c r="B137" s="8" t="str">
        <f>"第 "&amp;INT(MONTH(records[[#This Row],[日期]])/3+1)&amp;" 季度"</f>
        <v>第 2 季度</v>
      </c>
      <c r="C137" s="8" t="str">
        <f>MONTH(records[[#This Row],[日期]])&amp;" 月"</f>
        <v>3 月</v>
      </c>
      <c r="D137" s="8" t="str">
        <f>"第 "&amp;WEEKNUM(records[[#This Row],[日期]],2)&amp;" 周"</f>
        <v>第 10 周</v>
      </c>
      <c r="E137" s="8">
        <v>43892</v>
      </c>
      <c r="F137" s="9">
        <v>0.70833333333333337</v>
      </c>
      <c r="G137" s="9">
        <v>0.75</v>
      </c>
      <c r="H137" s="9">
        <f>records[[#This Row],[结束时刻]]-records[[#This Row],[开始时刻]]</f>
        <v>4.166666666666663E-2</v>
      </c>
      <c r="I137" s="14" t="s">
        <v>222</v>
      </c>
      <c r="J137" s="25">
        <v>0.1</v>
      </c>
      <c r="K137" s="10"/>
    </row>
    <row r="138" spans="1:11">
      <c r="A138" s="10" t="str">
        <f>YEAR(records[[#This Row],[日期]])&amp;" 年"</f>
        <v>2020 年</v>
      </c>
      <c r="B138" s="8" t="str">
        <f>"第 "&amp;INT(MONTH(records[[#This Row],[日期]])/3+1)&amp;" 季度"</f>
        <v>第 2 季度</v>
      </c>
      <c r="C138" s="8" t="str">
        <f>MONTH(records[[#This Row],[日期]])&amp;" 月"</f>
        <v>3 月</v>
      </c>
      <c r="D138" s="8" t="str">
        <f>"第 "&amp;WEEKNUM(records[[#This Row],[日期]],2)&amp;" 周"</f>
        <v>第 10 周</v>
      </c>
      <c r="E138" s="8">
        <v>43892</v>
      </c>
      <c r="F138" s="9">
        <v>0.75</v>
      </c>
      <c r="G138" s="9">
        <v>0.76041666666666663</v>
      </c>
      <c r="H138" s="9">
        <f>records[[#This Row],[结束时刻]]-records[[#This Row],[开始时刻]]</f>
        <v>1.041666666666663E-2</v>
      </c>
      <c r="I138" s="14" t="s">
        <v>223</v>
      </c>
      <c r="J138" s="25">
        <v>0.1</v>
      </c>
      <c r="K138" s="10"/>
    </row>
    <row r="139" spans="1:11">
      <c r="A139" s="10" t="str">
        <f>YEAR(records[[#This Row],[日期]])&amp;" 年"</f>
        <v>2020 年</v>
      </c>
      <c r="B139" s="8" t="str">
        <f>"第 "&amp;INT(MONTH(records[[#This Row],[日期]])/3+1)&amp;" 季度"</f>
        <v>第 2 季度</v>
      </c>
      <c r="C139" s="8" t="str">
        <f>MONTH(records[[#This Row],[日期]])&amp;" 月"</f>
        <v>3 月</v>
      </c>
      <c r="D139" s="8" t="str">
        <f>"第 "&amp;WEEKNUM(records[[#This Row],[日期]],2)&amp;" 周"</f>
        <v>第 10 周</v>
      </c>
      <c r="E139" s="8">
        <v>43892</v>
      </c>
      <c r="F139" s="9">
        <v>0.77083333333333337</v>
      </c>
      <c r="G139" s="9">
        <v>0.8125</v>
      </c>
      <c r="H139" s="9">
        <f>records[[#This Row],[结束时刻]]-records[[#This Row],[开始时刻]]</f>
        <v>4.166666666666663E-2</v>
      </c>
      <c r="I139" s="14" t="s">
        <v>165</v>
      </c>
      <c r="J139" s="25">
        <v>1.4999999999999999E-2</v>
      </c>
      <c r="K139" s="10" t="s">
        <v>154</v>
      </c>
    </row>
    <row r="140" spans="1:11">
      <c r="A140" s="10" t="str">
        <f>YEAR(records[[#This Row],[日期]])&amp;" 年"</f>
        <v>2020 年</v>
      </c>
      <c r="B140" s="8" t="str">
        <f>"第 "&amp;INT(MONTH(records[[#This Row],[日期]])/3+1)&amp;" 季度"</f>
        <v>第 2 季度</v>
      </c>
      <c r="C140" s="8" t="str">
        <f>MONTH(records[[#This Row],[日期]])&amp;" 月"</f>
        <v>3 月</v>
      </c>
      <c r="D140" s="8" t="str">
        <f>"第 "&amp;WEEKNUM(records[[#This Row],[日期]],2)&amp;" 周"</f>
        <v>第 10 周</v>
      </c>
      <c r="E140" s="8">
        <v>43892</v>
      </c>
      <c r="F140" s="9">
        <v>0.8125</v>
      </c>
      <c r="G140" s="9">
        <v>0.83333333333333337</v>
      </c>
      <c r="H140" s="9">
        <f>records[[#This Row],[结束时刻]]-records[[#This Row],[开始时刻]]</f>
        <v>2.083333333333337E-2</v>
      </c>
      <c r="I140" s="14" t="s">
        <v>166</v>
      </c>
      <c r="J140" s="25">
        <v>0.1</v>
      </c>
      <c r="K140" s="10"/>
    </row>
    <row r="141" spans="1:11">
      <c r="A141" s="10" t="str">
        <f>YEAR(records[[#This Row],[日期]])&amp;" 年"</f>
        <v>2020 年</v>
      </c>
      <c r="B141" s="8" t="str">
        <f>"第 "&amp;INT(MONTH(records[[#This Row],[日期]])/3+1)&amp;" 季度"</f>
        <v>第 2 季度</v>
      </c>
      <c r="C141" s="8" t="str">
        <f>MONTH(records[[#This Row],[日期]])&amp;" 月"</f>
        <v>3 月</v>
      </c>
      <c r="D141" s="8" t="str">
        <f>"第 "&amp;WEEKNUM(records[[#This Row],[日期]],2)&amp;" 周"</f>
        <v>第 10 周</v>
      </c>
      <c r="E141" s="8">
        <v>43892</v>
      </c>
      <c r="F141" s="9">
        <v>0.83333333333333337</v>
      </c>
      <c r="G141" s="9">
        <v>0.875</v>
      </c>
      <c r="H141" s="9">
        <f>records[[#This Row],[结束时刻]]-records[[#This Row],[开始时刻]]</f>
        <v>4.166666666666663E-2</v>
      </c>
      <c r="I141" s="14" t="s">
        <v>11</v>
      </c>
      <c r="J141" s="25">
        <v>0.1</v>
      </c>
      <c r="K141" s="10"/>
    </row>
    <row r="142" spans="1:11">
      <c r="A142" s="10" t="str">
        <f>YEAR(records[[#This Row],[日期]])&amp;" 年"</f>
        <v>2020 年</v>
      </c>
      <c r="B142" s="8" t="str">
        <f>"第 "&amp;INT(MONTH(records[[#This Row],[日期]])/3+1)&amp;" 季度"</f>
        <v>第 2 季度</v>
      </c>
      <c r="C142" s="8" t="str">
        <f>MONTH(records[[#This Row],[日期]])&amp;" 月"</f>
        <v>3 月</v>
      </c>
      <c r="D142" s="8" t="str">
        <f>"第 "&amp;WEEKNUM(records[[#This Row],[日期]],2)&amp;" 周"</f>
        <v>第 10 周</v>
      </c>
      <c r="E142" s="8">
        <v>43892</v>
      </c>
      <c r="F142" s="9">
        <v>0.875</v>
      </c>
      <c r="G142" s="9">
        <v>0.91666666666666663</v>
      </c>
      <c r="H142" s="9">
        <f>records[[#This Row],[结束时刻]]-records[[#This Row],[开始时刻]]</f>
        <v>4.166666666666663E-2</v>
      </c>
      <c r="I142" s="14" t="s">
        <v>12</v>
      </c>
      <c r="J142" s="25">
        <v>0.6</v>
      </c>
      <c r="K142" s="10" t="s">
        <v>72</v>
      </c>
    </row>
    <row r="143" spans="1:11">
      <c r="A143" s="10" t="str">
        <f>YEAR(records[[#This Row],[日期]])&amp;" 年"</f>
        <v>2020 年</v>
      </c>
      <c r="B143" s="8" t="str">
        <f>"第 "&amp;INT(MONTH(records[[#This Row],[日期]])/3+1)&amp;" 季度"</f>
        <v>第 2 季度</v>
      </c>
      <c r="C143" s="8" t="str">
        <f>MONTH(records[[#This Row],[日期]])&amp;" 月"</f>
        <v>3 月</v>
      </c>
      <c r="D143" s="8" t="str">
        <f>"第 "&amp;WEEKNUM(records[[#This Row],[日期]],2)&amp;" 周"</f>
        <v>第 10 周</v>
      </c>
      <c r="E143" s="8">
        <v>43892</v>
      </c>
      <c r="F143" s="9">
        <v>0.91666666666666663</v>
      </c>
      <c r="G143" s="9">
        <v>0.9375</v>
      </c>
      <c r="H143" s="9">
        <f>records[[#This Row],[结束时刻]]-records[[#This Row],[开始时刻]]</f>
        <v>2.083333333333337E-2</v>
      </c>
      <c r="I143" s="14" t="s">
        <v>23</v>
      </c>
      <c r="J143" s="25">
        <v>0.5</v>
      </c>
      <c r="K143" s="10" t="s">
        <v>152</v>
      </c>
    </row>
    <row r="144" spans="1:11">
      <c r="A144" s="10" t="str">
        <f>YEAR(records[[#This Row],[日期]])&amp;" 年"</f>
        <v>2020 年</v>
      </c>
      <c r="B144" s="8" t="str">
        <f>"第 "&amp;INT(MONTH(records[[#This Row],[日期]])/3+1)&amp;" 季度"</f>
        <v>第 2 季度</v>
      </c>
      <c r="C144" s="8" t="str">
        <f>MONTH(records[[#This Row],[日期]])&amp;" 月"</f>
        <v>3 月</v>
      </c>
      <c r="D144" s="8" t="str">
        <f>"第 "&amp;WEEKNUM(records[[#This Row],[日期]],2)&amp;" 周"</f>
        <v>第 10 周</v>
      </c>
      <c r="E144" s="8">
        <v>43892</v>
      </c>
      <c r="F144" s="9">
        <v>0.9375</v>
      </c>
      <c r="G144" s="9">
        <v>0.94444444444444453</v>
      </c>
      <c r="H144" s="9">
        <f>records[[#This Row],[结束时刻]]-records[[#This Row],[开始时刻]]</f>
        <v>6.9444444444445308E-3</v>
      </c>
      <c r="I144" s="14" t="s">
        <v>150</v>
      </c>
      <c r="J144" s="25">
        <v>0.1</v>
      </c>
      <c r="K144" s="10" t="s">
        <v>72</v>
      </c>
    </row>
    <row r="145" spans="1:11">
      <c r="A145" s="10" t="str">
        <f>YEAR(records[[#This Row],[日期]])&amp;" 年"</f>
        <v>2020 年</v>
      </c>
      <c r="B145" s="8" t="str">
        <f>"第 "&amp;INT(MONTH(records[[#This Row],[日期]])/3+1)&amp;" 季度"</f>
        <v>第 2 季度</v>
      </c>
      <c r="C145" s="8" t="str">
        <f>MONTH(records[[#This Row],[日期]])&amp;" 月"</f>
        <v>3 月</v>
      </c>
      <c r="D145" s="8" t="str">
        <f>"第 "&amp;WEEKNUM(records[[#This Row],[日期]],2)&amp;" 周"</f>
        <v>第 10 周</v>
      </c>
      <c r="E145" s="8">
        <v>43892</v>
      </c>
      <c r="F145" s="9">
        <v>0.94444444444444453</v>
      </c>
      <c r="G145" s="9">
        <v>0.95138888888888884</v>
      </c>
      <c r="H145" s="9">
        <f>records[[#This Row],[结束时刻]]-records[[#This Row],[开始时刻]]</f>
        <v>6.9444444444443088E-3</v>
      </c>
      <c r="I145" s="14" t="s">
        <v>141</v>
      </c>
      <c r="J145" s="25">
        <v>0.6</v>
      </c>
      <c r="K145" s="10" t="s">
        <v>72</v>
      </c>
    </row>
    <row r="146" spans="1:11">
      <c r="A146" s="10" t="str">
        <f>YEAR(records[[#This Row],[日期]])&amp;" 年"</f>
        <v>2020 年</v>
      </c>
      <c r="B146" s="8" t="str">
        <f>"第 "&amp;INT(MONTH(records[[#This Row],[日期]])/3+1)&amp;" 季度"</f>
        <v>第 2 季度</v>
      </c>
      <c r="C146" s="8" t="str">
        <f>MONTH(records[[#This Row],[日期]])&amp;" 月"</f>
        <v>3 月</v>
      </c>
      <c r="D146" s="8" t="str">
        <f>"第 "&amp;WEEKNUM(records[[#This Row],[日期]],2)&amp;" 周"</f>
        <v>第 10 周</v>
      </c>
      <c r="E146" s="8">
        <v>43892</v>
      </c>
      <c r="F146" s="9">
        <v>0.95138888888888884</v>
      </c>
      <c r="G146" s="9">
        <v>0.95833333333333337</v>
      </c>
      <c r="H146" s="9">
        <f>records[[#This Row],[结束时刻]]-records[[#This Row],[开始时刻]]</f>
        <v>6.9444444444445308E-3</v>
      </c>
      <c r="I146" s="14" t="s">
        <v>155</v>
      </c>
      <c r="J146" s="25">
        <v>0.1</v>
      </c>
      <c r="K146" s="10"/>
    </row>
    <row r="147" spans="1:11">
      <c r="A147" s="10" t="str">
        <f>YEAR(records[[#This Row],[日期]])&amp;" 年"</f>
        <v>2020 年</v>
      </c>
      <c r="B147" s="8" t="str">
        <f>"第 "&amp;INT(MONTH(records[[#This Row],[日期]])/3+1)&amp;" 季度"</f>
        <v>第 2 季度</v>
      </c>
      <c r="C147" s="8" t="str">
        <f>MONTH(records[[#This Row],[日期]])&amp;" 月"</f>
        <v>3 月</v>
      </c>
      <c r="D147" s="8" t="str">
        <f>"第 "&amp;WEEKNUM(records[[#This Row],[日期]],2)&amp;" 周"</f>
        <v>第 10 周</v>
      </c>
      <c r="E147" s="8">
        <v>43893</v>
      </c>
      <c r="F147" s="9">
        <v>0.25</v>
      </c>
      <c r="G147" s="9">
        <v>0.25</v>
      </c>
      <c r="H147" s="9">
        <f>records[[#This Row],[结束时刻]]-records[[#This Row],[开始时刻]]</f>
        <v>0</v>
      </c>
      <c r="I147" s="14" t="s">
        <v>6</v>
      </c>
      <c r="J147" s="25">
        <v>0.5</v>
      </c>
      <c r="K147" s="10"/>
    </row>
    <row r="148" spans="1:11">
      <c r="A148" s="10" t="str">
        <f>YEAR(records[[#This Row],[日期]])&amp;" 年"</f>
        <v>2020 年</v>
      </c>
      <c r="B148" s="8" t="str">
        <f>"第 "&amp;INT(MONTH(records[[#This Row],[日期]])/3+1)&amp;" 季度"</f>
        <v>第 2 季度</v>
      </c>
      <c r="C148" s="8" t="str">
        <f>MONTH(records[[#This Row],[日期]])&amp;" 月"</f>
        <v>3 月</v>
      </c>
      <c r="D148" s="8" t="str">
        <f>"第 "&amp;WEEKNUM(records[[#This Row],[日期]],2)&amp;" 周"</f>
        <v>第 10 周</v>
      </c>
      <c r="E148" s="8">
        <v>43893</v>
      </c>
      <c r="F148" s="9">
        <v>0.25</v>
      </c>
      <c r="G148" s="9">
        <v>0.25694444444444448</v>
      </c>
      <c r="H148" s="9">
        <f>records[[#This Row],[结束时刻]]-records[[#This Row],[开始时刻]]</f>
        <v>6.9444444444444753E-3</v>
      </c>
      <c r="I148" s="8" t="s">
        <v>97</v>
      </c>
      <c r="J148" s="25">
        <v>0.5</v>
      </c>
      <c r="K148" s="10"/>
    </row>
    <row r="149" spans="1:11">
      <c r="A149" s="10" t="str">
        <f>YEAR(records[[#This Row],[日期]])&amp;" 年"</f>
        <v>2020 年</v>
      </c>
      <c r="B149" s="8" t="str">
        <f>"第 "&amp;INT(MONTH(records[[#This Row],[日期]])/3+1)&amp;" 季度"</f>
        <v>第 2 季度</v>
      </c>
      <c r="C149" s="8" t="str">
        <f>MONTH(records[[#This Row],[日期]])&amp;" 月"</f>
        <v>3 月</v>
      </c>
      <c r="D149" s="8" t="str">
        <f>"第 "&amp;WEEKNUM(records[[#This Row],[日期]],2)&amp;" 周"</f>
        <v>第 10 周</v>
      </c>
      <c r="E149" s="8">
        <v>43893</v>
      </c>
      <c r="F149" s="9">
        <v>0.25694444444444448</v>
      </c>
      <c r="G149" s="9">
        <v>0.2986111111111111</v>
      </c>
      <c r="H149" s="9">
        <f>records[[#This Row],[结束时刻]]-records[[#This Row],[开始时刻]]</f>
        <v>4.166666666666663E-2</v>
      </c>
      <c r="I149" s="14" t="s">
        <v>11</v>
      </c>
      <c r="J149" s="25">
        <v>0.5</v>
      </c>
      <c r="K149" s="10"/>
    </row>
    <row r="150" spans="1:11">
      <c r="A150" s="10" t="str">
        <f>YEAR(records[[#This Row],[日期]])&amp;" 年"</f>
        <v>2020 年</v>
      </c>
      <c r="B150" s="8" t="str">
        <f>"第 "&amp;INT(MONTH(records[[#This Row],[日期]])/3+1)&amp;" 季度"</f>
        <v>第 2 季度</v>
      </c>
      <c r="C150" s="8" t="str">
        <f>MONTH(records[[#This Row],[日期]])&amp;" 月"</f>
        <v>3 月</v>
      </c>
      <c r="D150" s="8" t="str">
        <f>"第 "&amp;WEEKNUM(records[[#This Row],[日期]],2)&amp;" 周"</f>
        <v>第 10 周</v>
      </c>
      <c r="E150" s="8">
        <v>43893</v>
      </c>
      <c r="F150" s="9">
        <v>0.2986111111111111</v>
      </c>
      <c r="G150" s="9">
        <v>0.31944444444444448</v>
      </c>
      <c r="H150" s="9">
        <f>records[[#This Row],[结束时刻]]-records[[#This Row],[开始时刻]]</f>
        <v>2.083333333333337E-2</v>
      </c>
      <c r="I150" s="14" t="s">
        <v>20</v>
      </c>
      <c r="J150" s="25">
        <v>0.5</v>
      </c>
      <c r="K150" s="10"/>
    </row>
    <row r="151" spans="1:11">
      <c r="A151" s="10" t="str">
        <f>YEAR(records[[#This Row],[日期]])&amp;" 年"</f>
        <v>2020 年</v>
      </c>
      <c r="B151" s="8" t="str">
        <f>"第 "&amp;INT(MONTH(records[[#This Row],[日期]])/3+1)&amp;" 季度"</f>
        <v>第 2 季度</v>
      </c>
      <c r="C151" s="8" t="str">
        <f>MONTH(records[[#This Row],[日期]])&amp;" 月"</f>
        <v>3 月</v>
      </c>
      <c r="D151" s="8" t="str">
        <f>"第 "&amp;WEEKNUM(records[[#This Row],[日期]],2)&amp;" 周"</f>
        <v>第 10 周</v>
      </c>
      <c r="E151" s="8">
        <v>43893</v>
      </c>
      <c r="F151" s="9">
        <v>0.31944444444444448</v>
      </c>
      <c r="G151" s="9">
        <v>0.33333333333333331</v>
      </c>
      <c r="H151" s="9">
        <f>records[[#This Row],[结束时刻]]-records[[#This Row],[开始时刻]]</f>
        <v>1.388888888888884E-2</v>
      </c>
      <c r="I151" s="14" t="s">
        <v>134</v>
      </c>
      <c r="J151" s="25">
        <v>0.5</v>
      </c>
      <c r="K151" s="10"/>
    </row>
    <row r="152" spans="1:11">
      <c r="A152" s="10" t="str">
        <f>YEAR(records[[#This Row],[日期]])&amp;" 年"</f>
        <v>2020 年</v>
      </c>
      <c r="B152" s="8" t="str">
        <f>"第 "&amp;INT(MONTH(records[[#This Row],[日期]])/3+1)&amp;" 季度"</f>
        <v>第 2 季度</v>
      </c>
      <c r="C152" s="8" t="str">
        <f>MONTH(records[[#This Row],[日期]])&amp;" 月"</f>
        <v>3 月</v>
      </c>
      <c r="D152" s="8" t="str">
        <f>"第 "&amp;WEEKNUM(records[[#This Row],[日期]],2)&amp;" 周"</f>
        <v>第 10 周</v>
      </c>
      <c r="E152" s="8">
        <v>43893</v>
      </c>
      <c r="F152" s="9">
        <v>0.33333333333333331</v>
      </c>
      <c r="G152" s="9">
        <v>0.35416666666666669</v>
      </c>
      <c r="H152" s="9">
        <f>records[[#This Row],[结束时刻]]-records[[#This Row],[开始时刻]]</f>
        <v>2.083333333333337E-2</v>
      </c>
      <c r="I152" s="14" t="s">
        <v>180</v>
      </c>
      <c r="J152" s="25">
        <v>0.04</v>
      </c>
      <c r="K152" s="10" t="s">
        <v>169</v>
      </c>
    </row>
    <row r="153" spans="1:11">
      <c r="A153" s="10" t="str">
        <f>YEAR(records[[#This Row],[日期]])&amp;" 年"</f>
        <v>2020 年</v>
      </c>
      <c r="B153" s="8" t="str">
        <f>"第 "&amp;INT(MONTH(records[[#This Row],[日期]])/3+1)&amp;" 季度"</f>
        <v>第 2 季度</v>
      </c>
      <c r="C153" s="8" t="str">
        <f>MONTH(records[[#This Row],[日期]])&amp;" 月"</f>
        <v>3 月</v>
      </c>
      <c r="D153" s="8" t="str">
        <f>"第 "&amp;WEEKNUM(records[[#This Row],[日期]],2)&amp;" 周"</f>
        <v>第 10 周</v>
      </c>
      <c r="E153" s="8">
        <v>43893</v>
      </c>
      <c r="F153" s="9">
        <v>0.3611111111111111</v>
      </c>
      <c r="G153" s="9">
        <v>0.45833333333333331</v>
      </c>
      <c r="H153" s="9">
        <f>records[[#This Row],[结束时刻]]-records[[#This Row],[开始时刻]]</f>
        <v>9.722222222222221E-2</v>
      </c>
      <c r="I153" s="14" t="s">
        <v>172</v>
      </c>
      <c r="J153" s="25">
        <v>0.08</v>
      </c>
      <c r="K153" s="10" t="s">
        <v>171</v>
      </c>
    </row>
    <row r="154" spans="1:11">
      <c r="A154" s="10" t="str">
        <f>YEAR(records[[#This Row],[日期]])&amp;" 年"</f>
        <v>2020 年</v>
      </c>
      <c r="B154" s="8" t="str">
        <f>"第 "&amp;INT(MONTH(records[[#This Row],[日期]])/3+1)&amp;" 季度"</f>
        <v>第 2 季度</v>
      </c>
      <c r="C154" s="8" t="str">
        <f>MONTH(records[[#This Row],[日期]])&amp;" 月"</f>
        <v>3 月</v>
      </c>
      <c r="D154" s="8" t="str">
        <f>"第 "&amp;WEEKNUM(records[[#This Row],[日期]],2)&amp;" 周"</f>
        <v>第 10 周</v>
      </c>
      <c r="E154" s="8">
        <v>43893</v>
      </c>
      <c r="F154" s="9">
        <v>0.45833333333333331</v>
      </c>
      <c r="G154" s="9">
        <v>0.5</v>
      </c>
      <c r="H154" s="9">
        <f>records[[#This Row],[结束时刻]]-records[[#This Row],[开始时刻]]</f>
        <v>4.1666666666666685E-2</v>
      </c>
      <c r="I154" s="14" t="s">
        <v>184</v>
      </c>
      <c r="J154" s="25">
        <v>0.2</v>
      </c>
      <c r="K154" s="10" t="s">
        <v>72</v>
      </c>
    </row>
    <row r="155" spans="1:11">
      <c r="A155" s="10" t="str">
        <f>YEAR(records[[#This Row],[日期]])&amp;" 年"</f>
        <v>2020 年</v>
      </c>
      <c r="B155" s="8" t="str">
        <f>"第 "&amp;INT(MONTH(records[[#This Row],[日期]])/3+1)&amp;" 季度"</f>
        <v>第 2 季度</v>
      </c>
      <c r="C155" s="8" t="str">
        <f>MONTH(records[[#This Row],[日期]])&amp;" 月"</f>
        <v>3 月</v>
      </c>
      <c r="D155" s="8" t="str">
        <f>"第 "&amp;WEEKNUM(records[[#This Row],[日期]],2)&amp;" 周"</f>
        <v>第 10 周</v>
      </c>
      <c r="E155" s="8">
        <v>43893</v>
      </c>
      <c r="F155" s="9">
        <v>0.5</v>
      </c>
      <c r="G155" s="9">
        <v>0.52083333333333337</v>
      </c>
      <c r="H155" s="9">
        <f>records[[#This Row],[结束时刻]]-records[[#This Row],[开始时刻]]</f>
        <v>2.083333333333337E-2</v>
      </c>
      <c r="I155" s="14" t="s">
        <v>183</v>
      </c>
      <c r="J155" s="25">
        <v>0.2</v>
      </c>
      <c r="K155" s="10" t="s">
        <v>72</v>
      </c>
    </row>
    <row r="156" spans="1:11">
      <c r="A156" s="10" t="str">
        <f>YEAR(records[[#This Row],[日期]])&amp;" 年"</f>
        <v>2020 年</v>
      </c>
      <c r="B156" s="8" t="str">
        <f>"第 "&amp;INT(MONTH(records[[#This Row],[日期]])/3+1)&amp;" 季度"</f>
        <v>第 2 季度</v>
      </c>
      <c r="C156" s="8" t="str">
        <f>MONTH(records[[#This Row],[日期]])&amp;" 月"</f>
        <v>3 月</v>
      </c>
      <c r="D156" s="8" t="str">
        <f>"第 "&amp;WEEKNUM(records[[#This Row],[日期]],2)&amp;" 周"</f>
        <v>第 10 周</v>
      </c>
      <c r="E156" s="8">
        <v>43893</v>
      </c>
      <c r="F156" s="9">
        <v>0.52083333333333337</v>
      </c>
      <c r="G156" s="9">
        <v>0.54166666666666663</v>
      </c>
      <c r="H156" s="9">
        <f>records[[#This Row],[结束时刻]]-records[[#This Row],[开始时刻]]</f>
        <v>2.0833333333333259E-2</v>
      </c>
      <c r="I156" s="14" t="s">
        <v>145</v>
      </c>
      <c r="J156" s="25">
        <v>0.1</v>
      </c>
      <c r="K156" s="10"/>
    </row>
    <row r="157" spans="1:11">
      <c r="A157" s="10" t="str">
        <f>YEAR(records[[#This Row],[日期]])&amp;" 年"</f>
        <v>2020 年</v>
      </c>
      <c r="B157" s="8" t="str">
        <f>"第 "&amp;INT(MONTH(records[[#This Row],[日期]])/3+1)&amp;" 季度"</f>
        <v>第 2 季度</v>
      </c>
      <c r="C157" s="8" t="str">
        <f>MONTH(records[[#This Row],[日期]])&amp;" 月"</f>
        <v>3 月</v>
      </c>
      <c r="D157" s="8" t="str">
        <f>"第 "&amp;WEEKNUM(records[[#This Row],[日期]],2)&amp;" 周"</f>
        <v>第 10 周</v>
      </c>
      <c r="E157" s="8">
        <v>43893</v>
      </c>
      <c r="F157" s="9">
        <v>0.54513888888888895</v>
      </c>
      <c r="G157" s="9">
        <v>0.58680555555555558</v>
      </c>
      <c r="H157" s="9">
        <f>records[[#This Row],[结束时刻]]-records[[#This Row],[开始时刻]]</f>
        <v>4.166666666666663E-2</v>
      </c>
      <c r="I157" s="14" t="s">
        <v>173</v>
      </c>
      <c r="J157" s="25">
        <v>0.1</v>
      </c>
      <c r="K157" s="10"/>
    </row>
    <row r="158" spans="1:11">
      <c r="A158" s="10" t="str">
        <f>YEAR(records[[#This Row],[日期]])&amp;" 年"</f>
        <v>2020 年</v>
      </c>
      <c r="B158" s="8" t="str">
        <f>"第 "&amp;INT(MONTH(records[[#This Row],[日期]])/3+1)&amp;" 季度"</f>
        <v>第 2 季度</v>
      </c>
      <c r="C158" s="8" t="str">
        <f>MONTH(records[[#This Row],[日期]])&amp;" 月"</f>
        <v>3 月</v>
      </c>
      <c r="D158" s="8" t="str">
        <f>"第 "&amp;WEEKNUM(records[[#This Row],[日期]],2)&amp;" 周"</f>
        <v>第 10 周</v>
      </c>
      <c r="E158" s="8">
        <v>43893</v>
      </c>
      <c r="F158" s="9">
        <v>0.59027777777777779</v>
      </c>
      <c r="G158" s="9">
        <v>0.63194444444444442</v>
      </c>
      <c r="H158" s="9">
        <f>records[[#This Row],[结束时刻]]-records[[#This Row],[开始时刻]]</f>
        <v>4.166666666666663E-2</v>
      </c>
      <c r="I158" s="14" t="s">
        <v>163</v>
      </c>
      <c r="J158" s="25">
        <v>0.1</v>
      </c>
      <c r="K158" s="10"/>
    </row>
    <row r="159" spans="1:11">
      <c r="A159" s="10" t="str">
        <f>YEAR(records[[#This Row],[日期]])&amp;" 年"</f>
        <v>2020 年</v>
      </c>
      <c r="B159" s="8" t="str">
        <f>"第 "&amp;INT(MONTH(records[[#This Row],[日期]])/3+1)&amp;" 季度"</f>
        <v>第 2 季度</v>
      </c>
      <c r="C159" s="8" t="str">
        <f>MONTH(records[[#This Row],[日期]])&amp;" 月"</f>
        <v>3 月</v>
      </c>
      <c r="D159" s="8" t="str">
        <f>"第 "&amp;WEEKNUM(records[[#This Row],[日期]],2)&amp;" 周"</f>
        <v>第 10 周</v>
      </c>
      <c r="E159" s="8">
        <v>43893</v>
      </c>
      <c r="F159" s="9">
        <v>0.63541666666666663</v>
      </c>
      <c r="G159" s="9">
        <v>0.66666666666666663</v>
      </c>
      <c r="H159" s="9">
        <f>records[[#This Row],[结束时刻]]-records[[#This Row],[开始时刻]]</f>
        <v>3.125E-2</v>
      </c>
      <c r="I159" s="14" t="s">
        <v>174</v>
      </c>
      <c r="J159" s="25">
        <v>0.1</v>
      </c>
      <c r="K159" s="10"/>
    </row>
    <row r="160" spans="1:11">
      <c r="A160" s="10" t="str">
        <f>YEAR(records[[#This Row],[日期]])&amp;" 年"</f>
        <v>2020 年</v>
      </c>
      <c r="B160" s="8" t="str">
        <f>"第 "&amp;INT(MONTH(records[[#This Row],[日期]])/3+1)&amp;" 季度"</f>
        <v>第 2 季度</v>
      </c>
      <c r="C160" s="8" t="str">
        <f>MONTH(records[[#This Row],[日期]])&amp;" 月"</f>
        <v>3 月</v>
      </c>
      <c r="D160" s="8" t="str">
        <f>"第 "&amp;WEEKNUM(records[[#This Row],[日期]],2)&amp;" 周"</f>
        <v>第 10 周</v>
      </c>
      <c r="E160" s="8">
        <v>43893</v>
      </c>
      <c r="F160" s="9">
        <v>0.66666666666666663</v>
      </c>
      <c r="G160" s="9">
        <v>0.70833333333333337</v>
      </c>
      <c r="H160" s="9">
        <f>records[[#This Row],[结束时刻]]-records[[#This Row],[开始时刻]]</f>
        <v>4.1666666666666741E-2</v>
      </c>
      <c r="I160" s="14" t="s">
        <v>175</v>
      </c>
      <c r="J160" s="25">
        <v>0.1</v>
      </c>
      <c r="K160" s="10"/>
    </row>
    <row r="161" spans="1:11">
      <c r="A161" s="10" t="str">
        <f>YEAR(records[[#This Row],[日期]])&amp;" 年"</f>
        <v>2020 年</v>
      </c>
      <c r="B161" s="8" t="str">
        <f>"第 "&amp;INT(MONTH(records[[#This Row],[日期]])/3+1)&amp;" 季度"</f>
        <v>第 2 季度</v>
      </c>
      <c r="C161" s="8" t="str">
        <f>MONTH(records[[#This Row],[日期]])&amp;" 月"</f>
        <v>3 月</v>
      </c>
      <c r="D161" s="8" t="str">
        <f>"第 "&amp;WEEKNUM(records[[#This Row],[日期]],2)&amp;" 周"</f>
        <v>第 10 周</v>
      </c>
      <c r="E161" s="8">
        <v>43893</v>
      </c>
      <c r="F161" s="9">
        <v>0.70833333333333337</v>
      </c>
      <c r="G161" s="9">
        <v>0.72916666666666663</v>
      </c>
      <c r="H161" s="9">
        <f>records[[#This Row],[结束时刻]]-records[[#This Row],[开始时刻]]</f>
        <v>2.0833333333333259E-2</v>
      </c>
      <c r="I161" s="14" t="s">
        <v>181</v>
      </c>
      <c r="J161" s="25">
        <v>0.1</v>
      </c>
      <c r="K161" s="10"/>
    </row>
    <row r="162" spans="1:11">
      <c r="A162" s="10" t="str">
        <f>YEAR(records[[#This Row],[日期]])&amp;" 年"</f>
        <v>2020 年</v>
      </c>
      <c r="B162" s="8" t="str">
        <f>"第 "&amp;INT(MONTH(records[[#This Row],[日期]])/3+1)&amp;" 季度"</f>
        <v>第 2 季度</v>
      </c>
      <c r="C162" s="8" t="str">
        <f>MONTH(records[[#This Row],[日期]])&amp;" 月"</f>
        <v>3 月</v>
      </c>
      <c r="D162" s="8" t="str">
        <f>"第 "&amp;WEEKNUM(records[[#This Row],[日期]],2)&amp;" 周"</f>
        <v>第 10 周</v>
      </c>
      <c r="E162" s="8">
        <v>43893</v>
      </c>
      <c r="F162" s="9">
        <v>0.72916666666666663</v>
      </c>
      <c r="G162" s="9">
        <v>0.77083333333333337</v>
      </c>
      <c r="H162" s="9">
        <f>records[[#This Row],[结束时刻]]-records[[#This Row],[开始时刻]]</f>
        <v>4.1666666666666741E-2</v>
      </c>
      <c r="I162" s="14" t="s">
        <v>222</v>
      </c>
      <c r="J162" s="25">
        <v>0.2</v>
      </c>
      <c r="K162" s="10" t="s">
        <v>72</v>
      </c>
    </row>
    <row r="163" spans="1:11">
      <c r="A163" s="10" t="str">
        <f>YEAR(records[[#This Row],[日期]])&amp;" 年"</f>
        <v>2020 年</v>
      </c>
      <c r="B163" s="8" t="str">
        <f>"第 "&amp;INT(MONTH(records[[#This Row],[日期]])/3+1)&amp;" 季度"</f>
        <v>第 2 季度</v>
      </c>
      <c r="C163" s="8" t="str">
        <f>MONTH(records[[#This Row],[日期]])&amp;" 月"</f>
        <v>3 月</v>
      </c>
      <c r="D163" s="8" t="str">
        <f>"第 "&amp;WEEKNUM(records[[#This Row],[日期]],2)&amp;" 周"</f>
        <v>第 10 周</v>
      </c>
      <c r="E163" s="8">
        <v>43893</v>
      </c>
      <c r="F163" s="9">
        <v>0.77083333333333337</v>
      </c>
      <c r="G163" s="9">
        <v>0.79166666666666663</v>
      </c>
      <c r="H163" s="9">
        <f>records[[#This Row],[结束时刻]]-records[[#This Row],[开始时刻]]</f>
        <v>2.0833333333333259E-2</v>
      </c>
      <c r="I163" s="14" t="s">
        <v>223</v>
      </c>
      <c r="J163" s="25">
        <v>0.2</v>
      </c>
      <c r="K163" s="10" t="s">
        <v>72</v>
      </c>
    </row>
    <row r="164" spans="1:11">
      <c r="A164" s="10" t="str">
        <f>YEAR(records[[#This Row],[日期]])&amp;" 年"</f>
        <v>2020 年</v>
      </c>
      <c r="B164" s="8" t="str">
        <f>"第 "&amp;INT(MONTH(records[[#This Row],[日期]])/3+1)&amp;" 季度"</f>
        <v>第 2 季度</v>
      </c>
      <c r="C164" s="8" t="str">
        <f>MONTH(records[[#This Row],[日期]])&amp;" 月"</f>
        <v>3 月</v>
      </c>
      <c r="D164" s="8" t="str">
        <f>"第 "&amp;WEEKNUM(records[[#This Row],[日期]],2)&amp;" 周"</f>
        <v>第 10 周</v>
      </c>
      <c r="E164" s="8">
        <v>43893</v>
      </c>
      <c r="F164" s="9">
        <v>0.79166666666666663</v>
      </c>
      <c r="G164" s="9">
        <v>0.83333333333333337</v>
      </c>
      <c r="H164" s="9">
        <f>records[[#This Row],[结束时刻]]-records[[#This Row],[开始时刻]]</f>
        <v>4.1666666666666741E-2</v>
      </c>
      <c r="I164" s="14" t="s">
        <v>176</v>
      </c>
      <c r="J164" s="25">
        <v>0.1</v>
      </c>
      <c r="K164" s="10"/>
    </row>
    <row r="165" spans="1:11">
      <c r="A165" s="10" t="str">
        <f>YEAR(records[[#This Row],[日期]])&amp;" 年"</f>
        <v>2020 年</v>
      </c>
      <c r="B165" s="8" t="str">
        <f>"第 "&amp;INT(MONTH(records[[#This Row],[日期]])/3+1)&amp;" 季度"</f>
        <v>第 2 季度</v>
      </c>
      <c r="C165" s="8" t="str">
        <f>MONTH(records[[#This Row],[日期]])&amp;" 月"</f>
        <v>3 月</v>
      </c>
      <c r="D165" s="8" t="str">
        <f>"第 "&amp;WEEKNUM(records[[#This Row],[日期]],2)&amp;" 周"</f>
        <v>第 10 周</v>
      </c>
      <c r="E165" s="8">
        <v>43893</v>
      </c>
      <c r="F165" s="9">
        <v>0.83333333333333337</v>
      </c>
      <c r="G165" s="9">
        <v>0.875</v>
      </c>
      <c r="H165" s="9">
        <f>records[[#This Row],[结束时刻]]-records[[#This Row],[开始时刻]]</f>
        <v>4.166666666666663E-2</v>
      </c>
      <c r="I165" s="14" t="s">
        <v>11</v>
      </c>
      <c r="J165" s="25">
        <v>0.1</v>
      </c>
      <c r="K165" s="10"/>
    </row>
    <row r="166" spans="1:11">
      <c r="A166" s="10" t="str">
        <f>YEAR(records[[#This Row],[日期]])&amp;" 年"</f>
        <v>2020 年</v>
      </c>
      <c r="B166" s="8" t="str">
        <f>"第 "&amp;INT(MONTH(records[[#This Row],[日期]])/3+1)&amp;" 季度"</f>
        <v>第 2 季度</v>
      </c>
      <c r="C166" s="8" t="str">
        <f>MONTH(records[[#This Row],[日期]])&amp;" 月"</f>
        <v>3 月</v>
      </c>
      <c r="D166" s="8" t="str">
        <f>"第 "&amp;WEEKNUM(records[[#This Row],[日期]],2)&amp;" 周"</f>
        <v>第 10 周</v>
      </c>
      <c r="E166" s="8">
        <v>43893</v>
      </c>
      <c r="F166" s="9">
        <v>0.875</v>
      </c>
      <c r="G166" s="9">
        <v>0.91666666666666663</v>
      </c>
      <c r="H166" s="9">
        <f>records[[#This Row],[结束时刻]]-records[[#This Row],[开始时刻]]</f>
        <v>4.166666666666663E-2</v>
      </c>
      <c r="I166" s="14" t="s">
        <v>12</v>
      </c>
      <c r="J166" s="25">
        <v>0.6</v>
      </c>
      <c r="K166" s="10"/>
    </row>
    <row r="167" spans="1:11">
      <c r="A167" s="10" t="str">
        <f>YEAR(records[[#This Row],[日期]])&amp;" 年"</f>
        <v>2020 年</v>
      </c>
      <c r="B167" s="8" t="str">
        <f>"第 "&amp;INT(MONTH(records[[#This Row],[日期]])/3+1)&amp;" 季度"</f>
        <v>第 2 季度</v>
      </c>
      <c r="C167" s="8" t="str">
        <f>MONTH(records[[#This Row],[日期]])&amp;" 月"</f>
        <v>3 月</v>
      </c>
      <c r="D167" s="8" t="str">
        <f>"第 "&amp;WEEKNUM(records[[#This Row],[日期]],2)&amp;" 周"</f>
        <v>第 10 周</v>
      </c>
      <c r="E167" s="8">
        <v>43893</v>
      </c>
      <c r="F167" s="9">
        <v>0.91666666666666663</v>
      </c>
      <c r="G167" s="9">
        <v>0.9375</v>
      </c>
      <c r="H167" s="9">
        <f>records[[#This Row],[结束时刻]]-records[[#This Row],[开始时刻]]</f>
        <v>2.083333333333337E-2</v>
      </c>
      <c r="I167" s="14" t="s">
        <v>23</v>
      </c>
      <c r="J167" s="25">
        <v>0.5</v>
      </c>
      <c r="K167" s="10"/>
    </row>
    <row r="168" spans="1:11">
      <c r="A168" s="10" t="str">
        <f>YEAR(records[[#This Row],[日期]])&amp;" 年"</f>
        <v>2020 年</v>
      </c>
      <c r="B168" s="8" t="str">
        <f>"第 "&amp;INT(MONTH(records[[#This Row],[日期]])/3+1)&amp;" 季度"</f>
        <v>第 2 季度</v>
      </c>
      <c r="C168" s="8" t="str">
        <f>MONTH(records[[#This Row],[日期]])&amp;" 月"</f>
        <v>3 月</v>
      </c>
      <c r="D168" s="8" t="str">
        <f>"第 "&amp;WEEKNUM(records[[#This Row],[日期]],2)&amp;" 周"</f>
        <v>第 10 周</v>
      </c>
      <c r="E168" s="8">
        <v>43893</v>
      </c>
      <c r="F168" s="9">
        <v>0.9375</v>
      </c>
      <c r="G168" s="9">
        <v>0.94444444444444453</v>
      </c>
      <c r="H168" s="9">
        <f>records[[#This Row],[结束时刻]]-records[[#This Row],[开始时刻]]</f>
        <v>6.9444444444445308E-3</v>
      </c>
      <c r="I168" s="14" t="s">
        <v>150</v>
      </c>
      <c r="J168" s="25">
        <v>-0.2</v>
      </c>
      <c r="K168" s="10" t="s">
        <v>179</v>
      </c>
    </row>
    <row r="169" spans="1:11">
      <c r="A169" s="10" t="str">
        <f>YEAR(records[[#This Row],[日期]])&amp;" 年"</f>
        <v>2020 年</v>
      </c>
      <c r="B169" s="8" t="str">
        <f>"第 "&amp;INT(MONTH(records[[#This Row],[日期]])/3+1)&amp;" 季度"</f>
        <v>第 2 季度</v>
      </c>
      <c r="C169" s="8" t="str">
        <f>MONTH(records[[#This Row],[日期]])&amp;" 月"</f>
        <v>3 月</v>
      </c>
      <c r="D169" s="8" t="str">
        <f>"第 "&amp;WEEKNUM(records[[#This Row],[日期]],2)&amp;" 周"</f>
        <v>第 10 周</v>
      </c>
      <c r="E169" s="8">
        <v>43893</v>
      </c>
      <c r="F169" s="9">
        <v>0.9375</v>
      </c>
      <c r="G169" s="9">
        <v>0.97916666666666663</v>
      </c>
      <c r="H169" s="9">
        <f>records[[#This Row],[结束时刻]]-records[[#This Row],[开始时刻]]</f>
        <v>4.166666666666663E-2</v>
      </c>
      <c r="I169" s="14" t="s">
        <v>177</v>
      </c>
      <c r="J169" s="25">
        <v>0</v>
      </c>
      <c r="K169" s="10" t="s">
        <v>178</v>
      </c>
    </row>
    <row r="170" spans="1:11">
      <c r="A170" s="10" t="str">
        <f>YEAR(records[[#This Row],[日期]])&amp;" 年"</f>
        <v>2020 年</v>
      </c>
      <c r="B170" s="8" t="str">
        <f>"第 "&amp;INT(MONTH(records[[#This Row],[日期]])/3+1)&amp;" 季度"</f>
        <v>第 2 季度</v>
      </c>
      <c r="C170" s="8" t="str">
        <f>MONTH(records[[#This Row],[日期]])&amp;" 月"</f>
        <v>3 月</v>
      </c>
      <c r="D170" s="8" t="str">
        <f>"第 "&amp;WEEKNUM(records[[#This Row],[日期]],2)&amp;" 周"</f>
        <v>第 10 周</v>
      </c>
      <c r="E170" s="8">
        <v>43893</v>
      </c>
      <c r="F170" s="9">
        <v>0.94444444444444453</v>
      </c>
      <c r="G170" s="9">
        <v>0.95138888888888884</v>
      </c>
      <c r="H170" s="9">
        <f>records[[#This Row],[结束时刻]]-records[[#This Row],[开始时刻]]</f>
        <v>6.9444444444443088E-3</v>
      </c>
      <c r="I170" s="14" t="s">
        <v>141</v>
      </c>
      <c r="J170" s="25">
        <v>-0.6</v>
      </c>
      <c r="K170" s="10" t="s">
        <v>179</v>
      </c>
    </row>
    <row r="171" spans="1:11">
      <c r="A171" s="10" t="str">
        <f>YEAR(records[[#This Row],[日期]])&amp;" 年"</f>
        <v>2020 年</v>
      </c>
      <c r="B171" s="8" t="str">
        <f>"第 "&amp;INT(MONTH(records[[#This Row],[日期]])/3+1)&amp;" 季度"</f>
        <v>第 2 季度</v>
      </c>
      <c r="C171" s="8" t="str">
        <f>MONTH(records[[#This Row],[日期]])&amp;" 月"</f>
        <v>3 月</v>
      </c>
      <c r="D171" s="8" t="str">
        <f>"第 "&amp;WEEKNUM(records[[#This Row],[日期]],2)&amp;" 周"</f>
        <v>第 10 周</v>
      </c>
      <c r="E171" s="8">
        <v>43893</v>
      </c>
      <c r="F171" s="9">
        <v>0.95138888888888884</v>
      </c>
      <c r="G171" s="9">
        <v>0.95833333333333337</v>
      </c>
      <c r="H171" s="9">
        <f>records[[#This Row],[结束时刻]]-records[[#This Row],[开始时刻]]</f>
        <v>6.9444444444445308E-3</v>
      </c>
      <c r="I171" s="14" t="s">
        <v>187</v>
      </c>
      <c r="J171" s="25">
        <v>-0.1</v>
      </c>
      <c r="K171" s="10" t="s">
        <v>179</v>
      </c>
    </row>
    <row r="172" spans="1:11">
      <c r="A172" s="10" t="str">
        <f>YEAR(records[[#This Row],[日期]])&amp;" 年"</f>
        <v>2020 年</v>
      </c>
      <c r="B172" s="8" t="str">
        <f>"第 "&amp;INT(MONTH(records[[#This Row],[日期]])/3+1)&amp;" 季度"</f>
        <v>第 2 季度</v>
      </c>
      <c r="C172" s="8" t="str">
        <f>MONTH(records[[#This Row],[日期]])&amp;" 月"</f>
        <v>3 月</v>
      </c>
      <c r="D172" s="8" t="str">
        <f>"第 "&amp;WEEKNUM(records[[#This Row],[日期]],2)&amp;" 周"</f>
        <v>第 10 周</v>
      </c>
      <c r="E172" s="8">
        <v>43894</v>
      </c>
      <c r="F172" s="9">
        <v>0</v>
      </c>
      <c r="G172" s="9">
        <v>0.99930555555555556</v>
      </c>
      <c r="H172" s="9">
        <f>records[[#This Row],[结束时刻]]-records[[#This Row],[开始时刻]]</f>
        <v>0.99930555555555556</v>
      </c>
      <c r="I172" s="14" t="s">
        <v>130</v>
      </c>
      <c r="J172" s="25">
        <v>9.4E-2</v>
      </c>
      <c r="K172" s="10"/>
    </row>
    <row r="173" spans="1:11">
      <c r="A173" s="10" t="str">
        <f>YEAR(records[[#This Row],[日期]])&amp;" 年"</f>
        <v>2020 年</v>
      </c>
      <c r="B173" s="8" t="str">
        <f>"第 "&amp;INT(MONTH(records[[#This Row],[日期]])/3+1)&amp;" 季度"</f>
        <v>第 2 季度</v>
      </c>
      <c r="C173" s="8" t="str">
        <f>MONTH(records[[#This Row],[日期]])&amp;" 月"</f>
        <v>3 月</v>
      </c>
      <c r="D173" s="8" t="str">
        <f>"第 "&amp;WEEKNUM(records[[#This Row],[日期]],2)&amp;" 周"</f>
        <v>第 10 周</v>
      </c>
      <c r="E173" s="8">
        <v>43894</v>
      </c>
      <c r="F173" s="9">
        <v>0.25</v>
      </c>
      <c r="G173" s="9">
        <v>0.25</v>
      </c>
      <c r="H173" s="9">
        <f>records[[#This Row],[结束时刻]]-records[[#This Row],[开始时刻]]</f>
        <v>0</v>
      </c>
      <c r="I173" s="14" t="s">
        <v>6</v>
      </c>
      <c r="J173" s="25">
        <v>0.6</v>
      </c>
      <c r="K173" s="10" t="s">
        <v>72</v>
      </c>
    </row>
    <row r="174" spans="1:11">
      <c r="A174" s="10" t="str">
        <f>YEAR(records[[#This Row],[日期]])&amp;" 年"</f>
        <v>2020 年</v>
      </c>
      <c r="B174" s="8" t="str">
        <f>"第 "&amp;INT(MONTH(records[[#This Row],[日期]])/3+1)&amp;" 季度"</f>
        <v>第 2 季度</v>
      </c>
      <c r="C174" s="8" t="str">
        <f>MONTH(records[[#This Row],[日期]])&amp;" 月"</f>
        <v>3 月</v>
      </c>
      <c r="D174" s="8" t="str">
        <f>"第 "&amp;WEEKNUM(records[[#This Row],[日期]],2)&amp;" 周"</f>
        <v>第 10 周</v>
      </c>
      <c r="E174" s="8">
        <v>43894</v>
      </c>
      <c r="F174" s="9">
        <v>0.25</v>
      </c>
      <c r="G174" s="9">
        <v>0.25694444444444448</v>
      </c>
      <c r="H174" s="9">
        <f>records[[#This Row],[结束时刻]]-records[[#This Row],[开始时刻]]</f>
        <v>6.9444444444444753E-3</v>
      </c>
      <c r="I174" s="8" t="s">
        <v>97</v>
      </c>
      <c r="J174" s="25">
        <v>0.6</v>
      </c>
      <c r="K174" s="10" t="s">
        <v>72</v>
      </c>
    </row>
    <row r="175" spans="1:11">
      <c r="A175" s="10" t="str">
        <f>YEAR(records[[#This Row],[日期]])&amp;" 年"</f>
        <v>2020 年</v>
      </c>
      <c r="B175" s="8" t="str">
        <f>"第 "&amp;INT(MONTH(records[[#This Row],[日期]])/3+1)&amp;" 季度"</f>
        <v>第 2 季度</v>
      </c>
      <c r="C175" s="8" t="str">
        <f>MONTH(records[[#This Row],[日期]])&amp;" 月"</f>
        <v>3 月</v>
      </c>
      <c r="D175" s="8" t="str">
        <f>"第 "&amp;WEEKNUM(records[[#This Row],[日期]],2)&amp;" 周"</f>
        <v>第 10 周</v>
      </c>
      <c r="E175" s="8">
        <v>43894</v>
      </c>
      <c r="F175" s="9">
        <v>0.25694444444444448</v>
      </c>
      <c r="G175" s="9">
        <v>0.2986111111111111</v>
      </c>
      <c r="H175" s="9">
        <f>records[[#This Row],[结束时刻]]-records[[#This Row],[开始时刻]]</f>
        <v>4.166666666666663E-2</v>
      </c>
      <c r="I175" s="14" t="s">
        <v>11</v>
      </c>
      <c r="J175" s="25">
        <v>0.6</v>
      </c>
      <c r="K175" s="10" t="s">
        <v>72</v>
      </c>
    </row>
    <row r="176" spans="1:11">
      <c r="A176" s="10" t="str">
        <f>YEAR(records[[#This Row],[日期]])&amp;" 年"</f>
        <v>2020 年</v>
      </c>
      <c r="B176" s="8" t="str">
        <f>"第 "&amp;INT(MONTH(records[[#This Row],[日期]])/3+1)&amp;" 季度"</f>
        <v>第 2 季度</v>
      </c>
      <c r="C176" s="8" t="str">
        <f>MONTH(records[[#This Row],[日期]])&amp;" 月"</f>
        <v>3 月</v>
      </c>
      <c r="D176" s="8" t="str">
        <f>"第 "&amp;WEEKNUM(records[[#This Row],[日期]],2)&amp;" 周"</f>
        <v>第 10 周</v>
      </c>
      <c r="E176" s="8">
        <v>43894</v>
      </c>
      <c r="F176" s="9">
        <v>0.2986111111111111</v>
      </c>
      <c r="G176" s="9">
        <v>0.31944444444444448</v>
      </c>
      <c r="H176" s="9">
        <f>records[[#This Row],[结束时刻]]-records[[#This Row],[开始时刻]]</f>
        <v>2.083333333333337E-2</v>
      </c>
      <c r="I176" s="14" t="s">
        <v>20</v>
      </c>
      <c r="J176" s="25">
        <v>0.6</v>
      </c>
      <c r="K176" s="10" t="s">
        <v>72</v>
      </c>
    </row>
    <row r="177" spans="1:11">
      <c r="A177" s="10" t="str">
        <f>YEAR(records[[#This Row],[日期]])&amp;" 年"</f>
        <v>2020 年</v>
      </c>
      <c r="B177" s="8" t="str">
        <f>"第 "&amp;INT(MONTH(records[[#This Row],[日期]])/3+1)&amp;" 季度"</f>
        <v>第 2 季度</v>
      </c>
      <c r="C177" s="8" t="str">
        <f>MONTH(records[[#This Row],[日期]])&amp;" 月"</f>
        <v>3 月</v>
      </c>
      <c r="D177" s="8" t="str">
        <f>"第 "&amp;WEEKNUM(records[[#This Row],[日期]],2)&amp;" 周"</f>
        <v>第 10 周</v>
      </c>
      <c r="E177" s="8">
        <v>43894</v>
      </c>
      <c r="F177" s="9">
        <v>0.31944444444444448</v>
      </c>
      <c r="G177" s="9">
        <v>0.33333333333333331</v>
      </c>
      <c r="H177" s="9">
        <f>records[[#This Row],[结束时刻]]-records[[#This Row],[开始时刻]]</f>
        <v>1.388888888888884E-2</v>
      </c>
      <c r="I177" s="14" t="s">
        <v>134</v>
      </c>
      <c r="J177" s="25">
        <v>0.6</v>
      </c>
      <c r="K177" s="10" t="s">
        <v>72</v>
      </c>
    </row>
    <row r="178" spans="1:11">
      <c r="A178" s="10" t="str">
        <f>YEAR(records[[#This Row],[日期]])&amp;" 年"</f>
        <v>2020 年</v>
      </c>
      <c r="B178" s="8" t="str">
        <f>"第 "&amp;INT(MONTH(records[[#This Row],[日期]])/3+1)&amp;" 季度"</f>
        <v>第 2 季度</v>
      </c>
      <c r="C178" s="8" t="str">
        <f>MONTH(records[[#This Row],[日期]])&amp;" 月"</f>
        <v>3 月</v>
      </c>
      <c r="D178" s="8" t="str">
        <f>"第 "&amp;WEEKNUM(records[[#This Row],[日期]],2)&amp;" 周"</f>
        <v>第 10 周</v>
      </c>
      <c r="E178" s="8">
        <v>43894</v>
      </c>
      <c r="F178" s="9">
        <v>0.33333333333333331</v>
      </c>
      <c r="G178" s="9">
        <v>0.34375</v>
      </c>
      <c r="H178" s="9">
        <f>records[[#This Row],[结束时刻]]-records[[#This Row],[开始时刻]]</f>
        <v>1.0416666666666685E-2</v>
      </c>
      <c r="I178" s="14" t="s">
        <v>188</v>
      </c>
      <c r="J178" s="25">
        <v>0.1</v>
      </c>
      <c r="K178" s="10"/>
    </row>
    <row r="179" spans="1:11">
      <c r="A179" s="10" t="str">
        <f>YEAR(records[[#This Row],[日期]])&amp;" 年"</f>
        <v>2020 年</v>
      </c>
      <c r="B179" s="8" t="str">
        <f>"第 "&amp;INT(MONTH(records[[#This Row],[日期]])/3+1)&amp;" 季度"</f>
        <v>第 2 季度</v>
      </c>
      <c r="C179" s="8" t="str">
        <f>MONTH(records[[#This Row],[日期]])&amp;" 月"</f>
        <v>3 月</v>
      </c>
      <c r="D179" s="8" t="str">
        <f>"第 "&amp;WEEKNUM(records[[#This Row],[日期]],2)&amp;" 周"</f>
        <v>第 10 周</v>
      </c>
      <c r="E179" s="8">
        <v>43894</v>
      </c>
      <c r="F179" s="9">
        <v>0.34375</v>
      </c>
      <c r="G179" s="9">
        <v>0.35416666666666669</v>
      </c>
      <c r="H179" s="9">
        <f>records[[#This Row],[结束时刻]]-records[[#This Row],[开始时刻]]</f>
        <v>1.0416666666666685E-2</v>
      </c>
      <c r="I179" s="14" t="s">
        <v>194</v>
      </c>
      <c r="J179" s="25">
        <v>0.1</v>
      </c>
      <c r="K179" s="10"/>
    </row>
    <row r="180" spans="1:11">
      <c r="A180" s="10" t="str">
        <f>YEAR(records[[#This Row],[日期]])&amp;" 年"</f>
        <v>2020 年</v>
      </c>
      <c r="B180" s="8" t="str">
        <f>"第 "&amp;INT(MONTH(records[[#This Row],[日期]])/3+1)&amp;" 季度"</f>
        <v>第 2 季度</v>
      </c>
      <c r="C180" s="8" t="str">
        <f>MONTH(records[[#This Row],[日期]])&amp;" 月"</f>
        <v>3 月</v>
      </c>
      <c r="D180" s="8" t="str">
        <f>"第 "&amp;WEEKNUM(records[[#This Row],[日期]],2)&amp;" 周"</f>
        <v>第 10 周</v>
      </c>
      <c r="E180" s="8">
        <v>43894</v>
      </c>
      <c r="F180" s="9">
        <v>0.35416666666666669</v>
      </c>
      <c r="G180" s="9">
        <v>0.3611111111111111</v>
      </c>
      <c r="H180" s="9">
        <f>records[[#This Row],[结束时刻]]-records[[#This Row],[开始时刻]]</f>
        <v>6.9444444444444198E-3</v>
      </c>
      <c r="I180" s="14" t="s">
        <v>189</v>
      </c>
      <c r="J180" s="25">
        <v>0.1</v>
      </c>
      <c r="K180" s="10"/>
    </row>
    <row r="181" spans="1:11">
      <c r="A181" s="10" t="str">
        <f>YEAR(records[[#This Row],[日期]])&amp;" 年"</f>
        <v>2020 年</v>
      </c>
      <c r="B181" s="8" t="str">
        <f>"第 "&amp;INT(MONTH(records[[#This Row],[日期]])/3+1)&amp;" 季度"</f>
        <v>第 2 季度</v>
      </c>
      <c r="C181" s="8" t="str">
        <f>MONTH(records[[#This Row],[日期]])&amp;" 月"</f>
        <v>3 月</v>
      </c>
      <c r="D181" s="8" t="str">
        <f>"第 "&amp;WEEKNUM(records[[#This Row],[日期]],2)&amp;" 周"</f>
        <v>第 10 周</v>
      </c>
      <c r="E181" s="8">
        <v>43894</v>
      </c>
      <c r="F181" s="9">
        <v>0.375</v>
      </c>
      <c r="G181" s="9">
        <v>0.45833333333333331</v>
      </c>
      <c r="H181" s="9">
        <f>records[[#This Row],[结束时刻]]-records[[#This Row],[开始时刻]]</f>
        <v>8.3333333333333315E-2</v>
      </c>
      <c r="I181" s="14" t="s">
        <v>172</v>
      </c>
      <c r="J181" s="25">
        <v>0.1</v>
      </c>
      <c r="K181" s="10"/>
    </row>
    <row r="182" spans="1:11">
      <c r="A182" s="10" t="str">
        <f>YEAR(records[[#This Row],[日期]])&amp;" 年"</f>
        <v>2020 年</v>
      </c>
      <c r="B182" s="8" t="str">
        <f>"第 "&amp;INT(MONTH(records[[#This Row],[日期]])/3+1)&amp;" 季度"</f>
        <v>第 2 季度</v>
      </c>
      <c r="C182" s="8" t="str">
        <f>MONTH(records[[#This Row],[日期]])&amp;" 月"</f>
        <v>3 月</v>
      </c>
      <c r="D182" s="8" t="str">
        <f>"第 "&amp;WEEKNUM(records[[#This Row],[日期]],2)&amp;" 周"</f>
        <v>第 10 周</v>
      </c>
      <c r="E182" s="8">
        <v>43894</v>
      </c>
      <c r="F182" s="9">
        <v>0.45833333333333331</v>
      </c>
      <c r="G182" s="9">
        <v>0.5</v>
      </c>
      <c r="H182" s="9">
        <f>records[[#This Row],[结束时刻]]-records[[#This Row],[开始时刻]]</f>
        <v>4.1666666666666685E-2</v>
      </c>
      <c r="I182" s="14" t="s">
        <v>184</v>
      </c>
      <c r="J182" s="25">
        <v>0.2</v>
      </c>
      <c r="K182" s="10"/>
    </row>
    <row r="183" spans="1:11">
      <c r="A183" s="10" t="str">
        <f>YEAR(records[[#This Row],[日期]])&amp;" 年"</f>
        <v>2020 年</v>
      </c>
      <c r="B183" s="8" t="str">
        <f>"第 "&amp;INT(MONTH(records[[#This Row],[日期]])/3+1)&amp;" 季度"</f>
        <v>第 2 季度</v>
      </c>
      <c r="C183" s="8" t="str">
        <f>MONTH(records[[#This Row],[日期]])&amp;" 月"</f>
        <v>3 月</v>
      </c>
      <c r="D183" s="8" t="str">
        <f>"第 "&amp;WEEKNUM(records[[#This Row],[日期]],2)&amp;" 周"</f>
        <v>第 10 周</v>
      </c>
      <c r="E183" s="8">
        <v>43894</v>
      </c>
      <c r="F183" s="9">
        <v>0.5</v>
      </c>
      <c r="G183" s="9">
        <v>0.52083333333333337</v>
      </c>
      <c r="H183" s="9">
        <f>records[[#This Row],[结束时刻]]-records[[#This Row],[开始时刻]]</f>
        <v>2.083333333333337E-2</v>
      </c>
      <c r="I183" s="14" t="s">
        <v>183</v>
      </c>
      <c r="J183" s="25">
        <v>0.2</v>
      </c>
      <c r="K183" s="10"/>
    </row>
    <row r="184" spans="1:11">
      <c r="A184" s="10" t="str">
        <f>YEAR(records[[#This Row],[日期]])&amp;" 年"</f>
        <v>2020 年</v>
      </c>
      <c r="B184" s="8" t="str">
        <f>"第 "&amp;INT(MONTH(records[[#This Row],[日期]])/3+1)&amp;" 季度"</f>
        <v>第 2 季度</v>
      </c>
      <c r="C184" s="8" t="str">
        <f>MONTH(records[[#This Row],[日期]])&amp;" 月"</f>
        <v>3 月</v>
      </c>
      <c r="D184" s="8" t="str">
        <f>"第 "&amp;WEEKNUM(records[[#This Row],[日期]],2)&amp;" 周"</f>
        <v>第 10 周</v>
      </c>
      <c r="E184" s="8">
        <v>43894</v>
      </c>
      <c r="F184" s="9">
        <v>0.52083333333333337</v>
      </c>
      <c r="G184" s="9">
        <v>0.54166666666666663</v>
      </c>
      <c r="H184" s="9">
        <f>records[[#This Row],[结束时刻]]-records[[#This Row],[开始时刻]]</f>
        <v>2.0833333333333259E-2</v>
      </c>
      <c r="I184" s="14" t="s">
        <v>145</v>
      </c>
      <c r="J184" s="25">
        <v>0.1</v>
      </c>
      <c r="K184" s="10"/>
    </row>
    <row r="185" spans="1:11">
      <c r="A185" s="10" t="str">
        <f>YEAR(records[[#This Row],[日期]])&amp;" 年"</f>
        <v>2020 年</v>
      </c>
      <c r="B185" s="8" t="str">
        <f>"第 "&amp;INT(MONTH(records[[#This Row],[日期]])/3+1)&amp;" 季度"</f>
        <v>第 2 季度</v>
      </c>
      <c r="C185" s="8" t="str">
        <f>MONTH(records[[#This Row],[日期]])&amp;" 月"</f>
        <v>3 月</v>
      </c>
      <c r="D185" s="8" t="str">
        <f>"第 "&amp;WEEKNUM(records[[#This Row],[日期]],2)&amp;" 周"</f>
        <v>第 10 周</v>
      </c>
      <c r="E185" s="8">
        <v>43894</v>
      </c>
      <c r="F185" s="9">
        <v>0.54166666666666663</v>
      </c>
      <c r="G185" s="9">
        <v>0.625</v>
      </c>
      <c r="H185" s="9">
        <f>records[[#This Row],[结束时刻]]-records[[#This Row],[开始时刻]]</f>
        <v>8.333333333333337E-2</v>
      </c>
      <c r="I185" s="14" t="s">
        <v>190</v>
      </c>
      <c r="J185" s="25">
        <v>0.1</v>
      </c>
      <c r="K185" s="10"/>
    </row>
    <row r="186" spans="1:11">
      <c r="A186" s="10" t="str">
        <f>YEAR(records[[#This Row],[日期]])&amp;" 年"</f>
        <v>2020 年</v>
      </c>
      <c r="B186" s="8" t="str">
        <f>"第 "&amp;INT(MONTH(records[[#This Row],[日期]])/3+1)&amp;" 季度"</f>
        <v>第 2 季度</v>
      </c>
      <c r="C186" s="8" t="str">
        <f>MONTH(records[[#This Row],[日期]])&amp;" 月"</f>
        <v>3 月</v>
      </c>
      <c r="D186" s="8" t="str">
        <f>"第 "&amp;WEEKNUM(records[[#This Row],[日期]],2)&amp;" 周"</f>
        <v>第 10 周</v>
      </c>
      <c r="E186" s="8">
        <v>43894</v>
      </c>
      <c r="F186" s="9">
        <v>0.625</v>
      </c>
      <c r="G186" s="9">
        <v>0.64583333333333337</v>
      </c>
      <c r="H186" s="9">
        <f>records[[#This Row],[结束时刻]]-records[[#This Row],[开始时刻]]</f>
        <v>2.083333333333337E-2</v>
      </c>
      <c r="I186" s="14" t="s">
        <v>180</v>
      </c>
      <c r="J186" s="25">
        <v>0.04</v>
      </c>
      <c r="K186" s="10" t="s">
        <v>169</v>
      </c>
    </row>
    <row r="187" spans="1:11">
      <c r="A187" s="10" t="str">
        <f>YEAR(records[[#This Row],[日期]])&amp;" 年"</f>
        <v>2020 年</v>
      </c>
      <c r="B187" s="8" t="str">
        <f>"第 "&amp;INT(MONTH(records[[#This Row],[日期]])/3+1)&amp;" 季度"</f>
        <v>第 2 季度</v>
      </c>
      <c r="C187" s="8" t="str">
        <f>MONTH(records[[#This Row],[日期]])&amp;" 月"</f>
        <v>3 月</v>
      </c>
      <c r="D187" s="8" t="str">
        <f>"第 "&amp;WEEKNUM(records[[#This Row],[日期]],2)&amp;" 周"</f>
        <v>第 10 周</v>
      </c>
      <c r="E187" s="8">
        <v>43894</v>
      </c>
      <c r="F187" s="9">
        <v>0.64583333333333337</v>
      </c>
      <c r="G187" s="9">
        <v>0.66666666666666663</v>
      </c>
      <c r="H187" s="9">
        <f>records[[#This Row],[结束时刻]]-records[[#This Row],[开始时刻]]</f>
        <v>2.0833333333333259E-2</v>
      </c>
      <c r="I187" s="14" t="s">
        <v>166</v>
      </c>
      <c r="J187" s="25">
        <v>0.01</v>
      </c>
      <c r="K187" s="10" t="s">
        <v>191</v>
      </c>
    </row>
    <row r="188" spans="1:11">
      <c r="A188" s="10" t="str">
        <f>YEAR(records[[#This Row],[日期]])&amp;" 年"</f>
        <v>2020 年</v>
      </c>
      <c r="B188" s="8" t="str">
        <f>"第 "&amp;INT(MONTH(records[[#This Row],[日期]])/3+1)&amp;" 季度"</f>
        <v>第 2 季度</v>
      </c>
      <c r="C188" s="8" t="str">
        <f>MONTH(records[[#This Row],[日期]])&amp;" 月"</f>
        <v>3 月</v>
      </c>
      <c r="D188" s="8" t="str">
        <f>"第 "&amp;WEEKNUM(records[[#This Row],[日期]],2)&amp;" 周"</f>
        <v>第 10 周</v>
      </c>
      <c r="E188" s="8">
        <v>43894</v>
      </c>
      <c r="F188" s="9">
        <v>0.66666666666666663</v>
      </c>
      <c r="G188" s="9">
        <v>0.70833333333333337</v>
      </c>
      <c r="H188" s="9">
        <f>records[[#This Row],[结束时刻]]-records[[#This Row],[开始时刻]]</f>
        <v>4.1666666666666741E-2</v>
      </c>
      <c r="I188" s="14" t="s">
        <v>192</v>
      </c>
      <c r="J188" s="25">
        <v>0.01</v>
      </c>
      <c r="K188" s="10" t="s">
        <v>191</v>
      </c>
    </row>
    <row r="189" spans="1:11">
      <c r="A189" s="10" t="str">
        <f>YEAR(records[[#This Row],[日期]])&amp;" 年"</f>
        <v>2020 年</v>
      </c>
      <c r="B189" s="8" t="str">
        <f>"第 "&amp;INT(MONTH(records[[#This Row],[日期]])/3+1)&amp;" 季度"</f>
        <v>第 2 季度</v>
      </c>
      <c r="C189" s="8" t="str">
        <f>MONTH(records[[#This Row],[日期]])&amp;" 月"</f>
        <v>3 月</v>
      </c>
      <c r="D189" s="8" t="str">
        <f>"第 "&amp;WEEKNUM(records[[#This Row],[日期]],2)&amp;" 周"</f>
        <v>第 10 周</v>
      </c>
      <c r="E189" s="8">
        <v>43894</v>
      </c>
      <c r="F189" s="9">
        <v>0.70833333333333337</v>
      </c>
      <c r="G189" s="9">
        <v>0.75</v>
      </c>
      <c r="H189" s="9">
        <f>records[[#This Row],[结束时刻]]-records[[#This Row],[开始时刻]]</f>
        <v>4.166666666666663E-2</v>
      </c>
      <c r="I189" s="14" t="s">
        <v>222</v>
      </c>
      <c r="J189" s="25">
        <v>0.2</v>
      </c>
      <c r="K189" s="10"/>
    </row>
    <row r="190" spans="1:11">
      <c r="A190" s="10" t="str">
        <f>YEAR(records[[#This Row],[日期]])&amp;" 年"</f>
        <v>2020 年</v>
      </c>
      <c r="B190" s="8" t="str">
        <f>"第 "&amp;INT(MONTH(records[[#This Row],[日期]])/3+1)&amp;" 季度"</f>
        <v>第 2 季度</v>
      </c>
      <c r="C190" s="8" t="str">
        <f>MONTH(records[[#This Row],[日期]])&amp;" 月"</f>
        <v>3 月</v>
      </c>
      <c r="D190" s="8" t="str">
        <f>"第 "&amp;WEEKNUM(records[[#This Row],[日期]],2)&amp;" 周"</f>
        <v>第 10 周</v>
      </c>
      <c r="E190" s="8">
        <v>43894</v>
      </c>
      <c r="F190" s="9">
        <v>0.75</v>
      </c>
      <c r="G190" s="9">
        <v>0.77083333333333337</v>
      </c>
      <c r="H190" s="9">
        <f>records[[#This Row],[结束时刻]]-records[[#This Row],[开始时刻]]</f>
        <v>2.083333333333337E-2</v>
      </c>
      <c r="I190" s="14" t="s">
        <v>223</v>
      </c>
      <c r="J190" s="25">
        <v>0.2</v>
      </c>
      <c r="K190" s="10"/>
    </row>
    <row r="191" spans="1:11">
      <c r="A191" s="10" t="str">
        <f>YEAR(records[[#This Row],[日期]])&amp;" 年"</f>
        <v>2020 年</v>
      </c>
      <c r="B191" s="8" t="str">
        <f>"第 "&amp;INT(MONTH(records[[#This Row],[日期]])/3+1)&amp;" 季度"</f>
        <v>第 2 季度</v>
      </c>
      <c r="C191" s="8" t="str">
        <f>MONTH(records[[#This Row],[日期]])&amp;" 月"</f>
        <v>3 月</v>
      </c>
      <c r="D191" s="8" t="str">
        <f>"第 "&amp;WEEKNUM(records[[#This Row],[日期]],2)&amp;" 周"</f>
        <v>第 10 周</v>
      </c>
      <c r="E191" s="8">
        <v>43894</v>
      </c>
      <c r="F191" s="9">
        <v>0.77083333333333337</v>
      </c>
      <c r="G191" s="9">
        <v>0.83333333333333337</v>
      </c>
      <c r="H191" s="9">
        <f>records[[#This Row],[结束时刻]]-records[[#This Row],[开始时刻]]</f>
        <v>6.25E-2</v>
      </c>
      <c r="I191" s="14" t="s">
        <v>193</v>
      </c>
      <c r="J191" s="25">
        <v>0.1</v>
      </c>
      <c r="K191" s="10"/>
    </row>
    <row r="192" spans="1:11">
      <c r="A192" s="10" t="str">
        <f>YEAR(records[[#This Row],[日期]])&amp;" 年"</f>
        <v>2020 年</v>
      </c>
      <c r="B192" s="8" t="str">
        <f>"第 "&amp;INT(MONTH(records[[#This Row],[日期]])/3+1)&amp;" 季度"</f>
        <v>第 2 季度</v>
      </c>
      <c r="C192" s="8" t="str">
        <f>MONTH(records[[#This Row],[日期]])&amp;" 月"</f>
        <v>3 月</v>
      </c>
      <c r="D192" s="8" t="str">
        <f>"第 "&amp;WEEKNUM(records[[#This Row],[日期]],2)&amp;" 周"</f>
        <v>第 10 周</v>
      </c>
      <c r="E192" s="8">
        <v>43894</v>
      </c>
      <c r="F192" s="9">
        <v>0.83333333333333337</v>
      </c>
      <c r="G192" s="9">
        <v>0.875</v>
      </c>
      <c r="H192" s="9">
        <f>records[[#This Row],[结束时刻]]-records[[#This Row],[开始时刻]]</f>
        <v>4.166666666666663E-2</v>
      </c>
      <c r="I192" s="14" t="s">
        <v>11</v>
      </c>
      <c r="J192" s="25">
        <v>0.1</v>
      </c>
      <c r="K192" s="10"/>
    </row>
    <row r="193" spans="1:11">
      <c r="A193" s="10" t="str">
        <f>YEAR(records[[#This Row],[日期]])&amp;" 年"</f>
        <v>2020 年</v>
      </c>
      <c r="B193" s="8" t="str">
        <f>"第 "&amp;INT(MONTH(records[[#This Row],[日期]])/3+1)&amp;" 季度"</f>
        <v>第 2 季度</v>
      </c>
      <c r="C193" s="8" t="str">
        <f>MONTH(records[[#This Row],[日期]])&amp;" 月"</f>
        <v>3 月</v>
      </c>
      <c r="D193" s="8" t="str">
        <f>"第 "&amp;WEEKNUM(records[[#This Row],[日期]],2)&amp;" 周"</f>
        <v>第 10 周</v>
      </c>
      <c r="E193" s="8">
        <v>43894</v>
      </c>
      <c r="F193" s="9">
        <v>0.875</v>
      </c>
      <c r="G193" s="9">
        <v>0.91666666666666663</v>
      </c>
      <c r="H193" s="9">
        <f>records[[#This Row],[结束时刻]]-records[[#This Row],[开始时刻]]</f>
        <v>4.166666666666663E-2</v>
      </c>
      <c r="I193" s="14" t="s">
        <v>12</v>
      </c>
      <c r="J193" s="25">
        <v>0.6</v>
      </c>
      <c r="K193" s="10"/>
    </row>
    <row r="194" spans="1:11">
      <c r="A194" s="10" t="str">
        <f>YEAR(records[[#This Row],[日期]])&amp;" 年"</f>
        <v>2020 年</v>
      </c>
      <c r="B194" s="8" t="str">
        <f>"第 "&amp;INT(MONTH(records[[#This Row],[日期]])/3+1)&amp;" 季度"</f>
        <v>第 2 季度</v>
      </c>
      <c r="C194" s="8" t="str">
        <f>MONTH(records[[#This Row],[日期]])&amp;" 月"</f>
        <v>3 月</v>
      </c>
      <c r="D194" s="8" t="str">
        <f>"第 "&amp;WEEKNUM(records[[#This Row],[日期]],2)&amp;" 周"</f>
        <v>第 10 周</v>
      </c>
      <c r="E194" s="8">
        <v>43894</v>
      </c>
      <c r="F194" s="9">
        <v>0.91666666666666663</v>
      </c>
      <c r="G194" s="9">
        <v>0.9375</v>
      </c>
      <c r="H194" s="9">
        <f>records[[#This Row],[结束时刻]]-records[[#This Row],[开始时刻]]</f>
        <v>2.083333333333337E-2</v>
      </c>
      <c r="I194" s="14" t="s">
        <v>23</v>
      </c>
      <c r="J194" s="25">
        <v>0.6</v>
      </c>
      <c r="K194" s="10" t="s">
        <v>72</v>
      </c>
    </row>
    <row r="195" spans="1:11">
      <c r="A195" s="10" t="str">
        <f>YEAR(records[[#This Row],[日期]])&amp;" 年"</f>
        <v>2020 年</v>
      </c>
      <c r="B195" s="8" t="str">
        <f>"第 "&amp;INT(MONTH(records[[#This Row],[日期]])/3+1)&amp;" 季度"</f>
        <v>第 2 季度</v>
      </c>
      <c r="C195" s="8" t="str">
        <f>MONTH(records[[#This Row],[日期]])&amp;" 月"</f>
        <v>3 月</v>
      </c>
      <c r="D195" s="8" t="str">
        <f>"第 "&amp;WEEKNUM(records[[#This Row],[日期]],2)&amp;" 周"</f>
        <v>第 10 周</v>
      </c>
      <c r="E195" s="8">
        <v>43894</v>
      </c>
      <c r="F195" s="9">
        <v>0.9375</v>
      </c>
      <c r="G195" s="9">
        <v>0.94444444444444453</v>
      </c>
      <c r="H195" s="9">
        <f>records[[#This Row],[结束时刻]]-records[[#This Row],[开始时刻]]</f>
        <v>6.9444444444445308E-3</v>
      </c>
      <c r="I195" s="14" t="s">
        <v>150</v>
      </c>
      <c r="J195" s="25">
        <v>0.1</v>
      </c>
      <c r="K195" s="10"/>
    </row>
    <row r="196" spans="1:11">
      <c r="A196" s="10" t="str">
        <f>YEAR(records[[#This Row],[日期]])&amp;" 年"</f>
        <v>2020 年</v>
      </c>
      <c r="B196" s="8" t="str">
        <f>"第 "&amp;INT(MONTH(records[[#This Row],[日期]])/3+1)&amp;" 季度"</f>
        <v>第 2 季度</v>
      </c>
      <c r="C196" s="8" t="str">
        <f>MONTH(records[[#This Row],[日期]])&amp;" 月"</f>
        <v>3 月</v>
      </c>
      <c r="D196" s="8" t="str">
        <f>"第 "&amp;WEEKNUM(records[[#This Row],[日期]],2)&amp;" 周"</f>
        <v>第 10 周</v>
      </c>
      <c r="E196" s="8">
        <v>43894</v>
      </c>
      <c r="F196" s="9">
        <v>0.94444444444444453</v>
      </c>
      <c r="G196" s="9">
        <v>0.95138888888888884</v>
      </c>
      <c r="H196" s="9">
        <f>records[[#This Row],[结束时刻]]-records[[#This Row],[开始时刻]]</f>
        <v>6.9444444444443088E-3</v>
      </c>
      <c r="I196" s="14" t="s">
        <v>141</v>
      </c>
      <c r="J196" s="25">
        <v>0.1</v>
      </c>
      <c r="K196" s="10"/>
    </row>
    <row r="197" spans="1:11">
      <c r="A197" s="10" t="str">
        <f>YEAR(records[[#This Row],[日期]])&amp;" 年"</f>
        <v>2020 年</v>
      </c>
      <c r="B197" s="8" t="str">
        <f>"第 "&amp;INT(MONTH(records[[#This Row],[日期]])/3+1)&amp;" 季度"</f>
        <v>第 2 季度</v>
      </c>
      <c r="C197" s="8" t="str">
        <f>MONTH(records[[#This Row],[日期]])&amp;" 月"</f>
        <v>3 月</v>
      </c>
      <c r="D197" s="8" t="str">
        <f>"第 "&amp;WEEKNUM(records[[#This Row],[日期]],2)&amp;" 周"</f>
        <v>第 10 周</v>
      </c>
      <c r="E197" s="8">
        <v>43894</v>
      </c>
      <c r="F197" s="9">
        <v>0.95138888888888884</v>
      </c>
      <c r="G197" s="9">
        <v>0.95833333333333337</v>
      </c>
      <c r="H197" s="9">
        <f>records[[#This Row],[结束时刻]]-records[[#This Row],[开始时刻]]</f>
        <v>6.9444444444445308E-3</v>
      </c>
      <c r="I197" s="14" t="s">
        <v>187</v>
      </c>
      <c r="J197" s="25">
        <v>0.1</v>
      </c>
      <c r="K197" s="10"/>
    </row>
    <row r="198" spans="1:11">
      <c r="A198" s="10" t="str">
        <f>YEAR(records[[#This Row],[日期]])&amp;" 年"</f>
        <v>2020 年</v>
      </c>
      <c r="B198" s="8" t="str">
        <f>"第 "&amp;INT(MONTH(records[[#This Row],[日期]])/3+1)&amp;" 季度"</f>
        <v>第 2 季度</v>
      </c>
      <c r="C198" s="8" t="str">
        <f>MONTH(records[[#This Row],[日期]])&amp;" 月"</f>
        <v>3 月</v>
      </c>
      <c r="D198" s="8" t="str">
        <f>"第 "&amp;WEEKNUM(records[[#This Row],[日期]],2)&amp;" 周"</f>
        <v>第 10 周</v>
      </c>
      <c r="E198" s="8">
        <v>43895</v>
      </c>
      <c r="F198" s="9">
        <v>0</v>
      </c>
      <c r="G198" s="9">
        <v>0.99930555555555556</v>
      </c>
      <c r="H198" s="9">
        <f>records[[#This Row],[结束时刻]]-records[[#This Row],[开始时刻]]</f>
        <v>0.99930555555555556</v>
      </c>
      <c r="I198" s="14" t="s">
        <v>130</v>
      </c>
      <c r="J198" s="25">
        <v>9.1999999999999998E-2</v>
      </c>
      <c r="K198" s="48" t="s">
        <v>237</v>
      </c>
    </row>
    <row r="199" spans="1:11">
      <c r="A199" s="10" t="str">
        <f>YEAR(records[[#This Row],[日期]])&amp;" 年"</f>
        <v>2020 年</v>
      </c>
      <c r="B199" s="8" t="str">
        <f>"第 "&amp;INT(MONTH(records[[#This Row],[日期]])/3+1)&amp;" 季度"</f>
        <v>第 2 季度</v>
      </c>
      <c r="C199" s="8" t="str">
        <f>MONTH(records[[#This Row],[日期]])&amp;" 月"</f>
        <v>3 月</v>
      </c>
      <c r="D199" s="8" t="str">
        <f>"第 "&amp;WEEKNUM(records[[#This Row],[日期]],2)&amp;" 周"</f>
        <v>第 10 周</v>
      </c>
      <c r="E199" s="8">
        <v>43895</v>
      </c>
      <c r="F199" s="9">
        <v>0.25</v>
      </c>
      <c r="G199" s="9">
        <v>0.25</v>
      </c>
      <c r="H199" s="9">
        <f>records[[#This Row],[结束时刻]]-records[[#This Row],[开始时刻]]</f>
        <v>0</v>
      </c>
      <c r="I199" s="14" t="s">
        <v>6</v>
      </c>
      <c r="J199" s="25">
        <v>0.6</v>
      </c>
      <c r="K199" s="10"/>
    </row>
    <row r="200" spans="1:11">
      <c r="A200" s="10" t="str">
        <f>YEAR(records[[#This Row],[日期]])&amp;" 年"</f>
        <v>2020 年</v>
      </c>
      <c r="B200" s="8" t="str">
        <f>"第 "&amp;INT(MONTH(records[[#This Row],[日期]])/3+1)&amp;" 季度"</f>
        <v>第 2 季度</v>
      </c>
      <c r="C200" s="8" t="str">
        <f>MONTH(records[[#This Row],[日期]])&amp;" 月"</f>
        <v>3 月</v>
      </c>
      <c r="D200" s="8" t="str">
        <f>"第 "&amp;WEEKNUM(records[[#This Row],[日期]],2)&amp;" 周"</f>
        <v>第 10 周</v>
      </c>
      <c r="E200" s="8">
        <v>43895</v>
      </c>
      <c r="F200" s="9">
        <v>0.25</v>
      </c>
      <c r="G200" s="9">
        <v>0.25694444444444448</v>
      </c>
      <c r="H200" s="9">
        <f>records[[#This Row],[结束时刻]]-records[[#This Row],[开始时刻]]</f>
        <v>6.9444444444444753E-3</v>
      </c>
      <c r="I200" s="8" t="s">
        <v>97</v>
      </c>
      <c r="J200" s="25">
        <v>0.6</v>
      </c>
      <c r="K200" s="10"/>
    </row>
    <row r="201" spans="1:11">
      <c r="A201" s="10" t="str">
        <f>YEAR(records[[#This Row],[日期]])&amp;" 年"</f>
        <v>2020 年</v>
      </c>
      <c r="B201" s="8" t="str">
        <f>"第 "&amp;INT(MONTH(records[[#This Row],[日期]])/3+1)&amp;" 季度"</f>
        <v>第 2 季度</v>
      </c>
      <c r="C201" s="8" t="str">
        <f>MONTH(records[[#This Row],[日期]])&amp;" 月"</f>
        <v>3 月</v>
      </c>
      <c r="D201" s="8" t="str">
        <f>"第 "&amp;WEEKNUM(records[[#This Row],[日期]],2)&amp;" 周"</f>
        <v>第 10 周</v>
      </c>
      <c r="E201" s="8">
        <v>43895</v>
      </c>
      <c r="F201" s="9">
        <v>0.25694444444444448</v>
      </c>
      <c r="G201" s="9">
        <v>0.2986111111111111</v>
      </c>
      <c r="H201" s="9">
        <f>records[[#This Row],[结束时刻]]-records[[#This Row],[开始时刻]]</f>
        <v>4.166666666666663E-2</v>
      </c>
      <c r="I201" s="14" t="s">
        <v>11</v>
      </c>
      <c r="J201" s="25">
        <v>0.6</v>
      </c>
      <c r="K201" s="10"/>
    </row>
    <row r="202" spans="1:11">
      <c r="A202" s="10" t="str">
        <f>YEAR(records[[#This Row],[日期]])&amp;" 年"</f>
        <v>2020 年</v>
      </c>
      <c r="B202" s="8" t="str">
        <f>"第 "&amp;INT(MONTH(records[[#This Row],[日期]])/3+1)&amp;" 季度"</f>
        <v>第 2 季度</v>
      </c>
      <c r="C202" s="8" t="str">
        <f>MONTH(records[[#This Row],[日期]])&amp;" 月"</f>
        <v>3 月</v>
      </c>
      <c r="D202" s="8" t="str">
        <f>"第 "&amp;WEEKNUM(records[[#This Row],[日期]],2)&amp;" 周"</f>
        <v>第 10 周</v>
      </c>
      <c r="E202" s="8">
        <v>43895</v>
      </c>
      <c r="F202" s="9">
        <v>0.2986111111111111</v>
      </c>
      <c r="G202" s="9">
        <v>0.31944444444444448</v>
      </c>
      <c r="H202" s="9">
        <f>records[[#This Row],[结束时刻]]-records[[#This Row],[开始时刻]]</f>
        <v>2.083333333333337E-2</v>
      </c>
      <c r="I202" s="14" t="s">
        <v>20</v>
      </c>
      <c r="J202" s="25">
        <v>0.6</v>
      </c>
      <c r="K202" s="10"/>
    </row>
    <row r="203" spans="1:11">
      <c r="A203" s="10" t="str">
        <f>YEAR(records[[#This Row],[日期]])&amp;" 年"</f>
        <v>2020 年</v>
      </c>
      <c r="B203" s="8" t="str">
        <f>"第 "&amp;INT(MONTH(records[[#This Row],[日期]])/3+1)&amp;" 季度"</f>
        <v>第 2 季度</v>
      </c>
      <c r="C203" s="8" t="str">
        <f>MONTH(records[[#This Row],[日期]])&amp;" 月"</f>
        <v>3 月</v>
      </c>
      <c r="D203" s="8" t="str">
        <f>"第 "&amp;WEEKNUM(records[[#This Row],[日期]],2)&amp;" 周"</f>
        <v>第 10 周</v>
      </c>
      <c r="E203" s="8">
        <v>43895</v>
      </c>
      <c r="F203" s="9">
        <v>0.31944444444444448</v>
      </c>
      <c r="G203" s="9">
        <v>0.33333333333333331</v>
      </c>
      <c r="H203" s="9">
        <f>records[[#This Row],[结束时刻]]-records[[#This Row],[开始时刻]]</f>
        <v>1.388888888888884E-2</v>
      </c>
      <c r="I203" s="14" t="s">
        <v>134</v>
      </c>
      <c r="J203" s="25">
        <v>0.6</v>
      </c>
      <c r="K203" s="10"/>
    </row>
    <row r="204" spans="1:11">
      <c r="A204" s="10" t="str">
        <f>YEAR(records[[#This Row],[日期]])&amp;" 年"</f>
        <v>2020 年</v>
      </c>
      <c r="B204" s="8" t="str">
        <f>"第 "&amp;INT(MONTH(records[[#This Row],[日期]])/3+1)&amp;" 季度"</f>
        <v>第 2 季度</v>
      </c>
      <c r="C204" s="8" t="str">
        <f>MONTH(records[[#This Row],[日期]])&amp;" 月"</f>
        <v>3 月</v>
      </c>
      <c r="D204" s="8" t="str">
        <f>"第 "&amp;WEEKNUM(records[[#This Row],[日期]],2)&amp;" 周"</f>
        <v>第 10 周</v>
      </c>
      <c r="E204" s="8">
        <v>43895</v>
      </c>
      <c r="F204" s="9">
        <v>0.33333333333333331</v>
      </c>
      <c r="G204" s="9">
        <v>0.35416666666666669</v>
      </c>
      <c r="H204" s="9">
        <f>records[[#This Row],[结束时刻]]-records[[#This Row],[开始时刻]]</f>
        <v>2.083333333333337E-2</v>
      </c>
      <c r="I204" s="14" t="s">
        <v>227</v>
      </c>
      <c r="J204" s="25">
        <v>0.1</v>
      </c>
      <c r="K204" s="10"/>
    </row>
    <row r="205" spans="1:11">
      <c r="A205" s="10" t="str">
        <f>YEAR(records[[#This Row],[日期]])&amp;" 年"</f>
        <v>2020 年</v>
      </c>
      <c r="B205" s="8" t="str">
        <f>"第 "&amp;INT(MONTH(records[[#This Row],[日期]])/3+1)&amp;" 季度"</f>
        <v>第 2 季度</v>
      </c>
      <c r="C205" s="8" t="str">
        <f>MONTH(records[[#This Row],[日期]])&amp;" 月"</f>
        <v>3 月</v>
      </c>
      <c r="D205" s="8" t="str">
        <f>"第 "&amp;WEEKNUM(records[[#This Row],[日期]],2)&amp;" 周"</f>
        <v>第 10 周</v>
      </c>
      <c r="E205" s="8">
        <v>43895</v>
      </c>
      <c r="F205" s="9">
        <v>0.33333333333333331</v>
      </c>
      <c r="G205" s="9">
        <v>0.35416666666666669</v>
      </c>
      <c r="H205" s="9">
        <f>records[[#This Row],[结束时刻]]-records[[#This Row],[开始时刻]]</f>
        <v>2.083333333333337E-2</v>
      </c>
      <c r="I205" s="14" t="s">
        <v>228</v>
      </c>
      <c r="J205" s="25">
        <v>0.1</v>
      </c>
      <c r="K205" s="10"/>
    </row>
    <row r="206" spans="1:11">
      <c r="A206" s="10" t="str">
        <f>YEAR(records[[#This Row],[日期]])&amp;" 年"</f>
        <v>2020 年</v>
      </c>
      <c r="B206" s="8" t="str">
        <f>"第 "&amp;INT(MONTH(records[[#This Row],[日期]])/3+1)&amp;" 季度"</f>
        <v>第 2 季度</v>
      </c>
      <c r="C206" s="8" t="str">
        <f>MONTH(records[[#This Row],[日期]])&amp;" 月"</f>
        <v>3 月</v>
      </c>
      <c r="D206" s="8" t="str">
        <f>"第 "&amp;WEEKNUM(records[[#This Row],[日期]],2)&amp;" 周"</f>
        <v>第 10 周</v>
      </c>
      <c r="E206" s="8">
        <v>43895</v>
      </c>
      <c r="F206" s="9">
        <v>0.3576388888888889</v>
      </c>
      <c r="G206" s="9">
        <v>0.375</v>
      </c>
      <c r="H206" s="9">
        <f>records[[#This Row],[结束时刻]]-records[[#This Row],[开始时刻]]</f>
        <v>1.7361111111111105E-2</v>
      </c>
      <c r="I206" s="14" t="s">
        <v>225</v>
      </c>
      <c r="J206" s="25">
        <v>0.1</v>
      </c>
      <c r="K206" s="10"/>
    </row>
    <row r="207" spans="1:11">
      <c r="A207" s="10" t="str">
        <f>YEAR(records[[#This Row],[日期]])&amp;" 年"</f>
        <v>2020 年</v>
      </c>
      <c r="B207" s="8" t="str">
        <f>"第 "&amp;INT(MONTH(records[[#This Row],[日期]])/3+1)&amp;" 季度"</f>
        <v>第 2 季度</v>
      </c>
      <c r="C207" s="8" t="str">
        <f>MONTH(records[[#This Row],[日期]])&amp;" 月"</f>
        <v>3 月</v>
      </c>
      <c r="D207" s="8" t="str">
        <f>"第 "&amp;WEEKNUM(records[[#This Row],[日期]],2)&amp;" 周"</f>
        <v>第 10 周</v>
      </c>
      <c r="E207" s="8">
        <v>43895</v>
      </c>
      <c r="F207" s="9">
        <v>0.37847222222222227</v>
      </c>
      <c r="G207" s="9">
        <v>0.45833333333333331</v>
      </c>
      <c r="H207" s="9">
        <f>records[[#This Row],[结束时刻]]-records[[#This Row],[开始时刻]]</f>
        <v>7.9861111111111049E-2</v>
      </c>
      <c r="I207" s="14" t="s">
        <v>172</v>
      </c>
      <c r="J207" s="25">
        <v>0.1</v>
      </c>
      <c r="K207" s="10"/>
    </row>
    <row r="208" spans="1:11">
      <c r="A208" s="10" t="str">
        <f>YEAR(records[[#This Row],[日期]])&amp;" 年"</f>
        <v>2020 年</v>
      </c>
      <c r="B208" s="8" t="str">
        <f>"第 "&amp;INT(MONTH(records[[#This Row],[日期]])/3+1)&amp;" 季度"</f>
        <v>第 2 季度</v>
      </c>
      <c r="C208" s="8" t="str">
        <f>MONTH(records[[#This Row],[日期]])&amp;" 月"</f>
        <v>3 月</v>
      </c>
      <c r="D208" s="8" t="str">
        <f>"第 "&amp;WEEKNUM(records[[#This Row],[日期]],2)&amp;" 周"</f>
        <v>第 10 周</v>
      </c>
      <c r="E208" s="8">
        <v>43895</v>
      </c>
      <c r="F208" s="9">
        <v>0.45833333333333331</v>
      </c>
      <c r="G208" s="9">
        <v>0.5</v>
      </c>
      <c r="H208" s="9">
        <f>records[[#This Row],[结束时刻]]-records[[#This Row],[开始时刻]]</f>
        <v>4.1666666666666685E-2</v>
      </c>
      <c r="I208" s="14" t="s">
        <v>229</v>
      </c>
      <c r="J208" s="25">
        <v>0.3</v>
      </c>
      <c r="K208" s="10" t="s">
        <v>72</v>
      </c>
    </row>
    <row r="209" spans="1:11">
      <c r="A209" s="10" t="str">
        <f>YEAR(records[[#This Row],[日期]])&amp;" 年"</f>
        <v>2020 年</v>
      </c>
      <c r="B209" s="8" t="str">
        <f>"第 "&amp;INT(MONTH(records[[#This Row],[日期]])/3+1)&amp;" 季度"</f>
        <v>第 2 季度</v>
      </c>
      <c r="C209" s="8" t="str">
        <f>MONTH(records[[#This Row],[日期]])&amp;" 月"</f>
        <v>3 月</v>
      </c>
      <c r="D209" s="8" t="str">
        <f>"第 "&amp;WEEKNUM(records[[#This Row],[日期]],2)&amp;" 周"</f>
        <v>第 10 周</v>
      </c>
      <c r="E209" s="8">
        <v>43895</v>
      </c>
      <c r="F209" s="9">
        <v>0.5</v>
      </c>
      <c r="G209" s="9">
        <v>0.52083333333333337</v>
      </c>
      <c r="H209" s="9">
        <f>records[[#This Row],[结束时刻]]-records[[#This Row],[开始时刻]]</f>
        <v>2.083333333333337E-2</v>
      </c>
      <c r="I209" s="14" t="s">
        <v>231</v>
      </c>
      <c r="J209" s="25">
        <v>0.1</v>
      </c>
      <c r="K209" s="10" t="s">
        <v>226</v>
      </c>
    </row>
    <row r="210" spans="1:11">
      <c r="A210" s="10" t="str">
        <f>YEAR(records[[#This Row],[日期]])&amp;" 年"</f>
        <v>2020 年</v>
      </c>
      <c r="B210" s="8" t="str">
        <f>"第 "&amp;INT(MONTH(records[[#This Row],[日期]])/3+1)&amp;" 季度"</f>
        <v>第 2 季度</v>
      </c>
      <c r="C210" s="8" t="str">
        <f>MONTH(records[[#This Row],[日期]])&amp;" 月"</f>
        <v>3 月</v>
      </c>
      <c r="D210" s="8" t="str">
        <f>"第 "&amp;WEEKNUM(records[[#This Row],[日期]],2)&amp;" 周"</f>
        <v>第 10 周</v>
      </c>
      <c r="E210" s="8">
        <v>43895</v>
      </c>
      <c r="F210" s="9">
        <v>0.5</v>
      </c>
      <c r="G210" s="9">
        <v>0.52083333333333337</v>
      </c>
      <c r="H210" s="9">
        <f>records[[#This Row],[结束时刻]]-records[[#This Row],[开始时刻]]</f>
        <v>2.083333333333337E-2</v>
      </c>
      <c r="I210" s="14" t="s">
        <v>230</v>
      </c>
      <c r="J210" s="25">
        <v>0.3</v>
      </c>
      <c r="K210" s="10" t="s">
        <v>72</v>
      </c>
    </row>
    <row r="211" spans="1:11">
      <c r="A211" s="10" t="str">
        <f>YEAR(records[[#This Row],[日期]])&amp;" 年"</f>
        <v>2020 年</v>
      </c>
      <c r="B211" s="8" t="str">
        <f>"第 "&amp;INT(MONTH(records[[#This Row],[日期]])/3+1)&amp;" 季度"</f>
        <v>第 2 季度</v>
      </c>
      <c r="C211" s="8" t="str">
        <f>MONTH(records[[#This Row],[日期]])&amp;" 月"</f>
        <v>3 月</v>
      </c>
      <c r="D211" s="8" t="str">
        <f>"第 "&amp;WEEKNUM(records[[#This Row],[日期]],2)&amp;" 周"</f>
        <v>第 10 周</v>
      </c>
      <c r="E211" s="8">
        <v>43895</v>
      </c>
      <c r="F211" s="9">
        <v>0.52083333333333337</v>
      </c>
      <c r="G211" s="9">
        <v>0.54166666666666663</v>
      </c>
      <c r="H211" s="9">
        <f>records[[#This Row],[结束时刻]]-records[[#This Row],[开始时刻]]</f>
        <v>2.0833333333333259E-2</v>
      </c>
      <c r="I211" s="14" t="s">
        <v>145</v>
      </c>
      <c r="J211" s="25">
        <v>0.1</v>
      </c>
      <c r="K211" s="10"/>
    </row>
    <row r="212" spans="1:11">
      <c r="A212" s="10" t="str">
        <f>YEAR(records[[#This Row],[日期]])&amp;" 年"</f>
        <v>2020 年</v>
      </c>
      <c r="B212" s="8" t="str">
        <f>"第 "&amp;INT(MONTH(records[[#This Row],[日期]])/3+1)&amp;" 季度"</f>
        <v>第 2 季度</v>
      </c>
      <c r="C212" s="8" t="str">
        <f>MONTH(records[[#This Row],[日期]])&amp;" 月"</f>
        <v>3 月</v>
      </c>
      <c r="D212" s="8" t="str">
        <f>"第 "&amp;WEEKNUM(records[[#This Row],[日期]],2)&amp;" 周"</f>
        <v>第 10 周</v>
      </c>
      <c r="E212" s="8">
        <v>43895</v>
      </c>
      <c r="F212" s="9">
        <v>0.54166666666666663</v>
      </c>
      <c r="G212" s="9">
        <v>0.5625</v>
      </c>
      <c r="H212" s="9">
        <f>records[[#This Row],[结束时刻]]-records[[#This Row],[开始时刻]]</f>
        <v>2.083333333333337E-2</v>
      </c>
      <c r="I212" s="14" t="s">
        <v>232</v>
      </c>
      <c r="J212" s="25">
        <v>0.1</v>
      </c>
      <c r="K212" s="10"/>
    </row>
    <row r="213" spans="1:11">
      <c r="A213" s="10" t="str">
        <f>YEAR(records[[#This Row],[日期]])&amp;" 年"</f>
        <v>2020 年</v>
      </c>
      <c r="B213" s="8" t="str">
        <f>"第 "&amp;INT(MONTH(records[[#This Row],[日期]])/3+1)&amp;" 季度"</f>
        <v>第 2 季度</v>
      </c>
      <c r="C213" s="8" t="str">
        <f>MONTH(records[[#This Row],[日期]])&amp;" 月"</f>
        <v>3 月</v>
      </c>
      <c r="D213" s="8" t="str">
        <f>"第 "&amp;WEEKNUM(records[[#This Row],[日期]],2)&amp;" 周"</f>
        <v>第 10 周</v>
      </c>
      <c r="E213" s="8">
        <v>43895</v>
      </c>
      <c r="F213" s="9">
        <v>0.56597222222222221</v>
      </c>
      <c r="G213" s="9">
        <v>0.625</v>
      </c>
      <c r="H213" s="9">
        <f>records[[#This Row],[结束时刻]]-records[[#This Row],[开始时刻]]</f>
        <v>5.902777777777779E-2</v>
      </c>
      <c r="I213" s="14" t="s">
        <v>190</v>
      </c>
      <c r="J213" s="25">
        <v>0.1</v>
      </c>
      <c r="K213" s="10"/>
    </row>
    <row r="214" spans="1:11">
      <c r="A214" s="10" t="str">
        <f>YEAR(records[[#This Row],[日期]])&amp;" 年"</f>
        <v>2020 年</v>
      </c>
      <c r="B214" s="8" t="str">
        <f>"第 "&amp;INT(MONTH(records[[#This Row],[日期]])/3+1)&amp;" 季度"</f>
        <v>第 2 季度</v>
      </c>
      <c r="C214" s="8" t="str">
        <f>MONTH(records[[#This Row],[日期]])&amp;" 月"</f>
        <v>3 月</v>
      </c>
      <c r="D214" s="8" t="str">
        <f>"第 "&amp;WEEKNUM(records[[#This Row],[日期]],2)&amp;" 周"</f>
        <v>第 10 周</v>
      </c>
      <c r="E214" s="8">
        <v>43895</v>
      </c>
      <c r="F214" s="9">
        <v>0.625</v>
      </c>
      <c r="G214" s="9">
        <v>0.70833333333333337</v>
      </c>
      <c r="H214" s="9">
        <f>records[[#This Row],[结束时刻]]-records[[#This Row],[开始时刻]]</f>
        <v>8.333333333333337E-2</v>
      </c>
      <c r="I214" s="14" t="s">
        <v>192</v>
      </c>
      <c r="J214" s="25">
        <v>0.1</v>
      </c>
      <c r="K214" s="10"/>
    </row>
    <row r="215" spans="1:11">
      <c r="A215" s="10" t="str">
        <f>YEAR(records[[#This Row],[日期]])&amp;" 年"</f>
        <v>2020 年</v>
      </c>
      <c r="B215" s="8" t="str">
        <f>"第 "&amp;INT(MONTH(records[[#This Row],[日期]])/3+1)&amp;" 季度"</f>
        <v>第 2 季度</v>
      </c>
      <c r="C215" s="8" t="str">
        <f>MONTH(records[[#This Row],[日期]])&amp;" 月"</f>
        <v>3 月</v>
      </c>
      <c r="D215" s="8" t="str">
        <f>"第 "&amp;WEEKNUM(records[[#This Row],[日期]],2)&amp;" 周"</f>
        <v>第 10 周</v>
      </c>
      <c r="E215" s="8">
        <v>43895</v>
      </c>
      <c r="F215" s="9">
        <v>0.70833333333333337</v>
      </c>
      <c r="G215" s="9">
        <v>0.75</v>
      </c>
      <c r="H215" s="9">
        <f>records[[#This Row],[结束时刻]]-records[[#This Row],[开始时刻]]</f>
        <v>4.166666666666663E-2</v>
      </c>
      <c r="I215" s="14" t="s">
        <v>233</v>
      </c>
      <c r="J215" s="25">
        <v>0.2</v>
      </c>
      <c r="K215" s="10"/>
    </row>
    <row r="216" spans="1:11">
      <c r="A216" s="10" t="str">
        <f>YEAR(records[[#This Row],[日期]])&amp;" 年"</f>
        <v>2020 年</v>
      </c>
      <c r="B216" s="8" t="str">
        <f>"第 "&amp;INT(MONTH(records[[#This Row],[日期]])/3+1)&amp;" 季度"</f>
        <v>第 2 季度</v>
      </c>
      <c r="C216" s="8" t="str">
        <f>MONTH(records[[#This Row],[日期]])&amp;" 月"</f>
        <v>3 月</v>
      </c>
      <c r="D216" s="8" t="str">
        <f>"第 "&amp;WEEKNUM(records[[#This Row],[日期]],2)&amp;" 周"</f>
        <v>第 10 周</v>
      </c>
      <c r="E216" s="8">
        <v>43895</v>
      </c>
      <c r="F216" s="9">
        <v>0.75</v>
      </c>
      <c r="G216" s="9">
        <v>0.77083333333333337</v>
      </c>
      <c r="H216" s="9">
        <f>records[[#This Row],[结束时刻]]-records[[#This Row],[开始时刻]]</f>
        <v>2.083333333333337E-2</v>
      </c>
      <c r="I216" s="14" t="s">
        <v>234</v>
      </c>
      <c r="J216" s="25">
        <v>0.2</v>
      </c>
      <c r="K216" s="10"/>
    </row>
    <row r="217" spans="1:11">
      <c r="A217" s="10" t="str">
        <f>YEAR(records[[#This Row],[日期]])&amp;" 年"</f>
        <v>2020 年</v>
      </c>
      <c r="B217" s="8" t="str">
        <f>"第 "&amp;INT(MONTH(records[[#This Row],[日期]])/3+1)&amp;" 季度"</f>
        <v>第 2 季度</v>
      </c>
      <c r="C217" s="8" t="str">
        <f>MONTH(records[[#This Row],[日期]])&amp;" 月"</f>
        <v>3 月</v>
      </c>
      <c r="D217" s="8" t="str">
        <f>"第 "&amp;WEEKNUM(records[[#This Row],[日期]],2)&amp;" 周"</f>
        <v>第 10 周</v>
      </c>
      <c r="E217" s="8">
        <v>43895</v>
      </c>
      <c r="F217" s="9">
        <v>0.77083333333333337</v>
      </c>
      <c r="G217" s="9">
        <v>0.78819444444444453</v>
      </c>
      <c r="H217" s="9">
        <f>records[[#This Row],[结束时刻]]-records[[#This Row],[开始时刻]]</f>
        <v>1.736111111111116E-2</v>
      </c>
      <c r="I217" s="14" t="s">
        <v>235</v>
      </c>
      <c r="J217" s="25">
        <v>0.1</v>
      </c>
      <c r="K217" s="10"/>
    </row>
    <row r="218" spans="1:11">
      <c r="A218" s="10" t="str">
        <f>YEAR(records[[#This Row],[日期]])&amp;" 年"</f>
        <v>2020 年</v>
      </c>
      <c r="B218" s="8" t="str">
        <f>"第 "&amp;INT(MONTH(records[[#This Row],[日期]])/3+1)&amp;" 季度"</f>
        <v>第 2 季度</v>
      </c>
      <c r="C218" s="8" t="str">
        <f>MONTH(records[[#This Row],[日期]])&amp;" 月"</f>
        <v>3 月</v>
      </c>
      <c r="D218" s="8" t="str">
        <f>"第 "&amp;WEEKNUM(records[[#This Row],[日期]],2)&amp;" 周"</f>
        <v>第 10 周</v>
      </c>
      <c r="E218" s="8">
        <v>43895</v>
      </c>
      <c r="F218" s="9">
        <v>0.79166666666666663</v>
      </c>
      <c r="G218" s="9">
        <v>0.875</v>
      </c>
      <c r="H218" s="9">
        <f>records[[#This Row],[结束时刻]]-records[[#This Row],[开始时刻]]</f>
        <v>8.333333333333337E-2</v>
      </c>
      <c r="I218" s="14" t="s">
        <v>11</v>
      </c>
      <c r="J218" s="25">
        <v>0.1</v>
      </c>
      <c r="K218" s="10"/>
    </row>
    <row r="219" spans="1:11">
      <c r="A219" s="10" t="str">
        <f>YEAR(records[[#This Row],[日期]])&amp;" 年"</f>
        <v>2020 年</v>
      </c>
      <c r="B219" s="8" t="str">
        <f>"第 "&amp;INT(MONTH(records[[#This Row],[日期]])/3+1)&amp;" 季度"</f>
        <v>第 2 季度</v>
      </c>
      <c r="C219" s="8" t="str">
        <f>MONTH(records[[#This Row],[日期]])&amp;" 月"</f>
        <v>3 月</v>
      </c>
      <c r="D219" s="8" t="str">
        <f>"第 "&amp;WEEKNUM(records[[#This Row],[日期]],2)&amp;" 周"</f>
        <v>第 10 周</v>
      </c>
      <c r="E219" s="8">
        <v>43895</v>
      </c>
      <c r="F219" s="9">
        <v>0.875</v>
      </c>
      <c r="G219" s="9">
        <v>0.91666666666666663</v>
      </c>
      <c r="H219" s="9">
        <f>records[[#This Row],[结束时刻]]-records[[#This Row],[开始时刻]]</f>
        <v>4.166666666666663E-2</v>
      </c>
      <c r="I219" s="14" t="s">
        <v>12</v>
      </c>
      <c r="J219" s="25">
        <v>0.7</v>
      </c>
      <c r="K219" s="10" t="s">
        <v>72</v>
      </c>
    </row>
    <row r="220" spans="1:11">
      <c r="A220" s="10" t="str">
        <f>YEAR(records[[#This Row],[日期]])&amp;" 年"</f>
        <v>2020 年</v>
      </c>
      <c r="B220" s="8" t="str">
        <f>"第 "&amp;INT(MONTH(records[[#This Row],[日期]])/3+1)&amp;" 季度"</f>
        <v>第 2 季度</v>
      </c>
      <c r="C220" s="8" t="str">
        <f>MONTH(records[[#This Row],[日期]])&amp;" 月"</f>
        <v>3 月</v>
      </c>
      <c r="D220" s="8" t="str">
        <f>"第 "&amp;WEEKNUM(records[[#This Row],[日期]],2)&amp;" 周"</f>
        <v>第 10 周</v>
      </c>
      <c r="E220" s="8">
        <v>43895</v>
      </c>
      <c r="F220" s="9">
        <v>0.91666666666666663</v>
      </c>
      <c r="G220" s="9">
        <v>0.9375</v>
      </c>
      <c r="H220" s="9">
        <f>records[[#This Row],[结束时刻]]-records[[#This Row],[开始时刻]]</f>
        <v>2.083333333333337E-2</v>
      </c>
      <c r="I220" s="14" t="s">
        <v>23</v>
      </c>
      <c r="J220" s="25">
        <v>0.6</v>
      </c>
      <c r="K220" s="10"/>
    </row>
    <row r="221" spans="1:11">
      <c r="A221" s="10" t="str">
        <f>YEAR(records[[#This Row],[日期]])&amp;" 年"</f>
        <v>2020 年</v>
      </c>
      <c r="B221" s="8" t="str">
        <f>"第 "&amp;INT(MONTH(records[[#This Row],[日期]])/3+1)&amp;" 季度"</f>
        <v>第 2 季度</v>
      </c>
      <c r="C221" s="8" t="str">
        <f>MONTH(records[[#This Row],[日期]])&amp;" 月"</f>
        <v>3 月</v>
      </c>
      <c r="D221" s="8" t="str">
        <f>"第 "&amp;WEEKNUM(records[[#This Row],[日期]],2)&amp;" 周"</f>
        <v>第 10 周</v>
      </c>
      <c r="E221" s="8">
        <v>43895</v>
      </c>
      <c r="F221" s="9">
        <v>0.91666666666666663</v>
      </c>
      <c r="G221" s="9">
        <v>0.95833333333333337</v>
      </c>
      <c r="H221" s="9">
        <f>records[[#This Row],[结束时刻]]-records[[#This Row],[开始时刻]]</f>
        <v>4.1666666666666741E-2</v>
      </c>
      <c r="I221" s="14" t="s">
        <v>177</v>
      </c>
      <c r="J221" s="25">
        <v>0</v>
      </c>
      <c r="K221" s="10"/>
    </row>
    <row r="222" spans="1:11">
      <c r="A222" s="10" t="str">
        <f>YEAR(records[[#This Row],[日期]])&amp;" 年"</f>
        <v>2020 年</v>
      </c>
      <c r="B222" s="8" t="str">
        <f>"第 "&amp;INT(MONTH(records[[#This Row],[日期]])/3+1)&amp;" 季度"</f>
        <v>第 2 季度</v>
      </c>
      <c r="C222" s="8" t="str">
        <f>MONTH(records[[#This Row],[日期]])&amp;" 月"</f>
        <v>3 月</v>
      </c>
      <c r="D222" s="8" t="str">
        <f>"第 "&amp;WEEKNUM(records[[#This Row],[日期]],2)&amp;" 周"</f>
        <v>第 10 周</v>
      </c>
      <c r="E222" s="8">
        <v>43895</v>
      </c>
      <c r="F222" s="9">
        <v>0.9375</v>
      </c>
      <c r="G222" s="9">
        <v>0.94444444444444453</v>
      </c>
      <c r="H222" s="9">
        <f>records[[#This Row],[结束时刻]]-records[[#This Row],[开始时刻]]</f>
        <v>6.9444444444445308E-3</v>
      </c>
      <c r="I222" s="14" t="s">
        <v>150</v>
      </c>
      <c r="J222" s="25">
        <v>0</v>
      </c>
      <c r="K222" s="10"/>
    </row>
    <row r="223" spans="1:11">
      <c r="A223" s="10" t="str">
        <f>YEAR(records[[#This Row],[日期]])&amp;" 年"</f>
        <v>2020 年</v>
      </c>
      <c r="B223" s="8" t="str">
        <f>"第 "&amp;INT(MONTH(records[[#This Row],[日期]])/3+1)&amp;" 季度"</f>
        <v>第 2 季度</v>
      </c>
      <c r="C223" s="8" t="str">
        <f>MONTH(records[[#This Row],[日期]])&amp;" 月"</f>
        <v>3 月</v>
      </c>
      <c r="D223" s="8" t="str">
        <f>"第 "&amp;WEEKNUM(records[[#This Row],[日期]],2)&amp;" 周"</f>
        <v>第 10 周</v>
      </c>
      <c r="E223" s="8">
        <v>43895</v>
      </c>
      <c r="F223" s="9">
        <v>0.94444444444444453</v>
      </c>
      <c r="G223" s="9">
        <v>0.95138888888888884</v>
      </c>
      <c r="H223" s="9">
        <f>records[[#This Row],[结束时刻]]-records[[#This Row],[开始时刻]]</f>
        <v>6.9444444444443088E-3</v>
      </c>
      <c r="I223" s="14" t="s">
        <v>141</v>
      </c>
      <c r="J223" s="25">
        <v>0</v>
      </c>
      <c r="K223" s="10"/>
    </row>
    <row r="224" spans="1:11">
      <c r="A224" s="10" t="str">
        <f>YEAR(records[[#This Row],[日期]])&amp;" 年"</f>
        <v>2020 年</v>
      </c>
      <c r="B224" s="8" t="str">
        <f>"第 "&amp;INT(MONTH(records[[#This Row],[日期]])/3+1)&amp;" 季度"</f>
        <v>第 2 季度</v>
      </c>
      <c r="C224" s="8" t="str">
        <f>MONTH(records[[#This Row],[日期]])&amp;" 月"</f>
        <v>3 月</v>
      </c>
      <c r="D224" s="8" t="str">
        <f>"第 "&amp;WEEKNUM(records[[#This Row],[日期]],2)&amp;" 周"</f>
        <v>第 10 周</v>
      </c>
      <c r="E224" s="8">
        <v>43895</v>
      </c>
      <c r="F224" s="9">
        <v>0.95138888888888884</v>
      </c>
      <c r="G224" s="9">
        <v>0.95833333333333337</v>
      </c>
      <c r="H224" s="9">
        <f>records[[#This Row],[结束时刻]]-records[[#This Row],[开始时刻]]</f>
        <v>6.9444444444445308E-3</v>
      </c>
      <c r="I224" s="14" t="s">
        <v>187</v>
      </c>
      <c r="J224" s="25">
        <v>0</v>
      </c>
      <c r="K224" s="10"/>
    </row>
    <row r="225" spans="1:11">
      <c r="A225" s="10"/>
      <c r="B225" s="8"/>
      <c r="C225" s="8"/>
      <c r="D225" s="8"/>
      <c r="E225" s="8"/>
      <c r="F225" s="9"/>
      <c r="G225" s="9"/>
      <c r="H225" s="9"/>
      <c r="I225" s="14"/>
      <c r="J225" s="25"/>
      <c r="K225" s="10"/>
    </row>
    <row r="226" spans="1:11">
      <c r="A226" s="10"/>
      <c r="B226" s="8"/>
      <c r="C226" s="8"/>
      <c r="D226" s="8"/>
      <c r="E226" s="8"/>
      <c r="F226" s="9"/>
      <c r="G226" s="9"/>
      <c r="H226" s="9"/>
      <c r="I226" s="14"/>
      <c r="J226" s="25"/>
      <c r="K226" s="10"/>
    </row>
    <row r="227" spans="1:11">
      <c r="A227" s="10"/>
      <c r="B227" s="8"/>
      <c r="C227" s="8"/>
      <c r="D227" s="8"/>
      <c r="E227" s="8"/>
      <c r="F227" s="9"/>
      <c r="G227" s="9"/>
      <c r="H227" s="9"/>
      <c r="I227" s="14"/>
      <c r="J227" s="25"/>
      <c r="K227" s="10"/>
    </row>
    <row r="228" spans="1:11">
      <c r="A228" s="10"/>
      <c r="B228" s="8"/>
      <c r="C228" s="8"/>
      <c r="D228" s="8"/>
      <c r="E228" s="8"/>
      <c r="F228" s="9"/>
      <c r="G228" s="9"/>
      <c r="H228" s="9"/>
      <c r="I228" s="14"/>
      <c r="J228" s="25"/>
      <c r="K228" s="10"/>
    </row>
    <row r="229" spans="1:11">
      <c r="A229" s="10"/>
      <c r="B229" s="8"/>
      <c r="C229" s="8"/>
      <c r="D229" s="8"/>
      <c r="E229" s="8"/>
      <c r="F229" s="9"/>
      <c r="G229" s="9"/>
      <c r="H229" s="9"/>
      <c r="I229" s="14"/>
      <c r="J229" s="25"/>
      <c r="K229" s="10"/>
    </row>
    <row r="230" spans="1:11">
      <c r="A230" s="10"/>
      <c r="B230" s="8"/>
      <c r="C230" s="8"/>
      <c r="D230" s="8"/>
      <c r="E230" s="8"/>
      <c r="F230" s="8"/>
      <c r="G230" s="9"/>
      <c r="H230" s="9"/>
      <c r="I230" s="14"/>
      <c r="J230" s="25"/>
      <c r="K230" s="10"/>
    </row>
  </sheetData>
  <mergeCells count="1">
    <mergeCell ref="A1:K3"/>
  </mergeCells>
  <phoneticPr fontId="1" type="noConversion"/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2F5E1-8034-CB43-9A05-FB941B83E585}">
  <dimension ref="A1:BC43"/>
  <sheetViews>
    <sheetView tabSelected="1" topLeftCell="AK15" workbookViewId="0">
      <selection activeCell="BC42" sqref="BC42"/>
    </sheetView>
  </sheetViews>
  <sheetFormatPr baseColWidth="10" defaultRowHeight="16"/>
  <cols>
    <col min="1" max="1" width="12.5" bestFit="1" customWidth="1"/>
    <col min="2" max="54" width="10.5" bestFit="1" customWidth="1"/>
    <col min="55" max="56" width="9" bestFit="1" customWidth="1"/>
    <col min="57" max="58" width="9.33203125" bestFit="1" customWidth="1"/>
    <col min="59" max="59" width="11.5" bestFit="1" customWidth="1"/>
    <col min="60" max="61" width="9.33203125" bestFit="1" customWidth="1"/>
    <col min="62" max="62" width="11.5" bestFit="1" customWidth="1"/>
    <col min="63" max="63" width="9.33203125" bestFit="1" customWidth="1"/>
    <col min="64" max="64" width="11.5" bestFit="1" customWidth="1"/>
    <col min="65" max="66" width="8.1640625" bestFit="1" customWidth="1"/>
    <col min="67" max="67" width="10.33203125" bestFit="1" customWidth="1"/>
    <col min="68" max="69" width="8.1640625" bestFit="1" customWidth="1"/>
    <col min="70" max="70" width="10.33203125" bestFit="1" customWidth="1"/>
    <col min="71" max="73" width="8.1640625" bestFit="1" customWidth="1"/>
    <col min="74" max="74" width="10.33203125" bestFit="1" customWidth="1"/>
    <col min="75" max="75" width="8.1640625" bestFit="1" customWidth="1"/>
    <col min="76" max="76" width="10.33203125" bestFit="1" customWidth="1"/>
    <col min="77" max="77" width="8.1640625" bestFit="1" customWidth="1"/>
    <col min="78" max="78" width="10.33203125" bestFit="1" customWidth="1"/>
    <col min="79" max="79" width="8.1640625" bestFit="1" customWidth="1"/>
    <col min="80" max="80" width="10.33203125" bestFit="1" customWidth="1"/>
    <col min="81" max="81" width="9.33203125" bestFit="1" customWidth="1"/>
    <col min="82" max="82" width="11.5" bestFit="1" customWidth="1"/>
    <col min="83" max="83" width="9.33203125" bestFit="1" customWidth="1"/>
    <col min="84" max="84" width="11.5" bestFit="1" customWidth="1"/>
    <col min="85" max="85" width="9.33203125" bestFit="1" customWidth="1"/>
    <col min="86" max="86" width="11.5" bestFit="1" customWidth="1"/>
    <col min="87" max="87" width="9.33203125" bestFit="1" customWidth="1"/>
    <col min="88" max="88" width="11.5" bestFit="1" customWidth="1"/>
    <col min="89" max="89" width="9.33203125" bestFit="1" customWidth="1"/>
    <col min="90" max="90" width="11.5" bestFit="1" customWidth="1"/>
    <col min="91" max="91" width="9.33203125" bestFit="1" customWidth="1"/>
    <col min="92" max="92" width="11.5" bestFit="1" customWidth="1"/>
    <col min="93" max="93" width="8.1640625" bestFit="1" customWidth="1"/>
    <col min="94" max="94" width="10.33203125" bestFit="1" customWidth="1"/>
    <col min="95" max="95" width="8.1640625" bestFit="1" customWidth="1"/>
    <col min="96" max="96" width="10.33203125" bestFit="1" customWidth="1"/>
    <col min="97" max="97" width="9.33203125" bestFit="1" customWidth="1"/>
    <col min="98" max="98" width="11.5" bestFit="1" customWidth="1"/>
    <col min="99" max="99" width="9.33203125" bestFit="1" customWidth="1"/>
    <col min="100" max="100" width="11.5" bestFit="1" customWidth="1"/>
    <col min="101" max="101" width="9.33203125" bestFit="1" customWidth="1"/>
    <col min="102" max="102" width="11.5" bestFit="1" customWidth="1"/>
    <col min="103" max="103" width="9.33203125" bestFit="1" customWidth="1"/>
    <col min="104" max="104" width="11.5" bestFit="1" customWidth="1"/>
    <col min="105" max="106" width="9.33203125" bestFit="1" customWidth="1"/>
    <col min="107" max="107" width="11.5" bestFit="1" customWidth="1"/>
    <col min="108" max="108" width="8.1640625" bestFit="1" customWidth="1"/>
    <col min="109" max="109" width="10.33203125" bestFit="1" customWidth="1"/>
    <col min="110" max="111" width="9.33203125" bestFit="1" customWidth="1"/>
    <col min="112" max="112" width="11.5" bestFit="1" customWidth="1"/>
    <col min="113" max="113" width="9.33203125" bestFit="1" customWidth="1"/>
    <col min="114" max="114" width="11.5" bestFit="1" customWidth="1"/>
    <col min="115" max="115" width="8.1640625" bestFit="1" customWidth="1"/>
    <col min="116" max="116" width="10.33203125" bestFit="1" customWidth="1"/>
    <col min="117" max="117" width="8.1640625" bestFit="1" customWidth="1"/>
    <col min="118" max="118" width="10.33203125" bestFit="1" customWidth="1"/>
    <col min="119" max="119" width="9.33203125" bestFit="1" customWidth="1"/>
    <col min="120" max="120" width="11.5" bestFit="1" customWidth="1"/>
    <col min="121" max="121" width="9.5" bestFit="1" customWidth="1"/>
    <col min="122" max="122" width="11.83203125" bestFit="1" customWidth="1"/>
    <col min="123" max="123" width="9" bestFit="1" customWidth="1"/>
    <col min="124" max="124" width="11.83203125" bestFit="1" customWidth="1"/>
    <col min="125" max="125" width="9" bestFit="1" customWidth="1"/>
    <col min="126" max="126" width="9.33203125" bestFit="1" customWidth="1"/>
    <col min="127" max="127" width="11.5" bestFit="1" customWidth="1"/>
    <col min="128" max="128" width="9.5" bestFit="1" customWidth="1"/>
    <col min="129" max="129" width="11.83203125" bestFit="1" customWidth="1"/>
    <col min="130" max="131" width="9" bestFit="1" customWidth="1"/>
    <col min="132" max="132" width="11.83203125" bestFit="1" customWidth="1"/>
    <col min="133" max="133" width="9" bestFit="1" customWidth="1"/>
    <col min="134" max="134" width="9.5" bestFit="1" customWidth="1"/>
    <col min="135" max="135" width="11.83203125" bestFit="1" customWidth="1"/>
    <col min="136" max="136" width="9" bestFit="1" customWidth="1"/>
    <col min="137" max="137" width="9.5" bestFit="1" customWidth="1"/>
    <col min="138" max="138" width="11.83203125" bestFit="1" customWidth="1"/>
    <col min="139" max="141" width="9" bestFit="1" customWidth="1"/>
    <col min="142" max="142" width="11.83203125" bestFit="1" customWidth="1"/>
    <col min="143" max="143" width="9" bestFit="1" customWidth="1"/>
    <col min="144" max="144" width="9.5" bestFit="1" customWidth="1"/>
    <col min="145" max="145" width="11.83203125" bestFit="1" customWidth="1"/>
    <col min="146" max="147" width="9" bestFit="1" customWidth="1"/>
  </cols>
  <sheetData>
    <row r="1" spans="1:17" ht="16" customHeight="1">
      <c r="A1" s="37" t="s">
        <v>111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</row>
    <row r="2" spans="1:17" ht="16" customHeight="1">
      <c r="A2" s="37"/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</row>
    <row r="28" spans="1:55">
      <c r="A28" s="20" t="s">
        <v>108</v>
      </c>
      <c r="B28" s="20" t="s">
        <v>109</v>
      </c>
      <c r="C28" s="20" t="s">
        <v>110</v>
      </c>
    </row>
    <row r="29" spans="1:55">
      <c r="B29" s="18">
        <v>0.25</v>
      </c>
      <c r="C29" s="18">
        <v>0.25347222222222221</v>
      </c>
      <c r="D29" s="18">
        <v>0.30208333333333331</v>
      </c>
      <c r="E29" s="18">
        <v>0.32291666666666669</v>
      </c>
      <c r="F29" s="18">
        <v>0.875</v>
      </c>
      <c r="G29" s="18">
        <v>0.91666666666666663</v>
      </c>
      <c r="H29" s="18">
        <v>0.9375</v>
      </c>
      <c r="I29" s="18">
        <v>0.94791666666666663</v>
      </c>
      <c r="J29" s="18">
        <v>0</v>
      </c>
      <c r="K29" s="18">
        <v>0.33333333333333331</v>
      </c>
      <c r="L29" s="18">
        <v>0.375</v>
      </c>
      <c r="M29" s="18">
        <v>0.4375</v>
      </c>
      <c r="N29" s="18">
        <v>0.77083333333333337</v>
      </c>
      <c r="O29" s="18">
        <v>0.99930555555555556</v>
      </c>
      <c r="P29" s="18">
        <v>0.35416666666666669</v>
      </c>
      <c r="Q29" s="18">
        <v>0.52083333333333337</v>
      </c>
      <c r="R29" s="18">
        <v>0.97916666666666663</v>
      </c>
      <c r="S29" s="18">
        <v>0.41666666666666669</v>
      </c>
      <c r="T29" s="18">
        <v>0.45833333333333331</v>
      </c>
      <c r="U29" s="18">
        <v>0.47916666666666669</v>
      </c>
      <c r="V29" s="18">
        <v>0.5</v>
      </c>
      <c r="W29" s="18">
        <v>0.54861111111111105</v>
      </c>
      <c r="X29" s="18">
        <v>0.58333333333333337</v>
      </c>
      <c r="Y29" s="18">
        <v>0.625</v>
      </c>
      <c r="Z29" s="18">
        <v>0.66666666666666663</v>
      </c>
      <c r="AA29" s="18">
        <v>0.70833333333333337</v>
      </c>
      <c r="AB29" s="18">
        <v>0.75</v>
      </c>
      <c r="AC29" s="18">
        <v>0.83333333333333337</v>
      </c>
      <c r="AD29" s="18">
        <v>0.29444444444444445</v>
      </c>
      <c r="AE29" s="18">
        <v>0.2986111111111111</v>
      </c>
      <c r="AF29" s="18">
        <v>0.3611111111111111</v>
      </c>
      <c r="AG29" s="18">
        <v>0.36458333333333331</v>
      </c>
      <c r="AH29" s="18">
        <v>0.36805555555555558</v>
      </c>
      <c r="AI29" s="18">
        <v>0.39583333333333331</v>
      </c>
      <c r="AJ29" s="18">
        <v>0.5625</v>
      </c>
      <c r="AK29" s="18">
        <v>0.60416666666666663</v>
      </c>
      <c r="AL29" s="18">
        <v>0.65277777777777779</v>
      </c>
      <c r="AM29" s="18">
        <v>0.8125</v>
      </c>
      <c r="AN29" s="18">
        <v>0.94444444444444453</v>
      </c>
      <c r="AO29" s="18">
        <v>0.95138888888888884</v>
      </c>
      <c r="AP29" s="18">
        <v>0.25694444444444448</v>
      </c>
      <c r="AQ29" s="18">
        <v>0.31944444444444448</v>
      </c>
      <c r="AR29" s="18">
        <v>0.54513888888888895</v>
      </c>
      <c r="AS29" s="18">
        <v>0.59027777777777779</v>
      </c>
      <c r="AT29" s="18">
        <v>0.63541666666666663</v>
      </c>
      <c r="AU29" s="18">
        <v>0.72916666666666663</v>
      </c>
      <c r="AV29" s="18">
        <v>0.79166666666666663</v>
      </c>
      <c r="AW29" s="18">
        <v>0.34375</v>
      </c>
      <c r="AX29" s="18">
        <v>0.54166666666666663</v>
      </c>
      <c r="AY29" s="18">
        <v>0.64583333333333337</v>
      </c>
      <c r="AZ29" s="18">
        <v>0.3576388888888889</v>
      </c>
      <c r="BA29" s="18">
        <v>0.37847222222222227</v>
      </c>
      <c r="BB29" s="18">
        <v>0.56597222222222221</v>
      </c>
      <c r="BC29" s="18" t="s">
        <v>107</v>
      </c>
    </row>
    <row r="30" spans="1:55">
      <c r="A30" s="20" t="s">
        <v>27</v>
      </c>
    </row>
    <row r="31" spans="1:55">
      <c r="A31" s="6">
        <v>43884</v>
      </c>
      <c r="B31" s="19">
        <v>-0.2</v>
      </c>
      <c r="C31" s="19">
        <v>-0.1</v>
      </c>
      <c r="D31" s="19">
        <v>-0.1</v>
      </c>
      <c r="E31" s="19">
        <v>-0.1</v>
      </c>
      <c r="F31" s="19">
        <v>0.1</v>
      </c>
      <c r="G31" s="19">
        <v>-0.1</v>
      </c>
      <c r="H31" s="19">
        <v>0.1</v>
      </c>
      <c r="I31" s="19">
        <v>0.08</v>
      </c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>
        <v>-0.32</v>
      </c>
    </row>
    <row r="32" spans="1:55">
      <c r="A32" s="6">
        <v>43885</v>
      </c>
      <c r="B32" s="19">
        <v>-0.30000000000000004</v>
      </c>
      <c r="C32" s="19">
        <v>-0.2</v>
      </c>
      <c r="D32" s="19">
        <v>-0.2</v>
      </c>
      <c r="E32" s="19">
        <v>-0.2</v>
      </c>
      <c r="F32" s="19">
        <v>0.1</v>
      </c>
      <c r="G32" s="19">
        <v>-0.2</v>
      </c>
      <c r="H32" s="19">
        <v>0.1</v>
      </c>
      <c r="I32" s="19">
        <v>0.1</v>
      </c>
      <c r="J32" s="19">
        <v>0.18</v>
      </c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>
        <v>-0.62000000000000011</v>
      </c>
    </row>
    <row r="33" spans="1:55">
      <c r="A33" s="6">
        <v>43886</v>
      </c>
      <c r="B33" s="19">
        <v>0.2</v>
      </c>
      <c r="C33" s="19">
        <v>0.1</v>
      </c>
      <c r="D33" s="19">
        <v>0.1</v>
      </c>
      <c r="E33" s="19">
        <v>0.1</v>
      </c>
      <c r="F33" s="19">
        <v>0.2</v>
      </c>
      <c r="G33" s="19">
        <v>0.1</v>
      </c>
      <c r="H33" s="19">
        <v>0.2</v>
      </c>
      <c r="I33" s="19">
        <v>0.2</v>
      </c>
      <c r="J33" s="19"/>
      <c r="K33" s="19">
        <v>0.1</v>
      </c>
      <c r="L33" s="19">
        <v>0.2</v>
      </c>
      <c r="M33" s="19">
        <v>0.1</v>
      </c>
      <c r="N33" s="19">
        <v>0.1</v>
      </c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>
        <v>1.7000000000000002</v>
      </c>
    </row>
    <row r="34" spans="1:55">
      <c r="A34" s="6">
        <v>43887</v>
      </c>
      <c r="B34" s="19">
        <v>0.2</v>
      </c>
      <c r="C34" s="19">
        <v>0.1</v>
      </c>
      <c r="D34" s="19">
        <v>0.1</v>
      </c>
      <c r="E34" s="19">
        <v>0.1</v>
      </c>
      <c r="F34" s="19">
        <v>0.2</v>
      </c>
      <c r="G34" s="19">
        <v>0.1</v>
      </c>
      <c r="H34" s="19">
        <v>0.2</v>
      </c>
      <c r="I34" s="19">
        <v>0.2</v>
      </c>
      <c r="J34" s="19">
        <v>0.9</v>
      </c>
      <c r="K34" s="19">
        <v>0.8</v>
      </c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>
        <v>2.9000000000000004</v>
      </c>
    </row>
    <row r="35" spans="1:55">
      <c r="A35" s="6">
        <v>43888</v>
      </c>
      <c r="B35" s="19">
        <v>0.4</v>
      </c>
      <c r="C35" s="19">
        <v>0.2</v>
      </c>
      <c r="D35" s="19">
        <v>0.2</v>
      </c>
      <c r="E35" s="19">
        <v>0.2</v>
      </c>
      <c r="F35" s="19">
        <v>0.2</v>
      </c>
      <c r="G35" s="19">
        <v>0.2</v>
      </c>
      <c r="H35" s="19">
        <v>0.2</v>
      </c>
      <c r="I35" s="19">
        <v>0.2</v>
      </c>
      <c r="J35" s="19">
        <v>-0.42</v>
      </c>
      <c r="K35" s="19"/>
      <c r="L35" s="19"/>
      <c r="M35" s="19"/>
      <c r="N35" s="19"/>
      <c r="O35" s="19">
        <v>0.18</v>
      </c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>
        <v>1.5599999999999998</v>
      </c>
    </row>
    <row r="36" spans="1:55">
      <c r="A36" s="6">
        <v>43889</v>
      </c>
      <c r="B36" s="19">
        <v>0.2</v>
      </c>
      <c r="C36" s="19">
        <v>0.2</v>
      </c>
      <c r="D36" s="19">
        <v>0.38</v>
      </c>
      <c r="E36" s="19">
        <v>0.2</v>
      </c>
      <c r="F36" s="19">
        <v>0.3</v>
      </c>
      <c r="G36" s="19">
        <v>0.2</v>
      </c>
      <c r="H36" s="19">
        <v>0.3</v>
      </c>
      <c r="I36" s="19">
        <v>0.3</v>
      </c>
      <c r="J36" s="19">
        <v>1.56</v>
      </c>
      <c r="K36" s="19"/>
      <c r="L36" s="19"/>
      <c r="M36" s="19"/>
      <c r="N36" s="19"/>
      <c r="O36" s="19"/>
      <c r="P36" s="19">
        <v>0.1</v>
      </c>
      <c r="Q36" s="19">
        <v>0.2</v>
      </c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>
        <v>3.9400000000000004</v>
      </c>
    </row>
    <row r="37" spans="1:55">
      <c r="A37" s="6">
        <v>43890</v>
      </c>
      <c r="B37" s="19">
        <v>0.2</v>
      </c>
      <c r="C37" s="19">
        <v>0.2</v>
      </c>
      <c r="D37" s="19">
        <v>0.4</v>
      </c>
      <c r="E37" s="19">
        <v>0.2</v>
      </c>
      <c r="F37" s="19">
        <v>0.5</v>
      </c>
      <c r="G37" s="19">
        <v>0.8</v>
      </c>
      <c r="H37" s="19">
        <v>0.5</v>
      </c>
      <c r="I37" s="19">
        <v>0.1</v>
      </c>
      <c r="J37" s="19">
        <v>0.23</v>
      </c>
      <c r="K37" s="19"/>
      <c r="L37" s="19"/>
      <c r="M37" s="19">
        <v>0.75</v>
      </c>
      <c r="N37" s="19"/>
      <c r="O37" s="19"/>
      <c r="P37" s="19"/>
      <c r="Q37" s="19"/>
      <c r="R37" s="19">
        <v>0.3</v>
      </c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>
        <v>4.18</v>
      </c>
    </row>
    <row r="38" spans="1:55">
      <c r="A38" s="6">
        <v>43891</v>
      </c>
      <c r="B38" s="19">
        <v>0.3</v>
      </c>
      <c r="C38" s="19">
        <v>0.3</v>
      </c>
      <c r="D38" s="19">
        <v>0.6</v>
      </c>
      <c r="E38" s="19">
        <v>0.3</v>
      </c>
      <c r="F38" s="19">
        <v>0.5</v>
      </c>
      <c r="G38" s="19">
        <v>0.3</v>
      </c>
      <c r="H38" s="19">
        <v>0.5</v>
      </c>
      <c r="I38" s="19">
        <v>0.1</v>
      </c>
      <c r="J38" s="19">
        <v>8.1000000000000003E-2</v>
      </c>
      <c r="K38" s="19">
        <v>6.4000000000000001E-2</v>
      </c>
      <c r="L38" s="19"/>
      <c r="M38" s="19"/>
      <c r="N38" s="19">
        <v>0.1</v>
      </c>
      <c r="O38" s="19"/>
      <c r="P38" s="19"/>
      <c r="Q38" s="19">
        <v>0.1</v>
      </c>
      <c r="R38" s="19">
        <v>0</v>
      </c>
      <c r="S38" s="19">
        <v>4.2999999999999997E-2</v>
      </c>
      <c r="T38" s="19">
        <v>0.1</v>
      </c>
      <c r="U38" s="19">
        <v>0.1</v>
      </c>
      <c r="V38" s="19">
        <v>0.3</v>
      </c>
      <c r="W38" s="19">
        <v>0.1</v>
      </c>
      <c r="X38" s="19">
        <v>0.1</v>
      </c>
      <c r="Y38" s="19">
        <v>0.1</v>
      </c>
      <c r="Z38" s="19">
        <v>0.1</v>
      </c>
      <c r="AA38" s="19">
        <v>0.1</v>
      </c>
      <c r="AB38" s="19">
        <v>0.1</v>
      </c>
      <c r="AC38" s="19">
        <v>0.1</v>
      </c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>
        <v>4.4879999999999987</v>
      </c>
    </row>
    <row r="39" spans="1:55">
      <c r="A39" s="6">
        <v>43892</v>
      </c>
      <c r="B39" s="19"/>
      <c r="C39" s="19"/>
      <c r="D39" s="19"/>
      <c r="E39" s="19"/>
      <c r="F39" s="19">
        <v>0.6</v>
      </c>
      <c r="G39" s="19">
        <v>0.5</v>
      </c>
      <c r="H39" s="19">
        <v>0.1</v>
      </c>
      <c r="I39" s="19"/>
      <c r="J39" s="19"/>
      <c r="K39" s="19">
        <v>0.5</v>
      </c>
      <c r="L39" s="19"/>
      <c r="M39" s="19">
        <v>0.03</v>
      </c>
      <c r="N39" s="19">
        <v>1.4999999999999999E-2</v>
      </c>
      <c r="O39" s="19"/>
      <c r="P39" s="19"/>
      <c r="Q39" s="19"/>
      <c r="R39" s="19"/>
      <c r="S39" s="19"/>
      <c r="T39" s="19">
        <v>0.1</v>
      </c>
      <c r="U39" s="19">
        <v>0.1</v>
      </c>
      <c r="V39" s="19">
        <v>0.1</v>
      </c>
      <c r="W39" s="19"/>
      <c r="X39" s="19"/>
      <c r="Y39" s="19">
        <v>0.02</v>
      </c>
      <c r="Z39" s="19"/>
      <c r="AA39" s="19">
        <v>0.1</v>
      </c>
      <c r="AB39" s="19">
        <v>0.1</v>
      </c>
      <c r="AC39" s="19">
        <v>0.1</v>
      </c>
      <c r="AD39" s="19">
        <v>1</v>
      </c>
      <c r="AE39" s="19">
        <v>0.5</v>
      </c>
      <c r="AF39" s="19">
        <v>0.6</v>
      </c>
      <c r="AG39" s="19">
        <v>0.1</v>
      </c>
      <c r="AH39" s="19">
        <v>0.1</v>
      </c>
      <c r="AI39" s="19">
        <v>0</v>
      </c>
      <c r="AJ39" s="19">
        <v>0.1</v>
      </c>
      <c r="AK39" s="19">
        <v>0.1</v>
      </c>
      <c r="AL39" s="19">
        <v>0.04</v>
      </c>
      <c r="AM39" s="19">
        <v>0.1</v>
      </c>
      <c r="AN39" s="19">
        <v>0.6</v>
      </c>
      <c r="AO39" s="19">
        <v>0.1</v>
      </c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>
        <v>5.7049999999999983</v>
      </c>
    </row>
    <row r="40" spans="1:55">
      <c r="A40" s="6">
        <v>43893</v>
      </c>
      <c r="B40" s="19">
        <v>1</v>
      </c>
      <c r="C40" s="19"/>
      <c r="D40" s="19"/>
      <c r="E40" s="19"/>
      <c r="F40" s="19">
        <v>0.6</v>
      </c>
      <c r="G40" s="19">
        <v>0.5</v>
      </c>
      <c r="H40" s="19">
        <v>-0.2</v>
      </c>
      <c r="I40" s="19"/>
      <c r="J40" s="19"/>
      <c r="K40" s="19">
        <v>0.04</v>
      </c>
      <c r="L40" s="19"/>
      <c r="M40" s="19"/>
      <c r="N40" s="19">
        <v>0.2</v>
      </c>
      <c r="O40" s="19"/>
      <c r="P40" s="19"/>
      <c r="Q40" s="19">
        <v>0.1</v>
      </c>
      <c r="R40" s="19"/>
      <c r="S40" s="19"/>
      <c r="T40" s="19">
        <v>0.2</v>
      </c>
      <c r="U40" s="19"/>
      <c r="V40" s="19">
        <v>0.2</v>
      </c>
      <c r="W40" s="19"/>
      <c r="X40" s="19"/>
      <c r="Y40" s="19"/>
      <c r="Z40" s="19">
        <v>0.1</v>
      </c>
      <c r="AA40" s="19">
        <v>0.1</v>
      </c>
      <c r="AB40" s="19"/>
      <c r="AC40" s="19">
        <v>0.1</v>
      </c>
      <c r="AD40" s="19"/>
      <c r="AE40" s="19">
        <v>0.5</v>
      </c>
      <c r="AF40" s="19">
        <v>0.08</v>
      </c>
      <c r="AG40" s="19"/>
      <c r="AH40" s="19"/>
      <c r="AI40" s="19"/>
      <c r="AJ40" s="19"/>
      <c r="AK40" s="19"/>
      <c r="AL40" s="19"/>
      <c r="AM40" s="19"/>
      <c r="AN40" s="19">
        <v>-0.6</v>
      </c>
      <c r="AO40" s="19">
        <v>-0.1</v>
      </c>
      <c r="AP40" s="19">
        <v>0.5</v>
      </c>
      <c r="AQ40" s="19">
        <v>0.5</v>
      </c>
      <c r="AR40" s="19">
        <v>0.1</v>
      </c>
      <c r="AS40" s="19">
        <v>0.1</v>
      </c>
      <c r="AT40" s="19">
        <v>0.1</v>
      </c>
      <c r="AU40" s="19">
        <v>0.2</v>
      </c>
      <c r="AV40" s="19">
        <v>0.1</v>
      </c>
      <c r="AW40" s="19"/>
      <c r="AX40" s="19"/>
      <c r="AY40" s="19"/>
      <c r="AZ40" s="19"/>
      <c r="BA40" s="19"/>
      <c r="BB40" s="19"/>
      <c r="BC40" s="19">
        <v>4.42</v>
      </c>
    </row>
    <row r="41" spans="1:55">
      <c r="A41" s="6">
        <v>43894</v>
      </c>
      <c r="B41" s="19">
        <v>1.2</v>
      </c>
      <c r="C41" s="19"/>
      <c r="D41" s="19"/>
      <c r="E41" s="19"/>
      <c r="F41" s="19">
        <v>0.6</v>
      </c>
      <c r="G41" s="19">
        <v>0.6</v>
      </c>
      <c r="H41" s="19">
        <v>0.1</v>
      </c>
      <c r="I41" s="19"/>
      <c r="J41" s="19">
        <v>9.4E-2</v>
      </c>
      <c r="K41" s="19">
        <v>0.1</v>
      </c>
      <c r="L41" s="19">
        <v>0.1</v>
      </c>
      <c r="M41" s="19"/>
      <c r="N41" s="19">
        <v>0.1</v>
      </c>
      <c r="O41" s="19"/>
      <c r="P41" s="19">
        <v>0.1</v>
      </c>
      <c r="Q41" s="19">
        <v>0.1</v>
      </c>
      <c r="R41" s="19"/>
      <c r="S41" s="19"/>
      <c r="T41" s="19">
        <v>0.2</v>
      </c>
      <c r="U41" s="19"/>
      <c r="V41" s="19">
        <v>0.2</v>
      </c>
      <c r="W41" s="19"/>
      <c r="X41" s="19"/>
      <c r="Y41" s="19">
        <v>0.04</v>
      </c>
      <c r="Z41" s="19">
        <v>0.01</v>
      </c>
      <c r="AA41" s="19">
        <v>0.2</v>
      </c>
      <c r="AB41" s="19">
        <v>0.2</v>
      </c>
      <c r="AC41" s="19">
        <v>0.1</v>
      </c>
      <c r="AD41" s="19"/>
      <c r="AE41" s="19">
        <v>0.6</v>
      </c>
      <c r="AF41" s="19"/>
      <c r="AG41" s="19"/>
      <c r="AH41" s="19"/>
      <c r="AI41" s="19"/>
      <c r="AJ41" s="19"/>
      <c r="AK41" s="19"/>
      <c r="AL41" s="19"/>
      <c r="AM41" s="19"/>
      <c r="AN41" s="19">
        <v>0.1</v>
      </c>
      <c r="AO41" s="19">
        <v>0.1</v>
      </c>
      <c r="AP41" s="19">
        <v>0.6</v>
      </c>
      <c r="AQ41" s="19">
        <v>0.6</v>
      </c>
      <c r="AR41" s="19"/>
      <c r="AS41" s="19"/>
      <c r="AT41" s="19"/>
      <c r="AU41" s="19"/>
      <c r="AV41" s="19"/>
      <c r="AW41" s="19">
        <v>0.1</v>
      </c>
      <c r="AX41" s="19">
        <v>0.1</v>
      </c>
      <c r="AY41" s="19">
        <v>0.01</v>
      </c>
      <c r="AZ41" s="19"/>
      <c r="BA41" s="19"/>
      <c r="BB41" s="19"/>
      <c r="BC41" s="19">
        <v>6.2539999999999978</v>
      </c>
    </row>
    <row r="42" spans="1:55">
      <c r="A42" s="6">
        <v>43895</v>
      </c>
      <c r="B42" s="19">
        <v>1.2</v>
      </c>
      <c r="C42" s="19"/>
      <c r="D42" s="19"/>
      <c r="E42" s="19"/>
      <c r="F42" s="19">
        <v>0.7</v>
      </c>
      <c r="G42" s="19">
        <v>0.6</v>
      </c>
      <c r="H42" s="19">
        <v>0</v>
      </c>
      <c r="I42" s="19"/>
      <c r="J42" s="19">
        <v>9.1999999999999998E-2</v>
      </c>
      <c r="K42" s="19">
        <v>0.2</v>
      </c>
      <c r="L42" s="19"/>
      <c r="M42" s="19"/>
      <c r="N42" s="19">
        <v>0.1</v>
      </c>
      <c r="O42" s="19"/>
      <c r="P42" s="19"/>
      <c r="Q42" s="19">
        <v>0.1</v>
      </c>
      <c r="R42" s="19"/>
      <c r="S42" s="19"/>
      <c r="T42" s="19">
        <v>0.3</v>
      </c>
      <c r="U42" s="19"/>
      <c r="V42" s="19">
        <v>0.4</v>
      </c>
      <c r="W42" s="19"/>
      <c r="X42" s="19"/>
      <c r="Y42" s="19">
        <v>0.1</v>
      </c>
      <c r="Z42" s="19"/>
      <c r="AA42" s="19">
        <v>0.2</v>
      </c>
      <c r="AB42" s="19">
        <v>0.2</v>
      </c>
      <c r="AC42" s="19"/>
      <c r="AD42" s="19"/>
      <c r="AE42" s="19">
        <v>0.6</v>
      </c>
      <c r="AF42" s="19"/>
      <c r="AG42" s="19"/>
      <c r="AH42" s="19"/>
      <c r="AI42" s="19"/>
      <c r="AJ42" s="19"/>
      <c r="AK42" s="19"/>
      <c r="AL42" s="19"/>
      <c r="AM42" s="19"/>
      <c r="AN42" s="19">
        <v>0</v>
      </c>
      <c r="AO42" s="19">
        <v>0</v>
      </c>
      <c r="AP42" s="19">
        <v>0.6</v>
      </c>
      <c r="AQ42" s="19">
        <v>0.6</v>
      </c>
      <c r="AR42" s="19"/>
      <c r="AS42" s="19"/>
      <c r="AT42" s="19"/>
      <c r="AU42" s="19"/>
      <c r="AV42" s="19">
        <v>0.1</v>
      </c>
      <c r="AW42" s="19"/>
      <c r="AX42" s="19">
        <v>0.1</v>
      </c>
      <c r="AY42" s="19"/>
      <c r="AZ42" s="19">
        <v>0.1</v>
      </c>
      <c r="BA42" s="19">
        <v>0.1</v>
      </c>
      <c r="BB42" s="19">
        <v>0.1</v>
      </c>
      <c r="BC42" s="19">
        <v>6.4919999999999973</v>
      </c>
    </row>
    <row r="43" spans="1:55">
      <c r="A43" s="6" t="s">
        <v>107</v>
      </c>
      <c r="B43" s="19">
        <v>4.4000000000000004</v>
      </c>
      <c r="C43" s="19">
        <v>0.8</v>
      </c>
      <c r="D43" s="19">
        <v>1.48</v>
      </c>
      <c r="E43" s="19">
        <v>0.8</v>
      </c>
      <c r="F43" s="19">
        <v>4.6000000000000005</v>
      </c>
      <c r="G43" s="19">
        <v>3.6000000000000005</v>
      </c>
      <c r="H43" s="19">
        <v>2.1</v>
      </c>
      <c r="I43" s="19">
        <v>1.2800000000000002</v>
      </c>
      <c r="J43" s="19">
        <v>2.7170000000000001</v>
      </c>
      <c r="K43" s="19">
        <v>1.804</v>
      </c>
      <c r="L43" s="19">
        <v>0.30000000000000004</v>
      </c>
      <c r="M43" s="19">
        <v>0.88</v>
      </c>
      <c r="N43" s="19">
        <v>0.61499999999999999</v>
      </c>
      <c r="O43" s="19">
        <v>0.18</v>
      </c>
      <c r="P43" s="19">
        <v>0.2</v>
      </c>
      <c r="Q43" s="19">
        <v>0.6</v>
      </c>
      <c r="R43" s="19">
        <v>0.3</v>
      </c>
      <c r="S43" s="19">
        <v>4.2999999999999997E-2</v>
      </c>
      <c r="T43" s="19">
        <v>0.90000000000000013</v>
      </c>
      <c r="U43" s="19">
        <v>0.2</v>
      </c>
      <c r="V43" s="19">
        <v>1.2000000000000002</v>
      </c>
      <c r="W43" s="19">
        <v>0.1</v>
      </c>
      <c r="X43" s="19">
        <v>0.1</v>
      </c>
      <c r="Y43" s="19">
        <v>0.26</v>
      </c>
      <c r="Z43" s="19">
        <v>0.21000000000000002</v>
      </c>
      <c r="AA43" s="19">
        <v>0.7</v>
      </c>
      <c r="AB43" s="19">
        <v>0.60000000000000009</v>
      </c>
      <c r="AC43" s="19">
        <v>0.4</v>
      </c>
      <c r="AD43" s="19">
        <v>1</v>
      </c>
      <c r="AE43" s="19">
        <v>2.2000000000000002</v>
      </c>
      <c r="AF43" s="19">
        <v>0.67999999999999994</v>
      </c>
      <c r="AG43" s="19">
        <v>0.1</v>
      </c>
      <c r="AH43" s="19">
        <v>0.1</v>
      </c>
      <c r="AI43" s="19">
        <v>0</v>
      </c>
      <c r="AJ43" s="19">
        <v>0.1</v>
      </c>
      <c r="AK43" s="19">
        <v>0.1</v>
      </c>
      <c r="AL43" s="19">
        <v>0.04</v>
      </c>
      <c r="AM43" s="19">
        <v>0.1</v>
      </c>
      <c r="AN43" s="19">
        <v>0.1</v>
      </c>
      <c r="AO43" s="19">
        <v>0.1</v>
      </c>
      <c r="AP43" s="19">
        <v>1.7000000000000002</v>
      </c>
      <c r="AQ43" s="19">
        <v>1.7000000000000002</v>
      </c>
      <c r="AR43" s="19">
        <v>0.1</v>
      </c>
      <c r="AS43" s="19">
        <v>0.1</v>
      </c>
      <c r="AT43" s="19">
        <v>0.1</v>
      </c>
      <c r="AU43" s="19">
        <v>0.2</v>
      </c>
      <c r="AV43" s="19">
        <v>0.2</v>
      </c>
      <c r="AW43" s="19">
        <v>0.1</v>
      </c>
      <c r="AX43" s="19">
        <v>0.2</v>
      </c>
      <c r="AY43" s="19">
        <v>0.01</v>
      </c>
      <c r="AZ43" s="19">
        <v>0.1</v>
      </c>
      <c r="BA43" s="19">
        <v>0.1</v>
      </c>
      <c r="BB43" s="19">
        <v>0.1</v>
      </c>
      <c r="BC43" s="19">
        <v>40.698999999999991</v>
      </c>
    </row>
  </sheetData>
  <mergeCells count="1">
    <mergeCell ref="A1:Q2"/>
  </mergeCells>
  <phoneticPr fontId="1" type="noConversion"/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54492-8537-E549-970D-B51F225FB432}">
  <dimension ref="A1:AK46"/>
  <sheetViews>
    <sheetView workbookViewId="0">
      <selection activeCell="A3" sqref="A3:B9"/>
    </sheetView>
  </sheetViews>
  <sheetFormatPr baseColWidth="10" defaultRowHeight="16"/>
  <cols>
    <col min="1" max="1" width="12.5" bestFit="1" customWidth="1"/>
    <col min="2" max="11" width="10.5" bestFit="1" customWidth="1"/>
    <col min="12" max="12" width="7" bestFit="1" customWidth="1"/>
    <col min="13" max="13" width="8.33203125" bestFit="1" customWidth="1"/>
    <col min="14" max="14" width="7" bestFit="1" customWidth="1"/>
    <col min="37" max="37" width="15.5" customWidth="1"/>
  </cols>
  <sheetData>
    <row r="1" spans="1:37" ht="21">
      <c r="A1" s="40" t="s">
        <v>59</v>
      </c>
      <c r="B1" s="40"/>
      <c r="C1" s="12"/>
      <c r="D1" s="39" t="s">
        <v>106</v>
      </c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E1" s="38" t="s">
        <v>60</v>
      </c>
      <c r="AF1" s="38"/>
      <c r="AG1" s="38"/>
      <c r="AH1" s="38"/>
      <c r="AI1" s="38"/>
      <c r="AJ1" s="38"/>
      <c r="AK1" s="38"/>
    </row>
    <row r="2" spans="1:37" ht="18">
      <c r="A2" s="1" t="s">
        <v>27</v>
      </c>
      <c r="B2" s="11" t="s">
        <v>28</v>
      </c>
      <c r="D2" s="1" t="s">
        <v>27</v>
      </c>
      <c r="E2" s="1" t="s">
        <v>31</v>
      </c>
      <c r="F2" s="1" t="s">
        <v>32</v>
      </c>
      <c r="G2" s="1" t="s">
        <v>33</v>
      </c>
      <c r="H2" s="1" t="s">
        <v>34</v>
      </c>
      <c r="I2" s="1" t="s">
        <v>35</v>
      </c>
      <c r="J2" s="1" t="s">
        <v>36</v>
      </c>
      <c r="K2" s="1" t="s">
        <v>30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49</v>
      </c>
      <c r="Y2" s="1" t="s">
        <v>50</v>
      </c>
      <c r="Z2" s="1" t="s">
        <v>51</v>
      </c>
      <c r="AA2" s="1" t="s">
        <v>52</v>
      </c>
      <c r="AB2" s="1" t="s">
        <v>53</v>
      </c>
      <c r="AC2" s="1" t="s">
        <v>55</v>
      </c>
      <c r="AE2" s="1" t="s">
        <v>27</v>
      </c>
      <c r="AF2" s="11" t="s">
        <v>5</v>
      </c>
      <c r="AG2" s="11" t="s">
        <v>7</v>
      </c>
      <c r="AH2" s="11" t="s">
        <v>8</v>
      </c>
      <c r="AI2" s="11" t="s">
        <v>9</v>
      </c>
      <c r="AJ2" s="11" t="s">
        <v>10</v>
      </c>
      <c r="AK2" s="11" t="s">
        <v>54</v>
      </c>
    </row>
    <row r="3" spans="1:37">
      <c r="A3" s="6">
        <v>43885</v>
      </c>
      <c r="B3">
        <f>SUMIF(records[日期],表6_11[[#This Row],[日期]],records[得分])</f>
        <v>-0.62000000000000011</v>
      </c>
      <c r="D3" s="6">
        <f>A3</f>
        <v>43885</v>
      </c>
      <c r="E3">
        <f>SUMIFS('records'!J5:J224,'records'!E5:E224,day!D3, 'records'!F5:F224, "&gt;=" &amp; day!E2,'records'!F5:F224, "&lt;" &amp; day!F2)</f>
        <v>0.18</v>
      </c>
      <c r="F3">
        <f>SUMIFS('records'!J5:J224,'records'!E5:E224,day!D3, 'records'!F5:F224, "&gt;=" &amp; day!F2,'records'!F5:F224, "&lt;" &amp; day!G2)</f>
        <v>0</v>
      </c>
      <c r="G3">
        <f>SUMIFS('records'!J5:J224,'records'!E5:E224,day!D3, 'records'!F5:F224, "&gt;=" &amp; day!G2,'records'!F5:F224, "&lt;" &amp; day!H2)</f>
        <v>0</v>
      </c>
      <c r="H3">
        <f>SUMIFS('records'!J5:J224,'records'!E5:E224,day!D3, 'records'!F5:F224, "&gt;=" &amp; day!H2,'records'!F5:F224, "&lt;" &amp; day!I2)</f>
        <v>0</v>
      </c>
      <c r="I3">
        <f>SUMIFS('records'!J5:J224,'records'!E5:E224,day!D3, 'records'!F5:F224, "&gt;=" &amp; day!I2,'records'!F5:F224, "&lt;" &amp; day!J2)</f>
        <v>0</v>
      </c>
      <c r="J3">
        <f>SUMIFS('records'!J5:J224,'records'!E5:E224,day!D3, 'records'!F5:F224, "&gt;=" &amp; day!J2,'records'!F5:F224, "&lt;" &amp; day!K2)</f>
        <v>0</v>
      </c>
      <c r="K3">
        <f>SUMIFS('records'!J5:J224,'records'!E5:E224,day!D3, 'records'!F5:F224, "&gt;=" &amp; day!K2,'records'!F5:F224, "&lt;" &amp; day!L2)</f>
        <v>-0.5</v>
      </c>
      <c r="L3">
        <f>SUMIFS('records'!J5:J224,'records'!E5:E224,day!D3, 'records'!F5:F224, "&gt;=" &amp; day!L2,'records'!F5:F224, "&lt;" &amp; day!M2)</f>
        <v>-0.4</v>
      </c>
      <c r="M3">
        <f>SUMIFS('records'!J5:J224,'records'!E5:E224,day!D3, 'records'!F5:F224, "&gt;=" &amp; day!M2,'records'!F5:F224, "&lt;" &amp; day!N2)</f>
        <v>0</v>
      </c>
      <c r="N3">
        <f>SUMIFS('records'!J5:J224,'records'!E5:E224,day!D3, 'records'!F5:F224, "&gt;=" &amp; day!N2,'records'!F5:F224, "&lt;" &amp; day!O2)</f>
        <v>0</v>
      </c>
      <c r="O3">
        <f>SUMIFS('records'!J5:J224,'records'!E5:E224,day!D3, 'records'!F5:F224, "&gt;=" &amp; day!O2,'records'!F5:F224, "&lt;" &amp; day!P2)</f>
        <v>0</v>
      </c>
      <c r="P3">
        <f>SUMIFS('records'!J5:J224,'records'!E5:E224,day!D3, 'records'!F5:F224, "&gt;=" &amp; day!P2,'records'!F5:F224, "&lt;" &amp; day!Q2)</f>
        <v>0</v>
      </c>
      <c r="Q3">
        <f>SUMIFS('records'!J5:J224,'records'!E5:E224,day!D3, 'records'!F5:F224, "&gt;=" &amp; day!Q2,'records'!F5:F224, "&lt;" &amp; day!R2)</f>
        <v>0</v>
      </c>
      <c r="R3">
        <f>SUMIFS('records'!J5:J224,'records'!E5:E224,day!D3, 'records'!F5:F224, "&gt;=" &amp; day!R2,'records'!F5:F224, "&lt;" &amp; day!S2)</f>
        <v>0</v>
      </c>
      <c r="S3">
        <f>SUMIFS('records'!J5:J224,'records'!E5:E224,day!D3, 'records'!F5:F224, "&gt;=" &amp; day!S2,'records'!F5:F224, "&lt;" &amp; day!T2)</f>
        <v>0</v>
      </c>
      <c r="T3">
        <f>SUMIFS('records'!J5:J224,'records'!E5:E224,day!D3, 'records'!F5:F224, "&gt;=" &amp; day!T2,'records'!F5:F224, "&lt;" &amp; day!U2)</f>
        <v>0</v>
      </c>
      <c r="U3">
        <f>SUMIFS('records'!J5:J224,'records'!E5:E224,day!D3, 'records'!F5:F224, "&gt;=" &amp; day!U2,'records'!F5:F224, "&lt;" &amp; day!V2)</f>
        <v>0</v>
      </c>
      <c r="V3">
        <f>SUMIFS('records'!J5:J224,'records'!E5:E224,day!D3, 'records'!F5:F224, "&gt;=" &amp; day!V2,'records'!F5:F224, "&lt;" &amp; day!W2)</f>
        <v>0</v>
      </c>
      <c r="W3">
        <f>SUMIFS('records'!J5:J224,'records'!E5:E224,day!D3, 'records'!F5:F224, "&gt;=" &amp; day!W2,'records'!F5:F224, "&lt;" &amp; day!X2)</f>
        <v>0</v>
      </c>
      <c r="X3">
        <f>SUMIFS('records'!J5:J224,'records'!E5:E224,day!D3, 'records'!F5:F224, "&gt;=" &amp; day!X2,'records'!F5:F224, "&lt;" &amp; day!Y2)</f>
        <v>0</v>
      </c>
      <c r="Y3">
        <f>SUMIFS('records'!J5:J224,'records'!E5:E224,day!D3, 'records'!F5:F224, "&gt;=" &amp; day!Y2,'records'!F5:F224, "&lt;" &amp; day!Z2)</f>
        <v>0</v>
      </c>
      <c r="Z3">
        <f>SUMIFS('records'!J5:J224,'records'!E5:E224,day!D3, 'records'!F5:F224, "&gt;=" &amp; day!Z2,'records'!F5:F224, "&lt;" &amp; day!AA2)</f>
        <v>0.1</v>
      </c>
      <c r="AA3">
        <f>SUMIFS('records'!J5:J224,'records'!E5:E224,day!D3, 'records'!F5:F224, "&gt;=" &amp; day!AA2,'records'!F5:F224, "&lt;" &amp; day!AB2)</f>
        <v>0</v>
      </c>
      <c r="AB3">
        <f>SUMIFS('records'!J5:J224,'records'!E5:E224,day!D3, 'records'!F5:F224, "&gt;=" &amp; day!AB2,'records'!F5:F224, "&lt;" &amp; day!AC2)</f>
        <v>0</v>
      </c>
      <c r="AC3">
        <f>SUMIFS('records'!J5:J224,'records'!E5:E224,day!D3, 'records'!F5:F224,day!AC2)</f>
        <v>0</v>
      </c>
      <c r="AE3" s="6">
        <v>43884</v>
      </c>
      <c r="AF3">
        <f>SUMIFS('records'!J5:J224,'records'!E5:E224,day!A3, 'records'!I5:I224, day!AF2)</f>
        <v>-0.2</v>
      </c>
      <c r="AG3">
        <f>SUMIFS('records'!J5:J224,'records'!E5:E224,day!A3, 'records'!I5:I224, day!AG2)</f>
        <v>-0.2</v>
      </c>
      <c r="AH3">
        <f>SUMIFS('records'!J5:J224,'records'!E5:E224,day!A3, 'records'!I5:I224, day!AH2)</f>
        <v>0</v>
      </c>
      <c r="AI3">
        <f>SUMIFS('records'!J5:J224,'records'!E5:E224,day!A3, 'records'!I5:I224, day!AI2)</f>
        <v>0.1</v>
      </c>
      <c r="AJ3">
        <f>SUMIFS('records'!J5:J224,'records'!E5:E224,day!A3, 'records'!I5:I224, day!AJ2)</f>
        <v>0.1</v>
      </c>
      <c r="AK3">
        <f>SUMIFS('records'!J5:J224,'records'!E5:E224,day!A3, 'records'!I5:I224, day!AK2)</f>
        <v>0.1</v>
      </c>
    </row>
    <row r="4" spans="1:37">
      <c r="A4" s="6">
        <v>43886</v>
      </c>
      <c r="B4">
        <f>SUMIF(records[日期],表6_11[[#This Row],[日期]],records[得分])</f>
        <v>1.7</v>
      </c>
      <c r="D4" s="6">
        <f t="shared" ref="D4:D9" si="0">A4</f>
        <v>43886</v>
      </c>
      <c r="E4">
        <f>SUMIFS('records'!J5:J224,'records'!E5:E224,day!D4, 'records'!F5:F224, "&gt;=" &amp; day!E2,'records'!F5:F224, "&lt;" &amp; day!F2)</f>
        <v>0</v>
      </c>
      <c r="F4">
        <f>SUMIFS('records'!J5:J224,'records'!E5:E224,day!D4, 'records'!F5:F224, "&gt;=" &amp; day!F2,'records'!F5:F224, "&lt;" &amp; day!G2)</f>
        <v>0</v>
      </c>
      <c r="G4">
        <f>SUMIFS('records'!J5:J224,'records'!E5:E224,day!D4, 'records'!F5:F224, "&gt;=" &amp; day!G2,'records'!F5:F224, "&lt;" &amp; day!H2)</f>
        <v>0</v>
      </c>
      <c r="H4">
        <f>SUMIFS('records'!J5:J224,'records'!E5:E224,day!D4, 'records'!F5:F224, "&gt;=" &amp; day!H2,'records'!F5:F224, "&lt;" &amp; day!I2)</f>
        <v>0</v>
      </c>
      <c r="I4">
        <f>SUMIFS('records'!J5:J224,'records'!E5:E224,day!D4, 'records'!F5:F224, "&gt;=" &amp; day!I2,'records'!F5:F224, "&lt;" &amp; day!J2)</f>
        <v>0</v>
      </c>
      <c r="J4">
        <f>SUMIFS('records'!J5:J224,'records'!E5:E224,day!D4, 'records'!F5:F224, "&gt;=" &amp; day!J2,'records'!F5:F224, "&lt;" &amp; day!K2)</f>
        <v>0</v>
      </c>
      <c r="K4">
        <f>SUMIFS('records'!J5:J224,'records'!E5:E224,day!D4, 'records'!F5:F224, "&gt;=" &amp; day!K2,'records'!F5:F224, "&lt;" &amp; day!L2)</f>
        <v>0.30000000000000004</v>
      </c>
      <c r="L4">
        <f>SUMIFS('records'!J5:J224,'records'!E5:E224,day!D4, 'records'!F5:F224, "&gt;=" &amp; day!L2,'records'!F5:F224, "&lt;" &amp; day!M2)</f>
        <v>0.2</v>
      </c>
      <c r="M4">
        <f>SUMIFS('records'!J5:J224,'records'!E5:E224,day!D4, 'records'!F5:F224, "&gt;=" &amp; day!M2,'records'!F5:F224, "&lt;" &amp; day!N2)</f>
        <v>0.1</v>
      </c>
      <c r="N4">
        <f>SUMIFS('records'!J5:J224,'records'!E5:E224,day!D4, 'records'!F5:F224, "&gt;=" &amp; day!N2,'records'!F5:F224, "&lt;" &amp; day!O2)</f>
        <v>0.2</v>
      </c>
      <c r="O4">
        <f>SUMIFS('records'!J5:J224,'records'!E5:E224,day!D4, 'records'!F5:F224, "&gt;=" &amp; day!O2,'records'!F5:F224, "&lt;" &amp; day!P2)</f>
        <v>0.1</v>
      </c>
      <c r="P4">
        <f>SUMIFS('records'!J5:J224,'records'!E5:E224,day!D4, 'records'!F5:F224, "&gt;=" &amp; day!P2,'records'!F5:F224, "&lt;" &amp; day!Q2)</f>
        <v>0</v>
      </c>
      <c r="Q4">
        <f>SUMIFS('records'!J5:J224,'records'!E5:E224,day!D4, 'records'!F5:F224, "&gt;=" &amp; day!Q2,'records'!F5:F224, "&lt;" &amp; day!R2)</f>
        <v>0</v>
      </c>
      <c r="R4">
        <f>SUMIFS('records'!J5:J224,'records'!E5:E224,day!D4, 'records'!F5:F224, "&gt;=" &amp; day!R2,'records'!F5:F224, "&lt;" &amp; day!S2)</f>
        <v>0</v>
      </c>
      <c r="S4">
        <f>SUMIFS('records'!J5:J224,'records'!E5:E224,day!D4, 'records'!F5:F224, "&gt;=" &amp; day!S2,'records'!F5:F224, "&lt;" &amp; day!T2)</f>
        <v>0</v>
      </c>
      <c r="T4">
        <f>SUMIFS('records'!J5:J224,'records'!E5:E224,day!D4, 'records'!F5:F224, "&gt;=" &amp; day!T2,'records'!F5:F224, "&lt;" &amp; day!U2)</f>
        <v>0</v>
      </c>
      <c r="U4">
        <f>SUMIFS('records'!J5:J224,'records'!E5:E224,day!D4, 'records'!F5:F224, "&gt;=" &amp; day!U2,'records'!F5:F224, "&lt;" &amp; day!V2)</f>
        <v>0</v>
      </c>
      <c r="V4">
        <f>SUMIFS('records'!J5:J224,'records'!E5:E224,day!D4, 'records'!F5:F224, "&gt;=" &amp; day!V2,'records'!F5:F224, "&lt;" &amp; day!W2)</f>
        <v>0</v>
      </c>
      <c r="W4">
        <f>SUMIFS('records'!J5:J224,'records'!E5:E224,day!D4, 'records'!F5:F224, "&gt;=" &amp; day!W2,'records'!F5:F224, "&lt;" &amp; day!X2)</f>
        <v>0.1</v>
      </c>
      <c r="X4">
        <f>SUMIFS('records'!J5:J224,'records'!E5:E224,day!D4, 'records'!F5:F224, "&gt;=" &amp; day!X2,'records'!F5:F224, "&lt;" &amp; day!Y2)</f>
        <v>0</v>
      </c>
      <c r="Y4">
        <f>SUMIFS('records'!J5:J224,'records'!E5:E224,day!D4, 'records'!F5:F224, "&gt;=" &amp; day!Y2,'records'!F5:F224, "&lt;" &amp; day!Z2)</f>
        <v>0</v>
      </c>
      <c r="Z4">
        <f>SUMIFS('records'!J5:J224,'records'!E5:E224,day!D4, 'records'!F5:F224, "&gt;=" &amp; day!Z2,'records'!F5:F224, "&lt;" &amp; day!AA2)</f>
        <v>0.2</v>
      </c>
      <c r="AA4">
        <f>SUMIFS('records'!J5:J224,'records'!E5:E224,day!D4, 'records'!F5:F224, "&gt;=" &amp; day!AA2,'records'!F5:F224, "&lt;" &amp; day!AB2)</f>
        <v>0.5</v>
      </c>
      <c r="AB4">
        <f>SUMIFS('records'!J5:J224,'records'!E5:E224,day!D4, 'records'!F5:F224, "&gt;=" &amp; day!AB2,'records'!F5:F224, "&lt;" &amp; day!AC2)</f>
        <v>0</v>
      </c>
      <c r="AC4">
        <f>SUMIFS('records'!J5:J224,'records'!E5:E224,day!D4, 'records'!F5:F224,day!AC2)</f>
        <v>0</v>
      </c>
      <c r="AE4" s="6">
        <v>43885</v>
      </c>
      <c r="AF4">
        <f>SUMIFS('records'!J5:J224,'records'!E5:E224,day!A4, 'records'!I5:I224, day!AF2)</f>
        <v>0.1</v>
      </c>
      <c r="AG4">
        <f>SUMIFS('records'!J5:J224,'records'!E5:E224,day!A4, 'records'!I5:I224, day!AG2)</f>
        <v>0.1</v>
      </c>
      <c r="AH4">
        <f>SUMIFS('records'!J5:J224,'records'!E5:E224,day!A4, 'records'!I5:I224, day!AH2)</f>
        <v>0</v>
      </c>
      <c r="AI4">
        <f>SUMIFS('records'!J5:J224,'records'!E5:E224,day!A4, 'records'!I5:I224, day!AI2)</f>
        <v>0.2</v>
      </c>
      <c r="AJ4">
        <f>SUMIFS('records'!J5:J224,'records'!E5:E224,day!A4, 'records'!I5:I224, day!AJ2)</f>
        <v>0.2</v>
      </c>
      <c r="AK4">
        <f>SUMIFS('records'!J5:J224,'records'!E5:E224,day!A4, 'records'!I5:I224, day!AK2)</f>
        <v>0.2</v>
      </c>
    </row>
    <row r="5" spans="1:37">
      <c r="A5" s="6">
        <v>43887</v>
      </c>
      <c r="B5">
        <f>SUMIF(records[日期],表6_11[[#This Row],[日期]],records[得分])</f>
        <v>2.9000000000000008</v>
      </c>
      <c r="D5" s="6">
        <f t="shared" si="0"/>
        <v>43887</v>
      </c>
      <c r="E5">
        <f>SUMIFS('records'!J5:J224,'records'!E5:E224,day!D5, 'records'!F5:F224, "&gt;=" &amp; day!E2,'records'!F5:F224, "&lt;" &amp; day!F2)</f>
        <v>0.9</v>
      </c>
      <c r="F5">
        <f>SUMIFS('records'!J5:J224,'records'!E5:E224,day!D5, 'records'!F5:F224, "&gt;=" &amp; day!F2,'records'!F5:F224, "&lt;" &amp; day!G2)</f>
        <v>0</v>
      </c>
      <c r="G5">
        <f>SUMIFS('records'!J5:J224,'records'!E5:E224,day!D5, 'records'!F5:F224, "&gt;=" &amp; day!G2,'records'!F5:F224, "&lt;" &amp; day!H2)</f>
        <v>0</v>
      </c>
      <c r="H5">
        <f>SUMIFS('records'!J5:J224,'records'!E5:E224,day!D5, 'records'!F5:F224, "&gt;=" &amp; day!H2,'records'!F5:F224, "&lt;" &amp; day!I2)</f>
        <v>0</v>
      </c>
      <c r="I5">
        <f>SUMIFS('records'!J5:J224,'records'!E5:E224,day!D5, 'records'!F5:F224, "&gt;=" &amp; day!I2,'records'!F5:F224, "&lt;" &amp; day!J2)</f>
        <v>0</v>
      </c>
      <c r="J5">
        <f>SUMIFS('records'!J5:J224,'records'!E5:E224,day!D5, 'records'!F5:F224, "&gt;=" &amp; day!J2,'records'!F5:F224, "&lt;" &amp; day!K2)</f>
        <v>0</v>
      </c>
      <c r="K5">
        <f>SUMIFS('records'!J5:J224,'records'!E5:E224,day!D5, 'records'!F5:F224, "&gt;=" &amp; day!K2,'records'!F5:F224, "&lt;" &amp; day!L2)</f>
        <v>0.30000000000000004</v>
      </c>
      <c r="L5">
        <f>SUMIFS('records'!J5:J224,'records'!E5:E224,day!D5, 'records'!F5:F224, "&gt;=" &amp; day!L2,'records'!F5:F224, "&lt;" &amp; day!M2)</f>
        <v>0.2</v>
      </c>
      <c r="M5">
        <f>SUMIFS('records'!J5:J224,'records'!E5:E224,day!D5, 'records'!F5:F224, "&gt;=" &amp; day!M2,'records'!F5:F224, "&lt;" &amp; day!N2)</f>
        <v>0.8</v>
      </c>
      <c r="N5">
        <f>SUMIFS('records'!J5:J224,'records'!E5:E224,day!D5, 'records'!F5:F224, "&gt;=" &amp; day!N2,'records'!F5:F224, "&lt;" &amp; day!O2)</f>
        <v>0</v>
      </c>
      <c r="O5">
        <f>SUMIFS('records'!J5:J224,'records'!E5:E224,day!D5, 'records'!F5:F224, "&gt;=" &amp; day!O2,'records'!F5:F224, "&lt;" &amp; day!P2)</f>
        <v>0</v>
      </c>
      <c r="P5">
        <f>SUMIFS('records'!J5:J224,'records'!E5:E224,day!D5, 'records'!F5:F224, "&gt;=" &amp; day!P2,'records'!F5:F224, "&lt;" &amp; day!Q2)</f>
        <v>0</v>
      </c>
      <c r="Q5">
        <f>SUMIFS('records'!J5:J224,'records'!E5:E224,day!D5, 'records'!F5:F224, "&gt;=" &amp; day!Q2,'records'!F5:F224, "&lt;" &amp; day!R2)</f>
        <v>0</v>
      </c>
      <c r="R5">
        <f>SUMIFS('records'!J5:J224,'records'!E5:E224,day!D5, 'records'!F5:F224, "&gt;=" &amp; day!R2,'records'!F5:F224, "&lt;" &amp; day!S2)</f>
        <v>0</v>
      </c>
      <c r="S5">
        <f>SUMIFS('records'!J5:J224,'records'!E5:E224,day!D5, 'records'!F5:F224, "&gt;=" &amp; day!S2,'records'!F5:F224, "&lt;" &amp; day!T2)</f>
        <v>0</v>
      </c>
      <c r="T5">
        <f>SUMIFS('records'!J5:J224,'records'!E5:E224,day!D5, 'records'!F5:F224, "&gt;=" &amp; day!T2,'records'!F5:F224, "&lt;" &amp; day!U2)</f>
        <v>0</v>
      </c>
      <c r="U5">
        <f>SUMIFS('records'!J5:J224,'records'!E5:E224,day!D5, 'records'!F5:F224, "&gt;=" &amp; day!U2,'records'!F5:F224, "&lt;" &amp; day!V2)</f>
        <v>0</v>
      </c>
      <c r="V5">
        <f>SUMIFS('records'!J5:J224,'records'!E5:E224,day!D5, 'records'!F5:F224, "&gt;=" &amp; day!V2,'records'!F5:F224, "&lt;" &amp; day!W2)</f>
        <v>0</v>
      </c>
      <c r="W5">
        <f>SUMIFS('records'!J5:J224,'records'!E5:E224,day!D5, 'records'!F5:F224, "&gt;=" &amp; day!W2,'records'!F5:F224, "&lt;" &amp; day!X2)</f>
        <v>0</v>
      </c>
      <c r="X5">
        <f>SUMIFS('records'!J5:J224,'records'!E5:E224,day!D5, 'records'!F5:F224, "&gt;=" &amp; day!X2,'records'!F5:F224, "&lt;" &amp; day!Y2)</f>
        <v>0</v>
      </c>
      <c r="Y5">
        <f>SUMIFS('records'!J5:J224,'records'!E5:E224,day!D5, 'records'!F5:F224, "&gt;=" &amp; day!Y2,'records'!F5:F224, "&lt;" &amp; day!Z2)</f>
        <v>0</v>
      </c>
      <c r="Z5">
        <f>SUMIFS('records'!J5:J224,'records'!E5:E224,day!D5, 'records'!F5:F224, "&gt;=" &amp; day!Z2,'records'!F5:F224, "&lt;" &amp; day!AA2)</f>
        <v>0.2</v>
      </c>
      <c r="AA5">
        <f>SUMIFS('records'!J5:J224,'records'!E5:E224,day!D5, 'records'!F5:F224, "&gt;=" &amp; day!AA2,'records'!F5:F224, "&lt;" &amp; day!AB2)</f>
        <v>0.5</v>
      </c>
      <c r="AB5">
        <f>SUMIFS('records'!J5:J224,'records'!E5:E224,day!D5, 'records'!F5:F224, "&gt;=" &amp; day!AB2,'records'!F5:F224, "&lt;" &amp; day!AC2)</f>
        <v>0</v>
      </c>
      <c r="AC5">
        <f>SUMIFS('records'!J5:J224,'records'!E5:E224,day!D5, 'records'!F5:F224,day!AC2)</f>
        <v>0</v>
      </c>
      <c r="AE5" s="6">
        <v>43886</v>
      </c>
      <c r="AF5">
        <f>SUMIFS('records'!J5:J224,'records'!E5:E224,day!A5, 'records'!I5:I224, day!AF2)</f>
        <v>0.1</v>
      </c>
      <c r="AG5">
        <f>SUMIFS('records'!J5:J224,'records'!E5:E224,day!A5, 'records'!I5:I224, day!AG2)</f>
        <v>0.1</v>
      </c>
      <c r="AH5">
        <f>SUMIFS('records'!J5:J224,'records'!E5:E224,day!A5, 'records'!I5:I224, day!AH2)</f>
        <v>0</v>
      </c>
      <c r="AI5">
        <f>SUMIFS('records'!J5:J224,'records'!E5:E224,day!A5, 'records'!I5:I224, day!AI2)</f>
        <v>0.2</v>
      </c>
      <c r="AJ5">
        <f>SUMIFS('records'!J5:J224,'records'!E5:E224,day!A5, 'records'!I5:I224, day!AJ2)</f>
        <v>0.2</v>
      </c>
      <c r="AK5">
        <f>SUMIFS('records'!J5:J224,'records'!E5:E224,day!A5, 'records'!I5:I224, day!AK2)</f>
        <v>0.2</v>
      </c>
    </row>
    <row r="6" spans="1:37">
      <c r="A6" s="6">
        <v>43888</v>
      </c>
      <c r="B6">
        <f>SUMIF(records[日期],表6_11[[#This Row],[日期]],records[得分])</f>
        <v>1.56</v>
      </c>
      <c r="D6" s="6">
        <f t="shared" si="0"/>
        <v>43888</v>
      </c>
      <c r="E6">
        <f>SUMIFS('records'!J5:J224,'records'!E5:E224,day!D6, 'records'!F5:F224, "&gt;=" &amp; day!E2,'records'!F5:F224, "&lt;" &amp; day!F2)</f>
        <v>-0.42</v>
      </c>
      <c r="F6">
        <f>SUMIFS('records'!J5:J224,'records'!E5:E224,day!D6, 'records'!F5:F224, "&gt;=" &amp; day!F2,'records'!F5:F224, "&lt;" &amp; day!G2)</f>
        <v>0</v>
      </c>
      <c r="G6">
        <f>SUMIFS('records'!J5:J224,'records'!E5:E224,day!D6, 'records'!F5:F224, "&gt;=" &amp; day!G2,'records'!F5:F224, "&lt;" &amp; day!H2)</f>
        <v>0</v>
      </c>
      <c r="H6">
        <f>SUMIFS('records'!J5:J224,'records'!E5:E224,day!D6, 'records'!F5:F224, "&gt;=" &amp; day!H2,'records'!F5:F224, "&lt;" &amp; day!I2)</f>
        <v>0</v>
      </c>
      <c r="I6">
        <f>SUMIFS('records'!J5:J224,'records'!E5:E224,day!D6, 'records'!F5:F224, "&gt;=" &amp; day!I2,'records'!F5:F224, "&lt;" &amp; day!J2)</f>
        <v>0</v>
      </c>
      <c r="J6">
        <f>SUMIFS('records'!J5:J224,'records'!E5:E224,day!D6, 'records'!F5:F224, "&gt;=" &amp; day!J2,'records'!F5:F224, "&lt;" &amp; day!K2)</f>
        <v>0</v>
      </c>
      <c r="K6">
        <f>SUMIFS('records'!J5:J224,'records'!E5:E224,day!D6, 'records'!F5:F224, "&gt;=" &amp; day!K2,'records'!F5:F224, "&lt;" &amp; day!L2)</f>
        <v>0.60000000000000009</v>
      </c>
      <c r="L6">
        <f>SUMIFS('records'!J5:J224,'records'!E5:E224,day!D6, 'records'!F5:F224, "&gt;=" &amp; day!L2,'records'!F5:F224, "&lt;" &amp; day!M2)</f>
        <v>0.4</v>
      </c>
      <c r="M6">
        <f>SUMIFS('records'!J5:J224,'records'!E5:E224,day!D6, 'records'!F5:F224, "&gt;=" &amp; day!M2,'records'!F5:F224, "&lt;" &amp; day!N2)</f>
        <v>0</v>
      </c>
      <c r="N6">
        <f>SUMIFS('records'!J5:J224,'records'!E5:E224,day!D6, 'records'!F5:F224, "&gt;=" &amp; day!N2,'records'!F5:F224, "&lt;" &amp; day!O2)</f>
        <v>0</v>
      </c>
      <c r="O6">
        <f>SUMIFS('records'!J5:J224,'records'!E5:E224,day!D6, 'records'!F5:F224, "&gt;=" &amp; day!O2,'records'!F5:F224, "&lt;" &amp; day!P2)</f>
        <v>0</v>
      </c>
      <c r="P6">
        <f>SUMIFS('records'!J5:J224,'records'!E5:E224,day!D6, 'records'!F5:F224, "&gt;=" &amp; day!P2,'records'!F5:F224, "&lt;" &amp; day!Q2)</f>
        <v>0</v>
      </c>
      <c r="Q6">
        <f>SUMIFS('records'!J5:J224,'records'!E5:E224,day!D6, 'records'!F5:F224, "&gt;=" &amp; day!Q2,'records'!F5:F224, "&lt;" &amp; day!R2)</f>
        <v>0</v>
      </c>
      <c r="R6">
        <f>SUMIFS('records'!J5:J224,'records'!E5:E224,day!D6, 'records'!F5:F224, "&gt;=" &amp; day!R2,'records'!F5:F224, "&lt;" &amp; day!S2)</f>
        <v>0</v>
      </c>
      <c r="S6">
        <f>SUMIFS('records'!J5:J224,'records'!E5:E224,day!D6, 'records'!F5:F224, "&gt;=" &amp; day!S2,'records'!F5:F224, "&lt;" &amp; day!T2)</f>
        <v>0</v>
      </c>
      <c r="T6">
        <f>SUMIFS('records'!J5:J224,'records'!E5:E224,day!D6, 'records'!F5:F224, "&gt;=" &amp; day!T2,'records'!F5:F224, "&lt;" &amp; day!U2)</f>
        <v>0</v>
      </c>
      <c r="U6">
        <f>SUMIFS('records'!J5:J224,'records'!E5:E224,day!D6, 'records'!F5:F224, "&gt;=" &amp; day!U2,'records'!F5:F224, "&lt;" &amp; day!V2)</f>
        <v>0</v>
      </c>
      <c r="V6">
        <f>SUMIFS('records'!J5:J224,'records'!E5:E224,day!D6, 'records'!F5:F224, "&gt;=" &amp; day!V2,'records'!F5:F224, "&lt;" &amp; day!W2)</f>
        <v>0</v>
      </c>
      <c r="W6">
        <f>SUMIFS('records'!J5:J224,'records'!E5:E224,day!D6, 'records'!F5:F224, "&gt;=" &amp; day!W2,'records'!F5:F224, "&lt;" &amp; day!X2)</f>
        <v>0</v>
      </c>
      <c r="X6">
        <f>SUMIFS('records'!J5:J224,'records'!E5:E224,day!D6, 'records'!F5:F224, "&gt;=" &amp; day!X2,'records'!F5:F224, "&lt;" &amp; day!Y2)</f>
        <v>0</v>
      </c>
      <c r="Y6">
        <f>SUMIFS('records'!J5:J224,'records'!E5:E224,day!D6, 'records'!F5:F224, "&gt;=" &amp; day!Y2,'records'!F5:F224, "&lt;" &amp; day!Z2)</f>
        <v>0</v>
      </c>
      <c r="Z6">
        <f>SUMIFS('records'!J5:J224,'records'!E5:E224,day!D6, 'records'!F5:F224, "&gt;=" &amp; day!Z2,'records'!F5:F224, "&lt;" &amp; day!AA2)</f>
        <v>0.2</v>
      </c>
      <c r="AA6">
        <f>SUMIFS('records'!J5:J224,'records'!E5:E224,day!D6, 'records'!F5:F224, "&gt;=" &amp; day!AA2,'records'!F5:F224, "&lt;" &amp; day!AB2)</f>
        <v>0.60000000000000009</v>
      </c>
      <c r="AB6">
        <f>SUMIFS('records'!J5:J224,'records'!E5:E224,day!D6, 'records'!F5:F224, "&gt;=" &amp; day!AB2,'records'!F5:F224, "&lt;" &amp; day!AC2)</f>
        <v>0</v>
      </c>
      <c r="AC6">
        <f>SUMIFS('records'!J5:J224,'records'!E5:E224,day!D6, 'records'!F5:F224,day!AC2)</f>
        <v>0.18</v>
      </c>
      <c r="AE6" s="6">
        <v>43887</v>
      </c>
      <c r="AF6">
        <f>SUMIFS('records'!J5:J224,'records'!E5:E224,day!A6, 'records'!I5:I224, day!AF2)</f>
        <v>0.2</v>
      </c>
      <c r="AG6">
        <f>SUMIFS('records'!J5:J224,'records'!E5:E224,day!A6, 'records'!I5:I224, day!AG2)</f>
        <v>0.2</v>
      </c>
      <c r="AH6">
        <f>SUMIFS('records'!J5:J224,'records'!E5:E224,day!A6, 'records'!I5:I224, day!AH2)</f>
        <v>0</v>
      </c>
      <c r="AI6">
        <f>SUMIFS('records'!J5:J224,'records'!E5:E224,day!A6, 'records'!I5:I224, day!AI2)</f>
        <v>0.2</v>
      </c>
      <c r="AJ6">
        <f>SUMIFS('records'!J5:J224,'records'!E5:E224,day!A6, 'records'!I5:I224, day!AJ2)</f>
        <v>0.2</v>
      </c>
      <c r="AK6">
        <f>SUMIFS('records'!J5:J224,'records'!E5:E224,day!A6, 'records'!I5:I224, day!AK2)</f>
        <v>0.2</v>
      </c>
    </row>
    <row r="7" spans="1:37">
      <c r="A7" s="6">
        <v>43889</v>
      </c>
      <c r="B7">
        <f>SUMIF(records[日期],表6_11[[#This Row],[日期]],records[得分])</f>
        <v>3.9400000000000004</v>
      </c>
      <c r="D7" s="6">
        <f t="shared" si="0"/>
        <v>43889</v>
      </c>
      <c r="E7">
        <f>SUMIFS('records'!J5:J224,'records'!E5:E224,day!D7, 'records'!F5:F224, "&gt;=" &amp; day!E2,'records'!F5:F224, "&lt;" &amp; day!F2)</f>
        <v>1.56</v>
      </c>
      <c r="F7">
        <f>SUMIFS('records'!J5:J224,'records'!E5:E224,day!D7, 'records'!F5:F224, "&gt;=" &amp; day!F2,'records'!F5:F224, "&lt;" &amp; day!G2)</f>
        <v>0</v>
      </c>
      <c r="G7">
        <f>SUMIFS('records'!J5:J224,'records'!E5:E224,day!D7, 'records'!F5:F224, "&gt;=" &amp; day!G2,'records'!F5:F224, "&lt;" &amp; day!H2)</f>
        <v>0</v>
      </c>
      <c r="H7">
        <f>SUMIFS('records'!J5:J224,'records'!E5:E224,day!D7, 'records'!F5:F224, "&gt;=" &amp; day!H2,'records'!F5:F224, "&lt;" &amp; day!I2)</f>
        <v>0</v>
      </c>
      <c r="I7">
        <f>SUMIFS('records'!J5:J224,'records'!E5:E224,day!D7, 'records'!F5:F224, "&gt;=" &amp; day!I2,'records'!F5:F224, "&lt;" &amp; day!J2)</f>
        <v>0</v>
      </c>
      <c r="J7">
        <f>SUMIFS('records'!J5:J224,'records'!E5:E224,day!D7, 'records'!F5:F224, "&gt;=" &amp; day!J2,'records'!F5:F224, "&lt;" &amp; day!K2)</f>
        <v>0</v>
      </c>
      <c r="K7">
        <f>SUMIFS('records'!J5:J224,'records'!E5:E224,day!D7, 'records'!F5:F224, "&gt;=" &amp; day!K2,'records'!F5:F224, "&lt;" &amp; day!L2)</f>
        <v>0.4</v>
      </c>
      <c r="L7">
        <f>SUMIFS('records'!J5:J224,'records'!E5:E224,day!D7, 'records'!F5:F224, "&gt;=" &amp; day!L2,'records'!F5:F224, "&lt;" &amp; day!M2)</f>
        <v>0.58000000000000007</v>
      </c>
      <c r="M7">
        <f>SUMIFS('records'!J5:J224,'records'!E5:E224,day!D7, 'records'!F5:F224, "&gt;=" &amp; day!M2,'records'!F5:F224, "&lt;" &amp; day!N2)</f>
        <v>0.1</v>
      </c>
      <c r="N7">
        <f>SUMIFS('records'!J5:J224,'records'!E5:E224,day!D7, 'records'!F5:F224, "&gt;=" &amp; day!N2,'records'!F5:F224, "&lt;" &amp; day!O2)</f>
        <v>0</v>
      </c>
      <c r="O7">
        <f>SUMIFS('records'!J5:J224,'records'!E5:E224,day!D7, 'records'!F5:F224, "&gt;=" &amp; day!O2,'records'!F5:F224, "&lt;" &amp; day!P2)</f>
        <v>0</v>
      </c>
      <c r="P7">
        <f>SUMIFS('records'!J5:J224,'records'!E5:E224,day!D7, 'records'!F5:F224, "&gt;=" &amp; day!P2,'records'!F5:F224, "&lt;" &amp; day!Q2)</f>
        <v>0</v>
      </c>
      <c r="Q7">
        <f>SUMIFS('records'!J5:J224,'records'!E5:E224,day!D7, 'records'!F5:F224, "&gt;=" &amp; day!Q2,'records'!F5:F224, "&lt;" &amp; day!R2)</f>
        <v>0.2</v>
      </c>
      <c r="R7">
        <f>SUMIFS('records'!J5:J224,'records'!E5:E224,day!D7, 'records'!F5:F224, "&gt;=" &amp; day!R2,'records'!F5:F224, "&lt;" &amp; day!S2)</f>
        <v>0</v>
      </c>
      <c r="S7">
        <f>SUMIFS('records'!J5:J224,'records'!E5:E224,day!D7, 'records'!F5:F224, "&gt;=" &amp; day!S2,'records'!F5:F224, "&lt;" &amp; day!T2)</f>
        <v>0</v>
      </c>
      <c r="T7">
        <f>SUMIFS('records'!J5:J224,'records'!E5:E224,day!D7, 'records'!F5:F224, "&gt;=" &amp; day!T2,'records'!F5:F224, "&lt;" &amp; day!U2)</f>
        <v>0</v>
      </c>
      <c r="U7">
        <f>SUMIFS('records'!J5:J224,'records'!E5:E224,day!D7, 'records'!F5:F224, "&gt;=" &amp; day!U2,'records'!F5:F224, "&lt;" &amp; day!V2)</f>
        <v>0</v>
      </c>
      <c r="V7">
        <f>SUMIFS('records'!J5:J224,'records'!E5:E224,day!D7, 'records'!F5:F224, "&gt;=" &amp; day!V2,'records'!F5:F224, "&lt;" &amp; day!W2)</f>
        <v>0</v>
      </c>
      <c r="W7">
        <f>SUMIFS('records'!J5:J224,'records'!E5:E224,day!D7, 'records'!F5:F224, "&gt;=" &amp; day!W2,'records'!F5:F224, "&lt;" &amp; day!X2)</f>
        <v>0</v>
      </c>
      <c r="X7">
        <f>SUMIFS('records'!J5:J224,'records'!E5:E224,day!D7, 'records'!F5:F224, "&gt;=" &amp; day!X2,'records'!F5:F224, "&lt;" &amp; day!Y2)</f>
        <v>0</v>
      </c>
      <c r="Y7">
        <f>SUMIFS('records'!J5:J224,'records'!E5:E224,day!D7, 'records'!F5:F224, "&gt;=" &amp; day!Y2,'records'!F5:F224, "&lt;" &amp; day!Z2)</f>
        <v>0</v>
      </c>
      <c r="Z7">
        <f>SUMIFS('records'!J5:J224,'records'!E5:E224,day!D7, 'records'!F5:F224, "&gt;=" &amp; day!Z2,'records'!F5:F224, "&lt;" &amp; day!AA2)</f>
        <v>0.3</v>
      </c>
      <c r="AA7">
        <f>SUMIFS('records'!J5:J224,'records'!E5:E224,day!D7, 'records'!F5:F224, "&gt;=" &amp; day!AA2,'records'!F5:F224, "&lt;" &amp; day!AB2)</f>
        <v>0.8</v>
      </c>
      <c r="AB7">
        <f>SUMIFS('records'!J5:J224,'records'!E5:E224,day!D7, 'records'!F5:F224, "&gt;=" &amp; day!AB2,'records'!F5:F224, "&lt;" &amp; day!AC2)</f>
        <v>0</v>
      </c>
      <c r="AC7">
        <f>SUMIFS('records'!J5:J224,'records'!E5:E224,day!D7, 'records'!F5:F224,day!AC2)</f>
        <v>0</v>
      </c>
      <c r="AE7" s="6">
        <v>43888</v>
      </c>
      <c r="AF7">
        <f>SUMIFS('records'!J5:J224,'records'!E5:E224,day!A7, 'records'!I5:I224, day!AF2)</f>
        <v>0.2</v>
      </c>
      <c r="AG7">
        <f>SUMIFS('records'!J5:J224,'records'!E5:E224,day!A7, 'records'!I5:I224, day!AG2)</f>
        <v>0.2</v>
      </c>
      <c r="AH7">
        <f>SUMIFS('records'!J5:J224,'records'!E5:E224,day!A7, 'records'!I5:I224, day!AH2)</f>
        <v>0</v>
      </c>
      <c r="AI7">
        <f>SUMIFS('records'!J5:J224,'records'!E5:E224,day!A7, 'records'!I5:I224, day!AI2)</f>
        <v>0.3</v>
      </c>
      <c r="AJ7">
        <f>SUMIFS('records'!J5:J224,'records'!E5:E224,day!A7, 'records'!I5:I224, day!AJ2)</f>
        <v>0.3</v>
      </c>
      <c r="AK7">
        <f>SUMIFS('records'!J5:J224,'records'!E5:E224,day!A7, 'records'!I5:I224, day!AK2)</f>
        <v>0.3</v>
      </c>
    </row>
    <row r="8" spans="1:37">
      <c r="A8" s="6">
        <v>43890</v>
      </c>
      <c r="B8">
        <f>SUMIF(records[日期],表6_11[[#This Row],[日期]],records[得分])</f>
        <v>4.1800000000000006</v>
      </c>
      <c r="D8" s="6">
        <f t="shared" si="0"/>
        <v>43890</v>
      </c>
      <c r="E8">
        <f>SUMIFS('records'!J5:J224,'records'!E5:E224,day!D8, 'records'!F5:F224, "&gt;=" &amp; day!E2,'records'!F5:F224, "&lt;" &amp; day!F2)</f>
        <v>0.23</v>
      </c>
      <c r="F8">
        <f>SUMIFS('records'!J5:J224,'records'!E5:E224,day!D8, 'records'!F5:F224, "&gt;=" &amp; day!F2,'records'!F5:F224, "&lt;" &amp; day!G2)</f>
        <v>0</v>
      </c>
      <c r="G8">
        <f>SUMIFS('records'!J5:J224,'records'!E5:E224,day!D8, 'records'!F5:F224, "&gt;=" &amp; day!G2,'records'!F5:F224, "&lt;" &amp; day!H2)</f>
        <v>0</v>
      </c>
      <c r="H8">
        <f>SUMIFS('records'!J5:J224,'records'!E5:E224,day!D8, 'records'!F5:F224, "&gt;=" &amp; day!H2,'records'!F5:F224, "&lt;" &amp; day!I2)</f>
        <v>0</v>
      </c>
      <c r="I8">
        <f>SUMIFS('records'!J5:J224,'records'!E5:E224,day!D8, 'records'!F5:F224, "&gt;=" &amp; day!I2,'records'!F5:F224, "&lt;" &amp; day!J2)</f>
        <v>0</v>
      </c>
      <c r="J8">
        <f>SUMIFS('records'!J5:J224,'records'!E5:E224,day!D8, 'records'!F5:F224, "&gt;=" &amp; day!J2,'records'!F5:F224, "&lt;" &amp; day!K2)</f>
        <v>0</v>
      </c>
      <c r="K8">
        <f>SUMIFS('records'!J5:J224,'records'!E5:E224,day!D8, 'records'!F5:F224, "&gt;=" &amp; day!K2,'records'!F5:F224, "&lt;" &amp; day!L2)</f>
        <v>0.4</v>
      </c>
      <c r="L8">
        <f>SUMIFS('records'!J5:J224,'records'!E5:E224,day!D8, 'records'!F5:F224, "&gt;=" &amp; day!L2,'records'!F5:F224, "&lt;" &amp; day!M2)</f>
        <v>0.60000000000000009</v>
      </c>
      <c r="M8">
        <f>SUMIFS('records'!J5:J224,'records'!E5:E224,day!D8, 'records'!F5:F224, "&gt;=" &amp; day!M2,'records'!F5:F224, "&lt;" &amp; day!N2)</f>
        <v>0</v>
      </c>
      <c r="N8">
        <f>SUMIFS('records'!J5:J224,'records'!E5:E224,day!D8, 'records'!F5:F224, "&gt;=" &amp; day!N2,'records'!F5:F224, "&lt;" &amp; day!O2)</f>
        <v>0</v>
      </c>
      <c r="O8">
        <f>SUMIFS('records'!J5:J224,'records'!E5:E224,day!D8, 'records'!F5:F224, "&gt;=" &amp; day!O2,'records'!F5:F224, "&lt;" &amp; day!P2)</f>
        <v>0.75</v>
      </c>
      <c r="P8">
        <f>SUMIFS('records'!J5:J224,'records'!E5:E224,day!D8, 'records'!F5:F224, "&gt;=" &amp; day!P2,'records'!F5:F224, "&lt;" &amp; day!Q2)</f>
        <v>0</v>
      </c>
      <c r="Q8">
        <f>SUMIFS('records'!J5:J224,'records'!E5:E224,day!D8, 'records'!F5:F224, "&gt;=" &amp; day!Q2,'records'!F5:F224, "&lt;" &amp; day!R2)</f>
        <v>0</v>
      </c>
      <c r="R8">
        <f>SUMIFS('records'!J5:J224,'records'!E5:E224,day!D8, 'records'!F5:F224, "&gt;=" &amp; day!R2,'records'!F5:F224, "&lt;" &amp; day!S2)</f>
        <v>0</v>
      </c>
      <c r="S8">
        <f>SUMIFS('records'!J5:J224,'records'!E5:E224,day!D8, 'records'!F5:F224, "&gt;=" &amp; day!S2,'records'!F5:F224, "&lt;" &amp; day!T2)</f>
        <v>0</v>
      </c>
      <c r="T8">
        <f>SUMIFS('records'!J5:J224,'records'!E5:E224,day!D8, 'records'!F5:F224, "&gt;=" &amp; day!T2,'records'!F5:F224, "&lt;" &amp; day!U2)</f>
        <v>0</v>
      </c>
      <c r="U8">
        <f>SUMIFS('records'!J5:J224,'records'!E5:E224,day!D8, 'records'!F5:F224, "&gt;=" &amp; day!U2,'records'!F5:F224, "&lt;" &amp; day!V2)</f>
        <v>0</v>
      </c>
      <c r="V8">
        <f>SUMIFS('records'!J5:J224,'records'!E5:E224,day!D8, 'records'!F5:F224, "&gt;=" &amp; day!V2,'records'!F5:F224, "&lt;" &amp; day!W2)</f>
        <v>0</v>
      </c>
      <c r="W8">
        <f>SUMIFS('records'!J5:J224,'records'!E5:E224,day!D8, 'records'!F5:F224, "&gt;=" &amp; day!W2,'records'!F5:F224, "&lt;" &amp; day!X2)</f>
        <v>0</v>
      </c>
      <c r="X8">
        <f>SUMIFS('records'!J5:J224,'records'!E5:E224,day!D8, 'records'!F5:F224, "&gt;=" &amp; day!X2,'records'!F5:F224, "&lt;" &amp; day!Y2)</f>
        <v>0</v>
      </c>
      <c r="Y8">
        <f>SUMIFS('records'!J5:J224,'records'!E5:E224,day!D8, 'records'!F5:F224, "&gt;=" &amp; day!Y2,'records'!F5:F224, "&lt;" &amp; day!Z2)</f>
        <v>0</v>
      </c>
      <c r="Z8">
        <f>SUMIFS('records'!J5:J224,'records'!E5:E224,day!D8, 'records'!F5:F224, "&gt;=" &amp; day!Z2,'records'!F5:F224, "&lt;" &amp; day!AA2)</f>
        <v>0.5</v>
      </c>
      <c r="AA8">
        <f>SUMIFS('records'!J5:J224,'records'!E5:E224,day!D8, 'records'!F5:F224, "&gt;=" &amp; day!AA2,'records'!F5:F224, "&lt;" &amp; day!AB2)</f>
        <v>1.4000000000000001</v>
      </c>
      <c r="AB8">
        <f>SUMIFS('records'!J5:J224,'records'!E5:E224,day!D8, 'records'!F5:F224, "&gt;=" &amp; day!AB2,'records'!F5:F224, "&lt;" &amp; day!AC2)</f>
        <v>0.3</v>
      </c>
      <c r="AC8">
        <f>SUMIFS('records'!J5:J224,'records'!E5:E224,day!D8, 'records'!F5:F224,day!AC2)</f>
        <v>0</v>
      </c>
      <c r="AE8" s="6">
        <v>43889</v>
      </c>
      <c r="AF8">
        <f>SUMIFS('records'!J5:J224,'records'!E5:E224,day!A8, 'records'!I5:I224, day!AF2)</f>
        <v>0.2</v>
      </c>
      <c r="AG8">
        <f>SUMIFS('records'!J5:J224,'records'!E5:E224,day!A8, 'records'!I5:I224, day!AG2)</f>
        <v>0.2</v>
      </c>
      <c r="AH8">
        <f>SUMIFS('records'!J5:J224,'records'!E5:E224,day!A8, 'records'!I5:I224, day!AH2)</f>
        <v>0</v>
      </c>
      <c r="AI8">
        <f>SUMIFS('records'!J5:J224,'records'!E5:E224,day!A8, 'records'!I5:I224, day!AI2)</f>
        <v>0.5</v>
      </c>
      <c r="AJ8">
        <f>SUMIFS('records'!J5:J224,'records'!E5:E224,day!A8, 'records'!I5:I224, day!AJ2)</f>
        <v>0.3</v>
      </c>
      <c r="AK8">
        <f>SUMIFS('records'!J5:J224,'records'!E5:E224,day!A8, 'records'!I5:I224, day!AK2)</f>
        <v>0.5</v>
      </c>
    </row>
    <row r="9" spans="1:37">
      <c r="A9" s="6">
        <v>43891</v>
      </c>
      <c r="B9">
        <f>SUMIF(records[日期],表6_11[[#This Row],[日期]],records[得分])</f>
        <v>4.4880000000000004</v>
      </c>
      <c r="D9" s="6">
        <f t="shared" si="0"/>
        <v>43891</v>
      </c>
      <c r="E9">
        <f>SUMIFS('records'!J5:J224,'records'!E5:E224,day!D9, 'records'!F5:F224, "&gt;=" &amp; day!E2,'records'!F5:F224, "&lt;" &amp; day!F2)</f>
        <v>8.1000000000000003E-2</v>
      </c>
      <c r="F9">
        <f>SUMIFS('records'!J5:J224,'records'!E5:E224,day!D9, 'records'!F5:F224, "&gt;=" &amp; day!F2,'records'!F5:F224, "&lt;" &amp; day!G2)</f>
        <v>0</v>
      </c>
      <c r="G9">
        <f>SUMIFS('records'!J5:J224,'records'!E5:E224,day!D9, 'records'!F5:F224, "&gt;=" &amp; day!G2,'records'!F5:F224, "&lt;" &amp; day!H2)</f>
        <v>0</v>
      </c>
      <c r="H9">
        <f>SUMIFS('records'!J5:J224,'records'!E5:E224,day!D9, 'records'!F5:F224, "&gt;=" &amp; day!H2,'records'!F5:F224, "&lt;" &amp; day!I2)</f>
        <v>0</v>
      </c>
      <c r="I9">
        <f>SUMIFS('records'!J5:J224,'records'!E5:E224,day!D9, 'records'!F5:F224, "&gt;=" &amp; day!I2,'records'!F5:F224, "&lt;" &amp; day!J2)</f>
        <v>0</v>
      </c>
      <c r="J9">
        <f>SUMIFS('records'!J5:J224,'records'!E5:E224,day!D9, 'records'!F5:F224, "&gt;=" &amp; day!J2,'records'!F5:F224, "&lt;" &amp; day!K2)</f>
        <v>0</v>
      </c>
      <c r="K9">
        <f>SUMIFS('records'!J5:J224,'records'!E5:E224,day!D9, 'records'!F5:F224, "&gt;=" &amp; day!K2,'records'!F5:F224, "&lt;" &amp; day!L2)</f>
        <v>0.6</v>
      </c>
      <c r="L9">
        <f>SUMIFS('records'!J5:J224,'records'!E5:E224,day!D9, 'records'!F5:F224, "&gt;=" &amp; day!L2,'records'!F5:F224, "&lt;" &amp; day!M2)</f>
        <v>0.89999999999999991</v>
      </c>
      <c r="M9">
        <f>SUMIFS('records'!J5:J224,'records'!E5:E224,day!D9, 'records'!F5:F224, "&gt;=" &amp; day!M2,'records'!F5:F224, "&lt;" &amp; day!N2)</f>
        <v>6.4000000000000001E-2</v>
      </c>
      <c r="N9">
        <f>SUMIFS('records'!J5:J224,'records'!E5:E224,day!D9, 'records'!F5:F224, "&gt;=" &amp; day!N2,'records'!F5:F224, "&lt;" &amp; day!O2)</f>
        <v>0</v>
      </c>
      <c r="O9">
        <f>SUMIFS('records'!J5:J224,'records'!E5:E224,day!D9, 'records'!F5:F224, "&gt;=" &amp; day!O2,'records'!F5:F224, "&lt;" &amp; day!P2)</f>
        <v>4.2999999999999997E-2</v>
      </c>
      <c r="P9">
        <f>SUMIFS('records'!J5:J224,'records'!E5:E224,day!D9, 'records'!F5:F224, "&gt;=" &amp; day!P2,'records'!F5:F224, "&lt;" &amp; day!Q2)</f>
        <v>0.2</v>
      </c>
      <c r="Q9">
        <f>SUMIFS('records'!J5:J224,'records'!E5:E224,day!D9, 'records'!F5:F224, "&gt;=" &amp; day!Q2,'records'!F5:F224, "&lt;" &amp; day!R2)</f>
        <v>0.4</v>
      </c>
      <c r="R9">
        <f>SUMIFS('records'!J5:J224,'records'!E5:E224,day!D9, 'records'!F5:F224, "&gt;=" &amp; day!R2,'records'!F5:F224, "&lt;" &amp; day!S2)</f>
        <v>0.1</v>
      </c>
      <c r="S9">
        <f>SUMIFS('records'!J5:J224,'records'!E5:E224,day!D9, 'records'!F5:F224, "&gt;=" &amp; day!S2,'records'!F5:F224, "&lt;" &amp; day!T2)</f>
        <v>0.1</v>
      </c>
      <c r="T9">
        <f>SUMIFS('records'!J5:J224,'records'!E5:E224,day!D9, 'records'!F5:F224, "&gt;=" &amp; day!T2,'records'!F5:F224, "&lt;" &amp; day!U2)</f>
        <v>0.1</v>
      </c>
      <c r="U9">
        <f>SUMIFS('records'!J5:J224,'records'!E5:E224,day!D9, 'records'!F5:F224, "&gt;=" &amp; day!U2,'records'!F5:F224, "&lt;" &amp; day!V2)</f>
        <v>0.1</v>
      </c>
      <c r="V9">
        <f>SUMIFS('records'!J5:J224,'records'!E5:E224,day!D9, 'records'!F5:F224, "&gt;=" &amp; day!V2,'records'!F5:F224, "&lt;" &amp; day!W2)</f>
        <v>0.1</v>
      </c>
      <c r="W9">
        <f>SUMIFS('records'!J5:J224,'records'!E5:E224,day!D9, 'records'!F5:F224, "&gt;=" &amp; day!W2,'records'!F5:F224, "&lt;" &amp; day!X2)</f>
        <v>0.2</v>
      </c>
      <c r="X9">
        <f>SUMIFS('records'!J5:J224,'records'!E5:E224,day!D9, 'records'!F5:F224, "&gt;=" &amp; day!X2,'records'!F5:F224, "&lt;" &amp; day!Y2)</f>
        <v>0</v>
      </c>
      <c r="Y9">
        <f>SUMIFS('records'!J5:J224,'records'!E5:E224,day!D9, 'records'!F5:F224, "&gt;=" &amp; day!Y2,'records'!F5:F224, "&lt;" &amp; day!Z2)</f>
        <v>0.1</v>
      </c>
      <c r="Z9">
        <f>SUMIFS('records'!J5:J224,'records'!E5:E224,day!D9, 'records'!F5:F224, "&gt;=" &amp; day!Z2,'records'!F5:F224, "&lt;" &amp; day!AA2)</f>
        <v>0.5</v>
      </c>
      <c r="AA9">
        <f>SUMIFS('records'!J5:J224,'records'!E5:E224,day!D9, 'records'!F5:F224, "&gt;=" &amp; day!AA2,'records'!F5:F224, "&lt;" &amp; day!AB2)</f>
        <v>0.9</v>
      </c>
      <c r="AB9">
        <f>SUMIFS('records'!J5:J224,'records'!E5:E224,day!D9, 'records'!F5:F224, "&gt;=" &amp; day!AB2,'records'!F5:F224, "&lt;" &amp; day!AC2)</f>
        <v>0</v>
      </c>
      <c r="AC9">
        <f>SUMIFS('records'!J5:J224,'records'!E5:E224,day!D9, 'records'!F5:F224,day!AC2)</f>
        <v>0</v>
      </c>
      <c r="AE9" s="6">
        <v>43890</v>
      </c>
      <c r="AF9">
        <f>SUMIFS('records'!J5:J224,'records'!E5:E224,day!A9, 'records'!I5:I224, day!AF2)</f>
        <v>0.3</v>
      </c>
      <c r="AG9">
        <f>SUMIFS('records'!J5:J224,'records'!E5:E224,day!A9, 'records'!I5:I224, day!AG2)</f>
        <v>0.4</v>
      </c>
      <c r="AH9">
        <f>SUMIFS('records'!J5:J224,'records'!E5:E224,day!A9, 'records'!I5:I224, day!AH2)</f>
        <v>0</v>
      </c>
      <c r="AI9">
        <f>SUMIFS('records'!J5:J224,'records'!E5:E224,day!A9, 'records'!I5:I224, day!AI2)</f>
        <v>0.5</v>
      </c>
      <c r="AJ9">
        <f>SUMIFS('records'!J5:J224,'records'!E5:E224,day!A9, 'records'!I5:I224, day!AJ2)</f>
        <v>0</v>
      </c>
      <c r="AK9">
        <f>SUMIFS('records'!J5:J224,'records'!E5:E224,day!A9, 'records'!I5:I224, day!AK2)</f>
        <v>0.5</v>
      </c>
    </row>
    <row r="10" spans="1:37">
      <c r="A10" s="6"/>
      <c r="D10" s="6"/>
      <c r="AE10" s="6"/>
    </row>
    <row r="11" spans="1:37">
      <c r="A11" s="6"/>
      <c r="D11" s="6"/>
      <c r="AE11" s="6"/>
    </row>
    <row r="12" spans="1:37">
      <c r="A12" s="6"/>
      <c r="D12" s="6"/>
      <c r="AE12" s="6"/>
    </row>
    <row r="13" spans="1:37">
      <c r="A13" s="6"/>
      <c r="D13" s="6"/>
      <c r="AE13" s="6"/>
    </row>
    <row r="14" spans="1:37">
      <c r="A14" s="6"/>
      <c r="D14" s="6"/>
      <c r="AE14" s="6"/>
    </row>
    <row r="15" spans="1:37">
      <c r="A15" s="6"/>
      <c r="D15" s="6"/>
      <c r="AE15" s="6"/>
    </row>
    <row r="16" spans="1:37">
      <c r="A16" s="6"/>
      <c r="D16" s="6"/>
      <c r="AE16" s="6"/>
    </row>
    <row r="17" spans="1:31">
      <c r="A17" s="6"/>
      <c r="D17" s="6"/>
      <c r="AE17" s="6"/>
    </row>
    <row r="18" spans="1:31">
      <c r="A18" s="6"/>
      <c r="D18" s="6"/>
      <c r="AE18" s="6"/>
    </row>
    <row r="19" spans="1:31">
      <c r="A19" s="6"/>
      <c r="D19" s="6"/>
      <c r="AE19" s="6"/>
    </row>
    <row r="20" spans="1:31">
      <c r="A20" s="6"/>
      <c r="D20" s="6"/>
      <c r="AE20" s="6"/>
    </row>
    <row r="21" spans="1:31">
      <c r="A21" s="6"/>
      <c r="D21" s="6"/>
      <c r="AE21" s="6"/>
    </row>
    <row r="22" spans="1:31">
      <c r="A22" s="6"/>
      <c r="D22" s="6"/>
      <c r="AE22" s="6"/>
    </row>
    <row r="23" spans="1:31">
      <c r="A23" s="6"/>
      <c r="D23" s="6"/>
      <c r="AE23" s="6"/>
    </row>
    <row r="24" spans="1:31">
      <c r="A24" s="6"/>
      <c r="D24" s="6"/>
      <c r="AE24" s="6"/>
    </row>
    <row r="25" spans="1:31">
      <c r="A25" s="6"/>
      <c r="D25" s="6"/>
      <c r="AE25" s="6"/>
    </row>
    <row r="26" spans="1:31">
      <c r="A26" s="6"/>
      <c r="D26" s="6"/>
      <c r="AE26" s="6"/>
    </row>
    <row r="27" spans="1:31">
      <c r="A27" s="6"/>
      <c r="D27" s="6"/>
      <c r="AE27" s="6"/>
    </row>
    <row r="28" spans="1:31">
      <c r="A28" s="6"/>
      <c r="D28" s="6"/>
      <c r="AE28" s="6"/>
    </row>
    <row r="29" spans="1:31">
      <c r="A29" s="6"/>
      <c r="D29" s="6"/>
      <c r="AE29" s="6"/>
    </row>
    <row r="30" spans="1:31">
      <c r="A30" s="6"/>
      <c r="D30" s="6"/>
      <c r="AE30" s="6"/>
    </row>
    <row r="31" spans="1:31">
      <c r="A31" s="6"/>
      <c r="D31" s="6"/>
      <c r="AE31" s="6"/>
    </row>
    <row r="32" spans="1:31">
      <c r="A32" s="6"/>
      <c r="D32" s="6"/>
      <c r="AE32" s="6"/>
    </row>
    <row r="33" spans="1:37">
      <c r="A33" s="6"/>
      <c r="D33" s="6"/>
      <c r="AE33" s="6"/>
    </row>
    <row r="34" spans="1:37">
      <c r="A34" s="6"/>
      <c r="D34" s="6"/>
      <c r="AE34" s="6"/>
    </row>
    <row r="35" spans="1:37">
      <c r="A35" s="6"/>
      <c r="D35" s="6"/>
      <c r="AE35" s="6"/>
    </row>
    <row r="36" spans="1:37">
      <c r="A36" s="6"/>
      <c r="D36" s="6"/>
      <c r="AE36" s="6"/>
    </row>
    <row r="38" spans="1:37" ht="21">
      <c r="A38" s="40" t="s">
        <v>56</v>
      </c>
      <c r="B38" s="40"/>
      <c r="D38" s="39" t="s">
        <v>57</v>
      </c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E38" s="38" t="s">
        <v>58</v>
      </c>
      <c r="AF38" s="38"/>
      <c r="AG38" s="38"/>
      <c r="AH38" s="38"/>
      <c r="AI38" s="38"/>
      <c r="AJ38" s="38"/>
      <c r="AK38" s="38"/>
    </row>
    <row r="39" spans="1:37" ht="18">
      <c r="A39" s="1" t="s">
        <v>27</v>
      </c>
      <c r="B39" s="11" t="s">
        <v>28</v>
      </c>
      <c r="D39" s="1" t="s">
        <v>27</v>
      </c>
      <c r="E39" s="1" t="s">
        <v>31</v>
      </c>
      <c r="F39" s="1" t="s">
        <v>32</v>
      </c>
      <c r="G39" s="1" t="s">
        <v>33</v>
      </c>
      <c r="H39" s="1" t="s">
        <v>34</v>
      </c>
      <c r="I39" s="1" t="s">
        <v>35</v>
      </c>
      <c r="J39" s="1" t="s">
        <v>36</v>
      </c>
      <c r="K39" s="1" t="s">
        <v>30</v>
      </c>
      <c r="L39" s="1" t="s">
        <v>37</v>
      </c>
      <c r="M39" s="1" t="s">
        <v>38</v>
      </c>
      <c r="N39" s="1" t="s">
        <v>39</v>
      </c>
      <c r="O39" s="1" t="s">
        <v>40</v>
      </c>
      <c r="P39" s="1" t="s">
        <v>41</v>
      </c>
      <c r="Q39" s="1" t="s">
        <v>42</v>
      </c>
      <c r="R39" s="1" t="s">
        <v>43</v>
      </c>
      <c r="S39" s="1" t="s">
        <v>44</v>
      </c>
      <c r="T39" s="1" t="s">
        <v>45</v>
      </c>
      <c r="U39" s="1" t="s">
        <v>46</v>
      </c>
      <c r="V39" s="1" t="s">
        <v>47</v>
      </c>
      <c r="W39" s="1" t="s">
        <v>48</v>
      </c>
      <c r="X39" s="1" t="s">
        <v>49</v>
      </c>
      <c r="Y39" s="1" t="s">
        <v>50</v>
      </c>
      <c r="Z39" s="1" t="s">
        <v>51</v>
      </c>
      <c r="AA39" s="1" t="s">
        <v>52</v>
      </c>
      <c r="AB39" s="1" t="s">
        <v>53</v>
      </c>
      <c r="AC39" s="1" t="s">
        <v>55</v>
      </c>
      <c r="AE39" s="1" t="s">
        <v>27</v>
      </c>
      <c r="AF39" s="11" t="s">
        <v>5</v>
      </c>
      <c r="AG39" s="11" t="s">
        <v>7</v>
      </c>
      <c r="AH39" s="11" t="s">
        <v>8</v>
      </c>
      <c r="AI39" s="11" t="s">
        <v>9</v>
      </c>
      <c r="AJ39" s="11" t="s">
        <v>10</v>
      </c>
      <c r="AK39" s="11" t="s">
        <v>54</v>
      </c>
    </row>
    <row r="40" spans="1:37">
      <c r="A40" s="6">
        <v>43884</v>
      </c>
      <c r="B40">
        <v>-2.0000000000000032E-2</v>
      </c>
      <c r="D40" s="6">
        <v>43884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-0.2</v>
      </c>
      <c r="L40">
        <v>-0.1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0.1</v>
      </c>
      <c r="AA40">
        <v>0.18</v>
      </c>
      <c r="AB40">
        <v>0</v>
      </c>
      <c r="AC40">
        <v>0</v>
      </c>
      <c r="AE40" s="6">
        <v>43884</v>
      </c>
      <c r="AF40">
        <v>-0.1</v>
      </c>
      <c r="AG40">
        <v>-0.1</v>
      </c>
      <c r="AH40">
        <v>-0.1</v>
      </c>
      <c r="AI40">
        <v>0.1</v>
      </c>
      <c r="AJ40">
        <v>0.1</v>
      </c>
      <c r="AK40">
        <v>0</v>
      </c>
    </row>
    <row r="41" spans="1:37">
      <c r="A41" s="6">
        <v>43885</v>
      </c>
      <c r="B41">
        <v>-0.12000000000000018</v>
      </c>
      <c r="D41" s="6">
        <v>43885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-0.4</v>
      </c>
      <c r="L41">
        <v>-0.2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0.1</v>
      </c>
      <c r="AA41">
        <v>0.2</v>
      </c>
      <c r="AB41">
        <v>0</v>
      </c>
      <c r="AC41">
        <v>0.18</v>
      </c>
      <c r="AE41" s="6">
        <v>43885</v>
      </c>
      <c r="AF41">
        <v>-0.2</v>
      </c>
      <c r="AG41">
        <v>-0.2</v>
      </c>
      <c r="AH41">
        <v>-0.2</v>
      </c>
      <c r="AI41">
        <v>0.1</v>
      </c>
      <c r="AJ41">
        <v>0.1</v>
      </c>
      <c r="AK41">
        <v>0</v>
      </c>
    </row>
    <row r="42" spans="1:37">
      <c r="A42" s="6">
        <v>43886</v>
      </c>
      <c r="B42">
        <v>1.5999999999999999</v>
      </c>
      <c r="D42" s="6">
        <v>43886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0.2</v>
      </c>
      <c r="L42">
        <v>0.1</v>
      </c>
      <c r="M42">
        <v>0.1</v>
      </c>
      <c r="N42">
        <v>0.2</v>
      </c>
      <c r="O42">
        <v>0.1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0.1</v>
      </c>
      <c r="X42">
        <v>0</v>
      </c>
      <c r="Y42">
        <v>0</v>
      </c>
      <c r="Z42">
        <v>0.2</v>
      </c>
      <c r="AA42">
        <v>0.60000000000000009</v>
      </c>
      <c r="AB42">
        <v>0</v>
      </c>
      <c r="AC42">
        <v>0</v>
      </c>
      <c r="AE42" s="6">
        <v>43886</v>
      </c>
      <c r="AF42">
        <v>0.1</v>
      </c>
      <c r="AG42">
        <v>0.1</v>
      </c>
      <c r="AH42">
        <v>0</v>
      </c>
      <c r="AI42">
        <v>0.2</v>
      </c>
      <c r="AJ42">
        <v>0</v>
      </c>
      <c r="AK42">
        <v>0</v>
      </c>
    </row>
    <row r="43" spans="1:37">
      <c r="A43" s="6">
        <v>43887</v>
      </c>
      <c r="B43">
        <v>2.8</v>
      </c>
      <c r="D43" s="6">
        <v>43887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0.2</v>
      </c>
      <c r="L43">
        <v>0.1</v>
      </c>
      <c r="M43">
        <v>0.8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0.2</v>
      </c>
      <c r="AA43">
        <v>0.60000000000000009</v>
      </c>
      <c r="AB43">
        <v>0</v>
      </c>
      <c r="AC43">
        <v>0.9</v>
      </c>
      <c r="AE43" s="6">
        <v>43887</v>
      </c>
      <c r="AF43">
        <v>0.1</v>
      </c>
      <c r="AG43">
        <v>0.1</v>
      </c>
      <c r="AH43">
        <v>0</v>
      </c>
      <c r="AI43">
        <v>0.2</v>
      </c>
      <c r="AJ43">
        <v>0</v>
      </c>
      <c r="AK43">
        <v>0</v>
      </c>
    </row>
    <row r="44" spans="1:37">
      <c r="A44" s="6">
        <v>43888</v>
      </c>
      <c r="B44">
        <v>0</v>
      </c>
      <c r="D44" s="6">
        <v>43888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E44" s="6">
        <v>43888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 spans="1:37">
      <c r="A45" s="6">
        <v>43889</v>
      </c>
      <c r="B45">
        <v>0</v>
      </c>
      <c r="D45" s="6">
        <v>43889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E45" s="6">
        <v>43889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1:37">
      <c r="A46" s="6">
        <v>43890</v>
      </c>
      <c r="B46">
        <v>0</v>
      </c>
      <c r="D46" s="6">
        <v>43890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E46" s="6">
        <v>43890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</sheetData>
  <mergeCells count="6">
    <mergeCell ref="AE38:AK38"/>
    <mergeCell ref="D1:AC1"/>
    <mergeCell ref="AE1:AK1"/>
    <mergeCell ref="A1:B1"/>
    <mergeCell ref="A38:B38"/>
    <mergeCell ref="D38:AC38"/>
  </mergeCells>
  <phoneticPr fontId="1" type="noConversion"/>
  <pageMargins left="0.7" right="0.7" top="0.75" bottom="0.75" header="0.3" footer="0.3"/>
  <drawing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F7C47-2E79-C040-8E55-CC05C8CEB864}">
  <dimension ref="A1:AX41"/>
  <sheetViews>
    <sheetView topLeftCell="AK1" zoomScaleNormal="100" workbookViewId="0">
      <selection activeCell="AS3" sqref="AS2:AX3"/>
    </sheetView>
  </sheetViews>
  <sheetFormatPr baseColWidth="10" defaultRowHeight="16"/>
  <cols>
    <col min="7" max="8" width="11.5" customWidth="1"/>
    <col min="35" max="35" width="9.1640625" bestFit="1" customWidth="1"/>
    <col min="36" max="37" width="13.83203125" bestFit="1" customWidth="1"/>
    <col min="38" max="42" width="9.1640625" bestFit="1" customWidth="1"/>
    <col min="43" max="43" width="18.83203125" bestFit="1" customWidth="1"/>
  </cols>
  <sheetData>
    <row r="1" spans="1:50" ht="21">
      <c r="A1" s="40" t="s">
        <v>61</v>
      </c>
      <c r="B1" s="40"/>
      <c r="C1" s="40"/>
      <c r="D1" s="40"/>
      <c r="F1" s="39" t="s">
        <v>68</v>
      </c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I1" s="38" t="s">
        <v>69</v>
      </c>
      <c r="AJ1" s="38"/>
      <c r="AK1" s="38"/>
      <c r="AL1" s="38"/>
      <c r="AM1" s="38"/>
      <c r="AN1" s="38"/>
      <c r="AO1" s="38"/>
      <c r="AP1" s="38"/>
      <c r="AQ1" s="38"/>
    </row>
    <row r="2" spans="1:50" ht="18">
      <c r="A2" s="11" t="s">
        <v>63</v>
      </c>
      <c r="B2" s="1" t="s">
        <v>65</v>
      </c>
      <c r="C2" s="11" t="s">
        <v>67</v>
      </c>
      <c r="D2" s="11" t="s">
        <v>29</v>
      </c>
      <c r="F2" s="1" t="s">
        <v>62</v>
      </c>
      <c r="G2" s="1" t="s">
        <v>64</v>
      </c>
      <c r="H2" s="1" t="s">
        <v>66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30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  <c r="AA2" s="1" t="s">
        <v>48</v>
      </c>
      <c r="AB2" s="1" t="s">
        <v>49</v>
      </c>
      <c r="AC2" s="1" t="s">
        <v>50</v>
      </c>
      <c r="AD2" s="1" t="s">
        <v>51</v>
      </c>
      <c r="AE2" s="1" t="s">
        <v>52</v>
      </c>
      <c r="AF2" s="1" t="s">
        <v>53</v>
      </c>
      <c r="AG2" s="1" t="s">
        <v>55</v>
      </c>
      <c r="AI2" s="1" t="s">
        <v>62</v>
      </c>
      <c r="AJ2" s="11" t="s">
        <v>64</v>
      </c>
      <c r="AK2" s="11" t="s">
        <v>66</v>
      </c>
      <c r="AL2" s="11" t="s">
        <v>5</v>
      </c>
      <c r="AM2" s="11" t="s">
        <v>7</v>
      </c>
      <c r="AN2" s="11" t="s">
        <v>8</v>
      </c>
      <c r="AO2" s="11" t="s">
        <v>9</v>
      </c>
      <c r="AP2" s="11" t="s">
        <v>10</v>
      </c>
      <c r="AQ2" s="11" t="s">
        <v>54</v>
      </c>
      <c r="AS2" t="s">
        <v>5</v>
      </c>
      <c r="AT2" t="s">
        <v>7</v>
      </c>
      <c r="AU2" t="s">
        <v>8</v>
      </c>
      <c r="AV2" t="s">
        <v>9</v>
      </c>
      <c r="AW2" t="s">
        <v>10</v>
      </c>
      <c r="AX2" t="s">
        <v>54</v>
      </c>
    </row>
    <row r="3" spans="1:50">
      <c r="A3" s="13">
        <v>8</v>
      </c>
      <c r="B3" s="6">
        <v>43878</v>
      </c>
      <c r="C3" s="6">
        <v>43884</v>
      </c>
      <c r="D3" s="7">
        <f>SUMIFS(day!B40:B46,day!A40:A46,"&gt;=" &amp; week!B3,day!A40:A46,"&lt;=" &amp; week!C3)</f>
        <v>-2.0000000000000032E-2</v>
      </c>
      <c r="F3" s="13">
        <f>A3</f>
        <v>8</v>
      </c>
      <c r="G3" s="6">
        <f>B3</f>
        <v>43878</v>
      </c>
      <c r="H3" s="6">
        <f>C3</f>
        <v>43884</v>
      </c>
      <c r="I3" s="7">
        <f>SUMIFS(day!E40:E46,day!D40:D46,"&gt;=" &amp; week!B3,day!D40:D46,"&lt;=" &amp; week!C3)</f>
        <v>0</v>
      </c>
      <c r="J3" s="7">
        <f>SUMIFS(day!F40:F46,day!D40:D46,"&gt;=" &amp; week!B3,day!D40:D46,"&lt;=" &amp; week!C3)</f>
        <v>0</v>
      </c>
      <c r="K3" s="7">
        <f>SUMIFS(day!G40:G46,day!D40:D46,"&gt;=" &amp; week!B3,day!D40:D46,"&lt;=" &amp; week!C3)</f>
        <v>0</v>
      </c>
      <c r="L3" s="7">
        <f>SUMIFS(day!H40:H46,day!D40:D46,"&gt;=" &amp; week!B3,day!D40:D46,"&lt;=" &amp; week!C3)</f>
        <v>0</v>
      </c>
      <c r="M3" s="7">
        <f>SUMIFS(day!I40:I46,day!D40:D46,"&gt;=" &amp; week!B3,day!D40:D46,"&lt;=" &amp; week!C3)</f>
        <v>0</v>
      </c>
      <c r="N3" s="7">
        <f>SUMIFS(day!J40:J46,day!D40:D46,"&gt;=" &amp; week!B3,day!D40:D46,"&lt;=" &amp; week!C3)</f>
        <v>0</v>
      </c>
      <c r="O3" s="7">
        <f>SUMIFS(day!K40:K46,day!D40:D46,"&gt;=" &amp; week!B3,day!D40:D46,"&lt;=" &amp; week!C3)</f>
        <v>-0.2</v>
      </c>
      <c r="P3" s="7">
        <f>SUMIFS(day!L40:L46,day!D40:D46,"&gt;=" &amp; week!B3,day!D40:D46,"&lt;=" &amp; week!C3)</f>
        <v>-0.1</v>
      </c>
      <c r="Q3" s="7">
        <f>SUMIFS(day!M40:M46,day!D40:D46,"&gt;=" &amp; week!B3,day!D40:D46,"&lt;=" &amp; week!C3)</f>
        <v>0</v>
      </c>
      <c r="R3" s="7">
        <f>SUMIFS(day!N40:N46,day!D40:D46,"&gt;=" &amp; week!B3,day!D40:D46,"&lt;=" &amp; week!C3)</f>
        <v>0</v>
      </c>
      <c r="S3" s="7">
        <f>SUMIFS(day!O40:O46,day!D40:D46,"&gt;=" &amp; week!B3,day!D40:D46,"&lt;=" &amp; week!C3)</f>
        <v>0</v>
      </c>
      <c r="T3" s="7">
        <f>SUMIFS(day!P40:P46,day!D40:D46,"&gt;=" &amp; week!B3,day!D40:D46,"&lt;=" &amp; week!C3)</f>
        <v>0</v>
      </c>
      <c r="U3" s="7">
        <f>SUMIFS(day!Q40:Q46,day!D40:D46,"&gt;=" &amp; week!B3,day!D40:D46,"&lt;=" &amp; week!C3)</f>
        <v>0</v>
      </c>
      <c r="V3" s="7">
        <f>SUMIFS(day!R40:R46,day!D40:D46,"&gt;=" &amp; week!B3,day!D40:D46,"&lt;=" &amp; week!C3)</f>
        <v>0</v>
      </c>
      <c r="W3" s="7">
        <f>SUMIFS(day!S40:S46,day!D40:D46,"&gt;=" &amp; week!B3,day!D40:D46,"&lt;=" &amp; week!C3)</f>
        <v>0</v>
      </c>
      <c r="X3" s="7">
        <f>SUMIFS(day!T40:T46,day!D40:D46,"&gt;=" &amp; week!B3,day!D40:D46,"&lt;=" &amp; week!C3)</f>
        <v>0</v>
      </c>
      <c r="Y3" s="7">
        <f>SUMIFS(day!U40:U46,day!D40:D46,"&gt;=" &amp; week!B3,day!D40:D46,"&lt;=" &amp; week!C3)</f>
        <v>0</v>
      </c>
      <c r="Z3" s="7">
        <f>SUMIFS(day!V40:V46,day!D40:D46,"&gt;=" &amp; week!B3,day!D40:D46,"&lt;=" &amp; week!C3)</f>
        <v>0</v>
      </c>
      <c r="AA3" s="7">
        <f>SUMIFS(day!W40:W46,day!D40:D46,"&gt;=" &amp; week!B3,day!D40:D46,"&lt;=" &amp; week!C3)</f>
        <v>0</v>
      </c>
      <c r="AB3" s="7">
        <f>SUMIFS(day!X40:X46,day!D40:D46,"&gt;=" &amp; week!B3,day!D40:D46,"&lt;=" &amp; week!C3)</f>
        <v>0</v>
      </c>
      <c r="AC3" s="7">
        <f>SUMIFS(day!Y40:Y46,day!D40:D46,"&gt;=" &amp; week!B3,day!D40:D46,"&lt;=" &amp; week!C3)</f>
        <v>0</v>
      </c>
      <c r="AD3" s="7">
        <f>SUMIFS(day!Z40:Z46,day!D40:D46,"&gt;=" &amp; week!B3,day!D40:D46,"&lt;=" &amp; week!C3)</f>
        <v>0.1</v>
      </c>
      <c r="AE3" s="7">
        <f>SUMIFS(day!AA40:AA46,day!D40:D46,"&gt;=" &amp; week!B3,day!D40:D46,"&lt;=" &amp; week!C3)</f>
        <v>0.18</v>
      </c>
      <c r="AF3" s="7">
        <f>SUMIFS(day!AB40:AB46,day!D40:D46,"&gt;=" &amp; week!B3,day!D40:D46,"&lt;=" &amp; week!C3)</f>
        <v>0</v>
      </c>
      <c r="AG3" s="7">
        <f>SUMIFS(day!AC40:AC46,day!D40:D46,"&gt;=" &amp; week!B3,day!D40:D46,"&lt;=" &amp; week!C3)</f>
        <v>0</v>
      </c>
      <c r="AI3" s="13">
        <f t="shared" ref="AI3:AK5" si="0">A3</f>
        <v>8</v>
      </c>
      <c r="AJ3" s="6">
        <f t="shared" si="0"/>
        <v>43878</v>
      </c>
      <c r="AK3" s="6">
        <f t="shared" si="0"/>
        <v>43884</v>
      </c>
      <c r="AL3" s="7">
        <f>SUMIFS(day!AF40:AF46,day!D40:D46,"&gt;=" &amp; week!B3,day!D40:D46,"&lt;=" &amp; week!C3)</f>
        <v>-0.1</v>
      </c>
      <c r="AM3" s="7">
        <f>SUMIFS(day!AG40:AG46,day!D40:D46,"&gt;=" &amp; week!B3,day!D40:D46,"&lt;=" &amp; week!C3)</f>
        <v>-0.1</v>
      </c>
      <c r="AN3" s="7">
        <f>SUMIFS(day!AH40:AH46,day!D40:D46,"&gt;=" &amp; week!B3,day!D40:D46,"&lt;=" &amp; week!C3)</f>
        <v>-0.1</v>
      </c>
      <c r="AO3" s="7">
        <f>SUMIFS(day!AI40:AI46,day!D40:D46,"&gt;=" &amp; week!B3,day!D40:D46,"&lt;=" &amp; week!C3)</f>
        <v>0.1</v>
      </c>
      <c r="AP3" s="7">
        <f>SUMIFS(day!AJ40:AJ46,day!D40:D46,"&gt;=" &amp; week!B3,day!D40:D46,"&lt;=" &amp; week!C3)</f>
        <v>0.1</v>
      </c>
      <c r="AQ3" s="7">
        <f>SUMIFS(day!AK40:AK46,day!D40:D46,"&gt;=" &amp; week!B3,day!D40:D46,"&lt;=" &amp; week!C3)</f>
        <v>0</v>
      </c>
      <c r="AS3">
        <v>0</v>
      </c>
      <c r="AT3">
        <v>0</v>
      </c>
      <c r="AU3">
        <v>-0.2</v>
      </c>
      <c r="AV3">
        <v>0.5</v>
      </c>
      <c r="AW3">
        <v>0.1</v>
      </c>
      <c r="AX3">
        <v>0</v>
      </c>
    </row>
    <row r="4" spans="1:50">
      <c r="A4" s="13">
        <v>9</v>
      </c>
      <c r="B4" s="6">
        <v>43885</v>
      </c>
      <c r="C4" s="6">
        <v>43891</v>
      </c>
      <c r="D4" s="7">
        <f>SUMIFS(day!B40:B46,day!A40:A46,"&gt;=" &amp; week!B4,day!A40:A46,"&lt;=" &amp; week!C4)</f>
        <v>4.2799999999999994</v>
      </c>
      <c r="F4" s="13">
        <f t="shared" ref="F4:F5" si="1">A4</f>
        <v>9</v>
      </c>
      <c r="G4" s="6">
        <f t="shared" ref="G4:G5" si="2">B4</f>
        <v>43885</v>
      </c>
      <c r="H4" s="6">
        <f t="shared" ref="H4:H5" si="3">C4</f>
        <v>43891</v>
      </c>
      <c r="I4" s="7">
        <f>SUMIFS(day!E40:E46,day!D40:D46,"&gt;=" &amp; week!B4,day!D40:D46,"&lt;=" &amp; week!C4)</f>
        <v>0</v>
      </c>
      <c r="J4" s="7">
        <f>SUMIFS(day!F40:F46,day!D40:D46,"&gt;=" &amp; week!B4,day!D40:D46,"&lt;=" &amp; week!C4)</f>
        <v>0</v>
      </c>
      <c r="K4" s="7">
        <f>SUMIFS(day!G40:G46,day!D40:D46,"&gt;=" &amp; week!B4,day!D40:D46,"&lt;=" &amp; week!C4)</f>
        <v>0</v>
      </c>
      <c r="L4" s="7">
        <f>SUMIFS(day!H40:H46,day!D40:D46,"&gt;=" &amp; week!B4,day!D40:D46,"&lt;=" &amp; week!C4)</f>
        <v>0</v>
      </c>
      <c r="M4" s="7">
        <f>SUMIFS(day!I40:I46,day!D40:D46,"&gt;=" &amp; week!B4,day!D40:D46,"&lt;=" &amp; week!C4)</f>
        <v>0</v>
      </c>
      <c r="N4" s="7">
        <f>SUMIFS(day!J40:J46,day!D40:D46,"&gt;=" &amp; week!B4,day!D40:D46,"&lt;=" &amp; week!C4)</f>
        <v>0</v>
      </c>
      <c r="O4" s="7">
        <f>SUMIFS(day!K40:K46,day!D40:D46,"&gt;=" &amp; week!B4,day!D40:D46,"&lt;=" &amp; week!C4)</f>
        <v>0</v>
      </c>
      <c r="P4" s="7">
        <f>SUMIFS(day!L40:L46,day!D40:D46,"&gt;=" &amp; week!B4,day!D40:D46,"&lt;=" &amp; week!C4)</f>
        <v>0</v>
      </c>
      <c r="Q4" s="7">
        <f>SUMIFS(day!M40:M46,day!D40:D46,"&gt;=" &amp; week!B4,day!D40:D46,"&lt;=" &amp; week!C4)</f>
        <v>0.9</v>
      </c>
      <c r="R4" s="7">
        <f>SUMIFS(day!N40:N46,day!D40:D46,"&gt;=" &amp; week!B4,day!D40:D46,"&lt;=" &amp; week!C4)</f>
        <v>0.2</v>
      </c>
      <c r="S4" s="7">
        <f>SUMIFS(day!O40:O46,day!D40:D46,"&gt;=" &amp; week!B4,day!D40:D46,"&lt;=" &amp; week!C4)</f>
        <v>0.1</v>
      </c>
      <c r="T4" s="7">
        <f>SUMIFS(day!P40:P46,day!D40:D46,"&gt;=" &amp; week!B4,day!D40:D46,"&lt;=" &amp; week!C4)</f>
        <v>0</v>
      </c>
      <c r="U4" s="7">
        <f>SUMIFS(day!Q40:Q46,day!D40:D46,"&gt;=" &amp; week!B4,day!D40:D46,"&lt;=" &amp; week!C4)</f>
        <v>0</v>
      </c>
      <c r="V4" s="7">
        <f>SUMIFS(day!R40:R46,day!D40:D46,"&gt;=" &amp; week!B4,day!D40:D46,"&lt;=" &amp; week!C4)</f>
        <v>0</v>
      </c>
      <c r="W4" s="7">
        <f>SUMIFS(day!S40:S46,day!D40:D46,"&gt;=" &amp; week!B4,day!D40:D46,"&lt;=" &amp; week!C4)</f>
        <v>0</v>
      </c>
      <c r="X4" s="7">
        <f>SUMIFS(day!T40:T46,day!D40:D46,"&gt;=" &amp; week!B4,day!D40:D46,"&lt;=" &amp; week!C4)</f>
        <v>0</v>
      </c>
      <c r="Y4" s="7">
        <f>SUMIFS(day!U40:U46,day!D40:D46,"&gt;=" &amp; week!B4,day!D40:D46,"&lt;=" &amp; week!C4)</f>
        <v>0</v>
      </c>
      <c r="Z4" s="7">
        <f>SUMIFS(day!V40:V46,day!D40:D46,"&gt;=" &amp; week!B4,day!D40:D46,"&lt;=" &amp; week!C4)</f>
        <v>0</v>
      </c>
      <c r="AA4" s="7">
        <f>SUMIFS(day!W40:W46,day!D40:D46,"&gt;=" &amp; week!B4,day!D40:D46,"&lt;=" &amp; week!C4)</f>
        <v>0.1</v>
      </c>
      <c r="AB4" s="7">
        <f>SUMIFS(day!X40:X46,day!D40:D46,"&gt;=" &amp; week!B4,day!D40:D46,"&lt;=" &amp; week!C4)</f>
        <v>0</v>
      </c>
      <c r="AC4" s="7">
        <f>SUMIFS(day!Y40:Y46,day!D40:D46,"&gt;=" &amp; week!B4,day!D40:D46,"&lt;=" &amp; week!C4)</f>
        <v>0</v>
      </c>
      <c r="AD4" s="7">
        <f>SUMIFS(day!Z40:Z46,day!D40:D46,"&gt;=" &amp; week!B4,day!D40:D46,"&lt;=" &amp; week!C4)</f>
        <v>0.5</v>
      </c>
      <c r="AE4" s="7">
        <f>SUMIFS(day!AA40:AA46,day!D40:D46,"&gt;=" &amp; week!B4,day!D40:D46,"&lt;=" &amp; week!C4)</f>
        <v>1.4000000000000001</v>
      </c>
      <c r="AF4" s="7">
        <f>SUMIFS(day!AB40:AB46,day!D40:D46,"&gt;=" &amp; week!B4,day!D40:D46,"&lt;=" &amp; week!C4)</f>
        <v>0</v>
      </c>
      <c r="AG4" s="7">
        <f>SUMIFS(day!AC40:AC46,day!D40:D46,"&gt;=" &amp; week!B4,day!D40:D46,"&lt;=" &amp; week!C4)</f>
        <v>1.08</v>
      </c>
      <c r="AI4" s="13">
        <f t="shared" si="0"/>
        <v>9</v>
      </c>
      <c r="AJ4" s="6">
        <f t="shared" si="0"/>
        <v>43885</v>
      </c>
      <c r="AK4" s="6">
        <f t="shared" si="0"/>
        <v>43891</v>
      </c>
      <c r="AL4" s="7">
        <f>SUMIFS(day!AF40:AF46,day!D40:D46,"&gt;=" &amp; week!B4,day!D40:D46,"&lt;=" &amp; week!C4)</f>
        <v>0</v>
      </c>
      <c r="AM4" s="7">
        <f>SUMIFS(day!AG40:AG46,day!D40:D46,"&gt;=" &amp; week!B4,day!D40:D46,"&lt;=" &amp; week!C4)</f>
        <v>0</v>
      </c>
      <c r="AN4" s="7">
        <f>SUMIFS(day!AH40:AH46,day!D40:D46,"&gt;=" &amp; week!B4,day!D40:D46,"&lt;=" &amp; week!C4)</f>
        <v>-0.2</v>
      </c>
      <c r="AO4" s="7">
        <f>SUMIFS(day!AI40:AI46,day!D40:D46,"&gt;=" &amp; week!B4,day!D40:D46,"&lt;=" &amp; week!C4)</f>
        <v>0.5</v>
      </c>
      <c r="AP4" s="7">
        <f>SUMIFS(day!AJ40:AJ46,day!D40:D46,"&gt;=" &amp; week!B4,day!D40:D46,"&lt;=" &amp; week!C4)</f>
        <v>0.1</v>
      </c>
      <c r="AQ4" s="7">
        <f>SUMIFS(day!AK40:AK46,day!D40:D46,"&gt;=" &amp; week!B4,day!D40:D46,"&lt;=" &amp; week!C4)</f>
        <v>0</v>
      </c>
    </row>
    <row r="5" spans="1:50">
      <c r="A5" s="13">
        <v>10</v>
      </c>
      <c r="B5" s="6">
        <v>43892</v>
      </c>
      <c r="C5" s="6">
        <v>43898</v>
      </c>
      <c r="D5" s="7">
        <f>SUMIFS(day!B40:B46,day!A40:A46,"&gt;=" &amp; week!B5,day!A40:A46,"&lt;=" &amp; week!C5)</f>
        <v>0</v>
      </c>
      <c r="F5" s="13">
        <f t="shared" si="1"/>
        <v>10</v>
      </c>
      <c r="G5" s="6">
        <f t="shared" si="2"/>
        <v>43892</v>
      </c>
      <c r="H5" s="6">
        <f t="shared" si="3"/>
        <v>43898</v>
      </c>
      <c r="I5" s="7">
        <f>SUMIFS(day!E40:E46,day!D40:D46,"&gt;=" &amp; week!B5,day!D40:D46,"&lt;=" &amp; week!C5)</f>
        <v>0</v>
      </c>
      <c r="J5" s="7">
        <f>SUMIFS(day!F40:F46,day!D40:D46,"&gt;=" &amp; week!B5,day!D40:D46,"&lt;=" &amp; week!C5)</f>
        <v>0</v>
      </c>
      <c r="K5" s="7">
        <f>SUMIFS(day!G40:G46,day!D40:D46,"&gt;=" &amp; week!B5,day!D40:D46,"&lt;=" &amp; week!C5)</f>
        <v>0</v>
      </c>
      <c r="L5" s="7">
        <f>SUMIFS(day!H40:H46,day!D40:D46,"&gt;=" &amp; week!B5,day!D40:D46,"&lt;=" &amp; week!C5)</f>
        <v>0</v>
      </c>
      <c r="M5" s="7">
        <f>SUMIFS(day!I40:I46,day!D40:D46,"&gt;=" &amp; week!B5,day!D40:D46,"&lt;=" &amp; week!C5)</f>
        <v>0</v>
      </c>
      <c r="N5" s="7">
        <f>SUMIFS(day!J40:J46,day!D40:D46,"&gt;=" &amp; week!B5,day!D40:D46,"&lt;=" &amp; week!C5)</f>
        <v>0</v>
      </c>
      <c r="O5" s="7">
        <f>SUMIFS(day!K40:K46,day!D40:D46,"&gt;=" &amp; week!B5,day!D40:D46,"&lt;=" &amp; week!C5)</f>
        <v>0</v>
      </c>
      <c r="P5" s="7">
        <f>SUMIFS(day!L40:L46,day!D40:D46,"&gt;=" &amp; week!B5,day!D40:D46,"&lt;=" &amp; week!C5)</f>
        <v>0</v>
      </c>
      <c r="Q5" s="7">
        <f>SUMIFS(day!M40:M46,day!D40:D46,"&gt;=" &amp; week!B5,day!D40:D46,"&lt;=" &amp; week!C5)</f>
        <v>0</v>
      </c>
      <c r="R5" s="7">
        <f>SUMIFS(day!N40:N46,day!D40:D46,"&gt;=" &amp; week!B5,day!D40:D46,"&lt;=" &amp; week!C5)</f>
        <v>0</v>
      </c>
      <c r="S5" s="7">
        <f>SUMIFS(day!O40:O46,day!D40:D46,"&gt;=" &amp; week!B5,day!D40:D46,"&lt;=" &amp; week!C5)</f>
        <v>0</v>
      </c>
      <c r="T5" s="7">
        <f>SUMIFS(day!P40:P46,day!D40:D46,"&gt;=" &amp; week!B5,day!D40:D46,"&lt;=" &amp; week!C5)</f>
        <v>0</v>
      </c>
      <c r="U5" s="7">
        <f>SUMIFS(day!Q40:Q46,day!D40:D46,"&gt;=" &amp; week!B5,day!D40:D46,"&lt;=" &amp; week!C5)</f>
        <v>0</v>
      </c>
      <c r="V5" s="7">
        <f>SUMIFS(day!R40:R46,day!D40:D46,"&gt;=" &amp; week!B5,day!D40:D46,"&lt;=" &amp; week!C5)</f>
        <v>0</v>
      </c>
      <c r="W5" s="7">
        <f>SUMIFS(day!S40:S46,day!D40:D46,"&gt;=" &amp; week!B5,day!D40:D46,"&lt;=" &amp; week!C5)</f>
        <v>0</v>
      </c>
      <c r="X5" s="7">
        <f>SUMIFS(day!T40:T46,day!D40:D46,"&gt;=" &amp; week!B5,day!D40:D46,"&lt;=" &amp; week!C5)</f>
        <v>0</v>
      </c>
      <c r="Y5" s="7">
        <f>SUMIFS(day!U40:U46,day!D40:D46,"&gt;=" &amp; week!B5,day!D40:D46,"&lt;=" &amp; week!C5)</f>
        <v>0</v>
      </c>
      <c r="Z5" s="7">
        <f>SUMIFS(day!V40:V46,day!D40:D46,"&gt;=" &amp; week!B5,day!D40:D46,"&lt;=" &amp; week!C5)</f>
        <v>0</v>
      </c>
      <c r="AA5" s="7">
        <f>SUMIFS(day!W40:W46,day!D40:D46,"&gt;=" &amp; week!B5,day!D40:D46,"&lt;=" &amp; week!C5)</f>
        <v>0</v>
      </c>
      <c r="AB5" s="7">
        <f>SUMIFS(day!X40:X46,day!D40:D46,"&gt;=" &amp; week!B5,day!D40:D46,"&lt;=" &amp; week!C5)</f>
        <v>0</v>
      </c>
      <c r="AC5" s="7">
        <f>SUMIFS(day!Y40:Y46,day!D40:D46,"&gt;=" &amp; week!B5,day!D40:D46,"&lt;=" &amp; week!C5)</f>
        <v>0</v>
      </c>
      <c r="AD5" s="7">
        <f>SUMIFS(day!Z40:Z46,day!D40:D46,"&gt;=" &amp; week!B5,day!D40:D46,"&lt;=" &amp; week!C5)</f>
        <v>0</v>
      </c>
      <c r="AE5" s="7">
        <f>SUMIFS(day!AA40:AA46,day!D40:D46,"&gt;=" &amp; week!B5,day!D40:D46,"&lt;=" &amp; week!C5)</f>
        <v>0</v>
      </c>
      <c r="AF5" s="7">
        <f>SUMIFS(day!AB40:AB46,day!D40:D46,"&gt;=" &amp; week!B5,day!D40:D46,"&lt;=" &amp; week!C5)</f>
        <v>0</v>
      </c>
      <c r="AG5" s="7">
        <f>SUMIFS(day!AC40:AC46,day!D40:D46,"&gt;=" &amp; week!B5,day!D40:D46,"&lt;=" &amp; week!C5)</f>
        <v>0</v>
      </c>
      <c r="AI5" s="13">
        <f t="shared" si="0"/>
        <v>10</v>
      </c>
      <c r="AJ5" s="6">
        <f t="shared" si="0"/>
        <v>43892</v>
      </c>
      <c r="AK5" s="6">
        <f t="shared" si="0"/>
        <v>43898</v>
      </c>
      <c r="AL5" s="7">
        <f>SUMIFS(day!AF40:AF46,day!D40:D46,"&gt;=" &amp; week!B5,day!D40:D46,"&lt;=" &amp; week!C5)</f>
        <v>0</v>
      </c>
      <c r="AM5" s="7">
        <f>SUMIFS(day!AG40:AG46,day!D40:D46,"&gt;=" &amp; week!B5,day!D40:D46,"&lt;=" &amp; week!C5)</f>
        <v>0</v>
      </c>
      <c r="AN5" s="7">
        <f>SUMIFS(day!AH40:AH46,day!D40:D46,"&gt;=" &amp; week!B5,day!D40:D46,"&lt;=" &amp; week!C5)</f>
        <v>0</v>
      </c>
      <c r="AO5" s="7">
        <f>SUMIFS(day!AI40:AI46,day!D40:D46,"&gt;=" &amp; week!B5,day!D40:D46,"&lt;=" &amp; week!C5)</f>
        <v>0</v>
      </c>
      <c r="AP5" s="7">
        <f>SUMIFS(day!AJ40:AJ46,day!D40:D46,"&gt;=" &amp; week!B5,day!D40:D46,"&lt;=" &amp; week!C5)</f>
        <v>0</v>
      </c>
      <c r="AQ5" s="7">
        <f>SUMIFS(day!AK40:AK46,day!D40:D46,"&gt;=" &amp; week!B5,day!D40:D46,"&lt;=" &amp; week!C5)</f>
        <v>0</v>
      </c>
    </row>
    <row r="6" spans="1:50">
      <c r="A6" s="13"/>
      <c r="B6" s="6"/>
      <c r="C6" s="6"/>
      <c r="AI6" s="6"/>
      <c r="AJ6" s="6"/>
      <c r="AK6" s="6"/>
    </row>
    <row r="7" spans="1:50">
      <c r="A7" s="13"/>
      <c r="B7" s="6"/>
      <c r="C7" s="6"/>
      <c r="AI7" s="6"/>
      <c r="AJ7" s="6"/>
      <c r="AK7" s="6"/>
    </row>
    <row r="8" spans="1:50">
      <c r="A8" s="13"/>
      <c r="B8" s="6"/>
      <c r="C8" s="6"/>
      <c r="AI8" s="6"/>
      <c r="AJ8" s="6"/>
      <c r="AK8" s="6"/>
    </row>
    <row r="9" spans="1:50">
      <c r="A9" s="13"/>
      <c r="B9" s="6"/>
      <c r="C9" s="6"/>
      <c r="AI9" s="6"/>
      <c r="AJ9" s="6"/>
      <c r="AK9" s="6"/>
    </row>
    <row r="33" spans="1:43" ht="21">
      <c r="A33" s="40" t="s">
        <v>74</v>
      </c>
      <c r="B33" s="40"/>
      <c r="C33" s="40"/>
      <c r="D33" s="40"/>
      <c r="F33" s="39" t="s">
        <v>68</v>
      </c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  <c r="AE33" s="39"/>
      <c r="AF33" s="39"/>
      <c r="AG33" s="39"/>
      <c r="AI33" s="38" t="s">
        <v>69</v>
      </c>
      <c r="AJ33" s="38"/>
      <c r="AK33" s="38"/>
      <c r="AL33" s="38"/>
      <c r="AM33" s="38"/>
      <c r="AN33" s="38"/>
      <c r="AO33" s="38"/>
      <c r="AP33" s="38"/>
      <c r="AQ33" s="38"/>
    </row>
    <row r="34" spans="1:43" ht="18">
      <c r="A34" s="11" t="s">
        <v>63</v>
      </c>
      <c r="B34" s="1" t="s">
        <v>65</v>
      </c>
      <c r="C34" s="11" t="s">
        <v>67</v>
      </c>
      <c r="D34" s="11" t="s">
        <v>28</v>
      </c>
      <c r="F34" s="1" t="s">
        <v>62</v>
      </c>
      <c r="G34" s="1" t="s">
        <v>64</v>
      </c>
      <c r="H34" s="1" t="s">
        <v>66</v>
      </c>
      <c r="I34" s="1" t="s">
        <v>31</v>
      </c>
      <c r="J34" s="1" t="s">
        <v>32</v>
      </c>
      <c r="K34" s="1" t="s">
        <v>33</v>
      </c>
      <c r="L34" s="1" t="s">
        <v>34</v>
      </c>
      <c r="M34" s="1" t="s">
        <v>35</v>
      </c>
      <c r="N34" s="1" t="s">
        <v>36</v>
      </c>
      <c r="O34" s="1" t="s">
        <v>30</v>
      </c>
      <c r="P34" s="1" t="s">
        <v>37</v>
      </c>
      <c r="Q34" s="1" t="s">
        <v>38</v>
      </c>
      <c r="R34" s="1" t="s">
        <v>39</v>
      </c>
      <c r="S34" s="1" t="s">
        <v>40</v>
      </c>
      <c r="T34" s="1" t="s">
        <v>41</v>
      </c>
      <c r="U34" s="1" t="s">
        <v>42</v>
      </c>
      <c r="V34" s="1" t="s">
        <v>43</v>
      </c>
      <c r="W34" s="1" t="s">
        <v>44</v>
      </c>
      <c r="X34" s="1" t="s">
        <v>45</v>
      </c>
      <c r="Y34" s="1" t="s">
        <v>46</v>
      </c>
      <c r="Z34" s="1" t="s">
        <v>47</v>
      </c>
      <c r="AA34" s="1" t="s">
        <v>48</v>
      </c>
      <c r="AB34" s="1" t="s">
        <v>49</v>
      </c>
      <c r="AC34" s="1" t="s">
        <v>50</v>
      </c>
      <c r="AD34" s="1" t="s">
        <v>51</v>
      </c>
      <c r="AE34" s="1" t="s">
        <v>52</v>
      </c>
      <c r="AF34" s="1" t="s">
        <v>53</v>
      </c>
      <c r="AG34" s="1" t="s">
        <v>55</v>
      </c>
      <c r="AI34" s="1" t="s">
        <v>62</v>
      </c>
      <c r="AJ34" s="1" t="s">
        <v>64</v>
      </c>
      <c r="AK34" s="1" t="s">
        <v>66</v>
      </c>
      <c r="AL34" s="11" t="s">
        <v>5</v>
      </c>
      <c r="AM34" s="11" t="s">
        <v>7</v>
      </c>
      <c r="AN34" s="11" t="s">
        <v>8</v>
      </c>
      <c r="AO34" s="11" t="s">
        <v>9</v>
      </c>
      <c r="AP34" s="11" t="s">
        <v>10</v>
      </c>
      <c r="AQ34" s="11" t="s">
        <v>54</v>
      </c>
    </row>
    <row r="35" spans="1:43">
      <c r="A35" s="13">
        <v>8</v>
      </c>
      <c r="B35" s="6">
        <v>43878</v>
      </c>
      <c r="C35" s="6">
        <v>43884</v>
      </c>
      <c r="D35">
        <v>-2.0000000000000032E-2</v>
      </c>
      <c r="F35" s="13">
        <f>A35</f>
        <v>8</v>
      </c>
      <c r="G35" s="6">
        <f>表6_3[[#This Row],[开始日期]]</f>
        <v>43878</v>
      </c>
      <c r="H35" s="6">
        <f>表6_3[[#This Row],[结束日期]]</f>
        <v>43884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-0.2</v>
      </c>
      <c r="P35">
        <v>-0.1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0.1</v>
      </c>
      <c r="AE35">
        <v>0.18</v>
      </c>
      <c r="AF35">
        <v>0</v>
      </c>
      <c r="AG35">
        <v>0</v>
      </c>
      <c r="AI35" s="13">
        <v>8</v>
      </c>
      <c r="AJ35" s="6">
        <v>43878</v>
      </c>
      <c r="AK35" s="6">
        <v>43884</v>
      </c>
      <c r="AL35">
        <v>-0.1</v>
      </c>
      <c r="AM35">
        <v>-0.1</v>
      </c>
      <c r="AN35">
        <v>-0.1</v>
      </c>
      <c r="AO35">
        <v>0.1</v>
      </c>
      <c r="AP35">
        <v>0.1</v>
      </c>
      <c r="AQ35">
        <v>0</v>
      </c>
    </row>
    <row r="36" spans="1:43">
      <c r="A36" s="13">
        <v>9</v>
      </c>
      <c r="B36" s="6">
        <v>43885</v>
      </c>
      <c r="C36" s="6">
        <v>43891</v>
      </c>
      <c r="D36">
        <v>4.2799999999999994</v>
      </c>
      <c r="F36" s="13">
        <f>表6_3[[#This Row],[周次]]</f>
        <v>9</v>
      </c>
      <c r="G36" s="6">
        <f>表6_3[[#This Row],[开始日期]]</f>
        <v>43885</v>
      </c>
      <c r="H36" s="6">
        <f>表6_3[[#This Row],[结束日期]]</f>
        <v>43891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-0.4</v>
      </c>
      <c r="P36">
        <v>-0.2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0.1</v>
      </c>
      <c r="AE36">
        <v>0.2</v>
      </c>
      <c r="AF36">
        <v>0</v>
      </c>
      <c r="AG36">
        <v>0.18</v>
      </c>
      <c r="AI36" s="13">
        <v>9</v>
      </c>
      <c r="AJ36" s="6">
        <v>43885</v>
      </c>
      <c r="AK36" s="6">
        <v>43891</v>
      </c>
      <c r="AL36">
        <v>0</v>
      </c>
      <c r="AM36">
        <v>0</v>
      </c>
      <c r="AN36">
        <v>-0.2</v>
      </c>
      <c r="AO36">
        <v>0.5</v>
      </c>
      <c r="AP36">
        <v>0.1</v>
      </c>
      <c r="AQ36">
        <v>0</v>
      </c>
    </row>
    <row r="37" spans="1:43">
      <c r="A37" s="13">
        <v>10</v>
      </c>
      <c r="B37" s="6">
        <v>43892</v>
      </c>
      <c r="C37" s="6">
        <v>43898</v>
      </c>
      <c r="D37">
        <v>0</v>
      </c>
      <c r="F37" s="13">
        <v>10</v>
      </c>
      <c r="G37" s="6">
        <v>43892</v>
      </c>
      <c r="H37" s="6">
        <v>43898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I37" s="13">
        <v>10</v>
      </c>
      <c r="AJ37" s="6">
        <v>43892</v>
      </c>
      <c r="AK37" s="6">
        <v>43898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>
      <c r="A38" s="6"/>
      <c r="B38" s="6"/>
      <c r="C38" s="6"/>
      <c r="F38" s="6"/>
      <c r="G38" s="6"/>
      <c r="H38" s="6"/>
      <c r="AI38" s="6"/>
      <c r="AJ38" s="6"/>
      <c r="AK38" s="6"/>
    </row>
    <row r="39" spans="1:43">
      <c r="A39" s="6"/>
      <c r="B39" s="6"/>
      <c r="C39" s="6"/>
      <c r="F39" s="6"/>
      <c r="G39" s="6"/>
      <c r="H39" s="6"/>
      <c r="AI39" s="6"/>
      <c r="AJ39" s="6"/>
      <c r="AK39" s="6"/>
    </row>
    <row r="40" spans="1:43">
      <c r="A40" s="6"/>
      <c r="B40" s="6"/>
      <c r="C40" s="6"/>
      <c r="F40" s="6"/>
      <c r="G40" s="6"/>
      <c r="H40" s="6"/>
      <c r="AI40" s="6"/>
      <c r="AJ40" s="6"/>
      <c r="AK40" s="6"/>
    </row>
    <row r="41" spans="1:43">
      <c r="A41" s="6"/>
      <c r="B41" s="6"/>
      <c r="C41" s="6"/>
      <c r="F41" s="6"/>
      <c r="G41" s="6"/>
      <c r="H41" s="6"/>
      <c r="AI41" s="6"/>
      <c r="AJ41" s="6"/>
      <c r="AK41" s="6"/>
    </row>
  </sheetData>
  <mergeCells count="6">
    <mergeCell ref="A1:D1"/>
    <mergeCell ref="F1:AG1"/>
    <mergeCell ref="AI1:AQ1"/>
    <mergeCell ref="AI33:AQ33"/>
    <mergeCell ref="A33:D33"/>
    <mergeCell ref="F33:AG33"/>
  </mergeCells>
  <phoneticPr fontId="1" type="noConversion"/>
  <pageMargins left="0.7" right="0.7" top="0.75" bottom="0.75" header="0.3" footer="0.3"/>
  <ignoredErrors>
    <ignoredError sqref="F36" formula="1"/>
  </ignoredErrors>
  <drawing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AD24B-EE61-F14D-A30D-923071428016}">
  <dimension ref="A1:AQ41"/>
  <sheetViews>
    <sheetView topLeftCell="AA18" workbookViewId="0">
      <selection activeCell="AI33" sqref="AI33:AQ33"/>
    </sheetView>
  </sheetViews>
  <sheetFormatPr baseColWidth="10" defaultRowHeight="16"/>
  <cols>
    <col min="1" max="1" width="9.1640625" bestFit="1" customWidth="1"/>
    <col min="2" max="3" width="13.83203125" bestFit="1" customWidth="1"/>
    <col min="4" max="4" width="9.1640625" bestFit="1" customWidth="1"/>
    <col min="6" max="6" width="9.1640625" bestFit="1" customWidth="1"/>
    <col min="7" max="8" width="13.83203125" bestFit="1" customWidth="1"/>
    <col min="9" max="18" width="9" bestFit="1" customWidth="1"/>
    <col min="19" max="33" width="10.33203125" bestFit="1" customWidth="1"/>
    <col min="35" max="35" width="9.1640625" bestFit="1" customWidth="1"/>
    <col min="36" max="37" width="13.83203125" bestFit="1" customWidth="1"/>
    <col min="38" max="42" width="9.1640625" bestFit="1" customWidth="1"/>
    <col min="43" max="43" width="18.83203125" bestFit="1" customWidth="1"/>
  </cols>
  <sheetData>
    <row r="1" spans="1:43" ht="21">
      <c r="A1" s="40" t="s">
        <v>76</v>
      </c>
      <c r="B1" s="40"/>
      <c r="C1" s="40"/>
      <c r="D1" s="40"/>
      <c r="F1" s="39" t="s">
        <v>79</v>
      </c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I1" s="38" t="s">
        <v>80</v>
      </c>
      <c r="AJ1" s="38"/>
      <c r="AK1" s="38"/>
      <c r="AL1" s="38"/>
      <c r="AM1" s="38"/>
      <c r="AN1" s="38"/>
      <c r="AO1" s="38"/>
      <c r="AP1" s="38"/>
      <c r="AQ1" s="38"/>
    </row>
    <row r="2" spans="1:43" ht="18">
      <c r="A2" s="11" t="s">
        <v>78</v>
      </c>
      <c r="B2" s="1" t="s">
        <v>65</v>
      </c>
      <c r="C2" s="11" t="s">
        <v>67</v>
      </c>
      <c r="D2" s="11" t="s">
        <v>29</v>
      </c>
      <c r="F2" s="1" t="s">
        <v>78</v>
      </c>
      <c r="G2" s="1" t="s">
        <v>64</v>
      </c>
      <c r="H2" s="1" t="s">
        <v>66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30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  <c r="AA2" s="1" t="s">
        <v>48</v>
      </c>
      <c r="AB2" s="1" t="s">
        <v>49</v>
      </c>
      <c r="AC2" s="1" t="s">
        <v>50</v>
      </c>
      <c r="AD2" s="1" t="s">
        <v>51</v>
      </c>
      <c r="AE2" s="1" t="s">
        <v>52</v>
      </c>
      <c r="AF2" s="1" t="s">
        <v>53</v>
      </c>
      <c r="AG2" s="1" t="s">
        <v>55</v>
      </c>
      <c r="AI2" s="1" t="s">
        <v>78</v>
      </c>
      <c r="AJ2" s="11" t="s">
        <v>64</v>
      </c>
      <c r="AK2" s="11" t="s">
        <v>66</v>
      </c>
      <c r="AL2" s="11" t="s">
        <v>5</v>
      </c>
      <c r="AM2" s="11" t="s">
        <v>7</v>
      </c>
      <c r="AN2" s="11" t="s">
        <v>8</v>
      </c>
      <c r="AO2" s="11" t="s">
        <v>9</v>
      </c>
      <c r="AP2" s="11" t="s">
        <v>10</v>
      </c>
      <c r="AQ2" s="11" t="s">
        <v>54</v>
      </c>
    </row>
    <row r="3" spans="1:43">
      <c r="A3" s="13">
        <v>2</v>
      </c>
      <c r="B3" s="6">
        <v>43862</v>
      </c>
      <c r="C3" s="6">
        <f>EOMONTH(表6_1117206[[#This Row],[开始日期]],0)</f>
        <v>43890</v>
      </c>
      <c r="D3" s="7">
        <f>SUMIFS(day!B40:B46,day!A40:A46,"&gt;="&amp;month!B3,day!A40:A46,"&lt;="&amp;month!C3)</f>
        <v>4.26</v>
      </c>
      <c r="F3" s="13">
        <f>A3</f>
        <v>2</v>
      </c>
      <c r="G3" s="6">
        <f>B3</f>
        <v>43862</v>
      </c>
      <c r="H3" s="6">
        <f>C3</f>
        <v>43890</v>
      </c>
      <c r="I3" s="7">
        <f>SUMIFS(day!E40:E46,day!D40:D46,"&gt;=" &amp; month!B3,day!D40:D46,"&lt;=" &amp; month!C3)</f>
        <v>0</v>
      </c>
      <c r="J3" s="7">
        <f>SUMIFS(day!F40:F46,day!D40:D46,"&gt;=" &amp; month!B3,day!D40:D46,"&lt;=" &amp; month!C3)</f>
        <v>0</v>
      </c>
      <c r="K3" s="7">
        <f>SUMIFS(day!G40:G46,day!D40:D46,"&gt;=" &amp; month!B3,day!D40:D46,"&lt;=" &amp; month!C3)</f>
        <v>0</v>
      </c>
      <c r="L3" s="7">
        <f>SUMIFS(day!H40:H46,day!D40:D46,"&gt;=" &amp; month!B3,day!D40:D46,"&lt;=" &amp; month!C3)</f>
        <v>0</v>
      </c>
      <c r="M3" s="7">
        <f>SUMIFS(day!I40:I46,day!D40:D46,"&gt;=" &amp; month!B3,day!D40:D46,"&lt;=" &amp; month!C3)</f>
        <v>0</v>
      </c>
      <c r="N3" s="7">
        <f>SUMIFS(day!J40:J46,day!D40:D46,"&gt;=" &amp; month!B3,day!D40:D46,"&lt;=" &amp; month!C3)</f>
        <v>0</v>
      </c>
      <c r="O3" s="7">
        <f>SUMIFS(day!K40:K46,day!D40:D46,"&gt;=" &amp; month!B3,day!D40:D46,"&lt;=" &amp; month!C3)</f>
        <v>-0.20000000000000007</v>
      </c>
      <c r="P3" s="7">
        <f>SUMIFS(day!L40:L46,day!D40:D46,"&gt;=" &amp; month!B3,day!D40:D46,"&lt;=" &amp; month!C3)</f>
        <v>-0.10000000000000003</v>
      </c>
      <c r="Q3" s="7">
        <f>SUMIFS(day!M40:M46,day!D40:D46,"&gt;=" &amp; month!B3,day!D40:D46,"&lt;=" &amp; month!C3)</f>
        <v>0.9</v>
      </c>
      <c r="R3" s="7">
        <f>SUMIFS(day!N40:N46,day!D40:D46,"&gt;=" &amp; month!B3,day!D40:D46,"&lt;=" &amp; month!C3)</f>
        <v>0.2</v>
      </c>
      <c r="S3" s="7">
        <f>SUMIFS(day!O40:O46,day!D40:D46,"&gt;=" &amp; month!B3,day!D40:D46,"&lt;=" &amp; month!C3)</f>
        <v>0.1</v>
      </c>
      <c r="T3" s="7">
        <f>SUMIFS(day!P40:P46,day!D40:D46,"&gt;=" &amp; month!B3,day!D40:D46,"&lt;=" &amp; month!C3)</f>
        <v>0</v>
      </c>
      <c r="U3" s="7">
        <f>SUMIFS(day!Q40:Q46,day!D40:D46,"&gt;=" &amp; month!B3,day!D40:D46,"&lt;=" &amp; month!C3)</f>
        <v>0</v>
      </c>
      <c r="V3" s="7">
        <f>SUMIFS(day!R40:R46,day!D40:D46,"&gt;=" &amp; month!B3,day!D40:D46,"&lt;=" &amp; month!C3)</f>
        <v>0</v>
      </c>
      <c r="W3" s="7">
        <f>SUMIFS(day!S40:S46,day!D40:D46,"&gt;=" &amp; month!B3,day!D40:D46,"&lt;=" &amp; month!C3)</f>
        <v>0</v>
      </c>
      <c r="X3" s="7">
        <f>SUMIFS(day!T40:T46,day!D40:D46,"&gt;=" &amp; month!B3,day!D40:D46,"&lt;=" &amp; month!C3)</f>
        <v>0</v>
      </c>
      <c r="Y3" s="7">
        <f>SUMIFS(day!U40:U46,day!D40:D46,"&gt;=" &amp; month!B3,day!D40:D46,"&lt;=" &amp; month!C3)</f>
        <v>0</v>
      </c>
      <c r="Z3" s="7">
        <f>SUMIFS(day!V40:V46,day!D40:D46,"&gt;=" &amp; month!B3,day!D40:D46,"&lt;=" &amp; month!C3)</f>
        <v>0</v>
      </c>
      <c r="AA3" s="7">
        <f>SUMIFS(day!W40:W46,day!D40:D46,"&gt;=" &amp; month!B3,day!D40:D46,"&lt;=" &amp; month!C3)</f>
        <v>0.1</v>
      </c>
      <c r="AB3" s="7">
        <f>SUMIFS(day!X40:X46,day!D40:D46,"&gt;=" &amp; month!B3,day!D40:D46,"&lt;=" &amp; month!C3)</f>
        <v>0</v>
      </c>
      <c r="AC3" s="7">
        <f>SUMIFS(day!Y40:Y46,day!D40:D46,"&gt;=" &amp; month!B3,day!D40:D46,"&lt;=" &amp; month!C3)</f>
        <v>0</v>
      </c>
      <c r="AD3" s="7">
        <f>SUMIFS(day!Z40:Z46,day!D40:D46,"&gt;=" &amp; month!B3,day!D40:D46,"&lt;=" &amp; month!C3)</f>
        <v>0.60000000000000009</v>
      </c>
      <c r="AE3" s="7">
        <f>SUMIFS(day!AA40:AA46,day!D40:D46,"&gt;=" &amp; month!B3,day!D40:D46,"&lt;=" &amp; month!C3)</f>
        <v>1.58</v>
      </c>
      <c r="AF3" s="7">
        <f>SUMIFS(day!AB40:AB46,day!D40:D46,"&gt;=" &amp; month!B3,day!D40:D46,"&lt;=" &amp; month!C3)</f>
        <v>0</v>
      </c>
      <c r="AG3" s="7">
        <f>SUMIFS(day!AC40:AC46,day!D40:D46,"&gt;=" &amp; month!B3,day!D40:D46,"&lt;=" &amp; month!C3)</f>
        <v>1.08</v>
      </c>
      <c r="AI3" s="13">
        <f t="shared" ref="AI3:AK5" si="0">A3</f>
        <v>2</v>
      </c>
      <c r="AJ3" s="6">
        <f t="shared" si="0"/>
        <v>43862</v>
      </c>
      <c r="AK3" s="6">
        <f t="shared" si="0"/>
        <v>43890</v>
      </c>
      <c r="AL3" s="7">
        <f>SUMIFS(day!AF40:AF46,day!D40:D46,"&gt;=" &amp; month!B3,day!D40:D46,"&lt;=" &amp; month!C3)</f>
        <v>-0.10000000000000003</v>
      </c>
      <c r="AM3" s="7">
        <f>SUMIFS(day!AG40:AG46,day!D40:D46,"&gt;=" &amp; month!B3,day!D40:D46,"&lt;=" &amp; month!C3)</f>
        <v>-0.10000000000000003</v>
      </c>
      <c r="AN3" s="7">
        <f>SUMIFS(day!AH40:AH46,day!D40:D46,"&gt;=" &amp; month!B3,day!D40:D46,"&lt;=" &amp; month!C3)</f>
        <v>-0.30000000000000004</v>
      </c>
      <c r="AO3" s="7">
        <f>SUMIFS(day!AI40:AI46,day!D40:D46,"&gt;=" &amp; month!B3,day!D40:D46,"&lt;=" &amp; month!C3)</f>
        <v>0.60000000000000009</v>
      </c>
      <c r="AP3" s="7">
        <f>SUMIFS(day!AJ40:AJ46,day!D40:D46,"&gt;=" &amp; month!B3,day!D40:D46,"&lt;=" &amp; month!C3)</f>
        <v>0.2</v>
      </c>
      <c r="AQ3" s="7">
        <f>SUMIFS(day!AK40:AK46,day!D40:D46,"&gt;=" &amp; month!B3,day!D40:D46,"&lt;=" &amp; month!C3)</f>
        <v>0</v>
      </c>
    </row>
    <row r="4" spans="1:43">
      <c r="A4" s="13">
        <v>3</v>
      </c>
      <c r="B4" s="6">
        <v>43891</v>
      </c>
      <c r="C4" s="6">
        <f>EOMONTH(表6_1117206[[#This Row],[开始日期]],0)</f>
        <v>43921</v>
      </c>
      <c r="D4" s="7">
        <f>SUMIFS(day!B40:B46,day!A40:A46,"&gt;="&amp;month!B4,day!A40:A46,"&lt;="&amp;month!C4)</f>
        <v>0</v>
      </c>
      <c r="F4" s="13">
        <f t="shared" ref="F4:H5" si="1">A4</f>
        <v>3</v>
      </c>
      <c r="G4" s="6">
        <f t="shared" si="1"/>
        <v>43891</v>
      </c>
      <c r="H4" s="6">
        <f t="shared" si="1"/>
        <v>43921</v>
      </c>
      <c r="I4" s="7">
        <f>SUMIFS(day!E40:E46,day!D40:D46,"&gt;=" &amp; month!B4,day!D40:D46,"&lt;=" &amp; month!C4)</f>
        <v>0</v>
      </c>
      <c r="J4" s="7">
        <f>SUMIFS(day!F40:F46,day!D40:D46,"&gt;=" &amp; month!B4,day!D40:D46,"&lt;=" &amp; month!C4)</f>
        <v>0</v>
      </c>
      <c r="K4" s="7">
        <f>SUMIFS(day!G40:G46,day!D40:D46,"&gt;=" &amp; month!B4,day!D40:D46,"&lt;=" &amp; month!C4)</f>
        <v>0</v>
      </c>
      <c r="L4" s="7">
        <f>SUMIFS(day!H40:H46,day!D40:D46,"&gt;=" &amp; month!B4,day!D40:D46,"&lt;=" &amp; month!C4)</f>
        <v>0</v>
      </c>
      <c r="M4" s="7">
        <f>SUMIFS(day!I40:I46,day!D40:D46,"&gt;=" &amp; month!B4,day!D40:D46,"&lt;=" &amp; month!C4)</f>
        <v>0</v>
      </c>
      <c r="N4" s="7">
        <f>SUMIFS(day!J40:J46,day!D40:D46,"&gt;=" &amp; month!B4,day!D40:D46,"&lt;=" &amp; month!C4)</f>
        <v>0</v>
      </c>
      <c r="O4" s="7">
        <f>SUMIFS(day!K40:K46,day!D40:D46,"&gt;=" &amp; month!B4,day!D40:D46,"&lt;=" &amp; month!C4)</f>
        <v>0</v>
      </c>
      <c r="P4" s="7">
        <f>SUMIFS(day!L40:L46,day!D40:D46,"&gt;=" &amp; month!B4,day!D40:D46,"&lt;=" &amp; month!C4)</f>
        <v>0</v>
      </c>
      <c r="Q4" s="7">
        <f>SUMIFS(day!M40:M46,day!D40:D46,"&gt;=" &amp; month!B4,day!D40:D46,"&lt;=" &amp; month!C4)</f>
        <v>0</v>
      </c>
      <c r="R4" s="7">
        <f>SUMIFS(day!N40:N46,day!D40:D46,"&gt;=" &amp; month!B4,day!D40:D46,"&lt;=" &amp; month!C4)</f>
        <v>0</v>
      </c>
      <c r="S4" s="7">
        <f>SUMIFS(day!O40:O46,day!D40:D46,"&gt;=" &amp; month!B4,day!D40:D46,"&lt;=" &amp; month!C4)</f>
        <v>0</v>
      </c>
      <c r="T4" s="7">
        <f>SUMIFS(day!P40:P46,day!D40:D46,"&gt;=" &amp; month!B4,day!D40:D46,"&lt;=" &amp; month!C4)</f>
        <v>0</v>
      </c>
      <c r="U4" s="7">
        <f>SUMIFS(day!Q40:Q46,day!D40:D46,"&gt;=" &amp; month!B4,day!D40:D46,"&lt;=" &amp; month!C4)</f>
        <v>0</v>
      </c>
      <c r="V4" s="7">
        <f>SUMIFS(day!R40:R46,day!D40:D46,"&gt;=" &amp; month!B4,day!D40:D46,"&lt;=" &amp; month!C4)</f>
        <v>0</v>
      </c>
      <c r="W4" s="7">
        <f>SUMIFS(day!S40:S46,day!D40:D46,"&gt;=" &amp; month!B4,day!D40:D46,"&lt;=" &amp; month!C4)</f>
        <v>0</v>
      </c>
      <c r="X4" s="7">
        <f>SUMIFS(day!T40:T46,day!D40:D46,"&gt;=" &amp; month!B4,day!D40:D46,"&lt;=" &amp; month!C4)</f>
        <v>0</v>
      </c>
      <c r="Y4" s="7">
        <f>SUMIFS(day!U40:U46,day!D40:D46,"&gt;=" &amp; month!B4,day!D40:D46,"&lt;=" &amp; month!C4)</f>
        <v>0</v>
      </c>
      <c r="Z4" s="7">
        <f>SUMIFS(day!V40:V46,day!D40:D46,"&gt;=" &amp; month!B4,day!D40:D46,"&lt;=" &amp; month!C4)</f>
        <v>0</v>
      </c>
      <c r="AA4" s="7">
        <f>SUMIFS(day!W40:W46,day!D40:D46,"&gt;=" &amp; month!B4,day!D40:D46,"&lt;=" &amp; month!C4)</f>
        <v>0</v>
      </c>
      <c r="AB4" s="7">
        <f>SUMIFS(day!X40:X46,day!D40:D46,"&gt;=" &amp; month!B4,day!D40:D46,"&lt;=" &amp; month!C4)</f>
        <v>0</v>
      </c>
      <c r="AC4" s="7">
        <f>SUMIFS(day!Y40:Y46,day!D40:D46,"&gt;=" &amp; month!B4,day!D40:D46,"&lt;=" &amp; month!C4)</f>
        <v>0</v>
      </c>
      <c r="AD4" s="7">
        <f>SUMIFS(day!Z40:Z46,day!D40:D46,"&gt;=" &amp; month!B4,day!D40:D46,"&lt;=" &amp; month!C4)</f>
        <v>0</v>
      </c>
      <c r="AE4" s="7">
        <f>SUMIFS(day!AA40:AA46,day!D40:D46,"&gt;=" &amp; month!B4,day!D40:D46,"&lt;=" &amp; month!C4)</f>
        <v>0</v>
      </c>
      <c r="AF4" s="7">
        <f>SUMIFS(day!AB40:AB46,day!D40:D46,"&gt;=" &amp; month!B4,day!D40:D46,"&lt;=" &amp; month!C4)</f>
        <v>0</v>
      </c>
      <c r="AG4" s="7">
        <f>SUMIFS(day!AC40:AC46,day!D40:D46,"&gt;=" &amp; month!B4,day!D40:D46,"&lt;=" &amp; month!C4)</f>
        <v>0</v>
      </c>
      <c r="AI4" s="13">
        <f t="shared" si="0"/>
        <v>3</v>
      </c>
      <c r="AJ4" s="6">
        <f t="shared" si="0"/>
        <v>43891</v>
      </c>
      <c r="AK4" s="6">
        <f t="shared" si="0"/>
        <v>43921</v>
      </c>
      <c r="AL4" s="7">
        <f>SUMIFS(day!AF40:AF46,day!D40:D46,"&gt;=" &amp; month!B4,day!D40:D46,"&lt;=" &amp; month!C4)</f>
        <v>0</v>
      </c>
      <c r="AM4" s="7">
        <f>SUMIFS(day!AG40:AG46,day!D40:D46,"&gt;=" &amp; month!B4,day!D40:D46,"&lt;=" &amp; month!C4)</f>
        <v>0</v>
      </c>
      <c r="AN4" s="7">
        <f>SUMIFS(day!AH40:AH46,day!D40:D46,"&gt;=" &amp; month!B4,day!D40:D46,"&lt;=" &amp; month!C4)</f>
        <v>0</v>
      </c>
      <c r="AO4" s="7">
        <f>SUMIFS(day!AI40:AI46,day!D40:D46,"&gt;=" &amp; month!B4,day!D40:D46,"&lt;=" &amp; month!C4)</f>
        <v>0</v>
      </c>
      <c r="AP4" s="7">
        <f>SUMIFS(day!AJ40:AJ46,day!D40:D46,"&gt;=" &amp; month!B4,day!D40:D46,"&lt;=" &amp; month!C4)</f>
        <v>0</v>
      </c>
      <c r="AQ4" s="7">
        <f>SUMIFS(day!AK40:AK46,day!D40:D46,"&gt;=" &amp; month!B4,day!D40:D46,"&lt;=" &amp; month!C4)</f>
        <v>0</v>
      </c>
    </row>
    <row r="5" spans="1:43">
      <c r="A5" s="13">
        <v>4</v>
      </c>
      <c r="B5" s="6">
        <v>43922</v>
      </c>
      <c r="C5" s="6">
        <f>EOMONTH(表6_1117206[[#This Row],[开始日期]],0)</f>
        <v>43951</v>
      </c>
      <c r="D5" s="7">
        <f>SUMIFS(day!B40:B46,day!A40:A46,"&gt;="&amp;month!B5,day!A40:A46,"&lt;="&amp;month!C5)</f>
        <v>0</v>
      </c>
      <c r="F5" s="13">
        <f t="shared" si="1"/>
        <v>4</v>
      </c>
      <c r="G5" s="6">
        <f t="shared" si="1"/>
        <v>43922</v>
      </c>
      <c r="H5" s="6">
        <f t="shared" si="1"/>
        <v>43951</v>
      </c>
      <c r="I5" s="7">
        <f>SUMIFS(day!E40:E46,day!D40:D46,"&gt;=" &amp; month!B5,day!D40:D46,"&lt;=" &amp; month!C5)</f>
        <v>0</v>
      </c>
      <c r="J5" s="7">
        <f>SUMIFS(day!F40:F46,day!D40:D46,"&gt;=" &amp; month!B5,day!D40:D46,"&lt;=" &amp; month!C5)</f>
        <v>0</v>
      </c>
      <c r="K5" s="7">
        <f>SUMIFS(day!G40:G46,day!D40:D46,"&gt;=" &amp; month!B5,day!D40:D46,"&lt;=" &amp; month!C5)</f>
        <v>0</v>
      </c>
      <c r="L5" s="7">
        <f>SUMIFS(day!H40:H46,day!D40:D46,"&gt;=" &amp; month!B5,day!D40:D46,"&lt;=" &amp; month!C5)</f>
        <v>0</v>
      </c>
      <c r="M5" s="7">
        <f>SUMIFS(day!I40:I46,day!D40:D46,"&gt;=" &amp; month!B5,day!D40:D46,"&lt;=" &amp; month!C5)</f>
        <v>0</v>
      </c>
      <c r="N5" s="7">
        <f>SUMIFS(day!J40:J46,day!D40:D46,"&gt;=" &amp; month!B5,day!D40:D46,"&lt;=" &amp; month!C5)</f>
        <v>0</v>
      </c>
      <c r="O5" s="7">
        <f>SUMIFS(day!K40:K46,day!D40:D46,"&gt;=" &amp; month!B5,day!D40:D46,"&lt;=" &amp; month!C5)</f>
        <v>0</v>
      </c>
      <c r="P5" s="7">
        <f>SUMIFS(day!L40:L46,day!D40:D46,"&gt;=" &amp; month!B5,day!D40:D46,"&lt;=" &amp; month!C5)</f>
        <v>0</v>
      </c>
      <c r="Q5" s="7">
        <f>SUMIFS(day!M40:M46,day!D40:D46,"&gt;=" &amp; month!B5,day!D40:D46,"&lt;=" &amp; month!C5)</f>
        <v>0</v>
      </c>
      <c r="R5" s="7">
        <f>SUMIFS(day!N40:N46,day!D40:D46,"&gt;=" &amp; month!B5,day!D40:D46,"&lt;=" &amp; month!C5)</f>
        <v>0</v>
      </c>
      <c r="S5" s="7">
        <f>SUMIFS(day!O40:O46,day!D40:D46,"&gt;=" &amp; month!B5,day!D40:D46,"&lt;=" &amp; month!C5)</f>
        <v>0</v>
      </c>
      <c r="T5" s="7">
        <f>SUMIFS(day!P40:P46,day!D40:D46,"&gt;=" &amp; month!B5,day!D40:D46,"&lt;=" &amp; month!C5)</f>
        <v>0</v>
      </c>
      <c r="U5" s="7">
        <f>SUMIFS(day!Q40:Q46,day!D40:D46,"&gt;=" &amp; month!B5,day!D40:D46,"&lt;=" &amp; month!C5)</f>
        <v>0</v>
      </c>
      <c r="V5" s="7">
        <f>SUMIFS(day!R40:R46,day!D40:D46,"&gt;=" &amp; month!B5,day!D40:D46,"&lt;=" &amp; month!C5)</f>
        <v>0</v>
      </c>
      <c r="W5" s="7">
        <f>SUMIFS(day!S40:S46,day!D40:D46,"&gt;=" &amp; month!B5,day!D40:D46,"&lt;=" &amp; month!C5)</f>
        <v>0</v>
      </c>
      <c r="X5" s="7">
        <f>SUMIFS(day!T40:T46,day!D40:D46,"&gt;=" &amp; month!B5,day!D40:D46,"&lt;=" &amp; month!C5)</f>
        <v>0</v>
      </c>
      <c r="Y5" s="7">
        <f>SUMIFS(day!U40:U46,day!D40:D46,"&gt;=" &amp; month!B5,day!D40:D46,"&lt;=" &amp; month!C5)</f>
        <v>0</v>
      </c>
      <c r="Z5" s="7">
        <f>SUMIFS(day!V40:V46,day!D40:D46,"&gt;=" &amp; month!B5,day!D40:D46,"&lt;=" &amp; month!C5)</f>
        <v>0</v>
      </c>
      <c r="AA5" s="7">
        <f>SUMIFS(day!W40:W46,day!D40:D46,"&gt;=" &amp; month!B5,day!D40:D46,"&lt;=" &amp; month!C5)</f>
        <v>0</v>
      </c>
      <c r="AB5" s="7">
        <f>SUMIFS(day!X40:X46,day!D40:D46,"&gt;=" &amp; month!B5,day!D40:D46,"&lt;=" &amp; month!C5)</f>
        <v>0</v>
      </c>
      <c r="AC5" s="7">
        <f>SUMIFS(day!Y40:Y46,day!D40:D46,"&gt;=" &amp; month!B5,day!D40:D46,"&lt;=" &amp; month!C5)</f>
        <v>0</v>
      </c>
      <c r="AD5" s="7">
        <f>SUMIFS(day!Z40:Z46,day!D40:D46,"&gt;=" &amp; month!B5,day!D40:D46,"&lt;=" &amp; month!C5)</f>
        <v>0</v>
      </c>
      <c r="AE5" s="7">
        <f>SUMIFS(day!AA40:AA46,day!D40:D46,"&gt;=" &amp; month!B5,day!D40:D46,"&lt;=" &amp; month!C5)</f>
        <v>0</v>
      </c>
      <c r="AF5" s="7">
        <f>SUMIFS(day!AB40:AB46,day!D40:D46,"&gt;=" &amp; month!B5,day!D40:D46,"&lt;=" &amp; month!C5)</f>
        <v>0</v>
      </c>
      <c r="AG5" s="7">
        <f>SUMIFS(day!AC40:AC46,day!D40:D46,"&gt;=" &amp; month!B5,day!D40:D46,"&lt;=" &amp; month!C5)</f>
        <v>0</v>
      </c>
      <c r="AI5" s="13">
        <f t="shared" si="0"/>
        <v>4</v>
      </c>
      <c r="AJ5" s="6">
        <f t="shared" si="0"/>
        <v>43922</v>
      </c>
      <c r="AK5" s="6">
        <f t="shared" si="0"/>
        <v>43951</v>
      </c>
      <c r="AL5" s="7">
        <f>SUMIFS(day!AF40:AF46,day!D40:D46,"&gt;=" &amp; month!B5,day!D40:D46,"&lt;=" &amp; month!C5)</f>
        <v>0</v>
      </c>
      <c r="AM5" s="7">
        <f>SUMIFS(day!AG40:AG46,day!D40:D46,"&gt;=" &amp; month!B5,day!D40:D46,"&lt;=" &amp; month!C5)</f>
        <v>0</v>
      </c>
      <c r="AN5" s="7">
        <f>SUMIFS(day!AH40:AH46,day!D40:D46,"&gt;=" &amp; month!B5,day!D40:D46,"&lt;=" &amp; month!C5)</f>
        <v>0</v>
      </c>
      <c r="AO5" s="7">
        <f>SUMIFS(day!AI40:AI46,day!D40:D46,"&gt;=" &amp; month!B5,day!D40:D46,"&lt;=" &amp; month!C5)</f>
        <v>0</v>
      </c>
      <c r="AP5" s="7">
        <f>SUMIFS(day!AJ40:AJ46,day!D40:D46,"&gt;=" &amp; month!B5,day!D40:D46,"&lt;=" &amp; month!C5)</f>
        <v>0</v>
      </c>
      <c r="AQ5" s="7">
        <f>SUMIFS(day!AK40:AK46,day!D40:D46,"&gt;=" &amp; month!B5,day!D40:D46,"&lt;=" &amp; month!C5)</f>
        <v>0</v>
      </c>
    </row>
    <row r="33" spans="1:43" ht="21">
      <c r="A33" s="40" t="s">
        <v>81</v>
      </c>
      <c r="B33" s="40"/>
      <c r="C33" s="40"/>
      <c r="D33" s="40"/>
      <c r="F33" s="39" t="s">
        <v>79</v>
      </c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  <c r="AE33" s="39"/>
      <c r="AF33" s="39"/>
      <c r="AG33" s="39"/>
      <c r="AI33" s="38" t="s">
        <v>80</v>
      </c>
      <c r="AJ33" s="38"/>
      <c r="AK33" s="38"/>
      <c r="AL33" s="38"/>
      <c r="AM33" s="38"/>
      <c r="AN33" s="38"/>
      <c r="AO33" s="38"/>
      <c r="AP33" s="38"/>
      <c r="AQ33" s="38"/>
    </row>
    <row r="34" spans="1:43" ht="18">
      <c r="A34" s="11" t="s">
        <v>77</v>
      </c>
      <c r="B34" s="1" t="s">
        <v>64</v>
      </c>
      <c r="C34" s="11" t="s">
        <v>66</v>
      </c>
      <c r="D34" s="11" t="s">
        <v>28</v>
      </c>
      <c r="F34" s="1" t="s">
        <v>77</v>
      </c>
      <c r="G34" s="1" t="s">
        <v>64</v>
      </c>
      <c r="H34" s="1" t="s">
        <v>66</v>
      </c>
      <c r="I34" s="1" t="s">
        <v>31</v>
      </c>
      <c r="J34" s="1" t="s">
        <v>32</v>
      </c>
      <c r="K34" s="1" t="s">
        <v>33</v>
      </c>
      <c r="L34" s="1" t="s">
        <v>34</v>
      </c>
      <c r="M34" s="1" t="s">
        <v>35</v>
      </c>
      <c r="N34" s="1" t="s">
        <v>36</v>
      </c>
      <c r="O34" s="1" t="s">
        <v>30</v>
      </c>
      <c r="P34" s="1" t="s">
        <v>37</v>
      </c>
      <c r="Q34" s="1" t="s">
        <v>38</v>
      </c>
      <c r="R34" s="1" t="s">
        <v>39</v>
      </c>
      <c r="S34" s="1" t="s">
        <v>40</v>
      </c>
      <c r="T34" s="1" t="s">
        <v>41</v>
      </c>
      <c r="U34" s="1" t="s">
        <v>42</v>
      </c>
      <c r="V34" s="1" t="s">
        <v>43</v>
      </c>
      <c r="W34" s="1" t="s">
        <v>44</v>
      </c>
      <c r="X34" s="1" t="s">
        <v>45</v>
      </c>
      <c r="Y34" s="1" t="s">
        <v>46</v>
      </c>
      <c r="Z34" s="1" t="s">
        <v>47</v>
      </c>
      <c r="AA34" s="1" t="s">
        <v>48</v>
      </c>
      <c r="AB34" s="1" t="s">
        <v>49</v>
      </c>
      <c r="AC34" s="1" t="s">
        <v>50</v>
      </c>
      <c r="AD34" s="1" t="s">
        <v>51</v>
      </c>
      <c r="AE34" s="1" t="s">
        <v>52</v>
      </c>
      <c r="AF34" s="1" t="s">
        <v>53</v>
      </c>
      <c r="AG34" s="1" t="s">
        <v>55</v>
      </c>
      <c r="AI34" s="1" t="s">
        <v>77</v>
      </c>
      <c r="AJ34" s="1" t="s">
        <v>64</v>
      </c>
      <c r="AK34" s="1" t="s">
        <v>66</v>
      </c>
      <c r="AL34" s="11" t="s">
        <v>5</v>
      </c>
      <c r="AM34" s="11" t="s">
        <v>7</v>
      </c>
      <c r="AN34" s="11" t="s">
        <v>8</v>
      </c>
      <c r="AO34" s="11" t="s">
        <v>9</v>
      </c>
      <c r="AP34" s="11" t="s">
        <v>10</v>
      </c>
      <c r="AQ34" s="11" t="s">
        <v>54</v>
      </c>
    </row>
    <row r="35" spans="1:43">
      <c r="A35" s="13">
        <v>2</v>
      </c>
      <c r="B35" s="6">
        <v>43862</v>
      </c>
      <c r="C35" s="6">
        <v>43890</v>
      </c>
      <c r="D35">
        <v>4.26</v>
      </c>
      <c r="F35" s="13">
        <v>2</v>
      </c>
      <c r="G35" s="6">
        <v>43862</v>
      </c>
      <c r="H35" s="6">
        <v>43890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-0.20000000000000007</v>
      </c>
      <c r="P35">
        <v>-0.10000000000000003</v>
      </c>
      <c r="Q35">
        <v>0.9</v>
      </c>
      <c r="R35">
        <v>0.2</v>
      </c>
      <c r="S35">
        <v>0.1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0.1</v>
      </c>
      <c r="AB35">
        <v>0</v>
      </c>
      <c r="AC35">
        <v>0</v>
      </c>
      <c r="AD35">
        <v>0.60000000000000009</v>
      </c>
      <c r="AE35">
        <v>1.58</v>
      </c>
      <c r="AF35">
        <v>0</v>
      </c>
      <c r="AG35">
        <v>1.08</v>
      </c>
      <c r="AI35" s="13">
        <v>2</v>
      </c>
      <c r="AJ35" s="6">
        <v>43862</v>
      </c>
      <c r="AK35" s="6">
        <v>43890</v>
      </c>
      <c r="AL35">
        <v>-0.10000000000000003</v>
      </c>
      <c r="AM35">
        <v>-0.10000000000000003</v>
      </c>
      <c r="AN35">
        <v>-0.30000000000000004</v>
      </c>
      <c r="AO35">
        <v>0.60000000000000009</v>
      </c>
      <c r="AP35">
        <v>0.2</v>
      </c>
      <c r="AQ35">
        <v>0</v>
      </c>
    </row>
    <row r="36" spans="1:43">
      <c r="A36" s="13">
        <v>3</v>
      </c>
      <c r="B36" s="6">
        <v>43891</v>
      </c>
      <c r="C36" s="6">
        <v>43921</v>
      </c>
      <c r="D36">
        <v>0</v>
      </c>
      <c r="F36" s="13">
        <v>3</v>
      </c>
      <c r="G36" s="6">
        <v>43891</v>
      </c>
      <c r="H36" s="6">
        <v>43921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I36" s="13">
        <v>3</v>
      </c>
      <c r="AJ36" s="6">
        <v>43891</v>
      </c>
      <c r="AK36" s="6">
        <v>43921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>
      <c r="A37" s="13">
        <v>4</v>
      </c>
      <c r="B37" s="6">
        <v>43922</v>
      </c>
      <c r="C37" s="6">
        <v>43951</v>
      </c>
      <c r="D37">
        <v>0</v>
      </c>
      <c r="F37" s="13">
        <v>4</v>
      </c>
      <c r="G37" s="6">
        <v>43922</v>
      </c>
      <c r="H37" s="6">
        <v>43951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I37" s="13">
        <v>4</v>
      </c>
      <c r="AJ37" s="6">
        <v>43922</v>
      </c>
      <c r="AK37" s="6">
        <v>43951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>
      <c r="A38" s="6"/>
      <c r="B38" s="6"/>
      <c r="C38" s="6"/>
      <c r="F38" s="6"/>
      <c r="G38" s="6"/>
      <c r="H38" s="6"/>
      <c r="AI38" s="6"/>
      <c r="AJ38" s="6"/>
      <c r="AK38" s="6"/>
    </row>
    <row r="39" spans="1:43">
      <c r="A39" s="6"/>
      <c r="B39" s="6"/>
      <c r="C39" s="6"/>
      <c r="F39" s="6"/>
      <c r="G39" s="6"/>
      <c r="H39" s="6"/>
      <c r="AI39" s="6"/>
      <c r="AJ39" s="6"/>
      <c r="AK39" s="6"/>
    </row>
    <row r="40" spans="1:43">
      <c r="A40" s="6"/>
      <c r="B40" s="6"/>
      <c r="C40" s="6"/>
      <c r="F40" s="6"/>
      <c r="G40" s="6"/>
      <c r="H40" s="6"/>
      <c r="AI40" s="6"/>
      <c r="AJ40" s="6"/>
      <c r="AK40" s="6"/>
    </row>
    <row r="41" spans="1:43">
      <c r="A41" s="6"/>
      <c r="B41" s="6"/>
      <c r="C41" s="6"/>
      <c r="F41" s="6"/>
      <c r="G41" s="6"/>
      <c r="H41" s="6"/>
      <c r="AI41" s="6"/>
      <c r="AJ41" s="6"/>
      <c r="AK41" s="6"/>
    </row>
  </sheetData>
  <mergeCells count="6">
    <mergeCell ref="A1:D1"/>
    <mergeCell ref="F1:AG1"/>
    <mergeCell ref="AI1:AQ1"/>
    <mergeCell ref="A33:D33"/>
    <mergeCell ref="F33:AG33"/>
    <mergeCell ref="AI33:AQ33"/>
  </mergeCells>
  <phoneticPr fontId="1" type="noConversion"/>
  <pageMargins left="0.7" right="0.7" top="0.75" bottom="0.75" header="0.3" footer="0.3"/>
  <drawing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80CB1-4613-F44A-BE80-A669FEE06CA8}">
  <dimension ref="A1:AQ33"/>
  <sheetViews>
    <sheetView topLeftCell="A8" workbookViewId="0">
      <selection activeCell="A32" sqref="A32:D33"/>
    </sheetView>
  </sheetViews>
  <sheetFormatPr baseColWidth="10" defaultRowHeight="16"/>
  <cols>
    <col min="2" max="3" width="12.83203125" customWidth="1"/>
    <col min="7" max="8" width="12.83203125" customWidth="1"/>
    <col min="36" max="37" width="12.83203125" customWidth="1"/>
    <col min="43" max="43" width="17.5" customWidth="1"/>
  </cols>
  <sheetData>
    <row r="1" spans="1:43" ht="21">
      <c r="A1" s="40" t="s">
        <v>75</v>
      </c>
      <c r="B1" s="40"/>
      <c r="C1" s="40"/>
      <c r="D1" s="40"/>
      <c r="F1" s="39" t="s">
        <v>84</v>
      </c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I1" s="38" t="s">
        <v>85</v>
      </c>
      <c r="AJ1" s="38"/>
      <c r="AK1" s="38"/>
      <c r="AL1" s="38"/>
      <c r="AM1" s="38"/>
      <c r="AN1" s="38"/>
      <c r="AO1" s="38"/>
      <c r="AP1" s="38"/>
      <c r="AQ1" s="38"/>
    </row>
    <row r="2" spans="1:43" ht="18">
      <c r="A2" s="11" t="s">
        <v>83</v>
      </c>
      <c r="B2" s="1" t="s">
        <v>65</v>
      </c>
      <c r="C2" s="11" t="s">
        <v>67</v>
      </c>
      <c r="D2" s="11" t="s">
        <v>29</v>
      </c>
      <c r="F2" s="1" t="s">
        <v>78</v>
      </c>
      <c r="G2" s="1" t="s">
        <v>64</v>
      </c>
      <c r="H2" s="1" t="s">
        <v>66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30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  <c r="AA2" s="1" t="s">
        <v>48</v>
      </c>
      <c r="AB2" s="1" t="s">
        <v>49</v>
      </c>
      <c r="AC2" s="1" t="s">
        <v>50</v>
      </c>
      <c r="AD2" s="1" t="s">
        <v>51</v>
      </c>
      <c r="AE2" s="1" t="s">
        <v>52</v>
      </c>
      <c r="AF2" s="1" t="s">
        <v>53</v>
      </c>
      <c r="AG2" s="1" t="s">
        <v>55</v>
      </c>
      <c r="AI2" s="1" t="s">
        <v>83</v>
      </c>
      <c r="AJ2" s="11" t="s">
        <v>64</v>
      </c>
      <c r="AK2" s="11" t="s">
        <v>66</v>
      </c>
      <c r="AL2" s="11" t="s">
        <v>5</v>
      </c>
      <c r="AM2" s="11" t="s">
        <v>7</v>
      </c>
      <c r="AN2" s="11" t="s">
        <v>8</v>
      </c>
      <c r="AO2" s="11" t="s">
        <v>9</v>
      </c>
      <c r="AP2" s="11" t="s">
        <v>10</v>
      </c>
      <c r="AQ2" s="11" t="s">
        <v>54</v>
      </c>
    </row>
    <row r="3" spans="1:43">
      <c r="A3" s="13">
        <v>2020</v>
      </c>
      <c r="B3" s="6">
        <v>43831</v>
      </c>
      <c r="C3" s="6">
        <v>44196</v>
      </c>
      <c r="D3" s="7">
        <f>SUMIFS(day!B40:B46,day!A40:A46,"&gt;="&amp;year!B3,day!A40:A46,"&lt;="&amp;year!C3)</f>
        <v>4.26</v>
      </c>
      <c r="F3" s="13">
        <f>A3</f>
        <v>2020</v>
      </c>
      <c r="G3" s="6">
        <f>B3</f>
        <v>43831</v>
      </c>
      <c r="H3" s="6">
        <f>C3</f>
        <v>44196</v>
      </c>
      <c r="I3" s="7">
        <f>SUMIFS(day!E40:E46,day!D40:D46,"&gt;=" &amp; month!B3,day!D40:D46,"&lt;=" &amp; month!C3)</f>
        <v>0</v>
      </c>
      <c r="J3" s="7">
        <f>SUMIFS(day!F40:F46,day!D40:D46,"&gt;=" &amp; month!B3,day!D40:D46,"&lt;=" &amp; month!C3)</f>
        <v>0</v>
      </c>
      <c r="K3" s="7">
        <f>SUMIFS(day!G40:G46,day!D40:D46,"&gt;=" &amp; month!B3,day!D40:D46,"&lt;=" &amp; month!C3)</f>
        <v>0</v>
      </c>
      <c r="L3" s="7">
        <f>SUMIFS(day!H40:H46,day!D40:D46,"&gt;=" &amp; month!B3,day!D40:D46,"&lt;=" &amp; month!C3)</f>
        <v>0</v>
      </c>
      <c r="M3" s="7">
        <f>SUMIFS(day!I40:I46,day!D40:D46,"&gt;=" &amp; month!B3,day!D40:D46,"&lt;=" &amp; month!C3)</f>
        <v>0</v>
      </c>
      <c r="N3" s="7">
        <f>SUMIFS(day!J40:J46,day!D40:D46,"&gt;=" &amp; month!B3,day!D40:D46,"&lt;=" &amp; month!C3)</f>
        <v>0</v>
      </c>
      <c r="O3" s="7">
        <f>SUMIFS(day!K40:K46,day!D40:D46,"&gt;=" &amp; month!B3,day!D40:D46,"&lt;=" &amp; month!C3)</f>
        <v>-0.20000000000000007</v>
      </c>
      <c r="P3" s="7">
        <f>SUMIFS(day!L40:L46,day!D40:D46,"&gt;=" &amp; month!B3,day!D40:D46,"&lt;=" &amp; month!C3)</f>
        <v>-0.10000000000000003</v>
      </c>
      <c r="Q3" s="7">
        <f>SUMIFS(day!M40:M46,day!D40:D46,"&gt;=" &amp; month!B3,day!D40:D46,"&lt;=" &amp; month!C3)</f>
        <v>0.9</v>
      </c>
      <c r="R3" s="7">
        <f>SUMIFS(day!N40:N46,day!D40:D46,"&gt;=" &amp; month!B3,day!D40:D46,"&lt;=" &amp; month!C3)</f>
        <v>0.2</v>
      </c>
      <c r="S3" s="7">
        <f>SUMIFS(day!O40:O46,day!D40:D46,"&gt;=" &amp; month!B3,day!D40:D46,"&lt;=" &amp; month!C3)</f>
        <v>0.1</v>
      </c>
      <c r="T3" s="7">
        <f>SUMIFS(day!P40:P46,day!D40:D46,"&gt;=" &amp; month!B3,day!D40:D46,"&lt;=" &amp; month!C3)</f>
        <v>0</v>
      </c>
      <c r="U3" s="7">
        <f>SUMIFS(day!Q40:Q46,day!D40:D46,"&gt;=" &amp; month!B3,day!D40:D46,"&lt;=" &amp; month!C3)</f>
        <v>0</v>
      </c>
      <c r="V3" s="7">
        <f>SUMIFS(day!R40:R46,day!D40:D46,"&gt;=" &amp; month!B3,day!D40:D46,"&lt;=" &amp; month!C3)</f>
        <v>0</v>
      </c>
      <c r="W3" s="7">
        <f>SUMIFS(day!S40:S46,day!D40:D46,"&gt;=" &amp; month!B3,day!D40:D46,"&lt;=" &amp; month!C3)</f>
        <v>0</v>
      </c>
      <c r="X3" s="7">
        <f>SUMIFS(day!T40:T46,day!D40:D46,"&gt;=" &amp; month!B3,day!D40:D46,"&lt;=" &amp; month!C3)</f>
        <v>0</v>
      </c>
      <c r="Y3" s="7">
        <f>SUMIFS(day!U40:U46,day!D40:D46,"&gt;=" &amp; month!B3,day!D40:D46,"&lt;=" &amp; month!C3)</f>
        <v>0</v>
      </c>
      <c r="Z3" s="7">
        <f>SUMIFS(day!V40:V46,day!D40:D46,"&gt;=" &amp; month!B3,day!D40:D46,"&lt;=" &amp; month!C3)</f>
        <v>0</v>
      </c>
      <c r="AA3" s="7">
        <f>SUMIFS(day!W40:W46,day!D40:D46,"&gt;=" &amp; month!B3,day!D40:D46,"&lt;=" &amp; month!C3)</f>
        <v>0.1</v>
      </c>
      <c r="AB3" s="7">
        <f>SUMIFS(day!X40:X46,day!D40:D46,"&gt;=" &amp; month!B3,day!D40:D46,"&lt;=" &amp; month!C3)</f>
        <v>0</v>
      </c>
      <c r="AC3" s="7">
        <f>SUMIFS(day!Y40:Y46,day!D40:D46,"&gt;=" &amp; month!B3,day!D40:D46,"&lt;=" &amp; month!C3)</f>
        <v>0</v>
      </c>
      <c r="AD3" s="7">
        <f>SUMIFS(day!Z40:Z46,day!D40:D46,"&gt;=" &amp; month!B3,day!D40:D46,"&lt;=" &amp; month!C3)</f>
        <v>0.60000000000000009</v>
      </c>
      <c r="AE3" s="7">
        <f>SUMIFS(day!AA40:AA46,day!D40:D46,"&gt;=" &amp; week!B3,day!D40:D46,"&lt;=" &amp; week!C3)</f>
        <v>0.18</v>
      </c>
      <c r="AF3" s="7">
        <f>SUMIFS(day!AB40:AB46,day!D40:D46,"&gt;=" &amp; week!B3,day!D40:D46,"&lt;=" &amp; week!C3)</f>
        <v>0</v>
      </c>
      <c r="AG3" s="7">
        <f>SUMIFS(day!AC40:AC46,day!D40:D46,"&gt;=" &amp; week!B3,day!D40:D46,"&lt;=" &amp; week!C3)</f>
        <v>0</v>
      </c>
      <c r="AI3" s="13">
        <f t="shared" ref="AI3:AK3" si="0">A3</f>
        <v>2020</v>
      </c>
      <c r="AJ3" s="6">
        <f t="shared" si="0"/>
        <v>43831</v>
      </c>
      <c r="AK3" s="6">
        <f t="shared" si="0"/>
        <v>44196</v>
      </c>
      <c r="AL3" s="7">
        <f>SUMIFS(day!AF40:AF46,day!D40:D46,"&gt;=" &amp; year!B3,day!D40:D46,"&lt;=" &amp; year!C3)</f>
        <v>-0.10000000000000003</v>
      </c>
      <c r="AM3" s="7">
        <f>SUMIFS(day!AG40:AG46,day!D40:D46,"&gt;=" &amp; year!B3,day!D40:D46,"&lt;=" &amp; year!C3)</f>
        <v>-0.10000000000000003</v>
      </c>
      <c r="AN3" s="7">
        <f>SUMIFS(day!AH40:AH46,day!D40:D46,"&gt;=" &amp; year!B3,day!D40:D46,"&lt;=" &amp; year!C3)</f>
        <v>-0.30000000000000004</v>
      </c>
      <c r="AO3" s="7">
        <f>SUMIFS(day!AI40:AI46,day!D40:D46,"&gt;=" &amp; year!B3,day!D40:D46,"&lt;=" &amp; year!C3)</f>
        <v>0.60000000000000009</v>
      </c>
      <c r="AP3" s="7">
        <f>SUMIFS(day!AJ40:AJ46,day!D40:D46,"&gt;=" &amp; year!B3,day!D40:D46,"&lt;=" &amp; year!C3)</f>
        <v>0.2</v>
      </c>
      <c r="AQ3" s="7">
        <f>SUMIFS(day!AK40:AK46,day!D40:D46,"&gt;=" &amp; year!B3,day!D40:D46,"&lt;=" &amp; year!C3)</f>
        <v>0</v>
      </c>
    </row>
    <row r="4" spans="1:43">
      <c r="A4" s="13"/>
      <c r="B4" s="6"/>
      <c r="C4" s="6"/>
      <c r="D4" s="7"/>
      <c r="F4" s="13"/>
      <c r="G4" s="6"/>
      <c r="H4" s="6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I4" s="13"/>
      <c r="AJ4" s="6"/>
      <c r="AK4" s="6"/>
      <c r="AL4" s="7"/>
      <c r="AM4" s="7"/>
      <c r="AN4" s="7"/>
      <c r="AO4" s="7"/>
      <c r="AP4" s="7"/>
      <c r="AQ4" s="7"/>
    </row>
    <row r="5" spans="1:43">
      <c r="A5" s="13"/>
      <c r="B5" s="6"/>
      <c r="C5" s="6"/>
      <c r="D5" s="7"/>
      <c r="F5" s="13"/>
      <c r="G5" s="6"/>
      <c r="H5" s="6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I5" s="13"/>
      <c r="AJ5" s="6"/>
      <c r="AK5" s="6"/>
      <c r="AL5" s="7"/>
      <c r="AM5" s="7"/>
      <c r="AN5" s="7"/>
      <c r="AO5" s="7"/>
      <c r="AP5" s="7"/>
      <c r="AQ5" s="7"/>
    </row>
    <row r="31" spans="1:43" ht="21">
      <c r="A31" s="40" t="s">
        <v>86</v>
      </c>
      <c r="B31" s="40"/>
      <c r="C31" s="40"/>
      <c r="D31" s="40"/>
      <c r="F31" s="39" t="s">
        <v>84</v>
      </c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39"/>
      <c r="AE31" s="39"/>
      <c r="AF31" s="39"/>
      <c r="AG31" s="39"/>
      <c r="AI31" s="38" t="s">
        <v>85</v>
      </c>
      <c r="AJ31" s="38"/>
      <c r="AK31" s="38"/>
      <c r="AL31" s="38"/>
      <c r="AM31" s="38"/>
      <c r="AN31" s="38"/>
      <c r="AO31" s="38"/>
      <c r="AP31" s="38"/>
      <c r="AQ31" s="38"/>
    </row>
    <row r="32" spans="1:43" ht="18">
      <c r="A32" s="11" t="s">
        <v>82</v>
      </c>
      <c r="B32" s="1" t="s">
        <v>64</v>
      </c>
      <c r="C32" s="11" t="s">
        <v>66</v>
      </c>
      <c r="D32" s="11" t="s">
        <v>28</v>
      </c>
      <c r="F32" s="1" t="s">
        <v>77</v>
      </c>
      <c r="G32" s="1" t="s">
        <v>64</v>
      </c>
      <c r="H32" s="1" t="s">
        <v>66</v>
      </c>
      <c r="I32" s="1" t="s">
        <v>31</v>
      </c>
      <c r="J32" s="1" t="s">
        <v>32</v>
      </c>
      <c r="K32" s="1" t="s">
        <v>33</v>
      </c>
      <c r="L32" s="1" t="s">
        <v>34</v>
      </c>
      <c r="M32" s="1" t="s">
        <v>35</v>
      </c>
      <c r="N32" s="1" t="s">
        <v>36</v>
      </c>
      <c r="O32" s="1" t="s">
        <v>30</v>
      </c>
      <c r="P32" s="1" t="s">
        <v>37</v>
      </c>
      <c r="Q32" s="1" t="s">
        <v>38</v>
      </c>
      <c r="R32" s="1" t="s">
        <v>39</v>
      </c>
      <c r="S32" s="1" t="s">
        <v>40</v>
      </c>
      <c r="T32" s="1" t="s">
        <v>41</v>
      </c>
      <c r="U32" s="1" t="s">
        <v>42</v>
      </c>
      <c r="V32" s="1" t="s">
        <v>43</v>
      </c>
      <c r="W32" s="1" t="s">
        <v>44</v>
      </c>
      <c r="X32" s="1" t="s">
        <v>45</v>
      </c>
      <c r="Y32" s="1" t="s">
        <v>46</v>
      </c>
      <c r="Z32" s="1" t="s">
        <v>47</v>
      </c>
      <c r="AA32" s="1" t="s">
        <v>48</v>
      </c>
      <c r="AB32" s="1" t="s">
        <v>49</v>
      </c>
      <c r="AC32" s="1" t="s">
        <v>50</v>
      </c>
      <c r="AD32" s="1" t="s">
        <v>51</v>
      </c>
      <c r="AE32" s="1" t="s">
        <v>52</v>
      </c>
      <c r="AF32" s="1" t="s">
        <v>53</v>
      </c>
      <c r="AG32" s="1" t="s">
        <v>55</v>
      </c>
      <c r="AI32" s="1" t="s">
        <v>82</v>
      </c>
      <c r="AJ32" s="1" t="s">
        <v>64</v>
      </c>
      <c r="AK32" s="1" t="s">
        <v>66</v>
      </c>
      <c r="AL32" s="11" t="s">
        <v>5</v>
      </c>
      <c r="AM32" s="11" t="s">
        <v>7</v>
      </c>
      <c r="AN32" s="11" t="s">
        <v>8</v>
      </c>
      <c r="AO32" s="11" t="s">
        <v>9</v>
      </c>
      <c r="AP32" s="11" t="s">
        <v>10</v>
      </c>
      <c r="AQ32" s="11" t="s">
        <v>54</v>
      </c>
    </row>
    <row r="33" spans="1:43">
      <c r="A33" s="13">
        <v>2020</v>
      </c>
      <c r="B33" s="6">
        <v>43831</v>
      </c>
      <c r="C33" s="6">
        <v>44196</v>
      </c>
      <c r="D33">
        <v>4.26</v>
      </c>
      <c r="F33" s="13">
        <v>2020</v>
      </c>
      <c r="G33" s="6">
        <v>43831</v>
      </c>
      <c r="H33" s="6">
        <v>44196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-0.20000000000000007</v>
      </c>
      <c r="P33">
        <v>-0.10000000000000003</v>
      </c>
      <c r="Q33">
        <v>0.9</v>
      </c>
      <c r="R33">
        <v>0.2</v>
      </c>
      <c r="S33">
        <v>0.1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0.1</v>
      </c>
      <c r="AB33">
        <v>0</v>
      </c>
      <c r="AC33">
        <v>0</v>
      </c>
      <c r="AD33">
        <v>0.60000000000000009</v>
      </c>
      <c r="AE33">
        <v>0.18</v>
      </c>
      <c r="AF33">
        <v>0</v>
      </c>
      <c r="AG33">
        <v>0</v>
      </c>
      <c r="AI33" s="13">
        <v>2020</v>
      </c>
      <c r="AJ33" s="6">
        <v>43831</v>
      </c>
      <c r="AK33" s="6">
        <v>44196</v>
      </c>
      <c r="AL33">
        <v>-0.10000000000000003</v>
      </c>
      <c r="AM33">
        <v>-0.10000000000000003</v>
      </c>
      <c r="AN33">
        <v>-0.30000000000000004</v>
      </c>
      <c r="AO33">
        <v>0.60000000000000009</v>
      </c>
      <c r="AP33">
        <v>0.2</v>
      </c>
      <c r="AQ33">
        <v>0</v>
      </c>
    </row>
  </sheetData>
  <mergeCells count="6">
    <mergeCell ref="A1:D1"/>
    <mergeCell ref="F1:AG1"/>
    <mergeCell ref="AI1:AQ1"/>
    <mergeCell ref="A31:D31"/>
    <mergeCell ref="F31:AG31"/>
    <mergeCell ref="AI31:AQ31"/>
  </mergeCells>
  <phoneticPr fontId="1" type="noConversion"/>
  <pageMargins left="0.7" right="0.7" top="0.75" bottom="0.75" header="0.3" footer="0.3"/>
  <drawing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76D19-4FA8-1343-B88F-2FA78394EF7D}">
  <dimension ref="A1:D29"/>
  <sheetViews>
    <sheetView workbookViewId="0">
      <selection activeCell="A17" sqref="A17"/>
    </sheetView>
  </sheetViews>
  <sheetFormatPr baseColWidth="10" defaultRowHeight="16"/>
  <cols>
    <col min="1" max="1" width="16" bestFit="1" customWidth="1"/>
    <col min="2" max="2" width="12.1640625" bestFit="1" customWidth="1"/>
    <col min="3" max="3" width="11.5" customWidth="1"/>
  </cols>
  <sheetData>
    <row r="1" spans="1:4" ht="21">
      <c r="A1" s="41" t="s">
        <v>90</v>
      </c>
      <c r="B1" s="41"/>
    </row>
    <row r="2" spans="1:4" ht="18">
      <c r="A2" s="16" t="s">
        <v>0</v>
      </c>
      <c r="B2" s="17" t="s">
        <v>89</v>
      </c>
    </row>
    <row r="3" spans="1:4">
      <c r="A3" s="6">
        <v>43888</v>
      </c>
      <c r="B3">
        <f>SUMIFS(records[得分],records[日期],search!A3)</f>
        <v>1.56</v>
      </c>
    </row>
    <row r="5" spans="1:4" ht="21">
      <c r="A5" s="42" t="s">
        <v>91</v>
      </c>
      <c r="B5" s="42"/>
      <c r="C5" s="42"/>
    </row>
    <row r="6" spans="1:4" ht="18">
      <c r="A6" s="1" t="s">
        <v>65</v>
      </c>
      <c r="B6" s="11" t="s">
        <v>67</v>
      </c>
      <c r="C6" s="11" t="s">
        <v>89</v>
      </c>
    </row>
    <row r="7" spans="1:4">
      <c r="A7" s="6">
        <v>43888</v>
      </c>
      <c r="B7" s="6">
        <v>43888</v>
      </c>
      <c r="C7">
        <f>SUMIFS(records[得分],records[日期],"&gt;="&amp;search!A7,records[日期],"&lt;="&amp;search!B7)</f>
        <v>1.56</v>
      </c>
    </row>
    <row r="9" spans="1:4" ht="21">
      <c r="A9" s="43" t="s">
        <v>92</v>
      </c>
      <c r="B9" s="43"/>
      <c r="C9" s="43"/>
    </row>
    <row r="10" spans="1:4" ht="18">
      <c r="A10" s="1" t="s">
        <v>87</v>
      </c>
      <c r="B10" s="11" t="s">
        <v>88</v>
      </c>
      <c r="C10" s="11" t="s">
        <v>89</v>
      </c>
    </row>
    <row r="11" spans="1:4">
      <c r="A11" s="15">
        <v>0.60833333333333328</v>
      </c>
      <c r="B11" s="15">
        <v>0.61041666666666672</v>
      </c>
      <c r="C11">
        <f>SUMIFS(records[得分],records[开始时刻],"&gt;="&amp;search!A11,records[开始时刻],"&lt;="&amp;search!B11)</f>
        <v>0</v>
      </c>
    </row>
    <row r="13" spans="1:4" ht="21">
      <c r="A13" s="44" t="s">
        <v>93</v>
      </c>
      <c r="B13" s="44"/>
      <c r="C13" s="44"/>
      <c r="D13" s="44"/>
    </row>
    <row r="14" spans="1:4" ht="18">
      <c r="A14" s="1" t="s">
        <v>0</v>
      </c>
      <c r="B14" s="11" t="s">
        <v>87</v>
      </c>
      <c r="C14" s="11" t="s">
        <v>88</v>
      </c>
      <c r="D14" s="11" t="s">
        <v>89</v>
      </c>
    </row>
    <row r="15" spans="1:4">
      <c r="A15" s="6">
        <v>43888</v>
      </c>
      <c r="B15" s="15">
        <v>0.61527777777777781</v>
      </c>
      <c r="C15" s="15">
        <v>0.61527777777777781</v>
      </c>
      <c r="D15">
        <f>SUMIFS(records[得分],records[日期],search!A15,records[开始时刻],"&gt;="&amp;search!B15,records[开始时刻],"&lt;="&amp;search!C15)</f>
        <v>0</v>
      </c>
    </row>
    <row r="29" spans="1:2">
      <c r="A29" s="6"/>
      <c r="B29" s="15"/>
    </row>
  </sheetData>
  <mergeCells count="4">
    <mergeCell ref="A1:B1"/>
    <mergeCell ref="A5:C5"/>
    <mergeCell ref="A9:C9"/>
    <mergeCell ref="A13:D13"/>
  </mergeCells>
  <phoneticPr fontId="1" type="noConversion"/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A63B3-5D85-B64C-9771-DA6D5B9D7ACB}">
  <dimension ref="A1"/>
  <sheetViews>
    <sheetView topLeftCell="A31" zoomScaleNormal="100" workbookViewId="0">
      <selection activeCell="I82" sqref="I82"/>
    </sheetView>
  </sheetViews>
  <sheetFormatPr baseColWidth="10" defaultRowHeight="16"/>
  <sheetData/>
  <phoneticPr fontId="1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64470-D6BB-E342-AE95-14A7E85AABE2}">
  <dimension ref="A1:S44"/>
  <sheetViews>
    <sheetView workbookViewId="0">
      <selection activeCell="G24" sqref="G24"/>
    </sheetView>
  </sheetViews>
  <sheetFormatPr baseColWidth="10" defaultRowHeight="16"/>
  <cols>
    <col min="1" max="1" width="10.6640625" bestFit="1" customWidth="1"/>
    <col min="2" max="4" width="12.5" bestFit="1" customWidth="1"/>
    <col min="5" max="5" width="8.5" bestFit="1" customWidth="1"/>
    <col min="6" max="6" width="20.5" bestFit="1" customWidth="1"/>
    <col min="7" max="7" width="15.6640625" bestFit="1" customWidth="1"/>
    <col min="8" max="8" width="14.5" bestFit="1" customWidth="1"/>
    <col min="10" max="10" width="10.6640625" bestFit="1" customWidth="1"/>
    <col min="11" max="13" width="12.5" bestFit="1" customWidth="1"/>
    <col min="14" max="14" width="8.5" bestFit="1" customWidth="1"/>
    <col min="15" max="15" width="28.83203125" bestFit="1" customWidth="1"/>
    <col min="16" max="16" width="15.6640625" bestFit="1" customWidth="1"/>
    <col min="17" max="17" width="14.5" bestFit="1" customWidth="1"/>
  </cols>
  <sheetData>
    <row r="1" spans="1:19" ht="23">
      <c r="A1" s="27" t="s">
        <v>185</v>
      </c>
      <c r="G1" s="26" t="s">
        <v>186</v>
      </c>
    </row>
    <row r="2" spans="1:19">
      <c r="A2" t="s">
        <v>200</v>
      </c>
      <c r="G2" t="s">
        <v>209</v>
      </c>
    </row>
    <row r="3" spans="1:19">
      <c r="A3" t="s">
        <v>202</v>
      </c>
      <c r="G3" t="s">
        <v>210</v>
      </c>
    </row>
    <row r="4" spans="1:19">
      <c r="A4" t="s">
        <v>207</v>
      </c>
      <c r="G4" t="s">
        <v>212</v>
      </c>
    </row>
    <row r="5" spans="1:19">
      <c r="A5" t="s">
        <v>208</v>
      </c>
    </row>
    <row r="6" spans="1:19">
      <c r="A6" t="s">
        <v>206</v>
      </c>
    </row>
    <row r="7" spans="1:19" ht="26">
      <c r="A7" s="45" t="s">
        <v>115</v>
      </c>
      <c r="B7" s="45"/>
      <c r="C7" s="45"/>
      <c r="D7" s="45"/>
      <c r="E7" s="45"/>
      <c r="F7" s="45"/>
      <c r="G7" s="45"/>
      <c r="H7" s="45"/>
      <c r="J7" s="45" t="s">
        <v>151</v>
      </c>
      <c r="K7" s="45"/>
      <c r="L7" s="45"/>
      <c r="M7" s="45"/>
      <c r="N7" s="45"/>
      <c r="O7" s="45"/>
      <c r="P7" s="45"/>
      <c r="Q7" s="45"/>
    </row>
    <row r="8" spans="1:19" ht="18">
      <c r="A8" t="s">
        <v>0</v>
      </c>
      <c r="B8" t="s">
        <v>105</v>
      </c>
      <c r="C8" t="s">
        <v>104</v>
      </c>
      <c r="D8" t="s">
        <v>103</v>
      </c>
      <c r="E8" t="s">
        <v>1</v>
      </c>
      <c r="F8" t="s">
        <v>95</v>
      </c>
      <c r="G8" t="s">
        <v>96</v>
      </c>
      <c r="H8" t="s">
        <v>94</v>
      </c>
      <c r="J8" t="s">
        <v>0</v>
      </c>
      <c r="K8" t="s">
        <v>105</v>
      </c>
      <c r="L8" t="s">
        <v>104</v>
      </c>
      <c r="M8" t="s">
        <v>103</v>
      </c>
      <c r="N8" t="s">
        <v>1</v>
      </c>
      <c r="O8" t="s">
        <v>95</v>
      </c>
      <c r="P8" t="s">
        <v>96</v>
      </c>
      <c r="Q8" t="s">
        <v>94</v>
      </c>
      <c r="R8" s="11"/>
      <c r="S8" s="11"/>
    </row>
    <row r="9" spans="1:19">
      <c r="A9" s="6">
        <v>43884</v>
      </c>
      <c r="B9" s="18">
        <f t="array" ref="B9">IFERROR(INDEX(records[开始时刻],MATCH(表31[[#This Row],[日期]]&amp;"早起",records[日期]&amp;records[名称],0)),"")</f>
        <v>0.25</v>
      </c>
      <c r="C9" s="18">
        <f t="array" ref="C9">IFERROR(INDEX(records[结束时刻],MATCH(表31[[#This Row],[日期]]&amp;"早起",records[日期]&amp;records[名称],0)),"")</f>
        <v>0.25</v>
      </c>
      <c r="D9" s="18">
        <f t="array" ref="D9">IFERROR(INDEX(records[持续时间],MATCH(表31[[#This Row],[日期]]&amp;"早起",records[日期]&amp;records[名称],0)),"")</f>
        <v>0</v>
      </c>
      <c r="E9">
        <f t="array" ref="E9">IFERROR(INDEX(records[得分],MATCH(表31[[#This Row],[日期]]&amp;"早起",records[日期]&amp;records[名称],0)),"")</f>
        <v>-0.1</v>
      </c>
      <c r="F9" t="str">
        <f t="array" ref="F9">IFERROR(INDEX(records[备注],MATCH(表31[[#This Row],[日期]]&amp;"早起",records[日期]&amp;records[名称],0))&amp;"","")</f>
        <v/>
      </c>
      <c r="G9">
        <v>0</v>
      </c>
      <c r="H9">
        <v>1</v>
      </c>
      <c r="J9" s="6">
        <v>43884</v>
      </c>
      <c r="K9" s="18">
        <f t="array" ref="K9">IFERROR(INDEX(records[开始时刻],MATCH(表31_38[[#This Row],[日期]]&amp;"刷牙洗脸",records[日期]&amp;records[名称],0)),"")</f>
        <v>0.25</v>
      </c>
      <c r="L9" s="18">
        <f t="array" ref="L9">IFERROR(INDEX(records[结束时刻],MATCH(表31_38[[#This Row],[日期]]&amp;"刷牙洗脸",records[日期]&amp;records[名称],0)),"")</f>
        <v>0.25347222222222221</v>
      </c>
      <c r="M9" s="18">
        <f t="array" ref="M9">IFERROR(INDEX(records[持续时间],MATCH(表31_38[[#This Row],[日期]]&amp;"刷牙洗脸",records[日期]&amp;records[名称],0)),"")</f>
        <v>3.4722222222222099E-3</v>
      </c>
      <c r="N9">
        <f t="array" ref="N9">IFERROR(INDEX(records[得分],MATCH(表31_38[[#This Row],[日期]]&amp;"刷牙洗脸",records[日期]&amp;records[名称],0)),"")</f>
        <v>-0.1</v>
      </c>
      <c r="O9" t="str">
        <f t="array" ref="O9">IFERROR(INDEX(records[备注],MATCH(表31_38[[#This Row],[日期]]&amp;"刷牙洗脸",records[日期]&amp;records[名称],0))&amp;"","")</f>
        <v/>
      </c>
      <c r="P9">
        <v>0</v>
      </c>
      <c r="Q9">
        <v>1</v>
      </c>
      <c r="R9" s="10"/>
      <c r="S9" s="10"/>
    </row>
    <row r="10" spans="1:19">
      <c r="A10" s="6">
        <v>43885</v>
      </c>
      <c r="B10" s="18">
        <f t="array" ref="B10">IFERROR(INDEX(records[开始时刻],MATCH(表31[[#This Row],[日期]]&amp;"早起",records[日期]&amp;records[名称],0)),"")</f>
        <v>0.25</v>
      </c>
      <c r="C10" s="18">
        <f t="array" ref="C10">IFERROR(INDEX(records[结束时刻],MATCH(表31[[#This Row],[日期]]&amp;"早起",records[日期]&amp;records[名称],0)),"")</f>
        <v>0.25</v>
      </c>
      <c r="D10" s="18">
        <f t="array" ref="D10">IFERROR(INDEX(records[持续时间],MATCH(表31[[#This Row],[日期]]&amp;"早起",records[日期]&amp;records[名称],0)),"")</f>
        <v>0</v>
      </c>
      <c r="E10">
        <f t="array" ref="E10">IFERROR(INDEX(records[得分],MATCH(表31[[#This Row],[日期]]&amp;"早起",records[日期]&amp;records[名称],0)),"")</f>
        <v>-0.2</v>
      </c>
      <c r="F10" t="str">
        <f t="array" ref="F10">IFERROR(INDEX(records[备注],MATCH(表31[[#This Row],[日期]]&amp;"早起",records[日期]&amp;records[名称],0))&amp;"","")</f>
        <v/>
      </c>
      <c r="G10">
        <f>IF(表31[[#This Row],[得分]]="","",IF(表31[[#This Row],[得分]]&gt;0,G9+1,0))</f>
        <v>0</v>
      </c>
      <c r="H10">
        <f>IF(表31[[#This Row],[得分]]="","",IF(表31[[#This Row],[得分]]&lt;0,H9+1,0))</f>
        <v>2</v>
      </c>
      <c r="J10" s="6">
        <v>43885</v>
      </c>
      <c r="K10" s="18">
        <f t="array" ref="K10">IFERROR(INDEX(records[开始时刻],MATCH(表31_38[[#This Row],[日期]]&amp;"刷牙洗脸",records[日期]&amp;records[名称],0)),"")</f>
        <v>0.25</v>
      </c>
      <c r="L10" s="18">
        <f t="array" ref="L10">IFERROR(INDEX(records[结束时刻],MATCH(表31_38[[#This Row],[日期]]&amp;"刷牙洗脸",records[日期]&amp;records[名称],0)),"")</f>
        <v>0.25347222222222221</v>
      </c>
      <c r="M10" s="18">
        <f t="array" ref="M10">IFERROR(INDEX(records[持续时间],MATCH(表31_38[[#This Row],[日期]]&amp;"刷牙洗脸",records[日期]&amp;records[名称],0)),"")</f>
        <v>3.4722222222222099E-3</v>
      </c>
      <c r="N10">
        <f t="array" ref="N10">IFERROR(INDEX(records[得分],MATCH(表31_38[[#This Row],[日期]]&amp;"刷牙洗脸",records[日期]&amp;records[名称],0)),"")</f>
        <v>-0.1</v>
      </c>
      <c r="O10" t="str">
        <f t="array" ref="O10">IFERROR(INDEX(records[备注],MATCH(表31_38[[#This Row],[日期]]&amp;"刷牙洗脸",records[日期]&amp;records[名称],0))&amp;"","")</f>
        <v/>
      </c>
      <c r="P10">
        <f>IF(表31_38[[#This Row],[得分]]="","",IF(表31_38[[#This Row],[得分]]&gt;0,P9+1,0))</f>
        <v>0</v>
      </c>
      <c r="Q10">
        <f>IF(表31_38[[#This Row],[得分]]="","",IF(表31_38[[#This Row],[得分]]&lt;0,Q9+1,0))</f>
        <v>2</v>
      </c>
      <c r="R10" s="10"/>
      <c r="S10" s="10"/>
    </row>
    <row r="11" spans="1:19">
      <c r="A11" s="6">
        <v>43886</v>
      </c>
      <c r="B11" s="18">
        <f t="array" ref="B11">IFERROR(INDEX(records[开始时刻],MATCH(表31[[#This Row],[日期]]&amp;"早起",records[日期]&amp;records[名称],0)),"")</f>
        <v>0.25</v>
      </c>
      <c r="C11" s="18">
        <f t="array" ref="C11">IFERROR(INDEX(records[结束时刻],MATCH(表31[[#This Row],[日期]]&amp;"早起",records[日期]&amp;records[名称],0)),"")</f>
        <v>0.25</v>
      </c>
      <c r="D11" s="18">
        <f t="array" ref="D11">IFERROR(INDEX(records[持续时间],MATCH(表31[[#This Row],[日期]]&amp;"早起",records[日期]&amp;records[名称],0)),"")</f>
        <v>0</v>
      </c>
      <c r="E11">
        <f t="array" ref="E11">IFERROR(INDEX(records[得分],MATCH(表31[[#This Row],[日期]]&amp;"早起",records[日期]&amp;records[名称],0)),"")</f>
        <v>0.1</v>
      </c>
      <c r="F11" t="str">
        <f t="array" ref="F11">IFERROR(INDEX(records[备注],MATCH(表31[[#This Row],[日期]]&amp;"早起",records[日期]&amp;records[名称],0))&amp;"","")</f>
        <v/>
      </c>
      <c r="G11">
        <f>IF(表31[[#This Row],[得分]]="","",IF(表31[[#This Row],[得分]]&gt;0,G10+1,0))</f>
        <v>1</v>
      </c>
      <c r="H11">
        <f>IF(表31[[#This Row],[得分]]="","",IF(表31[[#This Row],[得分]]&lt;0,H10+1,0))</f>
        <v>0</v>
      </c>
      <c r="J11" s="6">
        <v>43886</v>
      </c>
      <c r="K11" s="18">
        <f t="array" ref="K11">IFERROR(INDEX(records[开始时刻],MATCH(表31_38[[#This Row],[日期]]&amp;"刷牙洗脸",records[日期]&amp;records[名称],0)),"")</f>
        <v>0.25</v>
      </c>
      <c r="L11" s="18">
        <f t="array" ref="L11">IFERROR(INDEX(records[结束时刻],MATCH(表31_38[[#This Row],[日期]]&amp;"刷牙洗脸",records[日期]&amp;records[名称],0)),"")</f>
        <v>0.25347222222222221</v>
      </c>
      <c r="M11" s="18">
        <f t="array" ref="M11">IFERROR(INDEX(records[持续时间],MATCH(表31_38[[#This Row],[日期]]&amp;"刷牙洗脸",records[日期]&amp;records[名称],0)),"")</f>
        <v>3.4722222222222099E-3</v>
      </c>
      <c r="N11">
        <f t="array" ref="N11">IFERROR(INDEX(records[得分],MATCH(表31_38[[#This Row],[日期]]&amp;"刷牙洗脸",records[日期]&amp;records[名称],0)),"")</f>
        <v>0.1</v>
      </c>
      <c r="O11" t="str">
        <f t="array" ref="O11">IFERROR(INDEX(records[备注],MATCH(表31_38[[#This Row],[日期]]&amp;"刷牙洗脸",records[日期]&amp;records[名称],0))&amp;"","")</f>
        <v/>
      </c>
      <c r="P11">
        <f>IF(表31_38[[#This Row],[得分]]="","",IF(表31_38[[#This Row],[得分]]&gt;0,P10+1,0))</f>
        <v>1</v>
      </c>
      <c r="Q11">
        <f>IF(表31_38[[#This Row],[得分]]="","",IF(表31_38[[#This Row],[得分]]&lt;0,Q10+1,0))</f>
        <v>0</v>
      </c>
      <c r="R11" s="10"/>
      <c r="S11" s="10"/>
    </row>
    <row r="12" spans="1:19">
      <c r="A12" s="6">
        <v>43887</v>
      </c>
      <c r="B12" s="18">
        <f t="array" ref="B12">IFERROR(INDEX(records[开始时刻],MATCH(表31[[#This Row],[日期]]&amp;"早起",records[日期]&amp;records[名称],0)),"")</f>
        <v>0.25</v>
      </c>
      <c r="C12" s="18">
        <f t="array" ref="C12">IFERROR(INDEX(records[结束时刻],MATCH(表31[[#This Row],[日期]]&amp;"早起",records[日期]&amp;records[名称],0)),"")</f>
        <v>0.25</v>
      </c>
      <c r="D12" s="18">
        <f t="array" ref="D12">IFERROR(INDEX(records[持续时间],MATCH(表31[[#This Row],[日期]]&amp;"早起",records[日期]&amp;records[名称],0)),"")</f>
        <v>0</v>
      </c>
      <c r="E12">
        <f t="array" ref="E12">IFERROR(INDEX(records[得分],MATCH(表31[[#This Row],[日期]]&amp;"早起",records[日期]&amp;records[名称],0)),"")</f>
        <v>0.1</v>
      </c>
      <c r="F12" t="str">
        <f t="array" ref="F12">IFERROR(INDEX(records[备注],MATCH(表31[[#This Row],[日期]]&amp;"早起",records[日期]&amp;records[名称],0))&amp;"","")</f>
        <v/>
      </c>
      <c r="G12">
        <f>IF(表31[[#This Row],[得分]]="","",IF(表31[[#This Row],[得分]]&gt;0,G11+1,0))</f>
        <v>2</v>
      </c>
      <c r="H12">
        <f>IF(表31[[#This Row],[得分]]="","",IF(表31[[#This Row],[得分]]&lt;0,H11+1,0))</f>
        <v>0</v>
      </c>
      <c r="J12" s="6">
        <v>43887</v>
      </c>
      <c r="K12" s="18">
        <f t="array" ref="K12">IFERROR(INDEX(records[开始时刻],MATCH(表31_38[[#This Row],[日期]]&amp;"刷牙洗脸",records[日期]&amp;records[名称],0)),"")</f>
        <v>0.25</v>
      </c>
      <c r="L12" s="18">
        <f t="array" ref="L12">IFERROR(INDEX(records[结束时刻],MATCH(表31_38[[#This Row],[日期]]&amp;"刷牙洗脸",records[日期]&amp;records[名称],0)),"")</f>
        <v>0.25347222222222221</v>
      </c>
      <c r="M12" s="18">
        <f t="array" ref="M12">IFERROR(INDEX(records[持续时间],MATCH(表31_38[[#This Row],[日期]]&amp;"刷牙洗脸",records[日期]&amp;records[名称],0)),"")</f>
        <v>3.4722222222222099E-3</v>
      </c>
      <c r="N12">
        <f t="array" ref="N12">IFERROR(INDEX(records[得分],MATCH(表31_38[[#This Row],[日期]]&amp;"刷牙洗脸",records[日期]&amp;records[名称],0)),"")</f>
        <v>0.1</v>
      </c>
      <c r="O12" t="str">
        <f t="array" ref="O12">IFERROR(INDEX(records[备注],MATCH(表31_38[[#This Row],[日期]]&amp;"刷牙洗脸",records[日期]&amp;records[名称],0))&amp;"","")</f>
        <v/>
      </c>
      <c r="P12">
        <f>IF(表31_38[[#This Row],[得分]]="","",IF(表31_38[[#This Row],[得分]]&gt;0,P11+1,0))</f>
        <v>2</v>
      </c>
      <c r="Q12">
        <f>IF(表31_38[[#This Row],[得分]]="","",IF(表31_38[[#This Row],[得分]]&lt;0,Q11+1,0))</f>
        <v>0</v>
      </c>
      <c r="R12" s="10"/>
      <c r="S12" s="10"/>
    </row>
    <row r="13" spans="1:19">
      <c r="A13" s="6">
        <v>43888</v>
      </c>
      <c r="B13" s="18">
        <f t="array" ref="B13">IFERROR(INDEX(records[开始时刻],MATCH(表31[[#This Row],[日期]]&amp;"早起",records[日期]&amp;records[名称],0)),"")</f>
        <v>0.25</v>
      </c>
      <c r="C13" s="18">
        <f t="array" ref="C13">IFERROR(INDEX(records[结束时刻],MATCH(表31[[#This Row],[日期]]&amp;"早起",records[日期]&amp;records[名称],0)),"")</f>
        <v>0.25</v>
      </c>
      <c r="D13" s="18">
        <f t="array" ref="D13">IFERROR(INDEX(records[持续时间],MATCH(表31[[#This Row],[日期]]&amp;"早起",records[日期]&amp;records[名称],0)),"")</f>
        <v>0</v>
      </c>
      <c r="E13">
        <f t="array" ref="E13">IFERROR(INDEX(records[得分],MATCH(表31[[#This Row],[日期]]&amp;"早起",records[日期]&amp;records[名称],0)),"")</f>
        <v>0.2</v>
      </c>
      <c r="F13" t="str">
        <f t="array" ref="F13">IFERROR(INDEX(records[备注],MATCH(表31[[#This Row],[日期]]&amp;"早起",records[日期]&amp;records[名称],0))&amp;"","")</f>
        <v>已连续3天，增加0.1</v>
      </c>
      <c r="G13">
        <f>IF(表31[[#This Row],[得分]]="","",IF(表31[[#This Row],[得分]]&gt;0,G12+1,0))</f>
        <v>3</v>
      </c>
      <c r="H13">
        <f>IF(表31[[#This Row],[得分]]="","",IF(表31[[#This Row],[得分]]&lt;0,H12+1,0))</f>
        <v>0</v>
      </c>
      <c r="J13" s="6">
        <v>43888</v>
      </c>
      <c r="K13" s="18">
        <f t="array" ref="K13">IFERROR(INDEX(records[开始时刻],MATCH(表31_38[[#This Row],[日期]]&amp;"刷牙洗脸",records[日期]&amp;records[名称],0)),"")</f>
        <v>0.25</v>
      </c>
      <c r="L13" s="18">
        <f t="array" ref="L13">IFERROR(INDEX(records[结束时刻],MATCH(表31_38[[#This Row],[日期]]&amp;"刷牙洗脸",records[日期]&amp;records[名称],0)),"")</f>
        <v>0.25347222222222221</v>
      </c>
      <c r="M13" s="18">
        <f t="array" ref="M13">IFERROR(INDEX(records[持续时间],MATCH(表31_38[[#This Row],[日期]]&amp;"刷牙洗脸",records[日期]&amp;records[名称],0)),"")</f>
        <v>3.4722222222222099E-3</v>
      </c>
      <c r="N13">
        <f t="array" ref="N13">IFERROR(INDEX(records[得分],MATCH(表31_38[[#This Row],[日期]]&amp;"刷牙洗脸",records[日期]&amp;records[名称],0)),"")</f>
        <v>0.2</v>
      </c>
      <c r="O13" t="str">
        <f t="array" ref="O13">IFERROR(INDEX(records[备注],MATCH(表31_38[[#This Row],[日期]]&amp;"刷牙洗脸",records[日期]&amp;records[名称],0))&amp;"","")</f>
        <v>已连续3天，增加0.1</v>
      </c>
      <c r="P13">
        <f>IF(表31_38[[#This Row],[得分]]="","",IF(表31_38[[#This Row],[得分]]&gt;0,P12+1,0))</f>
        <v>3</v>
      </c>
      <c r="Q13">
        <f>IF(表31_38[[#This Row],[得分]]="","",IF(表31_38[[#This Row],[得分]]&lt;0,Q12+1,0))</f>
        <v>0</v>
      </c>
      <c r="R13" s="10"/>
      <c r="S13" s="10"/>
    </row>
    <row r="14" spans="1:19">
      <c r="A14" s="6">
        <v>43889</v>
      </c>
      <c r="B14" s="18">
        <f t="array" ref="B14">IFERROR(INDEX(records[开始时刻],MATCH(表31[[#This Row],[日期]]&amp;"早起",records[日期]&amp;records[名称],0)),"")</f>
        <v>0.25</v>
      </c>
      <c r="C14" s="18">
        <f t="array" ref="C14">IFERROR(INDEX(records[结束时刻],MATCH(表31[[#This Row],[日期]]&amp;"早起",records[日期]&amp;records[名称],0)),"")</f>
        <v>0.25</v>
      </c>
      <c r="D14" s="18">
        <f t="array" ref="D14">IFERROR(INDEX(records[持续时间],MATCH(表31[[#This Row],[日期]]&amp;"早起",records[日期]&amp;records[名称],0)),"")</f>
        <v>0</v>
      </c>
      <c r="E14">
        <f t="array" ref="E14">IFERROR(INDEX(records[得分],MATCH(表31[[#This Row],[日期]]&amp;"早起",records[日期]&amp;records[名称],0)),"")</f>
        <v>0.2</v>
      </c>
      <c r="F14" t="str">
        <f t="array" ref="F14">IFERROR(INDEX(records[备注],MATCH(表31[[#This Row],[日期]]&amp;"早起",records[日期]&amp;records[名称],0))&amp;"","")</f>
        <v/>
      </c>
      <c r="G14">
        <f>IF(表31[[#This Row],[得分]]="","",IF(表31[[#This Row],[得分]]&gt;0,G13+1,0))</f>
        <v>4</v>
      </c>
      <c r="H14">
        <f>IF(表31[[#This Row],[得分]]="","",IF(表31[[#This Row],[得分]]&lt;0,H13+1,0))</f>
        <v>0</v>
      </c>
      <c r="J14" s="6">
        <v>43889</v>
      </c>
      <c r="K14" s="18">
        <f t="array" ref="K14">IFERROR(INDEX(records[开始时刻],MATCH(表31_38[[#This Row],[日期]]&amp;"刷牙洗脸",records[日期]&amp;records[名称],0)),"")</f>
        <v>0.30208333333333331</v>
      </c>
      <c r="L14" s="18">
        <f t="array" ref="L14">IFERROR(INDEX(records[结束时刻],MATCH(表31_38[[#This Row],[日期]]&amp;"刷牙洗脸",records[日期]&amp;records[名称],0)),"")</f>
        <v>0.30555555555555552</v>
      </c>
      <c r="M14" s="18">
        <f t="array" ref="M14">IFERROR(INDEX(records[持续时间],MATCH(表31_38[[#This Row],[日期]]&amp;"刷牙洗脸",records[日期]&amp;records[名称],0)),"")</f>
        <v>3.4722222222222099E-3</v>
      </c>
      <c r="N14">
        <f t="array" ref="N14">IFERROR(INDEX(records[得分],MATCH(表31_38[[#This Row],[日期]]&amp;"刷牙洗脸",records[日期]&amp;records[名称],0)),"")</f>
        <v>0.18</v>
      </c>
      <c r="O14" t="str">
        <f t="array" ref="O14">IFERROR(INDEX(records[备注],MATCH(表31_38[[#This Row],[日期]]&amp;"刷牙洗脸",records[日期]&amp;records[名称],0))&amp;"","")</f>
        <v>没按指定时间开始，扣除10%</v>
      </c>
      <c r="P14">
        <f>IF(表31_38[[#This Row],[得分]]="","",IF(表31_38[[#This Row],[得分]]&gt;0,P13+1,0))</f>
        <v>4</v>
      </c>
      <c r="Q14">
        <f>IF(表31_38[[#This Row],[得分]]="","",IF(表31_38[[#This Row],[得分]]&lt;0,Q13+1,0))</f>
        <v>0</v>
      </c>
      <c r="R14" s="10"/>
      <c r="S14" s="10"/>
    </row>
    <row r="15" spans="1:19">
      <c r="A15" s="6">
        <v>43890</v>
      </c>
      <c r="B15" s="18">
        <f t="array" ref="B15">IFERROR(INDEX(records[开始时刻],MATCH(表31[[#This Row],[日期]]&amp;"早起",records[日期]&amp;records[名称],0)),"")</f>
        <v>0.25</v>
      </c>
      <c r="C15" s="18">
        <f t="array" ref="C15">IFERROR(INDEX(records[结束时刻],MATCH(表31[[#This Row],[日期]]&amp;"早起",records[日期]&amp;records[名称],0)),"")</f>
        <v>0.25</v>
      </c>
      <c r="D15" s="18">
        <f t="array" ref="D15">IFERROR(INDEX(records[持续时间],MATCH(表31[[#This Row],[日期]]&amp;"早起",records[日期]&amp;records[名称],0)),"")</f>
        <v>0</v>
      </c>
      <c r="E15">
        <f t="array" ref="E15">IFERROR(INDEX(records[得分],MATCH(表31[[#This Row],[日期]]&amp;"早起",records[日期]&amp;records[名称],0)),"")</f>
        <v>0.2</v>
      </c>
      <c r="F15" t="str">
        <f t="array" ref="F15">IFERROR(INDEX(records[备注],MATCH(表31[[#This Row],[日期]]&amp;"早起",records[日期]&amp;records[名称],0))&amp;"","")</f>
        <v/>
      </c>
      <c r="G15">
        <f>IF(表31[[#This Row],[得分]]="","",IF(表31[[#This Row],[得分]]&gt;0,G14+1,0))</f>
        <v>5</v>
      </c>
      <c r="H15">
        <f>IF(表31[[#This Row],[得分]]="","",IF(表31[[#This Row],[得分]]&lt;0,H14+1,0))</f>
        <v>0</v>
      </c>
      <c r="J15" s="6">
        <v>43890</v>
      </c>
      <c r="K15" s="18">
        <f t="array" ref="K15">IFERROR(INDEX(records[开始时刻],MATCH(表31_38[[#This Row],[日期]]&amp;"刷牙洗脸",records[日期]&amp;records[名称],0)),"")</f>
        <v>0.30208333333333331</v>
      </c>
      <c r="L15" s="18">
        <f t="array" ref="L15">IFERROR(INDEX(records[结束时刻],MATCH(表31_38[[#This Row],[日期]]&amp;"刷牙洗脸",records[日期]&amp;records[名称],0)),"")</f>
        <v>0.30555555555555552</v>
      </c>
      <c r="M15" s="18">
        <f t="array" ref="M15">IFERROR(INDEX(records[持续时间],MATCH(表31_38[[#This Row],[日期]]&amp;"刷牙洗脸",records[日期]&amp;records[名称],0)),"")</f>
        <v>3.4722222222222099E-3</v>
      </c>
      <c r="N15">
        <f t="array" ref="N15">IFERROR(INDEX(records[得分],MATCH(表31_38[[#This Row],[日期]]&amp;"刷牙洗脸",records[日期]&amp;records[名称],0)),"")</f>
        <v>0.2</v>
      </c>
      <c r="O15" t="str">
        <f t="array" ref="O15">IFERROR(INDEX(records[备注],MATCH(表31_38[[#This Row],[日期]]&amp;"刷牙洗脸",records[日期]&amp;records[名称],0))&amp;"","")</f>
        <v/>
      </c>
      <c r="P15">
        <f>IF(表31_38[[#This Row],[得分]]="","",IF(表31_38[[#This Row],[得分]]&gt;0,P14+1,0))</f>
        <v>5</v>
      </c>
      <c r="Q15">
        <f>IF(表31_38[[#This Row],[得分]]="","",IF(表31_38[[#This Row],[得分]]&lt;0,Q14+1,0))</f>
        <v>0</v>
      </c>
      <c r="R15" s="10"/>
      <c r="S15" s="10"/>
    </row>
    <row r="16" spans="1:19">
      <c r="A16" s="6">
        <v>43891</v>
      </c>
      <c r="B16" s="18">
        <f t="array" ref="B16">IFERROR(INDEX(records[开始时刻],MATCH(表31[[#This Row],[日期]]&amp;"早起",records[日期]&amp;records[名称],0)),"")</f>
        <v>0.25</v>
      </c>
      <c r="C16" s="18">
        <f t="array" ref="C16">IFERROR(INDEX(records[结束时刻],MATCH(表31[[#This Row],[日期]]&amp;"早起",records[日期]&amp;records[名称],0)),"")</f>
        <v>0.25</v>
      </c>
      <c r="D16" s="18">
        <f t="array" ref="D16">IFERROR(INDEX(records[持续时间],MATCH(表31[[#This Row],[日期]]&amp;"早起",records[日期]&amp;records[名称],0)),"")</f>
        <v>0</v>
      </c>
      <c r="E16">
        <f t="array" ref="E16">IFERROR(INDEX(records[得分],MATCH(表31[[#This Row],[日期]]&amp;"早起",records[日期]&amp;records[名称],0)),"")</f>
        <v>0.3</v>
      </c>
      <c r="F16" t="str">
        <f t="array" ref="F16">IFERROR(INDEX(records[备注],MATCH(表31[[#This Row],[日期]]&amp;"早起",records[日期]&amp;records[名称],0))&amp;"","")</f>
        <v>已连续3天，增加0.1</v>
      </c>
      <c r="G16">
        <f>IF(表31[[#This Row],[得分]]="","",IF(表31[[#This Row],[得分]]&gt;0,G15+1,0))</f>
        <v>6</v>
      </c>
      <c r="H16">
        <f>IF(表31[[#This Row],[得分]]="","",IF(表31[[#This Row],[得分]]&lt;0,H15+1,0))</f>
        <v>0</v>
      </c>
      <c r="J16" s="6">
        <v>43891</v>
      </c>
      <c r="K16" s="18">
        <f t="array" ref="K16">IFERROR(INDEX(records[开始时刻],MATCH(表31_38[[#This Row],[日期]]&amp;"刷牙洗脸",records[日期]&amp;records[名称],0)),"")</f>
        <v>0.30208333333333331</v>
      </c>
      <c r="L16" s="18">
        <f t="array" ref="L16">IFERROR(INDEX(records[结束时刻],MATCH(表31_38[[#This Row],[日期]]&amp;"刷牙洗脸",records[日期]&amp;records[名称],0)),"")</f>
        <v>0.30555555555555552</v>
      </c>
      <c r="M16" s="18">
        <f t="array" ref="M16">IFERROR(INDEX(records[持续时间],MATCH(表31_38[[#This Row],[日期]]&amp;"刷牙洗脸",records[日期]&amp;records[名称],0)),"")</f>
        <v>3.4722222222222099E-3</v>
      </c>
      <c r="N16">
        <f t="array" ref="N16">IFERROR(INDEX(records[得分],MATCH(表31_38[[#This Row],[日期]]&amp;"刷牙洗脸",records[日期]&amp;records[名称],0)),"")</f>
        <v>0.3</v>
      </c>
      <c r="O16" t="str">
        <f t="array" ref="O16">IFERROR(INDEX(records[备注],MATCH(表31_38[[#This Row],[日期]]&amp;"刷牙洗脸",records[日期]&amp;records[名称],0))&amp;"","")</f>
        <v>已连续3天，增加0.1</v>
      </c>
      <c r="P16">
        <f>IF(表31_38[[#This Row],[得分]]="","",IF(表31_38[[#This Row],[得分]]&gt;0,P15+1,0))</f>
        <v>6</v>
      </c>
      <c r="Q16">
        <f>IF(表31_38[[#This Row],[得分]]="","",IF(表31_38[[#This Row],[得分]]&lt;0,Q15+1,0))</f>
        <v>0</v>
      </c>
      <c r="R16" s="10"/>
      <c r="S16" s="10"/>
    </row>
    <row r="17" spans="1:17">
      <c r="A17" s="6">
        <v>43892</v>
      </c>
      <c r="B17" s="18">
        <f t="array" ref="B17">IFERROR(INDEX(records[开始时刻],MATCH(表31[[#This Row],[日期]]&amp;"早起",records[日期]&amp;records[名称],0)),"")</f>
        <v>0.29444444444444445</v>
      </c>
      <c r="C17" s="18">
        <f t="array" ref="C17">IFERROR(INDEX(records[结束时刻],MATCH(表31[[#This Row],[日期]]&amp;"早起",records[日期]&amp;records[名称],0)),"")</f>
        <v>0.29444444444444445</v>
      </c>
      <c r="D17" s="18">
        <f t="array" ref="D17">IFERROR(INDEX(records[持续时间],MATCH(表31[[#This Row],[日期]]&amp;"早起",records[日期]&amp;records[名称],0)),"")</f>
        <v>0</v>
      </c>
      <c r="E17">
        <f t="array" ref="E17">IFERROR(INDEX(records[得分],MATCH(表31[[#This Row],[日期]]&amp;"早起",records[日期]&amp;records[名称],0)),"")</f>
        <v>0.5</v>
      </c>
      <c r="F17" t="str">
        <f t="array" ref="F17">IFERROR(INDEX(records[备注],MATCH(表31[[#This Row],[日期]]&amp;"早起",records[日期]&amp;records[名称],0))&amp;"","")</f>
        <v>已连续1周，增加0.2</v>
      </c>
      <c r="G17">
        <f>IF(表31[[#This Row],[得分]]="","",IF(表31[[#This Row],[得分]]&gt;0,G16+1,0))</f>
        <v>7</v>
      </c>
      <c r="H17">
        <f>IF(表31[[#This Row],[得分]]="","",IF(表31[[#This Row],[得分]]&lt;0,H16+1,0))</f>
        <v>0</v>
      </c>
      <c r="J17" s="6">
        <v>43892</v>
      </c>
      <c r="K17" s="18">
        <f t="array" ref="K17">IFERROR(INDEX(records[开始时刻],MATCH(表31_38[[#This Row],[日期]]&amp;"刷牙洗脸",records[日期]&amp;records[名称],0)),"")</f>
        <v>0.29444444444444445</v>
      </c>
      <c r="L17" s="18">
        <f t="array" ref="L17">IFERROR(INDEX(records[结束时刻],MATCH(表31_38[[#This Row],[日期]]&amp;"刷牙洗脸",records[日期]&amp;records[名称],0)),"")</f>
        <v>0.2986111111111111</v>
      </c>
      <c r="M17" s="18">
        <f t="array" ref="M17">IFERROR(INDEX(records[持续时间],MATCH(表31_38[[#This Row],[日期]]&amp;"刷牙洗脸",records[日期]&amp;records[名称],0)),"")</f>
        <v>4.1666666666666519E-3</v>
      </c>
      <c r="N17">
        <f t="array" ref="N17">IFERROR(INDEX(records[得分],MATCH(表31_38[[#This Row],[日期]]&amp;"刷牙洗脸",records[日期]&amp;records[名称],0)),"")</f>
        <v>0.5</v>
      </c>
      <c r="O17" t="str">
        <f t="array" ref="O17">IFERROR(INDEX(records[备注],MATCH(表31_38[[#This Row],[日期]]&amp;"刷牙洗脸",records[日期]&amp;records[名称],0))&amp;"","")</f>
        <v>已连续1周，增加0.2</v>
      </c>
      <c r="P17">
        <f>IF(表31_38[[#This Row],[得分]]="","",IF(表31_38[[#This Row],[得分]]&gt;0,P16+1,0))</f>
        <v>7</v>
      </c>
      <c r="Q17">
        <f>IF(表31_38[[#This Row],[得分]]="","",IF(表31_38[[#This Row],[得分]]&lt;0,Q16+1,0))</f>
        <v>0</v>
      </c>
    </row>
    <row r="18" spans="1:17">
      <c r="A18" s="6">
        <v>43893</v>
      </c>
      <c r="B18" s="18">
        <f t="array" ref="B18">IFERROR(INDEX(records[开始时刻],MATCH(表31[[#This Row],[日期]]&amp;"早起",records[日期]&amp;records[名称],0)),"")</f>
        <v>0.25</v>
      </c>
      <c r="C18" s="18">
        <f t="array" ref="C18">IFERROR(INDEX(records[结束时刻],MATCH(表31[[#This Row],[日期]]&amp;"早起",records[日期]&amp;records[名称],0)),"")</f>
        <v>0.25</v>
      </c>
      <c r="D18" s="18">
        <f t="array" ref="D18">IFERROR(INDEX(records[持续时间],MATCH(表31[[#This Row],[日期]]&amp;"早起",records[日期]&amp;records[名称],0)),"")</f>
        <v>0</v>
      </c>
      <c r="E18">
        <f t="array" ref="E18">IFERROR(INDEX(records[得分],MATCH(表31[[#This Row],[日期]]&amp;"早起",records[日期]&amp;records[名称],0)),"")</f>
        <v>0.5</v>
      </c>
      <c r="F18" t="str">
        <f t="array" ref="F18">IFERROR(INDEX(records[备注],MATCH(表31[[#This Row],[日期]]&amp;"早起",records[日期]&amp;records[名称],0))&amp;"","")</f>
        <v/>
      </c>
      <c r="G18">
        <f>IF(表31[[#This Row],[得分]]="","",IF(表31[[#This Row],[得分]]&gt;0,G17+1,0))</f>
        <v>8</v>
      </c>
      <c r="H18">
        <f>IF(表31[[#This Row],[得分]]="","",IF(表31[[#This Row],[得分]]&lt;0,H17+1,0))</f>
        <v>0</v>
      </c>
      <c r="J18" s="6">
        <v>43893</v>
      </c>
      <c r="K18" s="18">
        <f t="array" ref="K18">IFERROR(INDEX(records[开始时刻],MATCH(表31_38[[#This Row],[日期]]&amp;"刷牙洗脸",records[日期]&amp;records[名称],0)),"")</f>
        <v>0.25</v>
      </c>
      <c r="L18" s="18">
        <f t="array" ref="L18">IFERROR(INDEX(records[结束时刻],MATCH(表31_38[[#This Row],[日期]]&amp;"刷牙洗脸",records[日期]&amp;records[名称],0)),"")</f>
        <v>0.25694444444444448</v>
      </c>
      <c r="M18" s="18">
        <f t="array" ref="M18">IFERROR(INDEX(records[持续时间],MATCH(表31_38[[#This Row],[日期]]&amp;"刷牙洗脸",records[日期]&amp;records[名称],0)),"")</f>
        <v>6.9444444444444753E-3</v>
      </c>
      <c r="N18">
        <f t="array" ref="N18">IFERROR(INDEX(records[得分],MATCH(表31_38[[#This Row],[日期]]&amp;"刷牙洗脸",records[日期]&amp;records[名称],0)),"")</f>
        <v>0.5</v>
      </c>
      <c r="O18" t="str">
        <f t="array" ref="O18">IFERROR(INDEX(records[备注],MATCH(表31_38[[#This Row],[日期]]&amp;"刷牙洗脸",records[日期]&amp;records[名称],0))&amp;"","")</f>
        <v/>
      </c>
      <c r="P18">
        <f>IF(表31_38[[#This Row],[得分]]="","",IF(表31_38[[#This Row],[得分]]&gt;0,P17+1,0))</f>
        <v>8</v>
      </c>
      <c r="Q18">
        <f>IF(表31_38[[#This Row],[得分]]="","",IF(表31_38[[#This Row],[得分]]&lt;0,Q17+1,0))</f>
        <v>0</v>
      </c>
    </row>
    <row r="19" spans="1:17">
      <c r="A19" s="6">
        <v>43894</v>
      </c>
      <c r="B19" s="18">
        <f t="array" ref="B19">IFERROR(INDEX(records[开始时刻],MATCH(表31[[#This Row],[日期]]&amp;"早起",records[日期]&amp;records[名称],0)),"")</f>
        <v>0.25</v>
      </c>
      <c r="C19" s="18">
        <f t="array" ref="C19">IFERROR(INDEX(records[结束时刻],MATCH(表31[[#This Row],[日期]]&amp;"早起",records[日期]&amp;records[名称],0)),"")</f>
        <v>0.25</v>
      </c>
      <c r="D19" s="18">
        <f t="array" ref="D19">IFERROR(INDEX(records[持续时间],MATCH(表31[[#This Row],[日期]]&amp;"早起",records[日期]&amp;records[名称],0)),"")</f>
        <v>0</v>
      </c>
      <c r="E19">
        <f t="array" ref="E19">IFERROR(INDEX(records[得分],MATCH(表31[[#This Row],[日期]]&amp;"早起",records[日期]&amp;records[名称],0)),"")</f>
        <v>0.6</v>
      </c>
      <c r="F19" t="str">
        <f t="array" ref="F19">IFERROR(INDEX(records[备注],MATCH(表31[[#This Row],[日期]]&amp;"早起",records[日期]&amp;records[名称],0))&amp;"","")</f>
        <v>已连续3天，增加0.1</v>
      </c>
      <c r="G19">
        <f>IF(表31[[#This Row],[得分]]="","",IF(表31[[#This Row],[得分]]&gt;0,G18+1,0))</f>
        <v>9</v>
      </c>
      <c r="H19">
        <f>IF(表31[[#This Row],[得分]]="","",IF(表31[[#This Row],[得分]]&lt;0,H18+1,0))</f>
        <v>0</v>
      </c>
      <c r="J19" s="6">
        <v>43894</v>
      </c>
      <c r="K19" s="18">
        <f t="array" ref="K19">IFERROR(INDEX(records[开始时刻],MATCH(表31_38[[#This Row],[日期]]&amp;"刷牙洗脸",records[日期]&amp;records[名称],0)),"")</f>
        <v>0.25</v>
      </c>
      <c r="L19" s="18">
        <f t="array" ref="L19">IFERROR(INDEX(records[结束时刻],MATCH(表31_38[[#This Row],[日期]]&amp;"刷牙洗脸",records[日期]&amp;records[名称],0)),"")</f>
        <v>0.25694444444444448</v>
      </c>
      <c r="M19" s="18">
        <f t="array" ref="M19">IFERROR(INDEX(records[持续时间],MATCH(表31_38[[#This Row],[日期]]&amp;"刷牙洗脸",records[日期]&amp;records[名称],0)),"")</f>
        <v>6.9444444444444753E-3</v>
      </c>
      <c r="N19">
        <f t="array" ref="N19">IFERROR(INDEX(records[得分],MATCH(表31_38[[#This Row],[日期]]&amp;"刷牙洗脸",records[日期]&amp;records[名称],0)),"")</f>
        <v>0.6</v>
      </c>
      <c r="O19" t="str">
        <f t="array" ref="O19">IFERROR(INDEX(records[备注],MATCH(表31_38[[#This Row],[日期]]&amp;"刷牙洗脸",records[日期]&amp;records[名称],0))&amp;"","")</f>
        <v>已连续3天，增加0.1</v>
      </c>
      <c r="P19">
        <f>IF(表31_38[[#This Row],[得分]]="","",IF(表31_38[[#This Row],[得分]]&gt;0,P18+1,0))</f>
        <v>9</v>
      </c>
      <c r="Q19">
        <f>IF(表31_38[[#This Row],[得分]]="","",IF(表31_38[[#This Row],[得分]]&lt;0,Q18+1,0))</f>
        <v>0</v>
      </c>
    </row>
    <row r="20" spans="1:17">
      <c r="A20" s="6">
        <v>43895</v>
      </c>
      <c r="B20" s="18">
        <f t="array" ref="B20">IFERROR(INDEX(records[开始时刻],MATCH(表31[[#This Row],[日期]]&amp;"早起",records[日期]&amp;records[名称],0)),"")</f>
        <v>0.25</v>
      </c>
      <c r="C20" s="18">
        <f t="array" ref="C20">IFERROR(INDEX(records[结束时刻],MATCH(表31[[#This Row],[日期]]&amp;"早起",records[日期]&amp;records[名称],0)),"")</f>
        <v>0.25</v>
      </c>
      <c r="D20" s="18">
        <f t="array" ref="D20">IFERROR(INDEX(records[持续时间],MATCH(表31[[#This Row],[日期]]&amp;"早起",records[日期]&amp;records[名称],0)),"")</f>
        <v>0</v>
      </c>
      <c r="E20">
        <f t="array" ref="E20">IFERROR(INDEX(records[得分],MATCH(表31[[#This Row],[日期]]&amp;"早起",records[日期]&amp;records[名称],0)),"")</f>
        <v>0.6</v>
      </c>
      <c r="F20" t="str">
        <f t="array" ref="F20">IFERROR(INDEX(records[备注],MATCH(表31[[#This Row],[日期]]&amp;"早起",records[日期]&amp;records[名称],0))&amp;"","")</f>
        <v/>
      </c>
      <c r="G20">
        <f>IF(表31[[#This Row],[得分]]="","",IF(表31[[#This Row],[得分]]&gt;0,G19+1,0))</f>
        <v>10</v>
      </c>
      <c r="H20">
        <f>IF(表31[[#This Row],[得分]]="","",IF(表31[[#This Row],[得分]]&lt;0,H19+1,0))</f>
        <v>0</v>
      </c>
      <c r="J20" s="6">
        <v>43895</v>
      </c>
      <c r="K20" s="18">
        <f t="array" ref="K20">IFERROR(INDEX(records[开始时刻],MATCH(表31_38[[#This Row],[日期]]&amp;"刷牙洗脸",records[日期]&amp;records[名称],0)),"")</f>
        <v>0.25</v>
      </c>
      <c r="L20" s="18">
        <f t="array" ref="L20">IFERROR(INDEX(records[结束时刻],MATCH(表31_38[[#This Row],[日期]]&amp;"刷牙洗脸",records[日期]&amp;records[名称],0)),"")</f>
        <v>0.25694444444444448</v>
      </c>
      <c r="M20" s="18">
        <f t="array" ref="M20">IFERROR(INDEX(records[持续时间],MATCH(表31_38[[#This Row],[日期]]&amp;"刷牙洗脸",records[日期]&amp;records[名称],0)),"")</f>
        <v>6.9444444444444753E-3</v>
      </c>
      <c r="N20">
        <f t="array" ref="N20">IFERROR(INDEX(records[得分],MATCH(表31_38[[#This Row],[日期]]&amp;"刷牙洗脸",records[日期]&amp;records[名称],0)),"")</f>
        <v>0.6</v>
      </c>
      <c r="O20" t="str">
        <f t="array" ref="O20">IFERROR(INDEX(records[备注],MATCH(表31_38[[#This Row],[日期]]&amp;"刷牙洗脸",records[日期]&amp;records[名称],0))&amp;"","")</f>
        <v/>
      </c>
      <c r="P20">
        <f>IF(表31_38[[#This Row],[得分]]="","",IF(表31_38[[#This Row],[得分]]&gt;0,P19+1,0))</f>
        <v>10</v>
      </c>
      <c r="Q20">
        <f>IF(表31_38[[#This Row],[得分]]="","",IF(表31_38[[#This Row],[得分]]&lt;0,Q19+1,0))</f>
        <v>0</v>
      </c>
    </row>
    <row r="21" spans="1:17">
      <c r="M21" s="8"/>
      <c r="N21" s="9"/>
      <c r="O21" s="8"/>
      <c r="P21" s="10"/>
      <c r="Q21" s="10"/>
    </row>
    <row r="22" spans="1:17">
      <c r="M22" s="8"/>
      <c r="N22" s="9"/>
      <c r="O22" s="8"/>
      <c r="P22" s="10"/>
      <c r="Q22" s="10"/>
    </row>
    <row r="23" spans="1:17">
      <c r="M23" s="8"/>
      <c r="N23" s="9"/>
      <c r="O23" s="8"/>
      <c r="P23" s="10"/>
      <c r="Q23" s="10"/>
    </row>
    <row r="24" spans="1:17">
      <c r="M24" s="8"/>
      <c r="N24" s="9"/>
      <c r="O24" s="8"/>
      <c r="P24" s="10"/>
      <c r="Q24" s="10"/>
    </row>
    <row r="25" spans="1:17">
      <c r="M25" s="8"/>
      <c r="N25" s="9"/>
      <c r="O25" s="8"/>
      <c r="P25" s="10"/>
      <c r="Q25" s="10"/>
    </row>
    <row r="26" spans="1:17">
      <c r="M26" s="8"/>
      <c r="N26" s="9"/>
      <c r="O26" s="8"/>
      <c r="P26" s="2"/>
      <c r="Q26" s="10"/>
    </row>
    <row r="27" spans="1:17">
      <c r="M27" s="8"/>
      <c r="N27" s="9"/>
      <c r="O27" s="8"/>
      <c r="P27" s="2"/>
      <c r="Q27" s="10"/>
    </row>
    <row r="28" spans="1:17">
      <c r="M28" s="8"/>
      <c r="N28" s="9"/>
      <c r="O28" s="8"/>
      <c r="P28" s="2"/>
      <c r="Q28" s="10"/>
    </row>
    <row r="29" spans="1:17">
      <c r="M29" s="8"/>
      <c r="N29" s="9"/>
      <c r="O29" s="8"/>
      <c r="P29" s="2"/>
      <c r="Q29" s="10"/>
    </row>
    <row r="30" spans="1:17">
      <c r="M30" s="8"/>
      <c r="N30" s="9"/>
      <c r="O30" s="8"/>
      <c r="P30" s="2"/>
      <c r="Q30" s="10"/>
    </row>
    <row r="31" spans="1:17">
      <c r="M31" s="8"/>
      <c r="N31" s="9"/>
      <c r="O31" s="8"/>
      <c r="P31" s="10"/>
      <c r="Q31" s="10"/>
    </row>
    <row r="32" spans="1:17">
      <c r="M32" s="8"/>
      <c r="N32" s="9"/>
      <c r="O32" s="8"/>
      <c r="P32" s="2"/>
      <c r="Q32" s="10"/>
    </row>
    <row r="33" spans="13:17">
      <c r="M33" s="8"/>
      <c r="N33" s="9"/>
      <c r="O33" s="8"/>
      <c r="P33" s="2"/>
      <c r="Q33" s="10"/>
    </row>
    <row r="34" spans="13:17">
      <c r="M34" s="8"/>
      <c r="N34" s="9"/>
      <c r="O34" s="8"/>
      <c r="P34" s="2"/>
      <c r="Q34" s="10"/>
    </row>
    <row r="35" spans="13:17">
      <c r="M35" s="8"/>
      <c r="N35" s="9"/>
      <c r="O35" s="8"/>
      <c r="P35" s="2"/>
      <c r="Q35" s="10"/>
    </row>
    <row r="36" spans="13:17">
      <c r="M36" s="8"/>
      <c r="N36" s="9"/>
      <c r="O36" s="8"/>
      <c r="P36" s="2"/>
      <c r="Q36" s="10"/>
    </row>
    <row r="37" spans="13:17">
      <c r="M37" s="8"/>
      <c r="N37" s="9"/>
      <c r="O37" s="8"/>
      <c r="P37" s="2"/>
      <c r="Q37" s="10"/>
    </row>
    <row r="38" spans="13:17">
      <c r="M38" s="8"/>
      <c r="N38" s="9"/>
      <c r="O38" s="8"/>
      <c r="P38" s="2"/>
      <c r="Q38" s="10"/>
    </row>
    <row r="39" spans="13:17">
      <c r="M39" s="8"/>
      <c r="N39" s="9"/>
      <c r="O39" s="14"/>
      <c r="P39" s="2"/>
      <c r="Q39" s="10"/>
    </row>
    <row r="40" spans="13:17">
      <c r="M40" s="8"/>
      <c r="N40" s="9"/>
      <c r="O40" s="8"/>
      <c r="P40" s="2"/>
      <c r="Q40" s="10"/>
    </row>
    <row r="41" spans="13:17">
      <c r="M41" s="8"/>
      <c r="N41" s="9"/>
      <c r="O41" s="8"/>
      <c r="P41" s="2"/>
      <c r="Q41" s="10"/>
    </row>
    <row r="42" spans="13:17">
      <c r="M42" s="8"/>
      <c r="N42" s="9"/>
      <c r="O42" s="8"/>
      <c r="P42" s="2"/>
      <c r="Q42" s="10"/>
    </row>
    <row r="43" spans="13:17">
      <c r="M43" s="8"/>
      <c r="N43" s="9"/>
      <c r="O43" s="8"/>
      <c r="P43" s="2"/>
      <c r="Q43" s="10"/>
    </row>
    <row r="44" spans="13:17">
      <c r="M44" s="8"/>
      <c r="N44" s="9"/>
      <c r="O44" s="14"/>
      <c r="P44" s="2"/>
      <c r="Q44" s="10"/>
    </row>
  </sheetData>
  <mergeCells count="2">
    <mergeCell ref="A7:H7"/>
    <mergeCell ref="J7:Q7"/>
  </mergeCells>
  <phoneticPr fontId="1" type="noConversion"/>
  <pageMargins left="0.7" right="0.7" top="0.75" bottom="0.75" header="0.3" footer="0.3"/>
  <tableParts count="2">
    <tablePart r:id="rId1"/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1E0CB-D626-3946-A773-1A6D1FCBC0CB}">
  <dimension ref="A1:H32"/>
  <sheetViews>
    <sheetView workbookViewId="0">
      <selection sqref="A1:XFD6"/>
    </sheetView>
  </sheetViews>
  <sheetFormatPr baseColWidth="10" defaultRowHeight="16"/>
  <cols>
    <col min="1" max="1" width="10.6640625" bestFit="1" customWidth="1"/>
    <col min="2" max="4" width="12.5" bestFit="1" customWidth="1"/>
    <col min="5" max="5" width="8.5" bestFit="1" customWidth="1"/>
    <col min="6" max="6" width="20.5" bestFit="1" customWidth="1"/>
    <col min="7" max="7" width="15.6640625" bestFit="1" customWidth="1"/>
    <col min="8" max="8" width="14.5" bestFit="1" customWidth="1"/>
  </cols>
  <sheetData>
    <row r="1" spans="1:8" ht="23">
      <c r="A1" s="27" t="s">
        <v>185</v>
      </c>
      <c r="G1" s="26" t="s">
        <v>186</v>
      </c>
    </row>
    <row r="2" spans="1:8">
      <c r="A2" t="s">
        <v>200</v>
      </c>
      <c r="G2" t="s">
        <v>209</v>
      </c>
    </row>
    <row r="3" spans="1:8">
      <c r="A3" t="s">
        <v>202</v>
      </c>
      <c r="G3" t="s">
        <v>210</v>
      </c>
    </row>
    <row r="4" spans="1:8">
      <c r="A4" t="s">
        <v>207</v>
      </c>
      <c r="G4" t="s">
        <v>212</v>
      </c>
    </row>
    <row r="5" spans="1:8">
      <c r="A5" t="s">
        <v>208</v>
      </c>
    </row>
    <row r="6" spans="1:8">
      <c r="A6" t="s">
        <v>206</v>
      </c>
    </row>
    <row r="7" spans="1:8" ht="26">
      <c r="A7" s="45" t="s">
        <v>118</v>
      </c>
      <c r="B7" s="45"/>
      <c r="C7" s="45"/>
      <c r="D7" s="45"/>
      <c r="E7" s="45"/>
      <c r="F7" s="45"/>
      <c r="G7" s="45"/>
      <c r="H7" s="45"/>
    </row>
    <row r="8" spans="1:8">
      <c r="A8" t="s">
        <v>0</v>
      </c>
      <c r="B8" t="s">
        <v>105</v>
      </c>
      <c r="C8" t="s">
        <v>104</v>
      </c>
      <c r="D8" t="s">
        <v>103</v>
      </c>
      <c r="E8" t="s">
        <v>1</v>
      </c>
      <c r="F8" t="s">
        <v>95</v>
      </c>
      <c r="G8" t="s">
        <v>96</v>
      </c>
      <c r="H8" t="s">
        <v>94</v>
      </c>
    </row>
    <row r="9" spans="1:8">
      <c r="A9" s="6">
        <v>43884</v>
      </c>
      <c r="B9" s="18">
        <f t="array" ref="B9">IFERROR(INDEX(records[开始时刻],MATCH(表31_24[[#This Row],[日期]]&amp;"阅读",records[日期]&amp;records[名称],0)),"")</f>
        <v>0.25347222222222221</v>
      </c>
      <c r="C9" s="18">
        <f t="array" ref="C9">IFERROR(INDEX(records[结束时刻],MATCH(表31_24[[#This Row],[日期]]&amp;"阅读",records[日期]&amp;records[名称],0)),"")</f>
        <v>0.29722222222222222</v>
      </c>
      <c r="D9" s="18">
        <f t="array" ref="D9">IFERROR(INDEX(records[持续时间],MATCH(表31_24[[#This Row],[日期]]&amp;"阅读",records[日期]&amp;records[名称],0)),"")</f>
        <v>4.3750000000000011E-2</v>
      </c>
      <c r="E9">
        <f t="array" ref="E9">IFERROR(INDEX(records[得分],MATCH(表31_24[[#This Row],[日期]]&amp;"阅读",records[日期]&amp;records[名称],0)),"")</f>
        <v>-0.1</v>
      </c>
      <c r="F9" t="str">
        <f t="array" ref="F9">IFERROR(INDEX(records[备注],MATCH(表31_24[[#This Row],[日期]]&amp;"阅读",records[日期]&amp;records[名称],0))&amp;"","")</f>
        <v/>
      </c>
      <c r="G9">
        <v>0</v>
      </c>
      <c r="H9">
        <v>1</v>
      </c>
    </row>
    <row r="10" spans="1:8">
      <c r="A10" s="6">
        <v>43885</v>
      </c>
      <c r="B10" s="18">
        <f t="array" ref="B10">IFERROR(INDEX(records[开始时刻],MATCH(表31_24[[#This Row],[日期]]&amp;"阅读",records[日期]&amp;records[名称],0)),"")</f>
        <v>0.25347222222222221</v>
      </c>
      <c r="C10" s="18">
        <f t="array" ref="C10">IFERROR(INDEX(records[结束时刻],MATCH(表31_24[[#This Row],[日期]]&amp;"阅读",records[日期]&amp;records[名称],0)),"")</f>
        <v>0.29722222222222222</v>
      </c>
      <c r="D10" s="18">
        <f t="array" ref="D10">IFERROR(INDEX(records[持续时间],MATCH(表31_24[[#This Row],[日期]]&amp;"阅读",records[日期]&amp;records[名称],0)),"")</f>
        <v>4.3750000000000011E-2</v>
      </c>
      <c r="E10">
        <f t="array" ref="E10">IFERROR(INDEX(records[得分],MATCH(表31_24[[#This Row],[日期]]&amp;"阅读",records[日期]&amp;records[名称],0)),"")</f>
        <v>-0.2</v>
      </c>
      <c r="F10" t="str">
        <f t="array" ref="F10">IFERROR(INDEX(records[备注],MATCH(表31_24[[#This Row],[日期]]&amp;"阅读",records[日期]&amp;records[名称],0))&amp;"","")</f>
        <v/>
      </c>
      <c r="G10">
        <f>IF(表31_24[[#This Row],[得分]]="","",IF(表31_24[[#This Row],[得分]]&gt;0,G9+1,0))</f>
        <v>0</v>
      </c>
      <c r="H10">
        <f>IF(表31_24[[#This Row],[得分]]="","",IF(表31_24[[#This Row],[得分]]&lt;0,H9+1,0))</f>
        <v>2</v>
      </c>
    </row>
    <row r="11" spans="1:8">
      <c r="A11" s="6">
        <v>43886</v>
      </c>
      <c r="B11" s="18">
        <f t="array" ref="B11">IFERROR(INDEX(records[开始时刻],MATCH(表31_24[[#This Row],[日期]]&amp;"阅读",records[日期]&amp;records[名称],0)),"")</f>
        <v>0.25347222222222221</v>
      </c>
      <c r="C11" s="18">
        <f t="array" ref="C11">IFERROR(INDEX(records[结束时刻],MATCH(表31_24[[#This Row],[日期]]&amp;"阅读",records[日期]&amp;records[名称],0)),"")</f>
        <v>0.29722222222222222</v>
      </c>
      <c r="D11" s="18">
        <f t="array" ref="D11">IFERROR(INDEX(records[持续时间],MATCH(表31_24[[#This Row],[日期]]&amp;"阅读",records[日期]&amp;records[名称],0)),"")</f>
        <v>4.3750000000000011E-2</v>
      </c>
      <c r="E11">
        <f t="array" ref="E11">IFERROR(INDEX(records[得分],MATCH(表31_24[[#This Row],[日期]]&amp;"阅读",records[日期]&amp;records[名称],0)),"")</f>
        <v>0.1</v>
      </c>
      <c r="F11" t="str">
        <f t="array" ref="F11">IFERROR(INDEX(records[备注],MATCH(表31_24[[#This Row],[日期]]&amp;"阅读",records[日期]&amp;records[名称],0))&amp;"","")</f>
        <v/>
      </c>
      <c r="G11">
        <f>IF(表31_24[[#This Row],[得分]]="","",IF(表31_24[[#This Row],[得分]]&gt;0,G10+1,0))</f>
        <v>1</v>
      </c>
      <c r="H11">
        <f>IF(表31_24[[#This Row],[得分]]="","",IF(表31_24[[#This Row],[得分]]&lt;0,H10+1,0))</f>
        <v>0</v>
      </c>
    </row>
    <row r="12" spans="1:8">
      <c r="A12" s="6">
        <v>43887</v>
      </c>
      <c r="B12" s="18">
        <f t="array" ref="B12">IFERROR(INDEX(records[开始时刻],MATCH(表31_24[[#This Row],[日期]]&amp;"阅读",records[日期]&amp;records[名称],0)),"")</f>
        <v>0.25347222222222221</v>
      </c>
      <c r="C12" s="18">
        <f t="array" ref="C12">IFERROR(INDEX(records[结束时刻],MATCH(表31_24[[#This Row],[日期]]&amp;"阅读",records[日期]&amp;records[名称],0)),"")</f>
        <v>0.29722222222222222</v>
      </c>
      <c r="D12" s="18">
        <f t="array" ref="D12">IFERROR(INDEX(records[持续时间],MATCH(表31_24[[#This Row],[日期]]&amp;"阅读",records[日期]&amp;records[名称],0)),"")</f>
        <v>4.3750000000000011E-2</v>
      </c>
      <c r="E12">
        <f t="array" ref="E12">IFERROR(INDEX(records[得分],MATCH(表31_24[[#This Row],[日期]]&amp;"阅读",records[日期]&amp;records[名称],0)),"")</f>
        <v>0.1</v>
      </c>
      <c r="F12" t="str">
        <f t="array" ref="F12">IFERROR(INDEX(records[备注],MATCH(表31_24[[#This Row],[日期]]&amp;"阅读",records[日期]&amp;records[名称],0))&amp;"","")</f>
        <v/>
      </c>
      <c r="G12">
        <f>IF(表31_24[[#This Row],[得分]]="","",IF(表31_24[[#This Row],[得分]]&gt;0,G11+1,0))</f>
        <v>2</v>
      </c>
      <c r="H12">
        <f>IF(表31_24[[#This Row],[得分]]="","",IF(表31_24[[#This Row],[得分]]&lt;0,H11+1,0))</f>
        <v>0</v>
      </c>
    </row>
    <row r="13" spans="1:8">
      <c r="A13" s="6">
        <v>43888</v>
      </c>
      <c r="B13" s="18">
        <f t="array" ref="B13">IFERROR(INDEX(records[开始时刻],MATCH(表31_24[[#This Row],[日期]]&amp;"阅读",records[日期]&amp;records[名称],0)),"")</f>
        <v>0.25347222222222221</v>
      </c>
      <c r="C13" s="18">
        <f t="array" ref="C13">IFERROR(INDEX(records[结束时刻],MATCH(表31_24[[#This Row],[日期]]&amp;"阅读",records[日期]&amp;records[名称],0)),"")</f>
        <v>0.29722222222222222</v>
      </c>
      <c r="D13" s="18">
        <f t="array" ref="D13">IFERROR(INDEX(records[持续时间],MATCH(表31_24[[#This Row],[日期]]&amp;"阅读",records[日期]&amp;records[名称],0)),"")</f>
        <v>4.3750000000000011E-2</v>
      </c>
      <c r="E13">
        <f t="array" ref="E13">IFERROR(INDEX(records[得分],MATCH(表31_24[[#This Row],[日期]]&amp;"阅读",records[日期]&amp;records[名称],0)),"")</f>
        <v>0.2</v>
      </c>
      <c r="F13" t="str">
        <f t="array" ref="F13">IFERROR(INDEX(records[备注],MATCH(表31_24[[#This Row],[日期]]&amp;"阅读",records[日期]&amp;records[名称],0))&amp;"","")</f>
        <v>已连续3天，增加0.1</v>
      </c>
      <c r="G13">
        <f>IF(表31_24[[#This Row],[得分]]="","",IF(表31_24[[#This Row],[得分]]&gt;0,G12+1,0))</f>
        <v>3</v>
      </c>
      <c r="H13">
        <f>IF(表31_24[[#This Row],[得分]]="","",IF(表31_24[[#This Row],[得分]]&lt;0,H12+1,0))</f>
        <v>0</v>
      </c>
    </row>
    <row r="14" spans="1:8">
      <c r="A14" s="6">
        <v>43889</v>
      </c>
      <c r="B14" s="18">
        <f t="array" ref="B14">IFERROR(INDEX(records[开始时刻],MATCH(表31_24[[#This Row],[日期]]&amp;"阅读",records[日期]&amp;records[名称],0)),"")</f>
        <v>0.25347222222222221</v>
      </c>
      <c r="C14" s="18">
        <f t="array" ref="C14">IFERROR(INDEX(records[结束时刻],MATCH(表31_24[[#This Row],[日期]]&amp;"阅读",records[日期]&amp;records[名称],0)),"")</f>
        <v>0.29722222222222222</v>
      </c>
      <c r="D14" s="18">
        <f t="array" ref="D14">IFERROR(INDEX(records[持续时间],MATCH(表31_24[[#This Row],[日期]]&amp;"阅读",records[日期]&amp;records[名称],0)),"")</f>
        <v>4.3750000000000011E-2</v>
      </c>
      <c r="E14">
        <f t="array" ref="E14">IFERROR(INDEX(records[得分],MATCH(表31_24[[#This Row],[日期]]&amp;"阅读",records[日期]&amp;records[名称],0)),"")</f>
        <v>0.2</v>
      </c>
      <c r="F14" t="str">
        <f t="array" ref="F14">IFERROR(INDEX(records[备注],MATCH(表31_24[[#This Row],[日期]]&amp;"阅读",records[日期]&amp;records[名称],0))&amp;"","")</f>
        <v/>
      </c>
      <c r="G14">
        <f>IF(表31_24[[#This Row],[得分]]="","",IF(表31_24[[#This Row],[得分]]&gt;0,G13+1,0))</f>
        <v>4</v>
      </c>
      <c r="H14">
        <f>IF(表31_24[[#This Row],[得分]]="","",IF(表31_24[[#This Row],[得分]]&lt;0,H13+1,0))</f>
        <v>0</v>
      </c>
    </row>
    <row r="15" spans="1:8">
      <c r="A15" s="6">
        <v>43890</v>
      </c>
      <c r="B15" s="18">
        <f t="array" ref="B15">IFERROR(INDEX(records[开始时刻],MATCH(表31_24[[#This Row],[日期]]&amp;"阅读",records[日期]&amp;records[名称],0)),"")</f>
        <v>0.25347222222222221</v>
      </c>
      <c r="C15" s="18">
        <f t="array" ref="C15">IFERROR(INDEX(records[结束时刻],MATCH(表31_24[[#This Row],[日期]]&amp;"阅读",records[日期]&amp;records[名称],0)),"")</f>
        <v>0.29722222222222222</v>
      </c>
      <c r="D15" s="18">
        <f t="array" ref="D15">IFERROR(INDEX(records[持续时间],MATCH(表31_24[[#This Row],[日期]]&amp;"阅读",records[日期]&amp;records[名称],0)),"")</f>
        <v>4.3750000000000011E-2</v>
      </c>
      <c r="E15">
        <f t="array" ref="E15">IFERROR(INDEX(records[得分],MATCH(表31_24[[#This Row],[日期]]&amp;"阅读",records[日期]&amp;records[名称],0)),"")</f>
        <v>0.2</v>
      </c>
      <c r="F15" t="str">
        <f t="array" ref="F15">IFERROR(INDEX(records[备注],MATCH(表31_24[[#This Row],[日期]]&amp;"阅读",records[日期]&amp;records[名称],0))&amp;"","")</f>
        <v/>
      </c>
      <c r="G15">
        <f>IF(表31_24[[#This Row],[得分]]="","",IF(表31_24[[#This Row],[得分]]&gt;0,G14+1,0))</f>
        <v>5</v>
      </c>
      <c r="H15">
        <f>IF(表31_24[[#This Row],[得分]]="","",IF(表31_24[[#This Row],[得分]]&lt;0,H14+1,0))</f>
        <v>0</v>
      </c>
    </row>
    <row r="16" spans="1:8">
      <c r="A16" s="6">
        <v>43891</v>
      </c>
      <c r="B16" s="18">
        <f t="array" ref="B16">IFERROR(INDEX(records[开始时刻],MATCH(表31_24[[#This Row],[日期]]&amp;"阅读",records[日期]&amp;records[名称],0)),"")</f>
        <v>0.25347222222222221</v>
      </c>
      <c r="C16" s="18">
        <f t="array" ref="C16">IFERROR(INDEX(records[结束时刻],MATCH(表31_24[[#This Row],[日期]]&amp;"阅读",records[日期]&amp;records[名称],0)),"")</f>
        <v>0.29722222222222222</v>
      </c>
      <c r="D16" s="18">
        <f t="array" ref="D16">IFERROR(INDEX(records[持续时间],MATCH(表31_24[[#This Row],[日期]]&amp;"阅读",records[日期]&amp;records[名称],0)),"")</f>
        <v>4.3750000000000011E-2</v>
      </c>
      <c r="E16">
        <f t="array" ref="E16">IFERROR(INDEX(records[得分],MATCH(表31_24[[#This Row],[日期]]&amp;"阅读",records[日期]&amp;records[名称],0)),"")</f>
        <v>0.3</v>
      </c>
      <c r="F16" t="str">
        <f t="array" ref="F16">IFERROR(INDEX(records[备注],MATCH(表31_24[[#This Row],[日期]]&amp;"阅读",records[日期]&amp;records[名称],0))&amp;"","")</f>
        <v>已连续3天，增加0.1</v>
      </c>
      <c r="G16">
        <f>IF(表31_24[[#This Row],[得分]]="","",IF(表31_24[[#This Row],[得分]]&gt;0,G15+1,0))</f>
        <v>6</v>
      </c>
      <c r="H16">
        <f>IF(表31_24[[#This Row],[得分]]="","",IF(表31_24[[#This Row],[得分]]&lt;0,H15+1,0))</f>
        <v>0</v>
      </c>
    </row>
    <row r="17" spans="1:8">
      <c r="A17" s="6">
        <v>43892</v>
      </c>
      <c r="B17" s="18">
        <f t="array" ref="B17">IFERROR(INDEX(records[开始时刻],MATCH(表31_24[[#This Row],[日期]]&amp;"阅读",records[日期]&amp;records[名称],0)),"")</f>
        <v>0.2986111111111111</v>
      </c>
      <c r="C17" s="18">
        <f t="array" ref="C17">IFERROR(INDEX(records[结束时刻],MATCH(表31_24[[#This Row],[日期]]&amp;"阅读",records[日期]&amp;records[名称],0)),"")</f>
        <v>0.33333333333333331</v>
      </c>
      <c r="D17" s="18">
        <f t="array" ref="D17">IFERROR(INDEX(records[持续时间],MATCH(表31_24[[#This Row],[日期]]&amp;"阅读",records[日期]&amp;records[名称],0)),"")</f>
        <v>3.472222222222221E-2</v>
      </c>
      <c r="E17">
        <f t="array" ref="E17">IFERROR(INDEX(records[得分],MATCH(表31_24[[#This Row],[日期]]&amp;"阅读",records[日期]&amp;records[名称],0)),"")</f>
        <v>0.5</v>
      </c>
      <c r="F17" t="str">
        <f t="array" ref="F17">IFERROR(INDEX(records[备注],MATCH(表31_24[[#This Row],[日期]]&amp;"阅读",records[日期]&amp;records[名称],0))&amp;"","")</f>
        <v>已连续1周，增加0.2</v>
      </c>
      <c r="G17">
        <f>IF(表31_24[[#This Row],[得分]]="","",IF(表31_24[[#This Row],[得分]]&gt;0,G16+1,0))</f>
        <v>7</v>
      </c>
      <c r="H17">
        <f>IF(表31_24[[#This Row],[得分]]="","",IF(表31_24[[#This Row],[得分]]&lt;0,H16+1,0))</f>
        <v>0</v>
      </c>
    </row>
    <row r="18" spans="1:8">
      <c r="A18" s="6">
        <v>43893</v>
      </c>
      <c r="B18" s="18">
        <f t="array" ref="B18">IFERROR(INDEX(records[开始时刻],MATCH(表31_24[[#This Row],[日期]]&amp;"阅读",records[日期]&amp;records[名称],0)),"")</f>
        <v>0.25694444444444448</v>
      </c>
      <c r="C18" s="18">
        <f t="array" ref="C18">IFERROR(INDEX(records[结束时刻],MATCH(表31_24[[#This Row],[日期]]&amp;"阅读",records[日期]&amp;records[名称],0)),"")</f>
        <v>0.2986111111111111</v>
      </c>
      <c r="D18" s="18">
        <f t="array" ref="D18">IFERROR(INDEX(records[持续时间],MATCH(表31_24[[#This Row],[日期]]&amp;"阅读",records[日期]&amp;records[名称],0)),"")</f>
        <v>4.166666666666663E-2</v>
      </c>
      <c r="E18">
        <f t="array" ref="E18">IFERROR(INDEX(records[得分],MATCH(表31_24[[#This Row],[日期]]&amp;"阅读",records[日期]&amp;records[名称],0)),"")</f>
        <v>0.5</v>
      </c>
      <c r="F18" t="str">
        <f t="array" ref="F18">IFERROR(INDEX(records[备注],MATCH(表31_24[[#This Row],[日期]]&amp;"阅读",records[日期]&amp;records[名称],0))&amp;"","")</f>
        <v/>
      </c>
      <c r="G18">
        <f>IF(表31_24[[#This Row],[得分]]="","",IF(表31_24[[#This Row],[得分]]&gt;0,G17+1,0))</f>
        <v>8</v>
      </c>
      <c r="H18">
        <f>IF(表31_24[[#This Row],[得分]]="","",IF(表31_24[[#This Row],[得分]]&lt;0,H17+1,0))</f>
        <v>0</v>
      </c>
    </row>
    <row r="19" spans="1:8">
      <c r="A19" s="6">
        <v>43894</v>
      </c>
      <c r="B19" s="18">
        <f t="array" ref="B19">IFERROR(INDEX(records[开始时刻],MATCH(表31_24[[#This Row],[日期]]&amp;"阅读",records[日期]&amp;records[名称],0)),"")</f>
        <v>0.25694444444444448</v>
      </c>
      <c r="C19" s="18">
        <f t="array" ref="C19">IFERROR(INDEX(records[结束时刻],MATCH(表31_24[[#This Row],[日期]]&amp;"阅读",records[日期]&amp;records[名称],0)),"")</f>
        <v>0.2986111111111111</v>
      </c>
      <c r="D19" s="18">
        <f t="array" ref="D19">IFERROR(INDEX(records[持续时间],MATCH(表31_24[[#This Row],[日期]]&amp;"阅读",records[日期]&amp;records[名称],0)),"")</f>
        <v>4.166666666666663E-2</v>
      </c>
      <c r="E19">
        <f t="array" ref="E19">IFERROR(INDEX(records[得分],MATCH(表31_24[[#This Row],[日期]]&amp;"阅读",records[日期]&amp;records[名称],0)),"")</f>
        <v>0.6</v>
      </c>
      <c r="F19" t="str">
        <f t="array" ref="F19">IFERROR(INDEX(records[备注],MATCH(表31_24[[#This Row],[日期]]&amp;"阅读",records[日期]&amp;records[名称],0))&amp;"","")</f>
        <v>已连续3天，增加0.1</v>
      </c>
      <c r="G19">
        <f>IF(表31_24[[#This Row],[得分]]="","",IF(表31_24[[#This Row],[得分]]&gt;0,G18+1,0))</f>
        <v>9</v>
      </c>
      <c r="H19">
        <f>IF(表31_24[[#This Row],[得分]]="","",IF(表31_24[[#This Row],[得分]]&lt;0,H18+1,0))</f>
        <v>0</v>
      </c>
    </row>
    <row r="20" spans="1:8">
      <c r="A20" s="6">
        <v>43895</v>
      </c>
      <c r="B20" s="18">
        <f t="array" ref="B20">IFERROR(INDEX(records[开始时刻],MATCH(表31_24[[#This Row],[日期]]&amp;"阅读",records[日期]&amp;records[名称],0)),"")</f>
        <v>0.25694444444444448</v>
      </c>
      <c r="C20" s="18">
        <f t="array" ref="C20">IFERROR(INDEX(records[结束时刻],MATCH(表31_24[[#This Row],[日期]]&amp;"阅读",records[日期]&amp;records[名称],0)),"")</f>
        <v>0.2986111111111111</v>
      </c>
      <c r="D20" s="18">
        <f t="array" ref="D20">IFERROR(INDEX(records[持续时间],MATCH(表31_24[[#This Row],[日期]]&amp;"阅读",records[日期]&amp;records[名称],0)),"")</f>
        <v>4.166666666666663E-2</v>
      </c>
      <c r="E20">
        <f t="array" ref="E20">IFERROR(INDEX(records[得分],MATCH(表31_24[[#This Row],[日期]]&amp;"阅读",records[日期]&amp;records[名称],0)),"")</f>
        <v>0.6</v>
      </c>
      <c r="F20" t="str">
        <f t="array" ref="F20">IFERROR(INDEX(records[备注],MATCH(表31_24[[#This Row],[日期]]&amp;"阅读",records[日期]&amp;records[名称],0))&amp;"","")</f>
        <v/>
      </c>
      <c r="G20">
        <f>IF(表31_24[[#This Row],[得分]]="","",IF(表31_24[[#This Row],[得分]]&gt;0,G19+1,0))</f>
        <v>10</v>
      </c>
      <c r="H20">
        <f>IF(表31_24[[#This Row],[得分]]="","",IF(表31_24[[#This Row],[得分]]&lt;0,H19+1,0))</f>
        <v>0</v>
      </c>
    </row>
    <row r="21" spans="1:8">
      <c r="A21" s="6">
        <v>43896</v>
      </c>
      <c r="B21" s="18" t="str">
        <f t="array" ref="B21">IFERROR(INDEX(records[开始时刻],MATCH(表31_24[[#This Row],[日期]]&amp;"阅读",records[日期]&amp;records[名称],0)),"")</f>
        <v/>
      </c>
      <c r="C21" s="18" t="str">
        <f t="array" ref="C21">IFERROR(INDEX(records[结束时刻],MATCH(表31_24[[#This Row],[日期]]&amp;"阅读",records[日期]&amp;records[名称],0)),"")</f>
        <v/>
      </c>
      <c r="D21" s="18" t="str">
        <f t="array" ref="D21">IFERROR(INDEX(records[持续时间],MATCH(表31_24[[#This Row],[日期]]&amp;"阅读",records[日期]&amp;records[名称],0)),"")</f>
        <v/>
      </c>
      <c r="E21" t="str">
        <f t="array" ref="E21">IFERROR(INDEX(records[得分],MATCH(表31_24[[#This Row],[日期]]&amp;"阅读",records[日期]&amp;records[名称],0)),"")</f>
        <v/>
      </c>
      <c r="F21" t="str">
        <f t="array" ref="F21">IFERROR(INDEX(records[备注],MATCH(表31_24[[#This Row],[日期]]&amp;"阅读",records[日期]&amp;records[名称],0))&amp;"","")</f>
        <v/>
      </c>
      <c r="G21" t="str">
        <f>IF(表31_24[[#This Row],[得分]]="","",IF(表31_24[[#This Row],[得分]]&gt;0,G20+1,0))</f>
        <v/>
      </c>
      <c r="H21" t="str">
        <f>IF(表31_24[[#This Row],[得分]]="","",IF(表31_24[[#This Row],[得分]]&lt;0,H20+1,0))</f>
        <v/>
      </c>
    </row>
    <row r="22" spans="1:8">
      <c r="A22" s="6">
        <v>43897</v>
      </c>
      <c r="B22" s="18" t="str">
        <f t="array" ref="B22">IFERROR(INDEX(records[开始时刻],MATCH(表31_24[[#This Row],[日期]]&amp;"阅读",records[日期]&amp;records[名称],0)),"")</f>
        <v/>
      </c>
      <c r="C22" s="18" t="str">
        <f t="array" ref="C22">IFERROR(INDEX(records[结束时刻],MATCH(表31_24[[#This Row],[日期]]&amp;"阅读",records[日期]&amp;records[名称],0)),"")</f>
        <v/>
      </c>
      <c r="D22" s="18" t="str">
        <f t="array" ref="D22">IFERROR(INDEX(records[持续时间],MATCH(表31_24[[#This Row],[日期]]&amp;"阅读",records[日期]&amp;records[名称],0)),"")</f>
        <v/>
      </c>
      <c r="E22" t="str">
        <f t="array" ref="E22">IFERROR(INDEX(records[得分],MATCH(表31_24[[#This Row],[日期]]&amp;"阅读",records[日期]&amp;records[名称],0)),"")</f>
        <v/>
      </c>
      <c r="F22" t="str">
        <f t="array" ref="F22">IFERROR(INDEX(records[备注],MATCH(表31_24[[#This Row],[日期]]&amp;"阅读",records[日期]&amp;records[名称],0))&amp;"","")</f>
        <v/>
      </c>
      <c r="G22" t="str">
        <f>IF(表31_24[[#This Row],[得分]]="","",IF(表31_24[[#This Row],[得分]]&gt;0,G21+1,0))</f>
        <v/>
      </c>
      <c r="H22" t="str">
        <f>IF(表31_24[[#This Row],[得分]]="","",IF(表31_24[[#This Row],[得分]]&lt;0,H21+1,0))</f>
        <v/>
      </c>
    </row>
    <row r="23" spans="1:8">
      <c r="A23" s="6">
        <v>43898</v>
      </c>
      <c r="B23" s="18" t="str">
        <f t="array" ref="B23">IFERROR(INDEX(records[开始时刻],MATCH(表31_24[[#This Row],[日期]]&amp;"阅读",records[日期]&amp;records[名称],0)),"")</f>
        <v/>
      </c>
      <c r="C23" s="18" t="str">
        <f t="array" ref="C23">IFERROR(INDEX(records[结束时刻],MATCH(表31_24[[#This Row],[日期]]&amp;"阅读",records[日期]&amp;records[名称],0)),"")</f>
        <v/>
      </c>
      <c r="D23" s="18" t="str">
        <f t="array" ref="D23">IFERROR(INDEX(records[持续时间],MATCH(表31_24[[#This Row],[日期]]&amp;"阅读",records[日期]&amp;records[名称],0)),"")</f>
        <v/>
      </c>
      <c r="E23" t="str">
        <f t="array" ref="E23">IFERROR(INDEX(records[得分],MATCH(表31_24[[#This Row],[日期]]&amp;"阅读",records[日期]&amp;records[名称],0)),"")</f>
        <v/>
      </c>
      <c r="F23" t="str">
        <f t="array" ref="F23">IFERROR(INDEX(records[备注],MATCH(表31_24[[#This Row],[日期]]&amp;"阅读",records[日期]&amp;records[名称],0))&amp;"","")</f>
        <v/>
      </c>
      <c r="G23" t="str">
        <f>IF(表31_24[[#This Row],[得分]]="","",IF(表31_24[[#This Row],[得分]]&gt;0,G22+1,0))</f>
        <v/>
      </c>
      <c r="H23" t="str">
        <f>IF(表31_24[[#This Row],[得分]]="","",IF(表31_24[[#This Row],[得分]]&lt;0,H22+1,0))</f>
        <v/>
      </c>
    </row>
    <row r="24" spans="1:8">
      <c r="A24" s="6">
        <v>43899</v>
      </c>
      <c r="B24" s="18" t="str">
        <f t="array" ref="B24">IFERROR(INDEX(records[开始时刻],MATCH(表31_24[[#This Row],[日期]]&amp;"阅读",records[日期]&amp;records[名称],0)),"")</f>
        <v/>
      </c>
      <c r="C24" s="18" t="str">
        <f t="array" ref="C24">IFERROR(INDEX(records[结束时刻],MATCH(表31_24[[#This Row],[日期]]&amp;"阅读",records[日期]&amp;records[名称],0)),"")</f>
        <v/>
      </c>
      <c r="D24" s="18" t="str">
        <f t="array" ref="D24">IFERROR(INDEX(records[持续时间],MATCH(表31_24[[#This Row],[日期]]&amp;"阅读",records[日期]&amp;records[名称],0)),"")</f>
        <v/>
      </c>
      <c r="E24" t="str">
        <f t="array" ref="E24">IFERROR(INDEX(records[得分],MATCH(表31_24[[#This Row],[日期]]&amp;"阅读",records[日期]&amp;records[名称],0)),"")</f>
        <v/>
      </c>
      <c r="F24" t="str">
        <f t="array" ref="F24">IFERROR(INDEX(records[备注],MATCH(表31_24[[#This Row],[日期]]&amp;"阅读",records[日期]&amp;records[名称],0))&amp;"","")</f>
        <v/>
      </c>
      <c r="G24" t="str">
        <f>IF(表31_24[[#This Row],[得分]]="","",IF(表31_24[[#This Row],[得分]]&gt;0,G23+1,0))</f>
        <v/>
      </c>
      <c r="H24" t="str">
        <f>IF(表31_24[[#This Row],[得分]]="","",IF(表31_24[[#This Row],[得分]]&lt;0,H23+1,0))</f>
        <v/>
      </c>
    </row>
    <row r="25" spans="1:8">
      <c r="A25" s="6">
        <v>43900</v>
      </c>
      <c r="B25" s="18" t="str">
        <f t="array" ref="B25">IFERROR(INDEX(records[开始时刻],MATCH(表31_24[[#This Row],[日期]]&amp;"阅读",records[日期]&amp;records[名称],0)),"")</f>
        <v/>
      </c>
      <c r="C25" s="18" t="str">
        <f t="array" ref="C25">IFERROR(INDEX(records[结束时刻],MATCH(表31_24[[#This Row],[日期]]&amp;"阅读",records[日期]&amp;records[名称],0)),"")</f>
        <v/>
      </c>
      <c r="D25" s="18" t="str">
        <f t="array" ref="D25">IFERROR(INDEX(records[持续时间],MATCH(表31_24[[#This Row],[日期]]&amp;"阅读",records[日期]&amp;records[名称],0)),"")</f>
        <v/>
      </c>
      <c r="E25" t="str">
        <f t="array" ref="E25">IFERROR(INDEX(records[得分],MATCH(表31_24[[#This Row],[日期]]&amp;"阅读",records[日期]&amp;records[名称],0)),"")</f>
        <v/>
      </c>
      <c r="F25" t="str">
        <f t="array" ref="F25">IFERROR(INDEX(records[备注],MATCH(表31_24[[#This Row],[日期]]&amp;"阅读",records[日期]&amp;records[名称],0))&amp;"","")</f>
        <v/>
      </c>
      <c r="G25" t="str">
        <f>IF(表31_24[[#This Row],[得分]]="","",IF(表31_24[[#This Row],[得分]]&gt;0,G24+1,0))</f>
        <v/>
      </c>
      <c r="H25" t="str">
        <f>IF(表31_24[[#This Row],[得分]]="","",IF(表31_24[[#This Row],[得分]]&lt;0,H24+1,0))</f>
        <v/>
      </c>
    </row>
    <row r="26" spans="1:8">
      <c r="A26" s="6">
        <v>43901</v>
      </c>
      <c r="B26" s="18" t="str">
        <f t="array" ref="B26">IFERROR(INDEX(records[开始时刻],MATCH(表31_24[[#This Row],[日期]]&amp;"阅读",records[日期]&amp;records[名称],0)),"")</f>
        <v/>
      </c>
      <c r="C26" s="18" t="str">
        <f t="array" ref="C26">IFERROR(INDEX(records[结束时刻],MATCH(表31_24[[#This Row],[日期]]&amp;"阅读",records[日期]&amp;records[名称],0)),"")</f>
        <v/>
      </c>
      <c r="D26" s="18" t="str">
        <f t="array" ref="D26">IFERROR(INDEX(records[持续时间],MATCH(表31_24[[#This Row],[日期]]&amp;"阅读",records[日期]&amp;records[名称],0)),"")</f>
        <v/>
      </c>
      <c r="E26" t="str">
        <f t="array" ref="E26">IFERROR(INDEX(records[得分],MATCH(表31_24[[#This Row],[日期]]&amp;"阅读",records[日期]&amp;records[名称],0)),"")</f>
        <v/>
      </c>
      <c r="F26" t="str">
        <f t="array" ref="F26">IFERROR(INDEX(records[备注],MATCH(表31_24[[#This Row],[日期]]&amp;"阅读",records[日期]&amp;records[名称],0))&amp;"","")</f>
        <v/>
      </c>
      <c r="G26" t="str">
        <f>IF(表31_24[[#This Row],[得分]]="","",IF(表31_24[[#This Row],[得分]]&gt;0,G25+1,0))</f>
        <v/>
      </c>
      <c r="H26" t="str">
        <f>IF(表31_24[[#This Row],[得分]]="","",IF(表31_24[[#This Row],[得分]]&lt;0,H25+1,0))</f>
        <v/>
      </c>
    </row>
    <row r="27" spans="1:8">
      <c r="A27" s="6">
        <v>43902</v>
      </c>
      <c r="B27" s="18" t="str">
        <f t="array" ref="B27">IFERROR(INDEX(records[开始时刻],MATCH(表31_24[[#This Row],[日期]]&amp;"阅读",records[日期]&amp;records[名称],0)),"")</f>
        <v/>
      </c>
      <c r="C27" s="18" t="str">
        <f t="array" ref="C27">IFERROR(INDEX(records[结束时刻],MATCH(表31_24[[#This Row],[日期]]&amp;"阅读",records[日期]&amp;records[名称],0)),"")</f>
        <v/>
      </c>
      <c r="D27" s="18" t="str">
        <f t="array" ref="D27">IFERROR(INDEX(records[持续时间],MATCH(表31_24[[#This Row],[日期]]&amp;"阅读",records[日期]&amp;records[名称],0)),"")</f>
        <v/>
      </c>
      <c r="E27" t="str">
        <f t="array" ref="E27">IFERROR(INDEX(records[得分],MATCH(表31_24[[#This Row],[日期]]&amp;"阅读",records[日期]&amp;records[名称],0)),"")</f>
        <v/>
      </c>
      <c r="F27" t="str">
        <f t="array" ref="F27">IFERROR(INDEX(records[备注],MATCH(表31_24[[#This Row],[日期]]&amp;"阅读",records[日期]&amp;records[名称],0))&amp;"","")</f>
        <v/>
      </c>
      <c r="G27" t="str">
        <f>IF(表31_24[[#This Row],[得分]]="","",IF(表31_24[[#This Row],[得分]]&gt;0,G26+1,0))</f>
        <v/>
      </c>
      <c r="H27" t="str">
        <f>IF(表31_24[[#This Row],[得分]]="","",IF(表31_24[[#This Row],[得分]]&lt;0,H26+1,0))</f>
        <v/>
      </c>
    </row>
    <row r="28" spans="1:8">
      <c r="A28" s="6">
        <v>43903</v>
      </c>
      <c r="B28" s="18" t="str">
        <f t="array" ref="B28">IFERROR(INDEX(records[开始时刻],MATCH(表31_24[[#This Row],[日期]]&amp;"阅读",records[日期]&amp;records[名称],0)),"")</f>
        <v/>
      </c>
      <c r="C28" s="18" t="str">
        <f t="array" ref="C28">IFERROR(INDEX(records[结束时刻],MATCH(表31_24[[#This Row],[日期]]&amp;"阅读",records[日期]&amp;records[名称],0)),"")</f>
        <v/>
      </c>
      <c r="D28" s="18" t="str">
        <f t="array" ref="D28">IFERROR(INDEX(records[持续时间],MATCH(表31_24[[#This Row],[日期]]&amp;"阅读",records[日期]&amp;records[名称],0)),"")</f>
        <v/>
      </c>
      <c r="E28" t="str">
        <f t="array" ref="E28">IFERROR(INDEX(records[得分],MATCH(表31_24[[#This Row],[日期]]&amp;"阅读",records[日期]&amp;records[名称],0)),"")</f>
        <v/>
      </c>
      <c r="F28" t="str">
        <f t="array" ref="F28">IFERROR(INDEX(records[备注],MATCH(表31_24[[#This Row],[日期]]&amp;"阅读",records[日期]&amp;records[名称],0))&amp;"","")</f>
        <v/>
      </c>
      <c r="G28" t="str">
        <f>IF(表31_24[[#This Row],[得分]]="","",IF(表31_24[[#This Row],[得分]]&gt;0,G27+1,0))</f>
        <v/>
      </c>
      <c r="H28" t="str">
        <f>IF(表31_24[[#This Row],[得分]]="","",IF(表31_24[[#This Row],[得分]]&lt;0,H27+1,0))</f>
        <v/>
      </c>
    </row>
    <row r="29" spans="1:8">
      <c r="A29" s="6">
        <v>43904</v>
      </c>
      <c r="B29" s="18" t="str">
        <f t="array" ref="B29">IFERROR(INDEX(records[开始时刻],MATCH(表31_24[[#This Row],[日期]]&amp;"阅读",records[日期]&amp;records[名称],0)),"")</f>
        <v/>
      </c>
      <c r="C29" s="18" t="str">
        <f t="array" ref="C29">IFERROR(INDEX(records[结束时刻],MATCH(表31_24[[#This Row],[日期]]&amp;"阅读",records[日期]&amp;records[名称],0)),"")</f>
        <v/>
      </c>
      <c r="D29" s="18" t="str">
        <f t="array" ref="D29">IFERROR(INDEX(records[持续时间],MATCH(表31_24[[#This Row],[日期]]&amp;"阅读",records[日期]&amp;records[名称],0)),"")</f>
        <v/>
      </c>
      <c r="E29" t="str">
        <f t="array" ref="E29">IFERROR(INDEX(records[得分],MATCH(表31_24[[#This Row],[日期]]&amp;"阅读",records[日期]&amp;records[名称],0)),"")</f>
        <v/>
      </c>
      <c r="F29" t="str">
        <f t="array" ref="F29">IFERROR(INDEX(records[备注],MATCH(表31_24[[#This Row],[日期]]&amp;"阅读",records[日期]&amp;records[名称],0))&amp;"","")</f>
        <v/>
      </c>
      <c r="G29" t="str">
        <f>IF(表31_24[[#This Row],[得分]]="","",IF(表31_24[[#This Row],[得分]]&gt;0,G28+1,0))</f>
        <v/>
      </c>
      <c r="H29" t="str">
        <f>IF(表31_24[[#This Row],[得分]]="","",IF(表31_24[[#This Row],[得分]]&lt;0,H28+1,0))</f>
        <v/>
      </c>
    </row>
    <row r="30" spans="1:8">
      <c r="A30" s="6">
        <v>43905</v>
      </c>
      <c r="B30" s="18" t="str">
        <f t="array" ref="B30">IFERROR(INDEX(records[开始时刻],MATCH(表31_24[[#This Row],[日期]]&amp;"阅读",records[日期]&amp;records[名称],0)),"")</f>
        <v/>
      </c>
      <c r="C30" s="18" t="str">
        <f t="array" ref="C30">IFERROR(INDEX(records[结束时刻],MATCH(表31_24[[#This Row],[日期]]&amp;"阅读",records[日期]&amp;records[名称],0)),"")</f>
        <v/>
      </c>
      <c r="D30" s="18" t="str">
        <f t="array" ref="D30">IFERROR(INDEX(records[持续时间],MATCH(表31_24[[#This Row],[日期]]&amp;"阅读",records[日期]&amp;records[名称],0)),"")</f>
        <v/>
      </c>
      <c r="E30" t="str">
        <f t="array" ref="E30">IFERROR(INDEX(records[得分],MATCH(表31_24[[#This Row],[日期]]&amp;"阅读",records[日期]&amp;records[名称],0)),"")</f>
        <v/>
      </c>
      <c r="F30" t="str">
        <f t="array" ref="F30">IFERROR(INDEX(records[备注],MATCH(表31_24[[#This Row],[日期]]&amp;"阅读",records[日期]&amp;records[名称],0))&amp;"","")</f>
        <v/>
      </c>
      <c r="G30" t="str">
        <f>IF(表31_24[[#This Row],[得分]]="","",IF(表31_24[[#This Row],[得分]]&gt;0,G29+1,0))</f>
        <v/>
      </c>
      <c r="H30" t="str">
        <f>IF(表31_24[[#This Row],[得分]]="","",IF(表31_24[[#This Row],[得分]]&lt;0,H29+1,0))</f>
        <v/>
      </c>
    </row>
    <row r="31" spans="1:8">
      <c r="A31" s="6">
        <v>43906</v>
      </c>
      <c r="B31" s="18" t="str">
        <f t="array" ref="B31">IFERROR(INDEX(records[开始时刻],MATCH(表31_24[[#This Row],[日期]]&amp;"阅读",records[日期]&amp;records[名称],0)),"")</f>
        <v/>
      </c>
      <c r="C31" s="18" t="str">
        <f t="array" ref="C31">IFERROR(INDEX(records[结束时刻],MATCH(表31_24[[#This Row],[日期]]&amp;"阅读",records[日期]&amp;records[名称],0)),"")</f>
        <v/>
      </c>
      <c r="D31" s="18" t="str">
        <f t="array" ref="D31">IFERROR(INDEX(records[持续时间],MATCH(表31_24[[#This Row],[日期]]&amp;"阅读",records[日期]&amp;records[名称],0)),"")</f>
        <v/>
      </c>
      <c r="E31" t="str">
        <f t="array" ref="E31">IFERROR(INDEX(records[得分],MATCH(表31_24[[#This Row],[日期]]&amp;"阅读",records[日期]&amp;records[名称],0)),"")</f>
        <v/>
      </c>
      <c r="F31" t="str">
        <f t="array" ref="F31">IFERROR(INDEX(records[备注],MATCH(表31_24[[#This Row],[日期]]&amp;"阅读",records[日期]&amp;records[名称],0))&amp;"","")</f>
        <v/>
      </c>
      <c r="G31" t="str">
        <f>IF(表31_24[[#This Row],[得分]]="","",IF(表31_24[[#This Row],[得分]]&gt;0,G30+1,0))</f>
        <v/>
      </c>
      <c r="H31" t="str">
        <f>IF(表31_24[[#This Row],[得分]]="","",IF(表31_24[[#This Row],[得分]]&lt;0,H30+1,0))</f>
        <v/>
      </c>
    </row>
    <row r="32" spans="1:8">
      <c r="A32" s="6">
        <v>43907</v>
      </c>
      <c r="B32" s="18" t="str">
        <f t="array" ref="B32">IFERROR(INDEX(records[开始时刻],MATCH(表31_24[[#This Row],[日期]]&amp;"阅读",records[日期]&amp;records[名称],0)),"")</f>
        <v/>
      </c>
      <c r="C32" s="18" t="str">
        <f t="array" ref="C32">IFERROR(INDEX(records[结束时刻],MATCH(表31_24[[#This Row],[日期]]&amp;"阅读",records[日期]&amp;records[名称],0)),"")</f>
        <v/>
      </c>
      <c r="D32" s="18" t="str">
        <f t="array" ref="D32">IFERROR(INDEX(records[持续时间],MATCH(表31_24[[#This Row],[日期]]&amp;"阅读",records[日期]&amp;records[名称],0)),"")</f>
        <v/>
      </c>
      <c r="E32" t="str">
        <f t="array" ref="E32">IFERROR(INDEX(records[得分],MATCH(表31_24[[#This Row],[日期]]&amp;"阅读",records[日期]&amp;records[名称],0)),"")</f>
        <v/>
      </c>
      <c r="F32" t="str">
        <f t="array" ref="F32">IFERROR(INDEX(records[备注],MATCH(表31_24[[#This Row],[日期]]&amp;"阅读",records[日期]&amp;records[名称],0))&amp;"","")</f>
        <v/>
      </c>
      <c r="G32" t="str">
        <f>IF(表31_24[[#This Row],[得分]]="","",IF(表31_24[[#This Row],[得分]]&gt;0,G31+1,0))</f>
        <v/>
      </c>
      <c r="H32" t="str">
        <f>IF(表31_24[[#This Row],[得分]]="","",IF(表31_24[[#This Row],[得分]]&lt;0,H31+1,0))</f>
        <v/>
      </c>
    </row>
  </sheetData>
  <mergeCells count="1">
    <mergeCell ref="A7:H7"/>
  </mergeCells>
  <phoneticPr fontId="1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00825-7CFA-7146-9AC9-6267CAD0CB97}">
  <dimension ref="A1:Q29"/>
  <sheetViews>
    <sheetView workbookViewId="0">
      <selection activeCell="H27" sqref="H27"/>
    </sheetView>
  </sheetViews>
  <sheetFormatPr baseColWidth="10" defaultRowHeight="16"/>
  <cols>
    <col min="1" max="1" width="10.6640625" bestFit="1" customWidth="1"/>
    <col min="2" max="4" width="12.5" bestFit="1" customWidth="1"/>
    <col min="5" max="5" width="8.5" bestFit="1" customWidth="1"/>
    <col min="6" max="6" width="20.5" bestFit="1" customWidth="1"/>
    <col min="7" max="7" width="15.6640625" bestFit="1" customWidth="1"/>
    <col min="8" max="8" width="14.5" bestFit="1" customWidth="1"/>
    <col min="10" max="10" width="10.6640625" bestFit="1" customWidth="1"/>
    <col min="11" max="13" width="12.5" bestFit="1" customWidth="1"/>
    <col min="14" max="14" width="8.5" bestFit="1" customWidth="1"/>
    <col min="15" max="15" width="20.5" bestFit="1" customWidth="1"/>
    <col min="16" max="16" width="15.6640625" bestFit="1" customWidth="1"/>
    <col min="17" max="17" width="14.5" bestFit="1" customWidth="1"/>
  </cols>
  <sheetData>
    <row r="1" spans="1:17" ht="23">
      <c r="A1" s="27" t="s">
        <v>185</v>
      </c>
      <c r="G1" s="26" t="s">
        <v>186</v>
      </c>
    </row>
    <row r="2" spans="1:17">
      <c r="A2" t="s">
        <v>200</v>
      </c>
      <c r="G2" t="s">
        <v>209</v>
      </c>
    </row>
    <row r="3" spans="1:17">
      <c r="A3" t="s">
        <v>202</v>
      </c>
      <c r="G3" t="s">
        <v>210</v>
      </c>
    </row>
    <row r="4" spans="1:17">
      <c r="A4" t="s">
        <v>207</v>
      </c>
      <c r="G4" t="s">
        <v>212</v>
      </c>
    </row>
    <row r="5" spans="1:17">
      <c r="A5" t="s">
        <v>208</v>
      </c>
    </row>
    <row r="6" spans="1:17">
      <c r="A6" t="s">
        <v>206</v>
      </c>
    </row>
    <row r="7" spans="1:17" ht="26">
      <c r="A7" s="45" t="s">
        <v>131</v>
      </c>
      <c r="B7" s="45"/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</row>
    <row r="8" spans="1:17" ht="26">
      <c r="A8" s="45" t="s">
        <v>132</v>
      </c>
      <c r="B8" s="45"/>
      <c r="C8" s="45"/>
      <c r="D8" s="45"/>
      <c r="E8" s="45"/>
      <c r="F8" s="45"/>
      <c r="G8" s="45"/>
      <c r="H8" s="45"/>
      <c r="J8" s="45" t="s">
        <v>133</v>
      </c>
      <c r="K8" s="45"/>
      <c r="L8" s="45"/>
      <c r="M8" s="45"/>
      <c r="N8" s="45"/>
      <c r="O8" s="45"/>
      <c r="P8" s="45"/>
      <c r="Q8" s="45"/>
    </row>
    <row r="9" spans="1:17">
      <c r="A9" t="s">
        <v>0</v>
      </c>
      <c r="B9" t="s">
        <v>105</v>
      </c>
      <c r="C9" t="s">
        <v>104</v>
      </c>
      <c r="D9" t="s">
        <v>103</v>
      </c>
      <c r="E9" t="s">
        <v>1</v>
      </c>
      <c r="F9" t="s">
        <v>95</v>
      </c>
      <c r="G9" t="s">
        <v>224</v>
      </c>
      <c r="H9" t="s">
        <v>94</v>
      </c>
      <c r="J9" t="s">
        <v>0</v>
      </c>
      <c r="K9" t="s">
        <v>105</v>
      </c>
      <c r="L9" t="s">
        <v>104</v>
      </c>
      <c r="M9" t="s">
        <v>103</v>
      </c>
      <c r="N9" t="s">
        <v>1</v>
      </c>
      <c r="O9" t="s">
        <v>95</v>
      </c>
      <c r="P9" t="s">
        <v>224</v>
      </c>
      <c r="Q9" t="s">
        <v>94</v>
      </c>
    </row>
    <row r="10" spans="1:17">
      <c r="A10" s="6">
        <v>43884</v>
      </c>
      <c r="B10" s="18">
        <f t="array" ref="B10">IFERROR(INDEX(records[开始时刻],MATCH(表31_36[[#This Row],[日期]]&amp;"做早餐",records[日期]&amp;records[名称],0)),"")</f>
        <v>0.30208333333333331</v>
      </c>
      <c r="C10" s="18">
        <f t="array" ref="C10">IFERROR(INDEX(records[结束时刻],MATCH(表31_36[[#This Row],[日期]]&amp;"做早餐",records[日期]&amp;records[名称],0)),"")</f>
        <v>0.32291666666666669</v>
      </c>
      <c r="D10" s="18">
        <f t="array" ref="D10">IFERROR(INDEX(records[持续时间],MATCH(表31_36[[#This Row],[日期]]&amp;"做早餐",records[日期]&amp;records[名称],0)),"")</f>
        <v>2.083333333333337E-2</v>
      </c>
      <c r="E10">
        <f t="array" ref="E10">IFERROR(INDEX(records[得分],MATCH(表31_36[[#This Row],[日期]]&amp;"做早餐",records[日期]&amp;records[名称],0)),"")</f>
        <v>-0.1</v>
      </c>
      <c r="F10" t="str">
        <f t="array" ref="F10">IFERROR(INDEX(records[备注],MATCH(表31_36[[#This Row],[日期]]&amp;"做早餐",records[日期]&amp;records[名称],0))&amp;"","")</f>
        <v/>
      </c>
      <c r="G10">
        <v>0</v>
      </c>
      <c r="H10">
        <v>1</v>
      </c>
      <c r="J10" s="6">
        <v>43884</v>
      </c>
      <c r="K10" s="18">
        <f t="array" ref="K10">IFERROR(INDEX(records[开始时刻],MATCH(表31_3637[[#This Row],[日期]]&amp;"吃早餐",records[日期]&amp;records[名称],0)),"")</f>
        <v>0.32291666666666669</v>
      </c>
      <c r="L10" s="18">
        <f t="array" ref="L10">IFERROR(INDEX(records[结束时刻],MATCH(表31_3637[[#This Row],[日期]]&amp;"吃早餐",records[日期]&amp;records[名称],0)),"")</f>
        <v>0.33333333333333331</v>
      </c>
      <c r="M10" s="18">
        <f t="array" ref="M10">IFERROR(INDEX(records[持续时间],MATCH(表31_3637[[#This Row],[日期]]&amp;"吃早餐",records[日期]&amp;records[名称],0)),"")</f>
        <v>1.041666666666663E-2</v>
      </c>
      <c r="N10">
        <f t="array" ref="N10">IFERROR(INDEX(records[得分],MATCH(表31_3637[[#This Row],[日期]]&amp;"吃早餐",records[日期]&amp;records[名称],0)),"")</f>
        <v>-0.1</v>
      </c>
      <c r="O10" t="str">
        <f t="array" ref="O10">IFERROR(INDEX(records[备注],MATCH(表31_3637[[#This Row],[日期]]&amp;"吃早餐",records[日期]&amp;records[名称],0))&amp;"","")</f>
        <v/>
      </c>
      <c r="P10">
        <v>0</v>
      </c>
      <c r="Q10">
        <v>1</v>
      </c>
    </row>
    <row r="11" spans="1:17">
      <c r="A11" s="6">
        <v>43885</v>
      </c>
      <c r="B11" s="18">
        <f t="array" ref="B11">IFERROR(INDEX(records[开始时刻],MATCH(表31_36[[#This Row],[日期]]&amp;"做早餐",records[日期]&amp;records[名称],0)),"")</f>
        <v>0.30208333333333331</v>
      </c>
      <c r="C11" s="18">
        <f t="array" ref="C11">IFERROR(INDEX(records[结束时刻],MATCH(表31_36[[#This Row],[日期]]&amp;"做早餐",records[日期]&amp;records[名称],0)),"")</f>
        <v>0.32291666666666669</v>
      </c>
      <c r="D11" s="18">
        <f t="array" ref="D11">IFERROR(INDEX(records[持续时间],MATCH(表31_36[[#This Row],[日期]]&amp;"做早餐",records[日期]&amp;records[名称],0)),"")</f>
        <v>2.083333333333337E-2</v>
      </c>
      <c r="E11">
        <f t="array" ref="E11">IFERROR(INDEX(records[得分],MATCH(表31_36[[#This Row],[日期]]&amp;"做早餐",records[日期]&amp;records[名称],0)),"")</f>
        <v>-0.2</v>
      </c>
      <c r="F11" t="str">
        <f t="array" ref="F11">IFERROR(INDEX(records[备注],MATCH(表31_36[[#This Row],[日期]]&amp;"做早餐",records[日期]&amp;records[名称],0))&amp;"","")</f>
        <v/>
      </c>
      <c r="G11">
        <f>IF(表31_36[[#This Row],[得分]]="","",IF(表31_36[[#This Row],[得分]]&gt;0,G10+1,0))</f>
        <v>0</v>
      </c>
      <c r="H11">
        <f>IF(表31_36[[#This Row],[得分]]="","",IF(表31_36[[#This Row],[得分]]&lt;0,H10+1,0))</f>
        <v>2</v>
      </c>
      <c r="J11" s="6">
        <v>43885</v>
      </c>
      <c r="K11" s="18">
        <f t="array" ref="K11">IFERROR(INDEX(records[开始时刻],MATCH(表31_3637[[#This Row],[日期]]&amp;"吃早餐",records[日期]&amp;records[名称],0)),"")</f>
        <v>0.32291666666666669</v>
      </c>
      <c r="L11" s="18">
        <f t="array" ref="L11">IFERROR(INDEX(records[结束时刻],MATCH(表31_3637[[#This Row],[日期]]&amp;"吃早餐",records[日期]&amp;records[名称],0)),"")</f>
        <v>0.33333333333333331</v>
      </c>
      <c r="M11" s="18">
        <f t="array" ref="M11">IFERROR(INDEX(records[持续时间],MATCH(表31_3637[[#This Row],[日期]]&amp;"吃早餐",records[日期]&amp;records[名称],0)),"")</f>
        <v>1.041666666666663E-2</v>
      </c>
      <c r="N11">
        <f t="array" ref="N11">IFERROR(INDEX(records[得分],MATCH(表31_3637[[#This Row],[日期]]&amp;"吃早餐",records[日期]&amp;records[名称],0)),"")</f>
        <v>-0.2</v>
      </c>
      <c r="O11" t="str">
        <f t="array" ref="O11">IFERROR(INDEX(records[备注],MATCH(表31_3637[[#This Row],[日期]]&amp;"吃早餐",records[日期]&amp;records[名称],0))&amp;"","")</f>
        <v/>
      </c>
      <c r="P11">
        <f>IF(表31_3637[[#This Row],[得分]]="","",IF(表31_3637[[#This Row],[得分]]&gt;0,P10+1,0))</f>
        <v>0</v>
      </c>
      <c r="Q11">
        <f>IF(表31_3637[[#This Row],[得分]]="","",IF(表31_3637[[#This Row],[得分]]&lt;0,Q10+1,0))</f>
        <v>2</v>
      </c>
    </row>
    <row r="12" spans="1:17">
      <c r="A12" s="6">
        <v>43886</v>
      </c>
      <c r="B12" s="18">
        <f t="array" ref="B12">IFERROR(INDEX(records[开始时刻],MATCH(表31_36[[#This Row],[日期]]&amp;"做早餐",records[日期]&amp;records[名称],0)),"")</f>
        <v>0.30208333333333331</v>
      </c>
      <c r="C12" s="18">
        <f t="array" ref="C12">IFERROR(INDEX(records[结束时刻],MATCH(表31_36[[#This Row],[日期]]&amp;"做早餐",records[日期]&amp;records[名称],0)),"")</f>
        <v>0.32291666666666669</v>
      </c>
      <c r="D12" s="18">
        <f t="array" ref="D12">IFERROR(INDEX(records[持续时间],MATCH(表31_36[[#This Row],[日期]]&amp;"做早餐",records[日期]&amp;records[名称],0)),"")</f>
        <v>2.083333333333337E-2</v>
      </c>
      <c r="E12">
        <f t="array" ref="E12">IFERROR(INDEX(records[得分],MATCH(表31_36[[#This Row],[日期]]&amp;"做早餐",records[日期]&amp;records[名称],0)),"")</f>
        <v>0.1</v>
      </c>
      <c r="F12" t="str">
        <f t="array" ref="F12">IFERROR(INDEX(records[备注],MATCH(表31_36[[#This Row],[日期]]&amp;"做早餐",records[日期]&amp;records[名称],0))&amp;"","")</f>
        <v/>
      </c>
      <c r="G12">
        <f>IF(表31_36[[#This Row],[得分]]="","",IF(表31_36[[#This Row],[得分]]&gt;0,G11+1,0))</f>
        <v>1</v>
      </c>
      <c r="H12">
        <f>IF(表31_36[[#This Row],[得分]]="","",IF(表31_36[[#This Row],[得分]]&lt;0,H11+1,0))</f>
        <v>0</v>
      </c>
      <c r="J12" s="6">
        <v>43886</v>
      </c>
      <c r="K12" s="18">
        <f t="array" ref="K12">IFERROR(INDEX(records[开始时刻],MATCH(表31_3637[[#This Row],[日期]]&amp;"吃早餐",records[日期]&amp;records[名称],0)),"")</f>
        <v>0.32291666666666669</v>
      </c>
      <c r="L12" s="18">
        <f t="array" ref="L12">IFERROR(INDEX(records[结束时刻],MATCH(表31_3637[[#This Row],[日期]]&amp;"吃早餐",records[日期]&amp;records[名称],0)),"")</f>
        <v>0.33333333333333331</v>
      </c>
      <c r="M12" s="18">
        <f t="array" ref="M12">IFERROR(INDEX(records[持续时间],MATCH(表31_3637[[#This Row],[日期]]&amp;"吃早餐",records[日期]&amp;records[名称],0)),"")</f>
        <v>1.041666666666663E-2</v>
      </c>
      <c r="N12">
        <f t="array" ref="N12">IFERROR(INDEX(records[得分],MATCH(表31_3637[[#This Row],[日期]]&amp;"吃早餐",records[日期]&amp;records[名称],0)),"")</f>
        <v>0.1</v>
      </c>
      <c r="O12" t="str">
        <f t="array" ref="O12">IFERROR(INDEX(records[备注],MATCH(表31_3637[[#This Row],[日期]]&amp;"吃早餐",records[日期]&amp;records[名称],0))&amp;"","")</f>
        <v/>
      </c>
      <c r="P12">
        <f>IF(表31_3637[[#This Row],[得分]]="","",IF(表31_3637[[#This Row],[得分]]&gt;0,P11+1,0))</f>
        <v>1</v>
      </c>
      <c r="Q12">
        <f>IF(表31_3637[[#This Row],[得分]]="","",IF(表31_3637[[#This Row],[得分]]&lt;0,Q11+1,0))</f>
        <v>0</v>
      </c>
    </row>
    <row r="13" spans="1:17">
      <c r="A13" s="6">
        <v>43887</v>
      </c>
      <c r="B13" s="18">
        <f t="array" ref="B13">IFERROR(INDEX(records[开始时刻],MATCH(表31_36[[#This Row],[日期]]&amp;"做早餐",records[日期]&amp;records[名称],0)),"")</f>
        <v>0.30208333333333331</v>
      </c>
      <c r="C13" s="18">
        <f t="array" ref="C13">IFERROR(INDEX(records[结束时刻],MATCH(表31_36[[#This Row],[日期]]&amp;"做早餐",records[日期]&amp;records[名称],0)),"")</f>
        <v>0.32291666666666669</v>
      </c>
      <c r="D13" s="18">
        <f t="array" ref="D13">IFERROR(INDEX(records[持续时间],MATCH(表31_36[[#This Row],[日期]]&amp;"做早餐",records[日期]&amp;records[名称],0)),"")</f>
        <v>2.083333333333337E-2</v>
      </c>
      <c r="E13">
        <f t="array" ref="E13">IFERROR(INDEX(records[得分],MATCH(表31_36[[#This Row],[日期]]&amp;"做早餐",records[日期]&amp;records[名称],0)),"")</f>
        <v>0.1</v>
      </c>
      <c r="F13" t="str">
        <f t="array" ref="F13">IFERROR(INDEX(records[备注],MATCH(表31_36[[#This Row],[日期]]&amp;"做早餐",records[日期]&amp;records[名称],0))&amp;"","")</f>
        <v/>
      </c>
      <c r="G13">
        <f>IF(表31_36[[#This Row],[得分]]="","",IF(表31_36[[#This Row],[得分]]&gt;0,G12+1,0))</f>
        <v>2</v>
      </c>
      <c r="H13">
        <f>IF(表31_36[[#This Row],[得分]]="","",IF(表31_36[[#This Row],[得分]]&lt;0,H12+1,0))</f>
        <v>0</v>
      </c>
      <c r="J13" s="6">
        <v>43887</v>
      </c>
      <c r="K13" s="18">
        <f t="array" ref="K13">IFERROR(INDEX(records[开始时刻],MATCH(表31_3637[[#This Row],[日期]]&amp;"吃早餐",records[日期]&amp;records[名称],0)),"")</f>
        <v>0.32291666666666669</v>
      </c>
      <c r="L13" s="18">
        <f t="array" ref="L13">IFERROR(INDEX(records[结束时刻],MATCH(表31_3637[[#This Row],[日期]]&amp;"吃早餐",records[日期]&amp;records[名称],0)),"")</f>
        <v>0.33333333333333331</v>
      </c>
      <c r="M13" s="18">
        <f t="array" ref="M13">IFERROR(INDEX(records[持续时间],MATCH(表31_3637[[#This Row],[日期]]&amp;"吃早餐",records[日期]&amp;records[名称],0)),"")</f>
        <v>1.041666666666663E-2</v>
      </c>
      <c r="N13">
        <f t="array" ref="N13">IFERROR(INDEX(records[得分],MATCH(表31_3637[[#This Row],[日期]]&amp;"吃早餐",records[日期]&amp;records[名称],0)),"")</f>
        <v>0.1</v>
      </c>
      <c r="O13" t="str">
        <f t="array" ref="O13">IFERROR(INDEX(records[备注],MATCH(表31_3637[[#This Row],[日期]]&amp;"吃早餐",records[日期]&amp;records[名称],0))&amp;"","")</f>
        <v/>
      </c>
      <c r="P13">
        <f>IF(表31_3637[[#This Row],[得分]]="","",IF(表31_3637[[#This Row],[得分]]&gt;0,P12+1,0))</f>
        <v>2</v>
      </c>
      <c r="Q13">
        <f>IF(表31_3637[[#This Row],[得分]]="","",IF(表31_3637[[#This Row],[得分]]&lt;0,Q12+1,0))</f>
        <v>0</v>
      </c>
    </row>
    <row r="14" spans="1:17">
      <c r="A14" s="6">
        <v>43888</v>
      </c>
      <c r="B14" s="18">
        <f t="array" ref="B14">IFERROR(INDEX(records[开始时刻],MATCH(表31_36[[#This Row],[日期]]&amp;"做早餐",records[日期]&amp;records[名称],0)),"")</f>
        <v>0.30208333333333331</v>
      </c>
      <c r="C14" s="18">
        <f t="array" ref="C14">IFERROR(INDEX(records[结束时刻],MATCH(表31_36[[#This Row],[日期]]&amp;"做早餐",records[日期]&amp;records[名称],0)),"")</f>
        <v>0.32291666666666669</v>
      </c>
      <c r="D14" s="18">
        <f t="array" ref="D14">IFERROR(INDEX(records[持续时间],MATCH(表31_36[[#This Row],[日期]]&amp;"做早餐",records[日期]&amp;records[名称],0)),"")</f>
        <v>2.083333333333337E-2</v>
      </c>
      <c r="E14">
        <f t="array" ref="E14">IFERROR(INDEX(records[得分],MATCH(表31_36[[#This Row],[日期]]&amp;"做早餐",records[日期]&amp;records[名称],0)),"")</f>
        <v>0.2</v>
      </c>
      <c r="F14" t="str">
        <f t="array" ref="F14">IFERROR(INDEX(records[备注],MATCH(表31_36[[#This Row],[日期]]&amp;"做早餐",records[日期]&amp;records[名称],0))&amp;"","")</f>
        <v>已连续3天，增加0.1</v>
      </c>
      <c r="G14">
        <f>IF(表31_36[[#This Row],[得分]]="","",IF(表31_36[[#This Row],[得分]]&gt;0,G13+1,0))</f>
        <v>3</v>
      </c>
      <c r="H14">
        <f>IF(表31_36[[#This Row],[得分]]="","",IF(表31_36[[#This Row],[得分]]&lt;0,H13+1,0))</f>
        <v>0</v>
      </c>
      <c r="J14" s="6">
        <v>43888</v>
      </c>
      <c r="K14" s="18">
        <f t="array" ref="K14">IFERROR(INDEX(records[开始时刻],MATCH(表31_3637[[#This Row],[日期]]&amp;"吃早餐",records[日期]&amp;records[名称],0)),"")</f>
        <v>0.32291666666666669</v>
      </c>
      <c r="L14" s="18">
        <f t="array" ref="L14">IFERROR(INDEX(records[结束时刻],MATCH(表31_3637[[#This Row],[日期]]&amp;"吃早餐",records[日期]&amp;records[名称],0)),"")</f>
        <v>0.33333333333333331</v>
      </c>
      <c r="M14" s="18">
        <f t="array" ref="M14">IFERROR(INDEX(records[持续时间],MATCH(表31_3637[[#This Row],[日期]]&amp;"吃早餐",records[日期]&amp;records[名称],0)),"")</f>
        <v>1.041666666666663E-2</v>
      </c>
      <c r="N14">
        <f t="array" ref="N14">IFERROR(INDEX(records[得分],MATCH(表31_3637[[#This Row],[日期]]&amp;"吃早餐",records[日期]&amp;records[名称],0)),"")</f>
        <v>0.2</v>
      </c>
      <c r="O14" t="str">
        <f t="array" ref="O14">IFERROR(INDEX(records[备注],MATCH(表31_3637[[#This Row],[日期]]&amp;"吃早餐",records[日期]&amp;records[名称],0))&amp;"","")</f>
        <v>已连续3天，增加0.1</v>
      </c>
      <c r="P14">
        <f>IF(表31_3637[[#This Row],[得分]]="","",IF(表31_3637[[#This Row],[得分]]&gt;0,P13+1,0))</f>
        <v>3</v>
      </c>
      <c r="Q14">
        <f>IF(表31_3637[[#This Row],[得分]]="","",IF(表31_3637[[#This Row],[得分]]&lt;0,Q13+1,0))</f>
        <v>0</v>
      </c>
    </row>
    <row r="15" spans="1:17">
      <c r="A15" s="6">
        <v>43889</v>
      </c>
      <c r="B15" s="18">
        <f t="array" ref="B15">IFERROR(INDEX(records[开始时刻],MATCH(表31_36[[#This Row],[日期]]&amp;"做早餐",records[日期]&amp;records[名称],0)),"")</f>
        <v>0.30208333333333331</v>
      </c>
      <c r="C15" s="18">
        <f t="array" ref="C15">IFERROR(INDEX(records[结束时刻],MATCH(表31_36[[#This Row],[日期]]&amp;"做早餐",records[日期]&amp;records[名称],0)),"")</f>
        <v>0.32291666666666669</v>
      </c>
      <c r="D15" s="18">
        <f t="array" ref="D15">IFERROR(INDEX(records[持续时间],MATCH(表31_36[[#This Row],[日期]]&amp;"做早餐",records[日期]&amp;records[名称],0)),"")</f>
        <v>2.083333333333337E-2</v>
      </c>
      <c r="E15">
        <f t="array" ref="E15">IFERROR(INDEX(records[得分],MATCH(表31_36[[#This Row],[日期]]&amp;"做早餐",records[日期]&amp;records[名称],0)),"")</f>
        <v>0.2</v>
      </c>
      <c r="F15" t="str">
        <f t="array" ref="F15">IFERROR(INDEX(records[备注],MATCH(表31_36[[#This Row],[日期]]&amp;"做早餐",records[日期]&amp;records[名称],0))&amp;"","")</f>
        <v/>
      </c>
      <c r="G15">
        <f>IF(表31_36[[#This Row],[得分]]="","",IF(表31_36[[#This Row],[得分]]&gt;0,G14+1,0))</f>
        <v>4</v>
      </c>
      <c r="H15">
        <f>IF(表31_36[[#This Row],[得分]]="","",IF(表31_36[[#This Row],[得分]]&lt;0,H14+1,0))</f>
        <v>0</v>
      </c>
      <c r="J15" s="6">
        <v>43889</v>
      </c>
      <c r="K15" s="18">
        <f t="array" ref="K15">IFERROR(INDEX(records[开始时刻],MATCH(表31_3637[[#This Row],[日期]]&amp;"吃早餐",records[日期]&amp;records[名称],0)),"")</f>
        <v>0.32291666666666669</v>
      </c>
      <c r="L15" s="18">
        <f t="array" ref="L15">IFERROR(INDEX(records[结束时刻],MATCH(表31_3637[[#This Row],[日期]]&amp;"吃早餐",records[日期]&amp;records[名称],0)),"")</f>
        <v>0.33333333333333331</v>
      </c>
      <c r="M15" s="18">
        <f t="array" ref="M15">IFERROR(INDEX(records[持续时间],MATCH(表31_3637[[#This Row],[日期]]&amp;"吃早餐",records[日期]&amp;records[名称],0)),"")</f>
        <v>1.041666666666663E-2</v>
      </c>
      <c r="N15">
        <f t="array" ref="N15">IFERROR(INDEX(records[得分],MATCH(表31_3637[[#This Row],[日期]]&amp;"吃早餐",records[日期]&amp;records[名称],0)),"")</f>
        <v>0.2</v>
      </c>
      <c r="O15" t="str">
        <f t="array" ref="O15">IFERROR(INDEX(records[备注],MATCH(表31_3637[[#This Row],[日期]]&amp;"吃早餐",records[日期]&amp;records[名称],0))&amp;"","")</f>
        <v/>
      </c>
      <c r="P15">
        <f>IF(表31_3637[[#This Row],[得分]]="","",IF(表31_3637[[#This Row],[得分]]&gt;0,P14+1,0))</f>
        <v>4</v>
      </c>
      <c r="Q15">
        <f>IF(表31_3637[[#This Row],[得分]]="","",IF(表31_3637[[#This Row],[得分]]&lt;0,Q14+1,0))</f>
        <v>0</v>
      </c>
    </row>
    <row r="16" spans="1:17">
      <c r="A16" s="6">
        <v>43890</v>
      </c>
      <c r="B16" s="18">
        <f t="array" ref="B16">IFERROR(INDEX(records[开始时刻],MATCH(表31_36[[#This Row],[日期]]&amp;"做早餐",records[日期]&amp;records[名称],0)),"")</f>
        <v>0.30208333333333331</v>
      </c>
      <c r="C16" s="18">
        <f t="array" ref="C16">IFERROR(INDEX(records[结束时刻],MATCH(表31_36[[#This Row],[日期]]&amp;"做早餐",records[日期]&amp;records[名称],0)),"")</f>
        <v>0.32291666666666669</v>
      </c>
      <c r="D16" s="18">
        <f t="array" ref="D16">IFERROR(INDEX(records[持续时间],MATCH(表31_36[[#This Row],[日期]]&amp;"做早餐",records[日期]&amp;records[名称],0)),"")</f>
        <v>2.083333333333337E-2</v>
      </c>
      <c r="E16">
        <f t="array" ref="E16">IFERROR(INDEX(records[得分],MATCH(表31_36[[#This Row],[日期]]&amp;"做早餐",records[日期]&amp;records[名称],0)),"")</f>
        <v>0.2</v>
      </c>
      <c r="F16" t="str">
        <f t="array" ref="F16">IFERROR(INDEX(records[备注],MATCH(表31_36[[#This Row],[日期]]&amp;"做早餐",records[日期]&amp;records[名称],0))&amp;"","")</f>
        <v/>
      </c>
      <c r="G16">
        <f>IF(表31_36[[#This Row],[得分]]="","",IF(表31_36[[#This Row],[得分]]&gt;0,G15+1,0))</f>
        <v>5</v>
      </c>
      <c r="H16">
        <f>IF(表31_36[[#This Row],[得分]]="","",IF(表31_36[[#This Row],[得分]]&lt;0,H15+1,0))</f>
        <v>0</v>
      </c>
      <c r="J16" s="6">
        <v>43890</v>
      </c>
      <c r="K16" s="18">
        <f t="array" ref="K16">IFERROR(INDEX(records[开始时刻],MATCH(表31_3637[[#This Row],[日期]]&amp;"吃早餐",records[日期]&amp;records[名称],0)),"")</f>
        <v>0.32291666666666669</v>
      </c>
      <c r="L16" s="18">
        <f t="array" ref="L16">IFERROR(INDEX(records[结束时刻],MATCH(表31_3637[[#This Row],[日期]]&amp;"吃早餐",records[日期]&amp;records[名称],0)),"")</f>
        <v>0.33333333333333331</v>
      </c>
      <c r="M16" s="18">
        <f t="array" ref="M16">IFERROR(INDEX(records[持续时间],MATCH(表31_3637[[#This Row],[日期]]&amp;"吃早餐",records[日期]&amp;records[名称],0)),"")</f>
        <v>1.041666666666663E-2</v>
      </c>
      <c r="N16">
        <f t="array" ref="N16">IFERROR(INDEX(records[得分],MATCH(表31_3637[[#This Row],[日期]]&amp;"吃早餐",records[日期]&amp;records[名称],0)),"")</f>
        <v>0.2</v>
      </c>
      <c r="O16" t="str">
        <f t="array" ref="O16">IFERROR(INDEX(records[备注],MATCH(表31_3637[[#This Row],[日期]]&amp;"吃早餐",records[日期]&amp;records[名称],0))&amp;"","")</f>
        <v/>
      </c>
      <c r="P16">
        <f>IF(表31_3637[[#This Row],[得分]]="","",IF(表31_3637[[#This Row],[得分]]&gt;0,P15+1,0))</f>
        <v>5</v>
      </c>
      <c r="Q16">
        <f>IF(表31_3637[[#This Row],[得分]]="","",IF(表31_3637[[#This Row],[得分]]&lt;0,Q15+1,0))</f>
        <v>0</v>
      </c>
    </row>
    <row r="17" spans="1:17">
      <c r="A17" s="6">
        <v>43891</v>
      </c>
      <c r="B17" s="18">
        <f t="array" ref="B17">IFERROR(INDEX(records[开始时刻],MATCH(表31_36[[#This Row],[日期]]&amp;"做早餐",records[日期]&amp;records[名称],0)),"")</f>
        <v>0.30208333333333331</v>
      </c>
      <c r="C17" s="18">
        <f t="array" ref="C17">IFERROR(INDEX(records[结束时刻],MATCH(表31_36[[#This Row],[日期]]&amp;"做早餐",records[日期]&amp;records[名称],0)),"")</f>
        <v>0.32291666666666669</v>
      </c>
      <c r="D17" s="18">
        <f t="array" ref="D17">IFERROR(INDEX(records[持续时间],MATCH(表31_36[[#This Row],[日期]]&amp;"做早餐",records[日期]&amp;records[名称],0)),"")</f>
        <v>2.083333333333337E-2</v>
      </c>
      <c r="E17">
        <f t="array" ref="E17">IFERROR(INDEX(records[得分],MATCH(表31_36[[#This Row],[日期]]&amp;"做早餐",records[日期]&amp;records[名称],0)),"")</f>
        <v>0.3</v>
      </c>
      <c r="F17" t="str">
        <f t="array" ref="F17">IFERROR(INDEX(records[备注],MATCH(表31_36[[#This Row],[日期]]&amp;"做早餐",records[日期]&amp;records[名称],0))&amp;"","")</f>
        <v>已连续3天，增加0.1</v>
      </c>
      <c r="G17">
        <f>IF(表31_36[[#This Row],[得分]]="","",IF(表31_36[[#This Row],[得分]]&gt;0,G16+1,0))</f>
        <v>6</v>
      </c>
      <c r="H17">
        <f>IF(表31_36[[#This Row],[得分]]="","",IF(表31_36[[#This Row],[得分]]&lt;0,H16+1,0))</f>
        <v>0</v>
      </c>
      <c r="J17" s="6">
        <v>43891</v>
      </c>
      <c r="K17" s="18">
        <f t="array" ref="K17">IFERROR(INDEX(records[开始时刻],MATCH(表31_3637[[#This Row],[日期]]&amp;"吃早餐",records[日期]&amp;records[名称],0)),"")</f>
        <v>0.32291666666666669</v>
      </c>
      <c r="L17" s="18">
        <f t="array" ref="L17">IFERROR(INDEX(records[结束时刻],MATCH(表31_3637[[#This Row],[日期]]&amp;"吃早餐",records[日期]&amp;records[名称],0)),"")</f>
        <v>0.33333333333333331</v>
      </c>
      <c r="M17" s="18">
        <f t="array" ref="M17">IFERROR(INDEX(records[持续时间],MATCH(表31_3637[[#This Row],[日期]]&amp;"吃早餐",records[日期]&amp;records[名称],0)),"")</f>
        <v>1.041666666666663E-2</v>
      </c>
      <c r="N17">
        <f t="array" ref="N17">IFERROR(INDEX(records[得分],MATCH(表31_3637[[#This Row],[日期]]&amp;"吃早餐",records[日期]&amp;records[名称],0)),"")</f>
        <v>0.3</v>
      </c>
      <c r="O17" t="str">
        <f t="array" ref="O17">IFERROR(INDEX(records[备注],MATCH(表31_3637[[#This Row],[日期]]&amp;"吃早餐",records[日期]&amp;records[名称],0))&amp;"","")</f>
        <v>已连续3天，增加0.1</v>
      </c>
      <c r="P17">
        <f>IF(表31_3637[[#This Row],[得分]]="","",IF(表31_3637[[#This Row],[得分]]&gt;0,P16+1,0))</f>
        <v>6</v>
      </c>
      <c r="Q17">
        <f>IF(表31_3637[[#This Row],[得分]]="","",IF(表31_3637[[#This Row],[得分]]&lt;0,Q16+1,0))</f>
        <v>0</v>
      </c>
    </row>
    <row r="18" spans="1:17">
      <c r="A18" s="6">
        <v>43892</v>
      </c>
      <c r="B18" s="18">
        <f t="array" ref="B18">IFERROR(INDEX(records[开始时刻],MATCH(表31_36[[#This Row],[日期]]&amp;"做早餐",records[日期]&amp;records[名称],0)),"")</f>
        <v>0.33333333333333331</v>
      </c>
      <c r="C18" s="18">
        <f t="array" ref="C18">IFERROR(INDEX(records[结束时刻],MATCH(表31_36[[#This Row],[日期]]&amp;"做早餐",records[日期]&amp;records[名称],0)),"")</f>
        <v>0.3611111111111111</v>
      </c>
      <c r="D18" s="18">
        <f t="array" ref="D18">IFERROR(INDEX(records[持续时间],MATCH(表31_36[[#This Row],[日期]]&amp;"做早餐",records[日期]&amp;records[名称],0)),"")</f>
        <v>2.777777777777779E-2</v>
      </c>
      <c r="E18">
        <f t="array" ref="E18">IFERROR(INDEX(records[得分],MATCH(表31_36[[#This Row],[日期]]&amp;"做早餐",records[日期]&amp;records[名称],0)),"")</f>
        <v>0.5</v>
      </c>
      <c r="F18" t="str">
        <f t="array" ref="F18">IFERROR(INDEX(records[备注],MATCH(表31_36[[#This Row],[日期]]&amp;"做早餐",records[日期]&amp;records[名称],0))&amp;"","")</f>
        <v>已连续1周，增加0.2</v>
      </c>
      <c r="G18">
        <f>IF(表31_36[[#This Row],[得分]]="","",IF(表31_36[[#This Row],[得分]]&gt;0,G17+1,0))</f>
        <v>7</v>
      </c>
      <c r="H18">
        <f>IF(表31_36[[#This Row],[得分]]="","",IF(表31_36[[#This Row],[得分]]&lt;0,H17+1,0))</f>
        <v>0</v>
      </c>
      <c r="J18" s="6">
        <v>43892</v>
      </c>
      <c r="K18" s="18">
        <f t="array" ref="K18">IFERROR(INDEX(records[开始时刻],MATCH(表31_3637[[#This Row],[日期]]&amp;"吃早餐",records[日期]&amp;records[名称],0)),"")</f>
        <v>0.3611111111111111</v>
      </c>
      <c r="L18" s="18">
        <f t="array" ref="L18">IFERROR(INDEX(records[结束时刻],MATCH(表31_3637[[#This Row],[日期]]&amp;"吃早餐",records[日期]&amp;records[名称],0)),"")</f>
        <v>0.375</v>
      </c>
      <c r="M18" s="18">
        <f t="array" ref="M18">IFERROR(INDEX(records[持续时间],MATCH(表31_3637[[#This Row],[日期]]&amp;"吃早餐",records[日期]&amp;records[名称],0)),"")</f>
        <v>1.3888888888888895E-2</v>
      </c>
      <c r="N18">
        <f t="array" ref="N18">IFERROR(INDEX(records[得分],MATCH(表31_3637[[#This Row],[日期]]&amp;"吃早餐",records[日期]&amp;records[名称],0)),"")</f>
        <v>0.5</v>
      </c>
      <c r="O18" t="str">
        <f t="array" ref="O18">IFERROR(INDEX(records[备注],MATCH(表31_3637[[#This Row],[日期]]&amp;"吃早餐",records[日期]&amp;records[名称],0))&amp;"","")</f>
        <v>已连续1周，增加0.2</v>
      </c>
      <c r="P18">
        <f>IF(表31_3637[[#This Row],[得分]]="","",IF(表31_3637[[#This Row],[得分]]&gt;0,P17+1,0))</f>
        <v>7</v>
      </c>
      <c r="Q18">
        <f>IF(表31_3637[[#This Row],[得分]]="","",IF(表31_3637[[#This Row],[得分]]&lt;0,Q17+1,0))</f>
        <v>0</v>
      </c>
    </row>
    <row r="19" spans="1:17">
      <c r="A19" s="6">
        <v>43893</v>
      </c>
      <c r="B19" s="18">
        <f t="array" ref="B19">IFERROR(INDEX(records[开始时刻],MATCH(表31_36[[#This Row],[日期]]&amp;"做早餐",records[日期]&amp;records[名称],0)),"")</f>
        <v>0.2986111111111111</v>
      </c>
      <c r="C19" s="18">
        <f t="array" ref="C19">IFERROR(INDEX(records[结束时刻],MATCH(表31_36[[#This Row],[日期]]&amp;"做早餐",records[日期]&amp;records[名称],0)),"")</f>
        <v>0.31944444444444448</v>
      </c>
      <c r="D19" s="18">
        <f t="array" ref="D19">IFERROR(INDEX(records[持续时间],MATCH(表31_36[[#This Row],[日期]]&amp;"做早餐",records[日期]&amp;records[名称],0)),"")</f>
        <v>2.083333333333337E-2</v>
      </c>
      <c r="E19">
        <f t="array" ref="E19">IFERROR(INDEX(records[得分],MATCH(表31_36[[#This Row],[日期]]&amp;"做早餐",records[日期]&amp;records[名称],0)),"")</f>
        <v>0.5</v>
      </c>
      <c r="F19" t="str">
        <f t="array" ref="F19">IFERROR(INDEX(records[备注],MATCH(表31_36[[#This Row],[日期]]&amp;"做早餐",records[日期]&amp;records[名称],0))&amp;"","")</f>
        <v/>
      </c>
      <c r="G19">
        <f>IF(表31_36[[#This Row],[得分]]="","",IF(表31_36[[#This Row],[得分]]&gt;0,G18+1,0))</f>
        <v>8</v>
      </c>
      <c r="H19">
        <f>IF(表31_36[[#This Row],[得分]]="","",IF(表31_36[[#This Row],[得分]]&lt;0,H18+1,0))</f>
        <v>0</v>
      </c>
      <c r="J19" s="6">
        <v>43893</v>
      </c>
      <c r="K19" s="18">
        <f t="array" ref="K19">IFERROR(INDEX(records[开始时刻],MATCH(表31_3637[[#This Row],[日期]]&amp;"吃早餐",records[日期]&amp;records[名称],0)),"")</f>
        <v>0.31944444444444448</v>
      </c>
      <c r="L19" s="18">
        <f t="array" ref="L19">IFERROR(INDEX(records[结束时刻],MATCH(表31_3637[[#This Row],[日期]]&amp;"吃早餐",records[日期]&amp;records[名称],0)),"")</f>
        <v>0.33333333333333331</v>
      </c>
      <c r="M19" s="18">
        <f t="array" ref="M19">IFERROR(INDEX(records[持续时间],MATCH(表31_3637[[#This Row],[日期]]&amp;"吃早餐",records[日期]&amp;records[名称],0)),"")</f>
        <v>1.388888888888884E-2</v>
      </c>
      <c r="N19">
        <f t="array" ref="N19">IFERROR(INDEX(records[得分],MATCH(表31_3637[[#This Row],[日期]]&amp;"吃早餐",records[日期]&amp;records[名称],0)),"")</f>
        <v>0.5</v>
      </c>
      <c r="O19" t="str">
        <f t="array" ref="O19">IFERROR(INDEX(records[备注],MATCH(表31_3637[[#This Row],[日期]]&amp;"吃早餐",records[日期]&amp;records[名称],0))&amp;"","")</f>
        <v/>
      </c>
      <c r="P19">
        <f>IF(表31_3637[[#This Row],[得分]]="","",IF(表31_3637[[#This Row],[得分]]&gt;0,P18+1,0))</f>
        <v>8</v>
      </c>
      <c r="Q19">
        <f>IF(表31_3637[[#This Row],[得分]]="","",IF(表31_3637[[#This Row],[得分]]&lt;0,Q18+1,0))</f>
        <v>0</v>
      </c>
    </row>
    <row r="20" spans="1:17">
      <c r="A20" s="6">
        <v>43894</v>
      </c>
      <c r="B20" s="18">
        <f t="array" ref="B20">IFERROR(INDEX(records[开始时刻],MATCH(表31_36[[#This Row],[日期]]&amp;"做早餐",records[日期]&amp;records[名称],0)),"")</f>
        <v>0.2986111111111111</v>
      </c>
      <c r="C20" s="18">
        <f t="array" ref="C20">IFERROR(INDEX(records[结束时刻],MATCH(表31_36[[#This Row],[日期]]&amp;"做早餐",records[日期]&amp;records[名称],0)),"")</f>
        <v>0.31944444444444448</v>
      </c>
      <c r="D20" s="18">
        <f t="array" ref="D20">IFERROR(INDEX(records[持续时间],MATCH(表31_36[[#This Row],[日期]]&amp;"做早餐",records[日期]&amp;records[名称],0)),"")</f>
        <v>2.083333333333337E-2</v>
      </c>
      <c r="E20">
        <f t="array" ref="E20">IFERROR(INDEX(records[得分],MATCH(表31_36[[#This Row],[日期]]&amp;"做早餐",records[日期]&amp;records[名称],0)),"")</f>
        <v>0.6</v>
      </c>
      <c r="F20" t="str">
        <f t="array" ref="F20">IFERROR(INDEX(records[备注],MATCH(表31_36[[#This Row],[日期]]&amp;"做早餐",records[日期]&amp;records[名称],0))&amp;"","")</f>
        <v>已连续3天，增加0.1</v>
      </c>
      <c r="G20">
        <f>IF(表31_36[[#This Row],[得分]]="","",IF(表31_36[[#This Row],[得分]]&gt;0,G19+1,0))</f>
        <v>9</v>
      </c>
      <c r="H20">
        <f>IF(表31_36[[#This Row],[得分]]="","",IF(表31_36[[#This Row],[得分]]&lt;0,H19+1,0))</f>
        <v>0</v>
      </c>
      <c r="J20" s="6">
        <v>43894</v>
      </c>
      <c r="K20" s="18">
        <f t="array" ref="K20">IFERROR(INDEX(records[开始时刻],MATCH(表31_3637[[#This Row],[日期]]&amp;"吃早餐",records[日期]&amp;records[名称],0)),"")</f>
        <v>0.31944444444444448</v>
      </c>
      <c r="L20" s="18">
        <f t="array" ref="L20">IFERROR(INDEX(records[结束时刻],MATCH(表31_3637[[#This Row],[日期]]&amp;"吃早餐",records[日期]&amp;records[名称],0)),"")</f>
        <v>0.33333333333333331</v>
      </c>
      <c r="M20" s="18">
        <f t="array" ref="M20">IFERROR(INDEX(records[持续时间],MATCH(表31_3637[[#This Row],[日期]]&amp;"吃早餐",records[日期]&amp;records[名称],0)),"")</f>
        <v>1.388888888888884E-2</v>
      </c>
      <c r="N20">
        <f t="array" ref="N20">IFERROR(INDEX(records[得分],MATCH(表31_3637[[#This Row],[日期]]&amp;"吃早餐",records[日期]&amp;records[名称],0)),"")</f>
        <v>0.6</v>
      </c>
      <c r="O20" t="str">
        <f t="array" ref="O20">IFERROR(INDEX(records[备注],MATCH(表31_3637[[#This Row],[日期]]&amp;"吃早餐",records[日期]&amp;records[名称],0))&amp;"","")</f>
        <v>已连续3天，增加0.1</v>
      </c>
      <c r="P20">
        <f>IF(表31_3637[[#This Row],[得分]]="","",IF(表31_3637[[#This Row],[得分]]&gt;0,P19+1,0))</f>
        <v>9</v>
      </c>
      <c r="Q20">
        <f>IF(表31_3637[[#This Row],[得分]]="","",IF(表31_3637[[#This Row],[得分]]&lt;0,Q19+1,0))</f>
        <v>0</v>
      </c>
    </row>
    <row r="21" spans="1:17">
      <c r="A21" s="6">
        <v>43895</v>
      </c>
      <c r="B21" s="18">
        <f t="array" ref="B21">IFERROR(INDEX(records[开始时刻],MATCH(表31_36[[#This Row],[日期]]&amp;"做早餐",records[日期]&amp;records[名称],0)),"")</f>
        <v>0.2986111111111111</v>
      </c>
      <c r="C21" s="18">
        <f t="array" ref="C21">IFERROR(INDEX(records[结束时刻],MATCH(表31_36[[#This Row],[日期]]&amp;"做早餐",records[日期]&amp;records[名称],0)),"")</f>
        <v>0.31944444444444448</v>
      </c>
      <c r="D21" s="18">
        <f t="array" ref="D21">IFERROR(INDEX(records[持续时间],MATCH(表31_36[[#This Row],[日期]]&amp;"做早餐",records[日期]&amp;records[名称],0)),"")</f>
        <v>2.083333333333337E-2</v>
      </c>
      <c r="E21">
        <f t="array" ref="E21">IFERROR(INDEX(records[得分],MATCH(表31_36[[#This Row],[日期]]&amp;"做早餐",records[日期]&amp;records[名称],0)),"")</f>
        <v>0.6</v>
      </c>
      <c r="F21" t="str">
        <f t="array" ref="F21">IFERROR(INDEX(records[备注],MATCH(表31_36[[#This Row],[日期]]&amp;"做早餐",records[日期]&amp;records[名称],0))&amp;"","")</f>
        <v/>
      </c>
      <c r="G21">
        <f>IF(表31_36[[#This Row],[得分]]="","",IF(表31_36[[#This Row],[得分]]&gt;0,G20+1,0))</f>
        <v>10</v>
      </c>
      <c r="H21">
        <f>IF(表31_36[[#This Row],[得分]]="","",IF(表31_36[[#This Row],[得分]]&lt;0,H20+1,0))</f>
        <v>0</v>
      </c>
      <c r="J21" s="6">
        <v>43895</v>
      </c>
      <c r="K21" s="18">
        <f t="array" ref="K21">IFERROR(INDEX(records[开始时刻],MATCH(表31_3637[[#This Row],[日期]]&amp;"吃早餐",records[日期]&amp;records[名称],0)),"")</f>
        <v>0.31944444444444448</v>
      </c>
      <c r="L21" s="18">
        <f t="array" ref="L21">IFERROR(INDEX(records[结束时刻],MATCH(表31_3637[[#This Row],[日期]]&amp;"吃早餐",records[日期]&amp;records[名称],0)),"")</f>
        <v>0.33333333333333331</v>
      </c>
      <c r="M21" s="18">
        <f t="array" ref="M21">IFERROR(INDEX(records[持续时间],MATCH(表31_3637[[#This Row],[日期]]&amp;"吃早餐",records[日期]&amp;records[名称],0)),"")</f>
        <v>1.388888888888884E-2</v>
      </c>
      <c r="N21">
        <f t="array" ref="N21">IFERROR(INDEX(records[得分],MATCH(表31_3637[[#This Row],[日期]]&amp;"吃早餐",records[日期]&amp;records[名称],0)),"")</f>
        <v>0.6</v>
      </c>
      <c r="O21" t="str">
        <f t="array" ref="O21">IFERROR(INDEX(records[备注],MATCH(表31_3637[[#This Row],[日期]]&amp;"吃早餐",records[日期]&amp;records[名称],0))&amp;"","")</f>
        <v/>
      </c>
      <c r="P21">
        <f>IF(表31_3637[[#This Row],[得分]]="","",IF(表31_3637[[#This Row],[得分]]&gt;0,P20+1,0))</f>
        <v>10</v>
      </c>
      <c r="Q21">
        <f>IF(表31_3637[[#This Row],[得分]]="","",IF(表31_3637[[#This Row],[得分]]&lt;0,Q20+1,0))</f>
        <v>0</v>
      </c>
    </row>
    <row r="22" spans="1:17">
      <c r="A22" s="6">
        <v>43896</v>
      </c>
      <c r="B22" s="18" t="str">
        <f t="array" ref="B22">IFERROR(INDEX(records[开始时刻],MATCH(表31_36[[#This Row],[日期]]&amp;"做早餐",records[日期]&amp;records[名称],0)),"")</f>
        <v/>
      </c>
      <c r="C22" s="18" t="str">
        <f t="array" ref="C22">IFERROR(INDEX(records[结束时刻],MATCH(表31_36[[#This Row],[日期]]&amp;"做早餐",records[日期]&amp;records[名称],0)),"")</f>
        <v/>
      </c>
      <c r="D22" s="18" t="str">
        <f t="array" ref="D22">IFERROR(INDEX(records[持续时间],MATCH(表31_36[[#This Row],[日期]]&amp;"做早餐",records[日期]&amp;records[名称],0)),"")</f>
        <v/>
      </c>
      <c r="E22" t="str">
        <f t="array" ref="E22">IFERROR(INDEX(records[得分],MATCH(表31_36[[#This Row],[日期]]&amp;"做早餐",records[日期]&amp;records[名称],0)),"")</f>
        <v/>
      </c>
      <c r="F22" t="str">
        <f t="array" ref="F22">IFERROR(INDEX(records[备注],MATCH(表31_36[[#This Row],[日期]]&amp;"做早餐",records[日期]&amp;records[名称],0))&amp;"","")</f>
        <v/>
      </c>
      <c r="G22" t="str">
        <f>IF(表31_36[[#This Row],[得分]]="","",IF(表31_36[[#This Row],[得分]]&gt;0,G21+1,0))</f>
        <v/>
      </c>
      <c r="H22" t="str">
        <f>IF(表31_36[[#This Row],[得分]]="","",IF(表31_36[[#This Row],[得分]]&lt;0,H21+1,0))</f>
        <v/>
      </c>
      <c r="J22" s="6">
        <v>43896</v>
      </c>
      <c r="K22" s="18" t="str">
        <f t="array" ref="K22">IFERROR(INDEX(records[开始时刻],MATCH(表31_3637[[#This Row],[日期]]&amp;"吃早餐",records[日期]&amp;records[名称],0)),"")</f>
        <v/>
      </c>
      <c r="L22" s="18" t="str">
        <f t="array" ref="L22">IFERROR(INDEX(records[结束时刻],MATCH(表31_3637[[#This Row],[日期]]&amp;"吃早餐",records[日期]&amp;records[名称],0)),"")</f>
        <v/>
      </c>
      <c r="M22" s="18" t="str">
        <f t="array" ref="M22">IFERROR(INDEX(records[持续时间],MATCH(表31_3637[[#This Row],[日期]]&amp;"吃早餐",records[日期]&amp;records[名称],0)),"")</f>
        <v/>
      </c>
      <c r="N22" t="str">
        <f t="array" ref="N22">IFERROR(INDEX(records[得分],MATCH(表31_3637[[#This Row],[日期]]&amp;"吃早餐",records[日期]&amp;records[名称],0)),"")</f>
        <v/>
      </c>
      <c r="O22" t="str">
        <f t="array" ref="O22">IFERROR(INDEX(records[备注],MATCH(表31_3637[[#This Row],[日期]]&amp;"吃早餐",records[日期]&amp;records[名称],0))&amp;"","")</f>
        <v/>
      </c>
      <c r="P22" t="str">
        <f>IF(表31_3637[[#This Row],[得分]]="","",IF(表31_3637[[#This Row],[得分]]&gt;0,P21+1,0))</f>
        <v/>
      </c>
      <c r="Q22" t="str">
        <f>IF(表31_3637[[#This Row],[得分]]="","",IF(表31_3637[[#This Row],[得分]]&lt;0,Q21+1,0))</f>
        <v/>
      </c>
    </row>
    <row r="23" spans="1:17">
      <c r="A23" s="6">
        <v>43897</v>
      </c>
      <c r="B23" s="18" t="str">
        <f t="array" ref="B23">IFERROR(INDEX(records[开始时刻],MATCH(表31_36[[#This Row],[日期]]&amp;"做早餐",records[日期]&amp;records[名称],0)),"")</f>
        <v/>
      </c>
      <c r="C23" s="18" t="str">
        <f t="array" ref="C23">IFERROR(INDEX(records[结束时刻],MATCH(表31_36[[#This Row],[日期]]&amp;"做早餐",records[日期]&amp;records[名称],0)),"")</f>
        <v/>
      </c>
      <c r="D23" s="18" t="str">
        <f t="array" ref="D23">IFERROR(INDEX(records[持续时间],MATCH(表31_36[[#This Row],[日期]]&amp;"做早餐",records[日期]&amp;records[名称],0)),"")</f>
        <v/>
      </c>
      <c r="E23" t="str">
        <f t="array" ref="E23">IFERROR(INDEX(records[得分],MATCH(表31_36[[#This Row],[日期]]&amp;"做早餐",records[日期]&amp;records[名称],0)),"")</f>
        <v/>
      </c>
      <c r="F23" t="str">
        <f t="array" ref="F23">IFERROR(INDEX(records[备注],MATCH(表31_36[[#This Row],[日期]]&amp;"做早餐",records[日期]&amp;records[名称],0))&amp;"","")</f>
        <v/>
      </c>
      <c r="G23" t="str">
        <f>IF(表31_36[[#This Row],[得分]]="","",IF(表31_36[[#This Row],[得分]]&gt;0,G22+1,0))</f>
        <v/>
      </c>
      <c r="H23" t="str">
        <f>IF(表31_36[[#This Row],[得分]]="","",IF(表31_36[[#This Row],[得分]]&lt;0,H22+1,0))</f>
        <v/>
      </c>
      <c r="J23" s="6">
        <v>43897</v>
      </c>
      <c r="K23" s="18" t="str">
        <f t="array" ref="K23">IFERROR(INDEX(records[开始时刻],MATCH(表31_3637[[#This Row],[日期]]&amp;"吃早餐",records[日期]&amp;records[名称],0)),"")</f>
        <v/>
      </c>
      <c r="L23" s="18" t="str">
        <f t="array" ref="L23">IFERROR(INDEX(records[结束时刻],MATCH(表31_3637[[#This Row],[日期]]&amp;"吃早餐",records[日期]&amp;records[名称],0)),"")</f>
        <v/>
      </c>
      <c r="M23" s="18" t="str">
        <f t="array" ref="M23">IFERROR(INDEX(records[持续时间],MATCH(表31_3637[[#This Row],[日期]]&amp;"吃早餐",records[日期]&amp;records[名称],0)),"")</f>
        <v/>
      </c>
      <c r="N23" t="str">
        <f t="array" ref="N23">IFERROR(INDEX(records[得分],MATCH(表31_3637[[#This Row],[日期]]&amp;"吃早餐",records[日期]&amp;records[名称],0)),"")</f>
        <v/>
      </c>
      <c r="O23" t="str">
        <f t="array" ref="O23">IFERROR(INDEX(records[备注],MATCH(表31_3637[[#This Row],[日期]]&amp;"吃早餐",records[日期]&amp;records[名称],0))&amp;"","")</f>
        <v/>
      </c>
      <c r="P23" t="str">
        <f>IF(表31_3637[[#This Row],[得分]]="","",IF(表31_3637[[#This Row],[得分]]&gt;0,P22+1,0))</f>
        <v/>
      </c>
      <c r="Q23" t="str">
        <f>IF(表31_3637[[#This Row],[得分]]="","",IF(表31_3637[[#This Row],[得分]]&lt;0,Q22+1,0))</f>
        <v/>
      </c>
    </row>
    <row r="24" spans="1:17">
      <c r="A24" s="6">
        <v>43898</v>
      </c>
      <c r="B24" s="18" t="str">
        <f t="array" ref="B24">IFERROR(INDEX(records[开始时刻],MATCH(表31_36[[#This Row],[日期]]&amp;"做早餐",records[日期]&amp;records[名称],0)),"")</f>
        <v/>
      </c>
      <c r="C24" s="18" t="str">
        <f t="array" ref="C24">IFERROR(INDEX(records[结束时刻],MATCH(表31_36[[#This Row],[日期]]&amp;"做早餐",records[日期]&amp;records[名称],0)),"")</f>
        <v/>
      </c>
      <c r="D24" s="18" t="str">
        <f t="array" ref="D24">IFERROR(INDEX(records[持续时间],MATCH(表31_36[[#This Row],[日期]]&amp;"做早餐",records[日期]&amp;records[名称],0)),"")</f>
        <v/>
      </c>
      <c r="E24" t="str">
        <f t="array" ref="E24">IFERROR(INDEX(records[得分],MATCH(表31_36[[#This Row],[日期]]&amp;"做早餐",records[日期]&amp;records[名称],0)),"")</f>
        <v/>
      </c>
      <c r="F24" t="str">
        <f t="array" ref="F24">IFERROR(INDEX(records[备注],MATCH(表31_36[[#This Row],[日期]]&amp;"做早餐",records[日期]&amp;records[名称],0))&amp;"","")</f>
        <v/>
      </c>
      <c r="G24" t="str">
        <f>IF(表31_36[[#This Row],[得分]]="","",IF(表31_36[[#This Row],[得分]]&gt;0,G23+1,0))</f>
        <v/>
      </c>
      <c r="H24" t="str">
        <f>IF(表31_36[[#This Row],[得分]]="","",IF(表31_36[[#This Row],[得分]]&lt;0,H23+1,0))</f>
        <v/>
      </c>
      <c r="J24" s="6">
        <v>43898</v>
      </c>
      <c r="K24" s="18" t="str">
        <f t="array" ref="K24">IFERROR(INDEX(records[开始时刻],MATCH(表31_3637[[#This Row],[日期]]&amp;"吃早餐",records[日期]&amp;records[名称],0)),"")</f>
        <v/>
      </c>
      <c r="L24" s="18" t="str">
        <f t="array" ref="L24">IFERROR(INDEX(records[结束时刻],MATCH(表31_3637[[#This Row],[日期]]&amp;"吃早餐",records[日期]&amp;records[名称],0)),"")</f>
        <v/>
      </c>
      <c r="M24" s="18" t="str">
        <f t="array" ref="M24">IFERROR(INDEX(records[持续时间],MATCH(表31_3637[[#This Row],[日期]]&amp;"吃早餐",records[日期]&amp;records[名称],0)),"")</f>
        <v/>
      </c>
      <c r="N24" t="str">
        <f t="array" ref="N24">IFERROR(INDEX(records[得分],MATCH(表31_3637[[#This Row],[日期]]&amp;"吃早餐",records[日期]&amp;records[名称],0)),"")</f>
        <v/>
      </c>
      <c r="O24" t="str">
        <f t="array" ref="O24">IFERROR(INDEX(records[备注],MATCH(表31_3637[[#This Row],[日期]]&amp;"吃早餐",records[日期]&amp;records[名称],0))&amp;"","")</f>
        <v/>
      </c>
      <c r="P24" t="str">
        <f>IF(表31_3637[[#This Row],[得分]]="","",IF(表31_3637[[#This Row],[得分]]&gt;0,P23+1,0))</f>
        <v/>
      </c>
      <c r="Q24" t="str">
        <f>IF(表31_3637[[#This Row],[得分]]="","",IF(表31_3637[[#This Row],[得分]]&lt;0,Q23+1,0))</f>
        <v/>
      </c>
    </row>
    <row r="25" spans="1:17">
      <c r="A25" s="6">
        <v>43899</v>
      </c>
      <c r="B25" s="18" t="str">
        <f t="array" ref="B25">IFERROR(INDEX(records[开始时刻],MATCH(表31_36[[#This Row],[日期]]&amp;"做早餐",records[日期]&amp;records[名称],0)),"")</f>
        <v/>
      </c>
      <c r="C25" s="18" t="str">
        <f t="array" ref="C25">IFERROR(INDEX(records[结束时刻],MATCH(表31_36[[#This Row],[日期]]&amp;"做早餐",records[日期]&amp;records[名称],0)),"")</f>
        <v/>
      </c>
      <c r="D25" s="18" t="str">
        <f t="array" ref="D25">IFERROR(INDEX(records[持续时间],MATCH(表31_36[[#This Row],[日期]]&amp;"做早餐",records[日期]&amp;records[名称],0)),"")</f>
        <v/>
      </c>
      <c r="E25" t="str">
        <f t="array" ref="E25">IFERROR(INDEX(records[得分],MATCH(表31_36[[#This Row],[日期]]&amp;"做早餐",records[日期]&amp;records[名称],0)),"")</f>
        <v/>
      </c>
      <c r="F25" t="str">
        <f t="array" ref="F25">IFERROR(INDEX(records[备注],MATCH(表31_36[[#This Row],[日期]]&amp;"做早餐",records[日期]&amp;records[名称],0))&amp;"","")</f>
        <v/>
      </c>
      <c r="G25" t="str">
        <f>IF(表31_36[[#This Row],[得分]]="","",IF(表31_36[[#This Row],[得分]]&gt;0,G24+1,0))</f>
        <v/>
      </c>
      <c r="H25" t="str">
        <f>IF(表31_36[[#This Row],[得分]]="","",IF(表31_36[[#This Row],[得分]]&lt;0,H24+1,0))</f>
        <v/>
      </c>
      <c r="J25" s="6">
        <v>43899</v>
      </c>
      <c r="K25" s="18" t="str">
        <f t="array" ref="K25">IFERROR(INDEX(records[开始时刻],MATCH(表31_3637[[#This Row],[日期]]&amp;"吃早餐",records[日期]&amp;records[名称],0)),"")</f>
        <v/>
      </c>
      <c r="L25" s="18" t="str">
        <f t="array" ref="L25">IFERROR(INDEX(records[结束时刻],MATCH(表31_3637[[#This Row],[日期]]&amp;"吃早餐",records[日期]&amp;records[名称],0)),"")</f>
        <v/>
      </c>
      <c r="M25" s="18" t="str">
        <f t="array" ref="M25">IFERROR(INDEX(records[持续时间],MATCH(表31_3637[[#This Row],[日期]]&amp;"吃早餐",records[日期]&amp;records[名称],0)),"")</f>
        <v/>
      </c>
      <c r="N25" t="str">
        <f t="array" ref="N25">IFERROR(INDEX(records[得分],MATCH(表31_3637[[#This Row],[日期]]&amp;"吃早餐",records[日期]&amp;records[名称],0)),"")</f>
        <v/>
      </c>
      <c r="O25" t="str">
        <f t="array" ref="O25">IFERROR(INDEX(records[备注],MATCH(表31_3637[[#This Row],[日期]]&amp;"吃早餐",records[日期]&amp;records[名称],0))&amp;"","")</f>
        <v/>
      </c>
      <c r="P25" t="str">
        <f>IF(表31_3637[[#This Row],[得分]]="","",IF(表31_3637[[#This Row],[得分]]&gt;0,P24+1,0))</f>
        <v/>
      </c>
      <c r="Q25" t="str">
        <f>IF(表31_3637[[#This Row],[得分]]="","",IF(表31_3637[[#This Row],[得分]]&lt;0,Q24+1,0))</f>
        <v/>
      </c>
    </row>
    <row r="26" spans="1:17">
      <c r="A26" s="6">
        <v>43900</v>
      </c>
      <c r="B26" s="18" t="str">
        <f t="array" ref="B26">IFERROR(INDEX(records[开始时刻],MATCH(表31_36[[#This Row],[日期]]&amp;"做早餐",records[日期]&amp;records[名称],0)),"")</f>
        <v/>
      </c>
      <c r="C26" s="18" t="str">
        <f t="array" ref="C26">IFERROR(INDEX(records[结束时刻],MATCH(表31_36[[#This Row],[日期]]&amp;"做早餐",records[日期]&amp;records[名称],0)),"")</f>
        <v/>
      </c>
      <c r="D26" s="18" t="str">
        <f t="array" ref="D26">IFERROR(INDEX(records[持续时间],MATCH(表31_36[[#This Row],[日期]]&amp;"做早餐",records[日期]&amp;records[名称],0)),"")</f>
        <v/>
      </c>
      <c r="E26" t="str">
        <f t="array" ref="E26">IFERROR(INDEX(records[得分],MATCH(表31_36[[#This Row],[日期]]&amp;"做早餐",records[日期]&amp;records[名称],0)),"")</f>
        <v/>
      </c>
      <c r="F26" t="str">
        <f t="array" ref="F26">IFERROR(INDEX(records[备注],MATCH(表31_36[[#This Row],[日期]]&amp;"做早餐",records[日期]&amp;records[名称],0))&amp;"","")</f>
        <v/>
      </c>
      <c r="G26" t="str">
        <f>IF(表31_36[[#This Row],[得分]]="","",IF(表31_36[[#This Row],[得分]]&gt;0,G25+1,0))</f>
        <v/>
      </c>
      <c r="H26" t="str">
        <f>IF(表31_36[[#This Row],[得分]]="","",IF(表31_36[[#This Row],[得分]]&lt;0,H25+1,0))</f>
        <v/>
      </c>
      <c r="J26" s="6">
        <v>43900</v>
      </c>
      <c r="K26" s="18" t="str">
        <f t="array" ref="K26">IFERROR(INDEX(records[开始时刻],MATCH(表31_3637[[#This Row],[日期]]&amp;"吃早餐",records[日期]&amp;records[名称],0)),"")</f>
        <v/>
      </c>
      <c r="L26" s="18" t="str">
        <f t="array" ref="L26">IFERROR(INDEX(records[结束时刻],MATCH(表31_3637[[#This Row],[日期]]&amp;"吃早餐",records[日期]&amp;records[名称],0)),"")</f>
        <v/>
      </c>
      <c r="M26" s="18" t="str">
        <f t="array" ref="M26">IFERROR(INDEX(records[持续时间],MATCH(表31_3637[[#This Row],[日期]]&amp;"吃早餐",records[日期]&amp;records[名称],0)),"")</f>
        <v/>
      </c>
      <c r="N26" t="str">
        <f t="array" ref="N26">IFERROR(INDEX(records[得分],MATCH(表31_3637[[#This Row],[日期]]&amp;"吃早餐",records[日期]&amp;records[名称],0)),"")</f>
        <v/>
      </c>
      <c r="O26" t="str">
        <f t="array" ref="O26">IFERROR(INDEX(records[备注],MATCH(表31_3637[[#This Row],[日期]]&amp;"吃早餐",records[日期]&amp;records[名称],0))&amp;"","")</f>
        <v/>
      </c>
      <c r="P26" t="str">
        <f>IF(表31_3637[[#This Row],[得分]]="","",IF(表31_3637[[#This Row],[得分]]&gt;0,P25+1,0))</f>
        <v/>
      </c>
      <c r="Q26" t="str">
        <f>IF(表31_3637[[#This Row],[得分]]="","",IF(表31_3637[[#This Row],[得分]]&lt;0,Q25+1,0))</f>
        <v/>
      </c>
    </row>
    <row r="27" spans="1:17">
      <c r="A27" s="6">
        <v>43901</v>
      </c>
      <c r="B27" s="18" t="str">
        <f t="array" ref="B27">IFERROR(INDEX(records[开始时刻],MATCH(表31_36[[#This Row],[日期]]&amp;"做早餐",records[日期]&amp;records[名称],0)),"")</f>
        <v/>
      </c>
      <c r="C27" s="18" t="str">
        <f t="array" ref="C27">IFERROR(INDEX(records[结束时刻],MATCH(表31_36[[#This Row],[日期]]&amp;"做早餐",records[日期]&amp;records[名称],0)),"")</f>
        <v/>
      </c>
      <c r="D27" s="18" t="str">
        <f t="array" ref="D27">IFERROR(INDEX(records[持续时间],MATCH(表31_36[[#This Row],[日期]]&amp;"做早餐",records[日期]&amp;records[名称],0)),"")</f>
        <v/>
      </c>
      <c r="E27" t="str">
        <f t="array" ref="E27">IFERROR(INDEX(records[得分],MATCH(表31_36[[#This Row],[日期]]&amp;"做早餐",records[日期]&amp;records[名称],0)),"")</f>
        <v/>
      </c>
      <c r="F27" t="str">
        <f t="array" ref="F27">IFERROR(INDEX(records[备注],MATCH(表31_36[[#This Row],[日期]]&amp;"做早餐",records[日期]&amp;records[名称],0))&amp;"","")</f>
        <v/>
      </c>
      <c r="G27" t="str">
        <f>IF(表31_36[[#This Row],[得分]]="","",IF(表31_36[[#This Row],[得分]]&gt;0,G26+1,0))</f>
        <v/>
      </c>
      <c r="H27" t="str">
        <f>IF(表31_36[[#This Row],[得分]]="","",IF(表31_36[[#This Row],[得分]]&lt;0,H26+1,0))</f>
        <v/>
      </c>
      <c r="J27" s="6">
        <v>43901</v>
      </c>
      <c r="K27" s="18" t="str">
        <f t="array" ref="K27">IFERROR(INDEX(records[开始时刻],MATCH(表31_3637[[#This Row],[日期]]&amp;"吃早餐",records[日期]&amp;records[名称],0)),"")</f>
        <v/>
      </c>
      <c r="L27" s="18" t="str">
        <f t="array" ref="L27">IFERROR(INDEX(records[结束时刻],MATCH(表31_3637[[#This Row],[日期]]&amp;"吃早餐",records[日期]&amp;records[名称],0)),"")</f>
        <v/>
      </c>
      <c r="M27" s="18" t="str">
        <f t="array" ref="M27">IFERROR(INDEX(records[持续时间],MATCH(表31_3637[[#This Row],[日期]]&amp;"吃早餐",records[日期]&amp;records[名称],0)),"")</f>
        <v/>
      </c>
      <c r="N27" t="str">
        <f t="array" ref="N27">IFERROR(INDEX(records[得分],MATCH(表31_3637[[#This Row],[日期]]&amp;"吃早餐",records[日期]&amp;records[名称],0)),"")</f>
        <v/>
      </c>
      <c r="O27" t="str">
        <f t="array" ref="O27">IFERROR(INDEX(records[备注],MATCH(表31_3637[[#This Row],[日期]]&amp;"吃早餐",records[日期]&amp;records[名称],0))&amp;"","")</f>
        <v/>
      </c>
      <c r="P27" t="str">
        <f>IF(表31_3637[[#This Row],[得分]]="","",IF(表31_3637[[#This Row],[得分]]&gt;0,P26+1,0))</f>
        <v/>
      </c>
      <c r="Q27" t="str">
        <f>IF(表31_3637[[#This Row],[得分]]="","",IF(表31_3637[[#This Row],[得分]]&lt;0,Q26+1,0))</f>
        <v/>
      </c>
    </row>
    <row r="28" spans="1:17">
      <c r="A28" s="6">
        <v>43902</v>
      </c>
      <c r="B28" s="18" t="str">
        <f t="array" ref="B28">IFERROR(INDEX(records[开始时刻],MATCH(表31_36[[#This Row],[日期]]&amp;"做早餐",records[日期]&amp;records[名称],0)),"")</f>
        <v/>
      </c>
      <c r="C28" s="18" t="str">
        <f t="array" ref="C28">IFERROR(INDEX(records[结束时刻],MATCH(表31_36[[#This Row],[日期]]&amp;"做早餐",records[日期]&amp;records[名称],0)),"")</f>
        <v/>
      </c>
      <c r="D28" s="18" t="str">
        <f t="array" ref="D28">IFERROR(INDEX(records[持续时间],MATCH(表31_36[[#This Row],[日期]]&amp;"做早餐",records[日期]&amp;records[名称],0)),"")</f>
        <v/>
      </c>
      <c r="E28" t="str">
        <f t="array" ref="E28">IFERROR(INDEX(records[得分],MATCH(表31_36[[#This Row],[日期]]&amp;"做早餐",records[日期]&amp;records[名称],0)),"")</f>
        <v/>
      </c>
      <c r="F28" t="str">
        <f t="array" ref="F28">IFERROR(INDEX(records[备注],MATCH(表31_36[[#This Row],[日期]]&amp;"做早餐",records[日期]&amp;records[名称],0))&amp;"","")</f>
        <v/>
      </c>
      <c r="G28" t="str">
        <f>IF(表31_36[[#This Row],[得分]]="","",IF(表31_36[[#This Row],[得分]]&gt;0,G27+1,0))</f>
        <v/>
      </c>
      <c r="H28" t="str">
        <f>IF(表31_36[[#This Row],[得分]]="","",IF(表31_36[[#This Row],[得分]]&lt;0,H27+1,0))</f>
        <v/>
      </c>
      <c r="J28" s="6">
        <v>43902</v>
      </c>
      <c r="K28" s="18" t="str">
        <f t="array" ref="K28">IFERROR(INDEX(records[开始时刻],MATCH(表31_3637[[#This Row],[日期]]&amp;"吃早餐",records[日期]&amp;records[名称],0)),"")</f>
        <v/>
      </c>
      <c r="L28" s="18" t="str">
        <f t="array" ref="L28">IFERROR(INDEX(records[结束时刻],MATCH(表31_3637[[#This Row],[日期]]&amp;"吃早餐",records[日期]&amp;records[名称],0)),"")</f>
        <v/>
      </c>
      <c r="M28" s="18" t="str">
        <f t="array" ref="M28">IFERROR(INDEX(records[持续时间],MATCH(表31_3637[[#This Row],[日期]]&amp;"吃早餐",records[日期]&amp;records[名称],0)),"")</f>
        <v/>
      </c>
      <c r="N28" t="str">
        <f t="array" ref="N28">IFERROR(INDEX(records[得分],MATCH(表31_3637[[#This Row],[日期]]&amp;"吃早餐",records[日期]&amp;records[名称],0)),"")</f>
        <v/>
      </c>
      <c r="O28" t="str">
        <f t="array" ref="O28">IFERROR(INDEX(records[备注],MATCH(表31_3637[[#This Row],[日期]]&amp;"吃早餐",records[日期]&amp;records[名称],0))&amp;"","")</f>
        <v/>
      </c>
      <c r="P28" t="str">
        <f>IF(表31_3637[[#This Row],[得分]]="","",IF(表31_3637[[#This Row],[得分]]&gt;0,P27+1,0))</f>
        <v/>
      </c>
      <c r="Q28" t="str">
        <f>IF(表31_3637[[#This Row],[得分]]="","",IF(表31_3637[[#This Row],[得分]]&lt;0,Q27+1,0))</f>
        <v/>
      </c>
    </row>
    <row r="29" spans="1:17">
      <c r="A29" s="6">
        <v>43903</v>
      </c>
      <c r="B29" s="18" t="str">
        <f t="array" ref="B29">IFERROR(INDEX(records[开始时刻],MATCH(表31_36[[#This Row],[日期]]&amp;"做早餐",records[日期]&amp;records[名称],0)),"")</f>
        <v/>
      </c>
      <c r="C29" s="18" t="str">
        <f t="array" ref="C29">IFERROR(INDEX(records[结束时刻],MATCH(表31_36[[#This Row],[日期]]&amp;"做早餐",records[日期]&amp;records[名称],0)),"")</f>
        <v/>
      </c>
      <c r="D29" s="18" t="str">
        <f t="array" ref="D29">IFERROR(INDEX(records[持续时间],MATCH(表31_36[[#This Row],[日期]]&amp;"做早餐",records[日期]&amp;records[名称],0)),"")</f>
        <v/>
      </c>
      <c r="E29" t="str">
        <f t="array" ref="E29">IFERROR(INDEX(records[得分],MATCH(表31_36[[#This Row],[日期]]&amp;"做早餐",records[日期]&amp;records[名称],0)),"")</f>
        <v/>
      </c>
      <c r="F29" t="str">
        <f t="array" ref="F29">IFERROR(INDEX(records[备注],MATCH(表31_36[[#This Row],[日期]]&amp;"做早餐",records[日期]&amp;records[名称],0))&amp;"","")</f>
        <v/>
      </c>
      <c r="G29" t="str">
        <f>IF(表31_36[[#This Row],[得分]]="","",IF(表31_36[[#This Row],[得分]]&gt;0,G28+1,0))</f>
        <v/>
      </c>
      <c r="H29" t="str">
        <f>IF(表31_36[[#This Row],[得分]]="","",IF(表31_36[[#This Row],[得分]]&lt;0,H28+1,0))</f>
        <v/>
      </c>
      <c r="J29" s="6">
        <v>43903</v>
      </c>
      <c r="K29" s="18" t="str">
        <f t="array" ref="K29">IFERROR(INDEX(records[开始时刻],MATCH(表31_3637[[#This Row],[日期]]&amp;"吃早餐",records[日期]&amp;records[名称],0)),"")</f>
        <v/>
      </c>
      <c r="L29" s="18" t="str">
        <f t="array" ref="L29">IFERROR(INDEX(records[结束时刻],MATCH(表31_3637[[#This Row],[日期]]&amp;"吃早餐",records[日期]&amp;records[名称],0)),"")</f>
        <v/>
      </c>
      <c r="M29" s="18" t="str">
        <f t="array" ref="M29">IFERROR(INDEX(records[持续时间],MATCH(表31_3637[[#This Row],[日期]]&amp;"吃早餐",records[日期]&amp;records[名称],0)),"")</f>
        <v/>
      </c>
      <c r="N29" t="str">
        <f t="array" ref="N29">IFERROR(INDEX(records[得分],MATCH(表31_3637[[#This Row],[日期]]&amp;"吃早餐",records[日期]&amp;records[名称],0)),"")</f>
        <v/>
      </c>
      <c r="O29" t="str">
        <f t="array" ref="O29">IFERROR(INDEX(records[备注],MATCH(表31_3637[[#This Row],[日期]]&amp;"吃早餐",records[日期]&amp;records[名称],0))&amp;"","")</f>
        <v/>
      </c>
      <c r="P29" t="str">
        <f>IF(表31_3637[[#This Row],[得分]]="","",IF(表31_3637[[#This Row],[得分]]&gt;0,P28+1,0))</f>
        <v/>
      </c>
      <c r="Q29" t="str">
        <f>IF(表31_3637[[#This Row],[得分]]="","",IF(表31_3637[[#This Row],[得分]]&lt;0,Q28+1,0))</f>
        <v/>
      </c>
    </row>
  </sheetData>
  <mergeCells count="3">
    <mergeCell ref="A8:H8"/>
    <mergeCell ref="J8:Q8"/>
    <mergeCell ref="A7:Q7"/>
  </mergeCells>
  <phoneticPr fontId="1" type="noConversion"/>
  <pageMargins left="0.7" right="0.7" top="0.75" bottom="0.75" header="0.3" footer="0.3"/>
  <tableParts count="2">
    <tablePart r:id="rId1"/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E965E-0D37-CF4E-ADD3-B464EF0397B4}">
  <dimension ref="A1:Q29"/>
  <sheetViews>
    <sheetView workbookViewId="0">
      <selection activeCell="M22" sqref="M22"/>
    </sheetView>
  </sheetViews>
  <sheetFormatPr baseColWidth="10" defaultRowHeight="16"/>
  <cols>
    <col min="1" max="1" width="10.6640625" bestFit="1" customWidth="1"/>
    <col min="2" max="4" width="12.5" bestFit="1" customWidth="1"/>
    <col min="5" max="5" width="8.5" bestFit="1" customWidth="1"/>
    <col min="6" max="6" width="12.5" bestFit="1" customWidth="1"/>
    <col min="7" max="8" width="14.5" bestFit="1" customWidth="1"/>
    <col min="10" max="10" width="10.6640625" bestFit="1" customWidth="1"/>
    <col min="11" max="13" width="12.5" bestFit="1" customWidth="1"/>
    <col min="14" max="14" width="8.5" bestFit="1" customWidth="1"/>
    <col min="15" max="15" width="12.5" bestFit="1" customWidth="1"/>
    <col min="16" max="17" width="14.5" bestFit="1" customWidth="1"/>
  </cols>
  <sheetData>
    <row r="1" spans="1:17" ht="23">
      <c r="A1" s="27" t="s">
        <v>185</v>
      </c>
      <c r="G1" s="26" t="s">
        <v>186</v>
      </c>
    </row>
    <row r="2" spans="1:17">
      <c r="A2" t="s">
        <v>200</v>
      </c>
      <c r="G2" t="s">
        <v>209</v>
      </c>
    </row>
    <row r="3" spans="1:17">
      <c r="A3" t="s">
        <v>202</v>
      </c>
      <c r="G3" t="s">
        <v>210</v>
      </c>
    </row>
    <row r="4" spans="1:17">
      <c r="A4" t="s">
        <v>207</v>
      </c>
      <c r="G4" t="s">
        <v>212</v>
      </c>
    </row>
    <row r="5" spans="1:17">
      <c r="A5" t="s">
        <v>208</v>
      </c>
    </row>
    <row r="6" spans="1:17">
      <c r="A6" t="s">
        <v>206</v>
      </c>
    </row>
    <row r="7" spans="1:17" ht="26">
      <c r="A7" s="45" t="s">
        <v>182</v>
      </c>
      <c r="B7" s="45"/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</row>
    <row r="8" spans="1:17" ht="26">
      <c r="A8" s="45" t="s">
        <v>132</v>
      </c>
      <c r="B8" s="45"/>
      <c r="C8" s="45"/>
      <c r="D8" s="45"/>
      <c r="E8" s="45"/>
      <c r="F8" s="45"/>
      <c r="G8" s="45"/>
      <c r="H8" s="45"/>
      <c r="J8" s="45" t="s">
        <v>133</v>
      </c>
      <c r="K8" s="45"/>
      <c r="L8" s="45"/>
      <c r="M8" s="45"/>
      <c r="N8" s="45"/>
      <c r="O8" s="45"/>
      <c r="P8" s="45"/>
      <c r="Q8" s="45"/>
    </row>
    <row r="9" spans="1:17">
      <c r="A9" t="s">
        <v>0</v>
      </c>
      <c r="B9" t="s">
        <v>105</v>
      </c>
      <c r="C9" t="s">
        <v>104</v>
      </c>
      <c r="D9" t="s">
        <v>103</v>
      </c>
      <c r="E9" t="s">
        <v>1</v>
      </c>
      <c r="F9" t="s">
        <v>95</v>
      </c>
      <c r="G9" t="s">
        <v>224</v>
      </c>
      <c r="H9" t="s">
        <v>94</v>
      </c>
      <c r="J9" t="s">
        <v>0</v>
      </c>
      <c r="K9" t="s">
        <v>105</v>
      </c>
      <c r="L9" t="s">
        <v>104</v>
      </c>
      <c r="M9" t="s">
        <v>103</v>
      </c>
      <c r="N9" t="s">
        <v>1</v>
      </c>
      <c r="O9" t="s">
        <v>95</v>
      </c>
      <c r="P9" t="s">
        <v>224</v>
      </c>
      <c r="Q9" t="s">
        <v>94</v>
      </c>
    </row>
    <row r="10" spans="1:17">
      <c r="A10" s="6">
        <v>43884</v>
      </c>
      <c r="B10" s="18" t="str">
        <f t="array" ref="B10">IFERROR(INDEX(records[开始时刻],MATCH(表31_3639[[#This Row],[日期]]&amp;"做午餐",records[日期]&amp;records[名称],0)),"")</f>
        <v/>
      </c>
      <c r="C10" s="18" t="str">
        <f t="array" ref="C10">IFERROR(INDEX(records[结束时刻],MATCH(表31_3639[[#This Row],[日期]]&amp;"做午餐",records[日期]&amp;records[名称],0)),"")</f>
        <v/>
      </c>
      <c r="D10" s="18" t="str">
        <f t="array" ref="D10">IFERROR(INDEX(records[持续时间],MATCH(表31_3639[[#This Row],[日期]]&amp;"做午餐",records[日期]&amp;records[名称],0)),"")</f>
        <v/>
      </c>
      <c r="E10" t="str">
        <f t="array" ref="E10">IFERROR(INDEX(records[得分],MATCH(表31_3639[[#This Row],[日期]]&amp;"做午餐",records[日期]&amp;records[名称],0)),"")</f>
        <v/>
      </c>
      <c r="F10" t="str">
        <f t="array" ref="F10">IFERROR(INDEX(records[备注],MATCH(表31_3639[[#This Row],[日期]]&amp;"做午餐",records[日期]&amp;records[名称],0))&amp;"","")</f>
        <v/>
      </c>
      <c r="G10">
        <v>0</v>
      </c>
      <c r="H10">
        <v>1</v>
      </c>
      <c r="J10" s="6">
        <v>43884</v>
      </c>
      <c r="K10" s="18" t="str">
        <f t="array" ref="K10">IFERROR(INDEX(records[开始时刻],MATCH(表31_363740[[#This Row],[日期]]&amp;"吃午餐",records[日期]&amp;records[名称],0)),"")</f>
        <v/>
      </c>
      <c r="L10" s="18" t="str">
        <f t="array" ref="L10">IFERROR(INDEX(records[结束时刻],MATCH(表31_363740[[#This Row],[日期]]&amp;"吃午餐",records[日期]&amp;records[名称],0)),"")</f>
        <v/>
      </c>
      <c r="M10" s="18" t="str">
        <f t="array" ref="M10">IFERROR(INDEX(records[持续时间],MATCH(表31_363740[[#This Row],[日期]]&amp;"吃午餐",records[日期]&amp;records[名称],0)),"")</f>
        <v/>
      </c>
      <c r="N10" t="str">
        <f t="array" ref="N10">IFERROR(INDEX(records[得分],MATCH(表31_363740[[#This Row],[日期]]&amp;"吃午餐",records[日期]&amp;records[名称],0)),"")</f>
        <v/>
      </c>
      <c r="O10" t="str">
        <f t="array" ref="O10">IFERROR(INDEX(records[备注],MATCH(表31_363740[[#This Row],[日期]]&amp;"吃午餐",records[日期]&amp;records[名称],0))&amp;"","")</f>
        <v/>
      </c>
      <c r="P10">
        <v>0</v>
      </c>
      <c r="Q10">
        <v>1</v>
      </c>
    </row>
    <row r="11" spans="1:17">
      <c r="A11" s="6">
        <v>43885</v>
      </c>
      <c r="B11" s="18" t="str">
        <f t="array" ref="B11">IFERROR(INDEX(records[开始时刻],MATCH(表31_3639[[#This Row],[日期]]&amp;"做午餐",records[日期]&amp;records[名称],0)),"")</f>
        <v/>
      </c>
      <c r="C11" s="18" t="str">
        <f t="array" ref="C11">IFERROR(INDEX(records[结束时刻],MATCH(表31_3639[[#This Row],[日期]]&amp;"做午餐",records[日期]&amp;records[名称],0)),"")</f>
        <v/>
      </c>
      <c r="D11" s="18" t="str">
        <f t="array" ref="D11">IFERROR(INDEX(records[持续时间],MATCH(表31_3639[[#This Row],[日期]]&amp;"做午餐",records[日期]&amp;records[名称],0)),"")</f>
        <v/>
      </c>
      <c r="E11" t="str">
        <f t="array" ref="E11">IFERROR(INDEX(records[得分],MATCH(表31_3639[[#This Row],[日期]]&amp;"做午餐",records[日期]&amp;records[名称],0)),"")</f>
        <v/>
      </c>
      <c r="F11" t="str">
        <f t="array" ref="F11">IFERROR(INDEX(records[备注],MATCH(表31_3639[[#This Row],[日期]]&amp;"做午餐",records[日期]&amp;records[名称],0))&amp;"","")</f>
        <v/>
      </c>
      <c r="G11" t="str">
        <f>IF(表31_3639[[#This Row],[得分]]="","",IF(表31_3639[[#This Row],[得分]]&gt;0,G10+1,0))</f>
        <v/>
      </c>
      <c r="H11" t="str">
        <f>IF(表31_3639[[#This Row],[得分]]="","",IF(表31_3639[[#This Row],[得分]]&lt;0,H10+1,0))</f>
        <v/>
      </c>
      <c r="J11" s="6">
        <v>43885</v>
      </c>
      <c r="K11" s="18" t="str">
        <f t="array" ref="K11">IFERROR(INDEX(records[开始时刻],MATCH(表31_363740[[#This Row],[日期]]&amp;"吃午餐",records[日期]&amp;records[名称],0)),"")</f>
        <v/>
      </c>
      <c r="L11" s="18" t="str">
        <f t="array" ref="L11">IFERROR(INDEX(records[结束时刻],MATCH(表31_363740[[#This Row],[日期]]&amp;"吃午餐",records[日期]&amp;records[名称],0)),"")</f>
        <v/>
      </c>
      <c r="M11" s="18" t="str">
        <f t="array" ref="M11">IFERROR(INDEX(records[持续时间],MATCH(表31_363740[[#This Row],[日期]]&amp;"吃午餐",records[日期]&amp;records[名称],0)),"")</f>
        <v/>
      </c>
      <c r="N11" t="str">
        <f t="array" ref="N11">IFERROR(INDEX(records[得分],MATCH(表31_363740[[#This Row],[日期]]&amp;"吃午餐",records[日期]&amp;records[名称],0)),"")</f>
        <v/>
      </c>
      <c r="O11" t="str">
        <f t="array" ref="O11">IFERROR(INDEX(records[备注],MATCH(表31_363740[[#This Row],[日期]]&amp;"吃午餐",records[日期]&amp;records[名称],0))&amp;"","")</f>
        <v/>
      </c>
      <c r="P11" t="str">
        <f>IF(表31_363740[[#This Row],[得分]]="","",IF(表31_363740[[#This Row],[得分]]&gt;0,P10+1,0))</f>
        <v/>
      </c>
      <c r="Q11" t="str">
        <f>IF(表31_363740[[#This Row],[得分]]="","",IF(表31_363740[[#This Row],[得分]]&lt;0,Q10+1,0))</f>
        <v/>
      </c>
    </row>
    <row r="12" spans="1:17">
      <c r="A12" s="6">
        <v>43886</v>
      </c>
      <c r="B12" s="18" t="str">
        <f t="array" ref="B12">IFERROR(INDEX(records[开始时刻],MATCH(表31_3639[[#This Row],[日期]]&amp;"做午餐",records[日期]&amp;records[名称],0)),"")</f>
        <v/>
      </c>
      <c r="C12" s="18" t="str">
        <f t="array" ref="C12">IFERROR(INDEX(records[结束时刻],MATCH(表31_3639[[#This Row],[日期]]&amp;"做午餐",records[日期]&amp;records[名称],0)),"")</f>
        <v/>
      </c>
      <c r="D12" s="18" t="str">
        <f t="array" ref="D12">IFERROR(INDEX(records[持续时间],MATCH(表31_3639[[#This Row],[日期]]&amp;"做午餐",records[日期]&amp;records[名称],0)),"")</f>
        <v/>
      </c>
      <c r="E12" t="str">
        <f t="array" ref="E12">IFERROR(INDEX(records[得分],MATCH(表31_3639[[#This Row],[日期]]&amp;"做午餐",records[日期]&amp;records[名称],0)),"")</f>
        <v/>
      </c>
      <c r="F12" t="str">
        <f t="array" ref="F12">IFERROR(INDEX(records[备注],MATCH(表31_3639[[#This Row],[日期]]&amp;"做午餐",records[日期]&amp;records[名称],0))&amp;"","")</f>
        <v/>
      </c>
      <c r="G12" t="str">
        <f>IF(表31_3639[[#This Row],[得分]]="","",IF(表31_3639[[#This Row],[得分]]&gt;0,G11+1,0))</f>
        <v/>
      </c>
      <c r="H12" t="str">
        <f>IF(表31_3639[[#This Row],[得分]]="","",IF(表31_3639[[#This Row],[得分]]&lt;0,H11+1,0))</f>
        <v/>
      </c>
      <c r="J12" s="6">
        <v>43886</v>
      </c>
      <c r="K12" s="18" t="str">
        <f t="array" ref="K12">IFERROR(INDEX(records[开始时刻],MATCH(表31_363740[[#This Row],[日期]]&amp;"吃午餐",records[日期]&amp;records[名称],0)),"")</f>
        <v/>
      </c>
      <c r="L12" s="18" t="str">
        <f t="array" ref="L12">IFERROR(INDEX(records[结束时刻],MATCH(表31_363740[[#This Row],[日期]]&amp;"吃午餐",records[日期]&amp;records[名称],0)),"")</f>
        <v/>
      </c>
      <c r="M12" s="18" t="str">
        <f t="array" ref="M12">IFERROR(INDEX(records[持续时间],MATCH(表31_363740[[#This Row],[日期]]&amp;"吃午餐",records[日期]&amp;records[名称],0)),"")</f>
        <v/>
      </c>
      <c r="N12" t="str">
        <f t="array" ref="N12">IFERROR(INDEX(records[得分],MATCH(表31_363740[[#This Row],[日期]]&amp;"吃午餐",records[日期]&amp;records[名称],0)),"")</f>
        <v/>
      </c>
      <c r="O12" t="str">
        <f t="array" ref="O12">IFERROR(INDEX(records[备注],MATCH(表31_363740[[#This Row],[日期]]&amp;"吃午餐",records[日期]&amp;records[名称],0))&amp;"","")</f>
        <v/>
      </c>
      <c r="P12" t="str">
        <f>IF(表31_363740[[#This Row],[得分]]="","",IF(表31_363740[[#This Row],[得分]]&gt;0,P11+1,0))</f>
        <v/>
      </c>
      <c r="Q12" t="str">
        <f>IF(表31_363740[[#This Row],[得分]]="","",IF(表31_363740[[#This Row],[得分]]&lt;0,Q11+1,0))</f>
        <v/>
      </c>
    </row>
    <row r="13" spans="1:17">
      <c r="A13" s="6">
        <v>43887</v>
      </c>
      <c r="B13" s="18" t="str">
        <f t="array" ref="B13">IFERROR(INDEX(records[开始时刻],MATCH(表31_3639[[#This Row],[日期]]&amp;"做午餐",records[日期]&amp;records[名称],0)),"")</f>
        <v/>
      </c>
      <c r="C13" s="18" t="str">
        <f t="array" ref="C13">IFERROR(INDEX(records[结束时刻],MATCH(表31_3639[[#This Row],[日期]]&amp;"做午餐",records[日期]&amp;records[名称],0)),"")</f>
        <v/>
      </c>
      <c r="D13" s="18" t="str">
        <f t="array" ref="D13">IFERROR(INDEX(records[持续时间],MATCH(表31_3639[[#This Row],[日期]]&amp;"做午餐",records[日期]&amp;records[名称],0)),"")</f>
        <v/>
      </c>
      <c r="E13" t="str">
        <f t="array" ref="E13">IFERROR(INDEX(records[得分],MATCH(表31_3639[[#This Row],[日期]]&amp;"做午餐",records[日期]&amp;records[名称],0)),"")</f>
        <v/>
      </c>
      <c r="F13" t="str">
        <f t="array" ref="F13">IFERROR(INDEX(records[备注],MATCH(表31_3639[[#This Row],[日期]]&amp;"做午餐",records[日期]&amp;records[名称],0))&amp;"","")</f>
        <v/>
      </c>
      <c r="G13" t="str">
        <f>IF(表31_3639[[#This Row],[得分]]="","",IF(表31_3639[[#This Row],[得分]]&gt;0,G12+1,0))</f>
        <v/>
      </c>
      <c r="H13" t="str">
        <f>IF(表31_3639[[#This Row],[得分]]="","",IF(表31_3639[[#This Row],[得分]]&lt;0,H12+1,0))</f>
        <v/>
      </c>
      <c r="J13" s="6">
        <v>43887</v>
      </c>
      <c r="K13" s="18" t="str">
        <f t="array" ref="K13">IFERROR(INDEX(records[开始时刻],MATCH(表31_363740[[#This Row],[日期]]&amp;"吃午餐",records[日期]&amp;records[名称],0)),"")</f>
        <v/>
      </c>
      <c r="L13" s="18" t="str">
        <f t="array" ref="L13">IFERROR(INDEX(records[结束时刻],MATCH(表31_363740[[#This Row],[日期]]&amp;"吃午餐",records[日期]&amp;records[名称],0)),"")</f>
        <v/>
      </c>
      <c r="M13" s="18" t="str">
        <f t="array" ref="M13">IFERROR(INDEX(records[持续时间],MATCH(表31_363740[[#This Row],[日期]]&amp;"吃午餐",records[日期]&amp;records[名称],0)),"")</f>
        <v/>
      </c>
      <c r="N13" t="str">
        <f t="array" ref="N13">IFERROR(INDEX(records[得分],MATCH(表31_363740[[#This Row],[日期]]&amp;"吃午餐",records[日期]&amp;records[名称],0)),"")</f>
        <v/>
      </c>
      <c r="O13" t="str">
        <f t="array" ref="O13">IFERROR(INDEX(records[备注],MATCH(表31_363740[[#This Row],[日期]]&amp;"吃午餐",records[日期]&amp;records[名称],0))&amp;"","")</f>
        <v/>
      </c>
      <c r="P13" t="str">
        <f>IF(表31_363740[[#This Row],[得分]]="","",IF(表31_363740[[#This Row],[得分]]&gt;0,P12+1,0))</f>
        <v/>
      </c>
      <c r="Q13" t="str">
        <f>IF(表31_363740[[#This Row],[得分]]="","",IF(表31_363740[[#This Row],[得分]]&lt;0,Q12+1,0))</f>
        <v/>
      </c>
    </row>
    <row r="14" spans="1:17">
      <c r="A14" s="6">
        <v>43888</v>
      </c>
      <c r="B14" s="18" t="str">
        <f t="array" ref="B14">IFERROR(INDEX(records[开始时刻],MATCH(表31_3639[[#This Row],[日期]]&amp;"做午餐",records[日期]&amp;records[名称],0)),"")</f>
        <v/>
      </c>
      <c r="C14" s="18" t="str">
        <f t="array" ref="C14">IFERROR(INDEX(records[结束时刻],MATCH(表31_3639[[#This Row],[日期]]&amp;"做午餐",records[日期]&amp;records[名称],0)),"")</f>
        <v/>
      </c>
      <c r="D14" s="18" t="str">
        <f t="array" ref="D14">IFERROR(INDEX(records[持续时间],MATCH(表31_3639[[#This Row],[日期]]&amp;"做午餐",records[日期]&amp;records[名称],0)),"")</f>
        <v/>
      </c>
      <c r="E14" t="str">
        <f t="array" ref="E14">IFERROR(INDEX(records[得分],MATCH(表31_3639[[#This Row],[日期]]&amp;"做午餐",records[日期]&amp;records[名称],0)),"")</f>
        <v/>
      </c>
      <c r="F14" t="str">
        <f t="array" ref="F14">IFERROR(INDEX(records[备注],MATCH(表31_3639[[#This Row],[日期]]&amp;"做午餐",records[日期]&amp;records[名称],0))&amp;"","")</f>
        <v/>
      </c>
      <c r="G14" t="str">
        <f>IF(表31_3639[[#This Row],[得分]]="","",IF(表31_3639[[#This Row],[得分]]&gt;0,G13+1,0))</f>
        <v/>
      </c>
      <c r="H14" t="str">
        <f>IF(表31_3639[[#This Row],[得分]]="","",IF(表31_3639[[#This Row],[得分]]&lt;0,H13+1,0))</f>
        <v/>
      </c>
      <c r="J14" s="6">
        <v>43888</v>
      </c>
      <c r="K14" s="18" t="str">
        <f t="array" ref="K14">IFERROR(INDEX(records[开始时刻],MATCH(表31_363740[[#This Row],[日期]]&amp;"吃午餐",records[日期]&amp;records[名称],0)),"")</f>
        <v/>
      </c>
      <c r="L14" s="18" t="str">
        <f t="array" ref="L14">IFERROR(INDEX(records[结束时刻],MATCH(表31_363740[[#This Row],[日期]]&amp;"吃午餐",records[日期]&amp;records[名称],0)),"")</f>
        <v/>
      </c>
      <c r="M14" s="18" t="str">
        <f t="array" ref="M14">IFERROR(INDEX(records[持续时间],MATCH(表31_363740[[#This Row],[日期]]&amp;"吃午餐",records[日期]&amp;records[名称],0)),"")</f>
        <v/>
      </c>
      <c r="N14" t="str">
        <f t="array" ref="N14">IFERROR(INDEX(records[得分],MATCH(表31_363740[[#This Row],[日期]]&amp;"吃午餐",records[日期]&amp;records[名称],0)),"")</f>
        <v/>
      </c>
      <c r="O14" t="str">
        <f t="array" ref="O14">IFERROR(INDEX(records[备注],MATCH(表31_363740[[#This Row],[日期]]&amp;"吃午餐",records[日期]&amp;records[名称],0))&amp;"","")</f>
        <v/>
      </c>
      <c r="P14" t="str">
        <f>IF(表31_363740[[#This Row],[得分]]="","",IF(表31_363740[[#This Row],[得分]]&gt;0,P13+1,0))</f>
        <v/>
      </c>
      <c r="Q14" t="str">
        <f>IF(表31_363740[[#This Row],[得分]]="","",IF(表31_363740[[#This Row],[得分]]&lt;0,Q13+1,0))</f>
        <v/>
      </c>
    </row>
    <row r="15" spans="1:17">
      <c r="A15" s="6">
        <v>43889</v>
      </c>
      <c r="B15" s="18" t="str">
        <f t="array" ref="B15">IFERROR(INDEX(records[开始时刻],MATCH(表31_3639[[#This Row],[日期]]&amp;"做午餐",records[日期]&amp;records[名称],0)),"")</f>
        <v/>
      </c>
      <c r="C15" s="18" t="str">
        <f t="array" ref="C15">IFERROR(INDEX(records[结束时刻],MATCH(表31_3639[[#This Row],[日期]]&amp;"做午餐",records[日期]&amp;records[名称],0)),"")</f>
        <v/>
      </c>
      <c r="D15" s="18" t="str">
        <f t="array" ref="D15">IFERROR(INDEX(records[持续时间],MATCH(表31_3639[[#This Row],[日期]]&amp;"做午餐",records[日期]&amp;records[名称],0)),"")</f>
        <v/>
      </c>
      <c r="E15" t="str">
        <f t="array" ref="E15">IFERROR(INDEX(records[得分],MATCH(表31_3639[[#This Row],[日期]]&amp;"做午餐",records[日期]&amp;records[名称],0)),"")</f>
        <v/>
      </c>
      <c r="F15" t="str">
        <f t="array" ref="F15">IFERROR(INDEX(records[备注],MATCH(表31_3639[[#This Row],[日期]]&amp;"做午餐",records[日期]&amp;records[名称],0))&amp;"","")</f>
        <v/>
      </c>
      <c r="G15" t="str">
        <f>IF(表31_3639[[#This Row],[得分]]="","",IF(表31_3639[[#This Row],[得分]]&gt;0,G14+1,0))</f>
        <v/>
      </c>
      <c r="H15" t="str">
        <f>IF(表31_3639[[#This Row],[得分]]="","",IF(表31_3639[[#This Row],[得分]]&lt;0,H14+1,0))</f>
        <v/>
      </c>
      <c r="J15" s="6">
        <v>43889</v>
      </c>
      <c r="K15" s="18" t="str">
        <f t="array" ref="K15">IFERROR(INDEX(records[开始时刻],MATCH(表31_363740[[#This Row],[日期]]&amp;"吃午餐",records[日期]&amp;records[名称],0)),"")</f>
        <v/>
      </c>
      <c r="L15" s="18" t="str">
        <f t="array" ref="L15">IFERROR(INDEX(records[结束时刻],MATCH(表31_363740[[#This Row],[日期]]&amp;"吃午餐",records[日期]&amp;records[名称],0)),"")</f>
        <v/>
      </c>
      <c r="M15" s="18" t="str">
        <f t="array" ref="M15">IFERROR(INDEX(records[持续时间],MATCH(表31_363740[[#This Row],[日期]]&amp;"吃午餐",records[日期]&amp;records[名称],0)),"")</f>
        <v/>
      </c>
      <c r="N15" t="str">
        <f t="array" ref="N15">IFERROR(INDEX(records[得分],MATCH(表31_363740[[#This Row],[日期]]&amp;"吃午餐",records[日期]&amp;records[名称],0)),"")</f>
        <v/>
      </c>
      <c r="O15" t="str">
        <f t="array" ref="O15">IFERROR(INDEX(records[备注],MATCH(表31_363740[[#This Row],[日期]]&amp;"吃午餐",records[日期]&amp;records[名称],0))&amp;"","")</f>
        <v/>
      </c>
      <c r="P15" t="str">
        <f>IF(表31_363740[[#This Row],[得分]]="","",IF(表31_363740[[#This Row],[得分]]&gt;0,P14+1,0))</f>
        <v/>
      </c>
      <c r="Q15" t="str">
        <f>IF(表31_363740[[#This Row],[得分]]="","",IF(表31_363740[[#This Row],[得分]]&lt;0,Q14+1,0))</f>
        <v/>
      </c>
    </row>
    <row r="16" spans="1:17">
      <c r="A16" s="6">
        <v>43890</v>
      </c>
      <c r="B16" s="18" t="str">
        <f t="array" ref="B16">IFERROR(INDEX(records[开始时刻],MATCH(表31_3639[[#This Row],[日期]]&amp;"做午餐",records[日期]&amp;records[名称],0)),"")</f>
        <v/>
      </c>
      <c r="C16" s="18" t="str">
        <f t="array" ref="C16">IFERROR(INDEX(records[结束时刻],MATCH(表31_3639[[#This Row],[日期]]&amp;"做午餐",records[日期]&amp;records[名称],0)),"")</f>
        <v/>
      </c>
      <c r="D16" s="18" t="str">
        <f t="array" ref="D16">IFERROR(INDEX(records[持续时间],MATCH(表31_3639[[#This Row],[日期]]&amp;"做午餐",records[日期]&amp;records[名称],0)),"")</f>
        <v/>
      </c>
      <c r="E16" t="str">
        <f t="array" ref="E16">IFERROR(INDEX(records[得分],MATCH(表31_3639[[#This Row],[日期]]&amp;"做午餐",records[日期]&amp;records[名称],0)),"")</f>
        <v/>
      </c>
      <c r="F16" t="str">
        <f t="array" ref="F16">IFERROR(INDEX(records[备注],MATCH(表31_3639[[#This Row],[日期]]&amp;"做午餐",records[日期]&amp;records[名称],0))&amp;"","")</f>
        <v/>
      </c>
      <c r="G16" t="str">
        <f>IF(表31_3639[[#This Row],[得分]]="","",IF(表31_3639[[#This Row],[得分]]&gt;0,G15+1,0))</f>
        <v/>
      </c>
      <c r="H16" t="str">
        <f>IF(表31_3639[[#This Row],[得分]]="","",IF(表31_3639[[#This Row],[得分]]&lt;0,H15+1,0))</f>
        <v/>
      </c>
      <c r="J16" s="6">
        <v>43890</v>
      </c>
      <c r="K16" s="18" t="str">
        <f t="array" ref="K16">IFERROR(INDEX(records[开始时刻],MATCH(表31_363740[[#This Row],[日期]]&amp;"吃午餐",records[日期]&amp;records[名称],0)),"")</f>
        <v/>
      </c>
      <c r="L16" s="18" t="str">
        <f t="array" ref="L16">IFERROR(INDEX(records[结束时刻],MATCH(表31_363740[[#This Row],[日期]]&amp;"吃午餐",records[日期]&amp;records[名称],0)),"")</f>
        <v/>
      </c>
      <c r="M16" s="18" t="str">
        <f t="array" ref="M16">IFERROR(INDEX(records[持续时间],MATCH(表31_363740[[#This Row],[日期]]&amp;"吃午餐",records[日期]&amp;records[名称],0)),"")</f>
        <v/>
      </c>
      <c r="N16" t="str">
        <f t="array" ref="N16">IFERROR(INDEX(records[得分],MATCH(表31_363740[[#This Row],[日期]]&amp;"吃午餐",records[日期]&amp;records[名称],0)),"")</f>
        <v/>
      </c>
      <c r="O16" t="str">
        <f t="array" ref="O16">IFERROR(INDEX(records[备注],MATCH(表31_363740[[#This Row],[日期]]&amp;"吃午餐",records[日期]&amp;records[名称],0))&amp;"","")</f>
        <v/>
      </c>
      <c r="P16" t="str">
        <f>IF(表31_363740[[#This Row],[得分]]="","",IF(表31_363740[[#This Row],[得分]]&gt;0,P15+1,0))</f>
        <v/>
      </c>
      <c r="Q16" t="str">
        <f>IF(表31_363740[[#This Row],[得分]]="","",IF(表31_363740[[#This Row],[得分]]&lt;0,Q15+1,0))</f>
        <v/>
      </c>
    </row>
    <row r="17" spans="1:17">
      <c r="A17" s="6">
        <v>43891</v>
      </c>
      <c r="B17" s="18">
        <f t="array" ref="B17">IFERROR(INDEX(records[开始时刻],MATCH(表31_3639[[#This Row],[日期]]&amp;"做午餐",records[日期]&amp;records[名称],0)),"")</f>
        <v>0.47916666666666669</v>
      </c>
      <c r="C17" s="18">
        <f t="array" ref="C17">IFERROR(INDEX(records[结束时刻],MATCH(表31_3639[[#This Row],[日期]]&amp;"做午餐",records[日期]&amp;records[名称],0)),"")</f>
        <v>0.52083333333333337</v>
      </c>
      <c r="D17" s="18">
        <f t="array" ref="D17">IFERROR(INDEX(records[持续时间],MATCH(表31_3639[[#This Row],[日期]]&amp;"做午餐",records[日期]&amp;records[名称],0)),"")</f>
        <v>4.1666666666666685E-2</v>
      </c>
      <c r="E17">
        <f t="array" ref="E17">IFERROR(INDEX(records[得分],MATCH(表31_3639[[#This Row],[日期]]&amp;"做午餐",records[日期]&amp;records[名称],0)),"")</f>
        <v>0.1</v>
      </c>
      <c r="F17" t="str">
        <f t="array" ref="F17">IFERROR(INDEX(records[备注],MATCH(表31_3639[[#This Row],[日期]]&amp;"做午餐",records[日期]&amp;records[名称],0))&amp;"","")</f>
        <v/>
      </c>
      <c r="G17">
        <v>1</v>
      </c>
      <c r="H17">
        <f>IF(表31_3639[[#This Row],[得分]]="","",IF(表31_3639[[#This Row],[得分]]&lt;0,H16+1,0))</f>
        <v>0</v>
      </c>
      <c r="J17" s="6">
        <v>43891</v>
      </c>
      <c r="K17" s="18">
        <f t="array" ref="K17">IFERROR(INDEX(records[开始时刻],MATCH(表31_363740[[#This Row],[日期]]&amp;"吃午餐",records[日期]&amp;records[名称],0)),"")</f>
        <v>0.5</v>
      </c>
      <c r="L17" s="18">
        <f t="array" ref="L17">IFERROR(INDEX(records[结束时刻],MATCH(表31_363740[[#This Row],[日期]]&amp;"吃午餐",records[日期]&amp;records[名称],0)),"")</f>
        <v>0.52083333333333337</v>
      </c>
      <c r="M17" s="18">
        <f t="array" ref="M17">IFERROR(INDEX(records[持续时间],MATCH(表31_363740[[#This Row],[日期]]&amp;"吃午餐",records[日期]&amp;records[名称],0)),"")</f>
        <v>2.083333333333337E-2</v>
      </c>
      <c r="N17">
        <f t="array" ref="N17">IFERROR(INDEX(records[得分],MATCH(表31_363740[[#This Row],[日期]]&amp;"吃午餐",records[日期]&amp;records[名称],0)),"")</f>
        <v>0.3</v>
      </c>
      <c r="O17" t="str">
        <f t="array" ref="O17">IFERROR(INDEX(records[备注],MATCH(表31_363740[[#This Row],[日期]]&amp;"吃午餐",records[日期]&amp;records[名称],0))&amp;"","")</f>
        <v/>
      </c>
      <c r="P17">
        <v>1</v>
      </c>
      <c r="Q17">
        <v>0</v>
      </c>
    </row>
    <row r="18" spans="1:17">
      <c r="A18" s="6">
        <v>43892</v>
      </c>
      <c r="B18" s="18">
        <f t="array" ref="B18">IFERROR(INDEX(records[开始时刻],MATCH(表31_3639[[#This Row],[日期]]&amp;"做午餐",records[日期]&amp;records[名称],0)),"")</f>
        <v>0.47916666666666669</v>
      </c>
      <c r="C18" s="18">
        <f t="array" ref="C18">IFERROR(INDEX(records[结束时刻],MATCH(表31_3639[[#This Row],[日期]]&amp;"做午餐",records[日期]&amp;records[名称],0)),"")</f>
        <v>0.5</v>
      </c>
      <c r="D18" s="18">
        <f t="array" ref="D18">IFERROR(INDEX(records[持续时间],MATCH(表31_3639[[#This Row],[日期]]&amp;"做午餐",records[日期]&amp;records[名称],0)),"")</f>
        <v>2.0833333333333315E-2</v>
      </c>
      <c r="E18">
        <f t="array" ref="E18">IFERROR(INDEX(records[得分],MATCH(表31_3639[[#This Row],[日期]]&amp;"做午餐",records[日期]&amp;records[名称],0)),"")</f>
        <v>0.1</v>
      </c>
      <c r="F18" t="str">
        <f t="array" ref="F18">IFERROR(INDEX(records[备注],MATCH(表31_3639[[#This Row],[日期]]&amp;"做午餐",records[日期]&amp;records[名称],0))&amp;"","")</f>
        <v/>
      </c>
      <c r="G18">
        <f>IF(表31_3639[[#This Row],[得分]]="","",IF(表31_3639[[#This Row],[得分]]&gt;0,G17+1,0))</f>
        <v>2</v>
      </c>
      <c r="H18">
        <f>IF(表31_3639[[#This Row],[得分]]="","",IF(表31_3639[[#This Row],[得分]]&lt;0,H17+1,0))</f>
        <v>0</v>
      </c>
      <c r="J18" s="6">
        <v>43892</v>
      </c>
      <c r="K18" s="18">
        <f t="array" ref="K18">IFERROR(INDEX(records[开始时刻],MATCH(表31_363740[[#This Row],[日期]]&amp;"吃午餐",records[日期]&amp;records[名称],0)),"")</f>
        <v>0.5</v>
      </c>
      <c r="L18" s="18">
        <f t="array" ref="L18">IFERROR(INDEX(records[结束时刻],MATCH(表31_363740[[#This Row],[日期]]&amp;"吃午餐",records[日期]&amp;records[名称],0)),"")</f>
        <v>0.5625</v>
      </c>
      <c r="M18" s="18">
        <f t="array" ref="M18">IFERROR(INDEX(records[持续时间],MATCH(表31_363740[[#This Row],[日期]]&amp;"吃午餐",records[日期]&amp;records[名称],0)),"")</f>
        <v>6.25E-2</v>
      </c>
      <c r="N18">
        <f t="array" ref="N18">IFERROR(INDEX(records[得分],MATCH(表31_363740[[#This Row],[日期]]&amp;"吃午餐",records[日期]&amp;records[名称],0)),"")</f>
        <v>0.1</v>
      </c>
      <c r="O18" t="str">
        <f t="array" ref="O18">IFERROR(INDEX(records[备注],MATCH(表31_363740[[#This Row],[日期]]&amp;"吃午餐",records[日期]&amp;records[名称],0))&amp;"","")</f>
        <v>看RM</v>
      </c>
      <c r="P18">
        <f>IF(表31_363740[[#This Row],[得分]]="","",IF(表31_363740[[#This Row],[得分]]&gt;0,P17+1,0))</f>
        <v>2</v>
      </c>
      <c r="Q18">
        <f>IF(表31_363740[[#This Row],[得分]]="","",IF(表31_363740[[#This Row],[得分]]&lt;0,Q17+1,0))</f>
        <v>0</v>
      </c>
    </row>
    <row r="19" spans="1:17">
      <c r="A19" s="6">
        <v>43893</v>
      </c>
      <c r="B19" s="18">
        <f t="array" ref="B19">IFERROR(INDEX(records[开始时刻],MATCH(表31_3639[[#This Row],[日期]]&amp;"做午餐",records[日期]&amp;records[名称],0)),"")</f>
        <v>0.45833333333333331</v>
      </c>
      <c r="C19" s="18">
        <f t="array" ref="C19">IFERROR(INDEX(records[结束时刻],MATCH(表31_3639[[#This Row],[日期]]&amp;"做午餐",records[日期]&amp;records[名称],0)),"")</f>
        <v>0.5</v>
      </c>
      <c r="D19" s="18">
        <f t="array" ref="D19">IFERROR(INDEX(records[持续时间],MATCH(表31_3639[[#This Row],[日期]]&amp;"做午餐",records[日期]&amp;records[名称],0)),"")</f>
        <v>4.1666666666666685E-2</v>
      </c>
      <c r="E19">
        <f t="array" ref="E19">IFERROR(INDEX(records[得分],MATCH(表31_3639[[#This Row],[日期]]&amp;"做午餐",records[日期]&amp;records[名称],0)),"")</f>
        <v>0.2</v>
      </c>
      <c r="F19" t="str">
        <f t="array" ref="F19">IFERROR(INDEX(records[备注],MATCH(表31_3639[[#This Row],[日期]]&amp;"做午餐",records[日期]&amp;records[名称],0))&amp;"","")</f>
        <v>已连续3天，增加0.1</v>
      </c>
      <c r="G19">
        <f>IF(表31_3639[[#This Row],[得分]]="","",IF(表31_3639[[#This Row],[得分]]&gt;0,G18+1,0))</f>
        <v>3</v>
      </c>
      <c r="H19">
        <f>IF(表31_3639[[#This Row],[得分]]="","",IF(表31_3639[[#This Row],[得分]]&lt;0,H18+1,0))</f>
        <v>0</v>
      </c>
      <c r="J19" s="6">
        <v>43893</v>
      </c>
      <c r="K19" s="18">
        <f t="array" ref="K19">IFERROR(INDEX(records[开始时刻],MATCH(表31_363740[[#This Row],[日期]]&amp;"吃午餐",records[日期]&amp;records[名称],0)),"")</f>
        <v>0.5</v>
      </c>
      <c r="L19" s="18">
        <f t="array" ref="L19">IFERROR(INDEX(records[结束时刻],MATCH(表31_363740[[#This Row],[日期]]&amp;"吃午餐",records[日期]&amp;records[名称],0)),"")</f>
        <v>0.52083333333333337</v>
      </c>
      <c r="M19" s="18">
        <f t="array" ref="M19">IFERROR(INDEX(records[持续时间],MATCH(表31_363740[[#This Row],[日期]]&amp;"吃午餐",records[日期]&amp;records[名称],0)),"")</f>
        <v>2.083333333333337E-2</v>
      </c>
      <c r="N19">
        <f t="array" ref="N19">IFERROR(INDEX(records[得分],MATCH(表31_363740[[#This Row],[日期]]&amp;"吃午餐",records[日期]&amp;records[名称],0)),"")</f>
        <v>0.2</v>
      </c>
      <c r="O19" t="str">
        <f t="array" ref="O19">IFERROR(INDEX(records[备注],MATCH(表31_363740[[#This Row],[日期]]&amp;"吃午餐",records[日期]&amp;records[名称],0))&amp;"","")</f>
        <v>已连续3天，增加0.1</v>
      </c>
      <c r="P19">
        <f>IF(表31_363740[[#This Row],[得分]]="","",IF(表31_363740[[#This Row],[得分]]&gt;0,P18+1,0))</f>
        <v>3</v>
      </c>
      <c r="Q19">
        <f>IF(表31_363740[[#This Row],[得分]]="","",IF(表31_363740[[#This Row],[得分]]&lt;0,Q18+1,0))</f>
        <v>0</v>
      </c>
    </row>
    <row r="20" spans="1:17">
      <c r="A20" s="6">
        <v>43894</v>
      </c>
      <c r="B20" s="18">
        <f t="array" ref="B20">IFERROR(INDEX(records[开始时刻],MATCH(表31_3639[[#This Row],[日期]]&amp;"做午餐",records[日期]&amp;records[名称],0)),"")</f>
        <v>0.45833333333333331</v>
      </c>
      <c r="C20" s="18">
        <f t="array" ref="C20">IFERROR(INDEX(records[结束时刻],MATCH(表31_3639[[#This Row],[日期]]&amp;"做午餐",records[日期]&amp;records[名称],0)),"")</f>
        <v>0.5</v>
      </c>
      <c r="D20" s="18">
        <f t="array" ref="D20">IFERROR(INDEX(records[持续时间],MATCH(表31_3639[[#This Row],[日期]]&amp;"做午餐",records[日期]&amp;records[名称],0)),"")</f>
        <v>4.1666666666666685E-2</v>
      </c>
      <c r="E20">
        <f t="array" ref="E20">IFERROR(INDEX(records[得分],MATCH(表31_3639[[#This Row],[日期]]&amp;"做午餐",records[日期]&amp;records[名称],0)),"")</f>
        <v>0.2</v>
      </c>
      <c r="F20" t="str">
        <f t="array" ref="F20">IFERROR(INDEX(records[备注],MATCH(表31_3639[[#This Row],[日期]]&amp;"做午餐",records[日期]&amp;records[名称],0))&amp;"","")</f>
        <v/>
      </c>
      <c r="G20">
        <f>IF(表31_3639[[#This Row],[得分]]="","",IF(表31_3639[[#This Row],[得分]]&gt;0,G19+1,0))</f>
        <v>4</v>
      </c>
      <c r="H20">
        <f>IF(表31_3639[[#This Row],[得分]]="","",IF(表31_3639[[#This Row],[得分]]&lt;0,H19+1,0))</f>
        <v>0</v>
      </c>
      <c r="J20" s="6">
        <v>43894</v>
      </c>
      <c r="K20" s="18">
        <f t="array" ref="K20">IFERROR(INDEX(records[开始时刻],MATCH(表31_363740[[#This Row],[日期]]&amp;"吃午餐",records[日期]&amp;records[名称],0)),"")</f>
        <v>0.5</v>
      </c>
      <c r="L20" s="18">
        <f t="array" ref="L20">IFERROR(INDEX(records[结束时刻],MATCH(表31_363740[[#This Row],[日期]]&amp;"吃午餐",records[日期]&amp;records[名称],0)),"")</f>
        <v>0.52083333333333337</v>
      </c>
      <c r="M20" s="18">
        <f t="array" ref="M20">IFERROR(INDEX(records[持续时间],MATCH(表31_363740[[#This Row],[日期]]&amp;"吃午餐",records[日期]&amp;records[名称],0)),"")</f>
        <v>2.083333333333337E-2</v>
      </c>
      <c r="N20">
        <f t="array" ref="N20">IFERROR(INDEX(records[得分],MATCH(表31_363740[[#This Row],[日期]]&amp;"吃午餐",records[日期]&amp;records[名称],0)),"")</f>
        <v>0.2</v>
      </c>
      <c r="O20" t="str">
        <f t="array" ref="O20">IFERROR(INDEX(records[备注],MATCH(表31_363740[[#This Row],[日期]]&amp;"吃午餐",records[日期]&amp;records[名称],0))&amp;"","")</f>
        <v/>
      </c>
      <c r="P20">
        <f>IF(表31_363740[[#This Row],[得分]]="","",IF(表31_363740[[#This Row],[得分]]&gt;0,P19+1,0))</f>
        <v>4</v>
      </c>
      <c r="Q20">
        <f>IF(表31_363740[[#This Row],[得分]]="","",IF(表31_363740[[#This Row],[得分]]&lt;0,Q19+1,0))</f>
        <v>0</v>
      </c>
    </row>
    <row r="21" spans="1:17">
      <c r="A21" s="6">
        <v>43895</v>
      </c>
      <c r="B21" s="18">
        <f t="array" ref="B21">IFERROR(INDEX(records[开始时刻],MATCH(表31_3639[[#This Row],[日期]]&amp;"做午餐",records[日期]&amp;records[名称],0)),"")</f>
        <v>0.45833333333333331</v>
      </c>
      <c r="C21" s="18">
        <f t="array" ref="C21">IFERROR(INDEX(records[结束时刻],MATCH(表31_3639[[#This Row],[日期]]&amp;"做午餐",records[日期]&amp;records[名称],0)),"")</f>
        <v>0.5</v>
      </c>
      <c r="D21" s="18">
        <f t="array" ref="D21">IFERROR(INDEX(records[持续时间],MATCH(表31_3639[[#This Row],[日期]]&amp;"做午餐",records[日期]&amp;records[名称],0)),"")</f>
        <v>4.1666666666666685E-2</v>
      </c>
      <c r="E21">
        <f t="array" ref="E21">IFERROR(INDEX(records[得分],MATCH(表31_3639[[#This Row],[日期]]&amp;"做午餐",records[日期]&amp;records[名称],0)),"")</f>
        <v>0.3</v>
      </c>
      <c r="F21" t="str">
        <f t="array" ref="F21">IFERROR(INDEX(records[备注],MATCH(表31_3639[[#This Row],[日期]]&amp;"做午餐",records[日期]&amp;records[名称],0))&amp;"","")</f>
        <v>已连续3天，增加0.1</v>
      </c>
      <c r="G21">
        <f>IF(表31_3639[[#This Row],[得分]]="","",IF(表31_3639[[#This Row],[得分]]&gt;0,G20+1,0))</f>
        <v>5</v>
      </c>
      <c r="H21">
        <f>IF(表31_3639[[#This Row],[得分]]="","",IF(表31_3639[[#This Row],[得分]]&lt;0,H20+1,0))</f>
        <v>0</v>
      </c>
      <c r="J21" s="6">
        <v>43895</v>
      </c>
      <c r="K21" s="18">
        <f t="array" ref="K21">IFERROR(INDEX(records[开始时刻],MATCH(表31_363740[[#This Row],[日期]]&amp;"吃午餐",records[日期]&amp;records[名称],0)),"")</f>
        <v>0.5</v>
      </c>
      <c r="L21" s="18">
        <f t="array" ref="L21">IFERROR(INDEX(records[结束时刻],MATCH(表31_363740[[#This Row],[日期]]&amp;"吃午餐",records[日期]&amp;records[名称],0)),"")</f>
        <v>0.52083333333333337</v>
      </c>
      <c r="M21" s="18">
        <f t="array" ref="M21">IFERROR(INDEX(records[持续时间],MATCH(表31_363740[[#This Row],[日期]]&amp;"吃午餐",records[日期]&amp;records[名称],0)),"")</f>
        <v>2.083333333333337E-2</v>
      </c>
      <c r="N21">
        <f t="array" ref="N21">IFERROR(INDEX(records[得分],MATCH(表31_363740[[#This Row],[日期]]&amp;"吃午餐",records[日期]&amp;records[名称],0)),"")</f>
        <v>0.3</v>
      </c>
      <c r="O21" t="str">
        <f t="array" ref="O21">IFERROR(INDEX(records[备注],MATCH(表31_363740[[#This Row],[日期]]&amp;"吃午餐",records[日期]&amp;records[名称],0))&amp;"","")</f>
        <v>已连续3天，增加0.1</v>
      </c>
      <c r="P21">
        <f>IF(表31_363740[[#This Row],[得分]]="","",IF(表31_363740[[#This Row],[得分]]&gt;0,P20+1,0))</f>
        <v>5</v>
      </c>
      <c r="Q21">
        <f>IF(表31_363740[[#This Row],[得分]]="","",IF(表31_363740[[#This Row],[得分]]&lt;0,Q20+1,0))</f>
        <v>0</v>
      </c>
    </row>
    <row r="22" spans="1:17">
      <c r="A22" s="6">
        <v>43896</v>
      </c>
      <c r="B22" s="18" t="str">
        <f t="array" ref="B22">IFERROR(INDEX(records[开始时刻],MATCH(表31_3639[[#This Row],[日期]]&amp;"做午餐",records[日期]&amp;records[名称],0)),"")</f>
        <v/>
      </c>
      <c r="C22" s="18" t="str">
        <f t="array" ref="C22">IFERROR(INDEX(records[结束时刻],MATCH(表31_3639[[#This Row],[日期]]&amp;"做午餐",records[日期]&amp;records[名称],0)),"")</f>
        <v/>
      </c>
      <c r="D22" s="18" t="str">
        <f t="array" ref="D22">IFERROR(INDEX(records[持续时间],MATCH(表31_3639[[#This Row],[日期]]&amp;"做午餐",records[日期]&amp;records[名称],0)),"")</f>
        <v/>
      </c>
      <c r="E22" t="str">
        <f t="array" ref="E22">IFERROR(INDEX(records[得分],MATCH(表31_3639[[#This Row],[日期]]&amp;"做午餐",records[日期]&amp;records[名称],0)),"")</f>
        <v/>
      </c>
      <c r="F22" t="str">
        <f t="array" ref="F22">IFERROR(INDEX(records[备注],MATCH(表31_3639[[#This Row],[日期]]&amp;"做午餐",records[日期]&amp;records[名称],0))&amp;"","")</f>
        <v/>
      </c>
      <c r="G22" t="str">
        <f>IF(表31_3639[[#This Row],[得分]]="","",IF(表31_3639[[#This Row],[得分]]&gt;0,G21+1,0))</f>
        <v/>
      </c>
      <c r="H22" t="str">
        <f>IF(表31_3639[[#This Row],[得分]]="","",IF(表31_3639[[#This Row],[得分]]&lt;0,H21+1,0))</f>
        <v/>
      </c>
      <c r="J22" s="6">
        <v>43896</v>
      </c>
      <c r="K22" s="18" t="str">
        <f t="array" ref="K22">IFERROR(INDEX(records[开始时刻],MATCH(表31_363740[[#This Row],[日期]]&amp;"吃午餐",records[日期]&amp;records[名称],0)),"")</f>
        <v/>
      </c>
      <c r="L22" s="18" t="str">
        <f t="array" ref="L22">IFERROR(INDEX(records[结束时刻],MATCH(表31_363740[[#This Row],[日期]]&amp;"吃午餐",records[日期]&amp;records[名称],0)),"")</f>
        <v/>
      </c>
      <c r="M22" s="18" t="str">
        <f t="array" ref="M22">IFERROR(INDEX(records[持续时间],MATCH(表31_363740[[#This Row],[日期]]&amp;"吃午餐",records[日期]&amp;records[名称],0)),"")</f>
        <v/>
      </c>
      <c r="N22" t="str">
        <f t="array" ref="N22">IFERROR(INDEX(records[得分],MATCH(表31_363740[[#This Row],[日期]]&amp;"吃午餐",records[日期]&amp;records[名称],0)),"")</f>
        <v/>
      </c>
      <c r="O22" t="str">
        <f t="array" ref="O22">IFERROR(INDEX(records[备注],MATCH(表31_363740[[#This Row],[日期]]&amp;"吃午餐",records[日期]&amp;records[名称],0))&amp;"","")</f>
        <v/>
      </c>
      <c r="P22" t="str">
        <f>IF(表31_363740[[#This Row],[得分]]="","",IF(表31_363740[[#This Row],[得分]]&gt;0,P21+1,0))</f>
        <v/>
      </c>
      <c r="Q22" t="str">
        <f>IF(表31_363740[[#This Row],[得分]]="","",IF(表31_363740[[#This Row],[得分]]&lt;0,Q21+1,0))</f>
        <v/>
      </c>
    </row>
    <row r="23" spans="1:17">
      <c r="A23" s="6">
        <v>43897</v>
      </c>
      <c r="B23" s="18" t="str">
        <f t="array" ref="B23">IFERROR(INDEX(records[开始时刻],MATCH(表31_3639[[#This Row],[日期]]&amp;"做午餐",records[日期]&amp;records[名称],0)),"")</f>
        <v/>
      </c>
      <c r="C23" s="18" t="str">
        <f t="array" ref="C23">IFERROR(INDEX(records[结束时刻],MATCH(表31_3639[[#This Row],[日期]]&amp;"做午餐",records[日期]&amp;records[名称],0)),"")</f>
        <v/>
      </c>
      <c r="D23" s="18" t="str">
        <f t="array" ref="D23">IFERROR(INDEX(records[持续时间],MATCH(表31_3639[[#This Row],[日期]]&amp;"做午餐",records[日期]&amp;records[名称],0)),"")</f>
        <v/>
      </c>
      <c r="E23" t="str">
        <f t="array" ref="E23">IFERROR(INDEX(records[得分],MATCH(表31_3639[[#This Row],[日期]]&amp;"做午餐",records[日期]&amp;records[名称],0)),"")</f>
        <v/>
      </c>
      <c r="F23" t="str">
        <f t="array" ref="F23">IFERROR(INDEX(records[备注],MATCH(表31_3639[[#This Row],[日期]]&amp;"做午餐",records[日期]&amp;records[名称],0))&amp;"","")</f>
        <v/>
      </c>
      <c r="G23" t="str">
        <f>IF(表31_3639[[#This Row],[得分]]="","",IF(表31_3639[[#This Row],[得分]]&gt;0,G22+1,0))</f>
        <v/>
      </c>
      <c r="H23" t="str">
        <f>IF(表31_3639[[#This Row],[得分]]="","",IF(表31_3639[[#This Row],[得分]]&lt;0,H22+1,0))</f>
        <v/>
      </c>
      <c r="J23" s="6">
        <v>43897</v>
      </c>
      <c r="K23" s="18" t="str">
        <f t="array" ref="K23">IFERROR(INDEX(records[开始时刻],MATCH(表31_363740[[#This Row],[日期]]&amp;"吃午餐",records[日期]&amp;records[名称],0)),"")</f>
        <v/>
      </c>
      <c r="L23" s="18" t="str">
        <f t="array" ref="L23">IFERROR(INDEX(records[结束时刻],MATCH(表31_363740[[#This Row],[日期]]&amp;"吃午餐",records[日期]&amp;records[名称],0)),"")</f>
        <v/>
      </c>
      <c r="M23" s="18" t="str">
        <f t="array" ref="M23">IFERROR(INDEX(records[持续时间],MATCH(表31_363740[[#This Row],[日期]]&amp;"吃午餐",records[日期]&amp;records[名称],0)),"")</f>
        <v/>
      </c>
      <c r="N23" t="str">
        <f t="array" ref="N23">IFERROR(INDEX(records[得分],MATCH(表31_363740[[#This Row],[日期]]&amp;"吃午餐",records[日期]&amp;records[名称],0)),"")</f>
        <v/>
      </c>
      <c r="O23" t="str">
        <f t="array" ref="O23">IFERROR(INDEX(records[备注],MATCH(表31_363740[[#This Row],[日期]]&amp;"吃午餐",records[日期]&amp;records[名称],0))&amp;"","")</f>
        <v/>
      </c>
      <c r="P23" t="str">
        <f>IF(表31_363740[[#This Row],[得分]]="","",IF(表31_363740[[#This Row],[得分]]&gt;0,P22+1,0))</f>
        <v/>
      </c>
      <c r="Q23" t="str">
        <f>IF(表31_363740[[#This Row],[得分]]="","",IF(表31_363740[[#This Row],[得分]]&lt;0,Q22+1,0))</f>
        <v/>
      </c>
    </row>
    <row r="24" spans="1:17">
      <c r="A24" s="6">
        <v>43898</v>
      </c>
      <c r="B24" s="18" t="str">
        <f t="array" ref="B24">IFERROR(INDEX(records[开始时刻],MATCH(表31_3639[[#This Row],[日期]]&amp;"做午餐",records[日期]&amp;records[名称],0)),"")</f>
        <v/>
      </c>
      <c r="C24" s="18" t="str">
        <f t="array" ref="C24">IFERROR(INDEX(records[结束时刻],MATCH(表31_3639[[#This Row],[日期]]&amp;"做午餐",records[日期]&amp;records[名称],0)),"")</f>
        <v/>
      </c>
      <c r="D24" s="18" t="str">
        <f t="array" ref="D24">IFERROR(INDEX(records[持续时间],MATCH(表31_3639[[#This Row],[日期]]&amp;"做午餐",records[日期]&amp;records[名称],0)),"")</f>
        <v/>
      </c>
      <c r="E24" t="str">
        <f t="array" ref="E24">IFERROR(INDEX(records[得分],MATCH(表31_3639[[#This Row],[日期]]&amp;"做午餐",records[日期]&amp;records[名称],0)),"")</f>
        <v/>
      </c>
      <c r="F24" t="str">
        <f t="array" ref="F24">IFERROR(INDEX(records[备注],MATCH(表31_3639[[#This Row],[日期]]&amp;"做午餐",records[日期]&amp;records[名称],0))&amp;"","")</f>
        <v/>
      </c>
      <c r="G24" t="str">
        <f>IF(表31_3639[[#This Row],[得分]]="","",IF(表31_3639[[#This Row],[得分]]&gt;0,G23+1,0))</f>
        <v/>
      </c>
      <c r="H24" t="str">
        <f>IF(表31_3639[[#This Row],[得分]]="","",IF(表31_3639[[#This Row],[得分]]&lt;0,H23+1,0))</f>
        <v/>
      </c>
      <c r="J24" s="6">
        <v>43898</v>
      </c>
      <c r="K24" s="18" t="str">
        <f t="array" ref="K24">IFERROR(INDEX(records[开始时刻],MATCH(表31_363740[[#This Row],[日期]]&amp;"吃午餐",records[日期]&amp;records[名称],0)),"")</f>
        <v/>
      </c>
      <c r="L24" s="18" t="str">
        <f t="array" ref="L24">IFERROR(INDEX(records[结束时刻],MATCH(表31_363740[[#This Row],[日期]]&amp;"吃午餐",records[日期]&amp;records[名称],0)),"")</f>
        <v/>
      </c>
      <c r="M24" s="18" t="str">
        <f t="array" ref="M24">IFERROR(INDEX(records[持续时间],MATCH(表31_363740[[#This Row],[日期]]&amp;"吃午餐",records[日期]&amp;records[名称],0)),"")</f>
        <v/>
      </c>
      <c r="N24" t="str">
        <f t="array" ref="N24">IFERROR(INDEX(records[得分],MATCH(表31_363740[[#This Row],[日期]]&amp;"吃午餐",records[日期]&amp;records[名称],0)),"")</f>
        <v/>
      </c>
      <c r="O24" t="str">
        <f t="array" ref="O24">IFERROR(INDEX(records[备注],MATCH(表31_363740[[#This Row],[日期]]&amp;"吃午餐",records[日期]&amp;records[名称],0))&amp;"","")</f>
        <v/>
      </c>
      <c r="P24" t="str">
        <f>IF(表31_363740[[#This Row],[得分]]="","",IF(表31_363740[[#This Row],[得分]]&gt;0,P23+1,0))</f>
        <v/>
      </c>
      <c r="Q24" t="str">
        <f>IF(表31_363740[[#This Row],[得分]]="","",IF(表31_363740[[#This Row],[得分]]&lt;0,Q23+1,0))</f>
        <v/>
      </c>
    </row>
    <row r="25" spans="1:17">
      <c r="A25" s="6">
        <v>43899</v>
      </c>
      <c r="B25" s="18" t="str">
        <f t="array" ref="B25">IFERROR(INDEX(records[开始时刻],MATCH(表31_3639[[#This Row],[日期]]&amp;"做午餐",records[日期]&amp;records[名称],0)),"")</f>
        <v/>
      </c>
      <c r="C25" s="18" t="str">
        <f t="array" ref="C25">IFERROR(INDEX(records[结束时刻],MATCH(表31_3639[[#This Row],[日期]]&amp;"做午餐",records[日期]&amp;records[名称],0)),"")</f>
        <v/>
      </c>
      <c r="D25" s="18" t="str">
        <f t="array" ref="D25">IFERROR(INDEX(records[持续时间],MATCH(表31_3639[[#This Row],[日期]]&amp;"做午餐",records[日期]&amp;records[名称],0)),"")</f>
        <v/>
      </c>
      <c r="E25" t="str">
        <f t="array" ref="E25">IFERROR(INDEX(records[得分],MATCH(表31_3639[[#This Row],[日期]]&amp;"做午餐",records[日期]&amp;records[名称],0)),"")</f>
        <v/>
      </c>
      <c r="F25" t="str">
        <f t="array" ref="F25">IFERROR(INDEX(records[备注],MATCH(表31_3639[[#This Row],[日期]]&amp;"做午餐",records[日期]&amp;records[名称],0))&amp;"","")</f>
        <v/>
      </c>
      <c r="G25" t="str">
        <f>IF(表31_3639[[#This Row],[得分]]="","",IF(表31_3639[[#This Row],[得分]]&gt;0,G24+1,0))</f>
        <v/>
      </c>
      <c r="H25" t="str">
        <f>IF(表31_3639[[#This Row],[得分]]="","",IF(表31_3639[[#This Row],[得分]]&lt;0,H24+1,0))</f>
        <v/>
      </c>
      <c r="J25" s="6">
        <v>43899</v>
      </c>
      <c r="K25" s="18" t="str">
        <f t="array" ref="K25">IFERROR(INDEX(records[开始时刻],MATCH(表31_363740[[#This Row],[日期]]&amp;"吃午餐",records[日期]&amp;records[名称],0)),"")</f>
        <v/>
      </c>
      <c r="L25" s="18" t="str">
        <f t="array" ref="L25">IFERROR(INDEX(records[结束时刻],MATCH(表31_363740[[#This Row],[日期]]&amp;"吃午餐",records[日期]&amp;records[名称],0)),"")</f>
        <v/>
      </c>
      <c r="M25" s="18" t="str">
        <f t="array" ref="M25">IFERROR(INDEX(records[持续时间],MATCH(表31_363740[[#This Row],[日期]]&amp;"吃午餐",records[日期]&amp;records[名称],0)),"")</f>
        <v/>
      </c>
      <c r="N25" t="str">
        <f t="array" ref="N25">IFERROR(INDEX(records[得分],MATCH(表31_363740[[#This Row],[日期]]&amp;"吃午餐",records[日期]&amp;records[名称],0)),"")</f>
        <v/>
      </c>
      <c r="O25" t="str">
        <f t="array" ref="O25">IFERROR(INDEX(records[备注],MATCH(表31_363740[[#This Row],[日期]]&amp;"吃午餐",records[日期]&amp;records[名称],0))&amp;"","")</f>
        <v/>
      </c>
      <c r="P25" t="str">
        <f>IF(表31_363740[[#This Row],[得分]]="","",IF(表31_363740[[#This Row],[得分]]&gt;0,P24+1,0))</f>
        <v/>
      </c>
      <c r="Q25" t="str">
        <f>IF(表31_363740[[#This Row],[得分]]="","",IF(表31_363740[[#This Row],[得分]]&lt;0,Q24+1,0))</f>
        <v/>
      </c>
    </row>
    <row r="26" spans="1:17">
      <c r="A26" s="6">
        <v>43900</v>
      </c>
      <c r="B26" s="18" t="str">
        <f t="array" ref="B26">IFERROR(INDEX(records[开始时刻],MATCH(表31_3639[[#This Row],[日期]]&amp;"做午餐",records[日期]&amp;records[名称],0)),"")</f>
        <v/>
      </c>
      <c r="C26" s="18" t="str">
        <f t="array" ref="C26">IFERROR(INDEX(records[结束时刻],MATCH(表31_3639[[#This Row],[日期]]&amp;"做午餐",records[日期]&amp;records[名称],0)),"")</f>
        <v/>
      </c>
      <c r="D26" s="18" t="str">
        <f t="array" ref="D26">IFERROR(INDEX(records[持续时间],MATCH(表31_3639[[#This Row],[日期]]&amp;"做午餐",records[日期]&amp;records[名称],0)),"")</f>
        <v/>
      </c>
      <c r="E26" t="str">
        <f t="array" ref="E26">IFERROR(INDEX(records[得分],MATCH(表31_3639[[#This Row],[日期]]&amp;"做午餐",records[日期]&amp;records[名称],0)),"")</f>
        <v/>
      </c>
      <c r="F26" t="str">
        <f t="array" ref="F26">IFERROR(INDEX(records[备注],MATCH(表31_3639[[#This Row],[日期]]&amp;"做午餐",records[日期]&amp;records[名称],0))&amp;"","")</f>
        <v/>
      </c>
      <c r="G26" t="str">
        <f>IF(表31_3639[[#This Row],[得分]]="","",IF(表31_3639[[#This Row],[得分]]&gt;0,G25+1,0))</f>
        <v/>
      </c>
      <c r="H26" t="str">
        <f>IF(表31_3639[[#This Row],[得分]]="","",IF(表31_3639[[#This Row],[得分]]&lt;0,H25+1,0))</f>
        <v/>
      </c>
      <c r="J26" s="6">
        <v>43900</v>
      </c>
      <c r="K26" s="18" t="str">
        <f t="array" ref="K26">IFERROR(INDEX(records[开始时刻],MATCH(表31_363740[[#This Row],[日期]]&amp;"吃午餐",records[日期]&amp;records[名称],0)),"")</f>
        <v/>
      </c>
      <c r="L26" s="18" t="str">
        <f t="array" ref="L26">IFERROR(INDEX(records[结束时刻],MATCH(表31_363740[[#This Row],[日期]]&amp;"吃午餐",records[日期]&amp;records[名称],0)),"")</f>
        <v/>
      </c>
      <c r="M26" s="18" t="str">
        <f t="array" ref="M26">IFERROR(INDEX(records[持续时间],MATCH(表31_363740[[#This Row],[日期]]&amp;"吃午餐",records[日期]&amp;records[名称],0)),"")</f>
        <v/>
      </c>
      <c r="N26" t="str">
        <f t="array" ref="N26">IFERROR(INDEX(records[得分],MATCH(表31_363740[[#This Row],[日期]]&amp;"吃午餐",records[日期]&amp;records[名称],0)),"")</f>
        <v/>
      </c>
      <c r="O26" t="str">
        <f t="array" ref="O26">IFERROR(INDEX(records[备注],MATCH(表31_363740[[#This Row],[日期]]&amp;"吃午餐",records[日期]&amp;records[名称],0))&amp;"","")</f>
        <v/>
      </c>
      <c r="P26" t="str">
        <f>IF(表31_363740[[#This Row],[得分]]="","",IF(表31_363740[[#This Row],[得分]]&gt;0,P25+1,0))</f>
        <v/>
      </c>
      <c r="Q26" t="str">
        <f>IF(表31_363740[[#This Row],[得分]]="","",IF(表31_363740[[#This Row],[得分]]&lt;0,Q25+1,0))</f>
        <v/>
      </c>
    </row>
    <row r="27" spans="1:17">
      <c r="A27" s="6">
        <v>43901</v>
      </c>
      <c r="B27" s="18" t="str">
        <f t="array" ref="B27">IFERROR(INDEX(records[开始时刻],MATCH(表31_3639[[#This Row],[日期]]&amp;"做午餐",records[日期]&amp;records[名称],0)),"")</f>
        <v/>
      </c>
      <c r="C27" s="18" t="str">
        <f t="array" ref="C27">IFERROR(INDEX(records[结束时刻],MATCH(表31_3639[[#This Row],[日期]]&amp;"做午餐",records[日期]&amp;records[名称],0)),"")</f>
        <v/>
      </c>
      <c r="D27" s="18" t="str">
        <f t="array" ref="D27">IFERROR(INDEX(records[持续时间],MATCH(表31_3639[[#This Row],[日期]]&amp;"做午餐",records[日期]&amp;records[名称],0)),"")</f>
        <v/>
      </c>
      <c r="E27" t="str">
        <f t="array" ref="E27">IFERROR(INDEX(records[得分],MATCH(表31_3639[[#This Row],[日期]]&amp;"做午餐",records[日期]&amp;records[名称],0)),"")</f>
        <v/>
      </c>
      <c r="F27" t="str">
        <f t="array" ref="F27">IFERROR(INDEX(records[备注],MATCH(表31_3639[[#This Row],[日期]]&amp;"做午餐",records[日期]&amp;records[名称],0))&amp;"","")</f>
        <v/>
      </c>
      <c r="G27" t="str">
        <f>IF(表31_3639[[#This Row],[得分]]="","",IF(表31_3639[[#This Row],[得分]]&gt;0,G26+1,0))</f>
        <v/>
      </c>
      <c r="H27" t="str">
        <f>IF(表31_3639[[#This Row],[得分]]="","",IF(表31_3639[[#This Row],[得分]]&lt;0,H26+1,0))</f>
        <v/>
      </c>
      <c r="J27" s="6">
        <v>43901</v>
      </c>
      <c r="K27" s="18" t="str">
        <f t="array" ref="K27">IFERROR(INDEX(records[开始时刻],MATCH(表31_363740[[#This Row],[日期]]&amp;"吃午餐",records[日期]&amp;records[名称],0)),"")</f>
        <v/>
      </c>
      <c r="L27" s="18" t="str">
        <f t="array" ref="L27">IFERROR(INDEX(records[结束时刻],MATCH(表31_363740[[#This Row],[日期]]&amp;"吃午餐",records[日期]&amp;records[名称],0)),"")</f>
        <v/>
      </c>
      <c r="M27" s="18" t="str">
        <f t="array" ref="M27">IFERROR(INDEX(records[持续时间],MATCH(表31_363740[[#This Row],[日期]]&amp;"吃午餐",records[日期]&amp;records[名称],0)),"")</f>
        <v/>
      </c>
      <c r="N27" t="str">
        <f t="array" ref="N27">IFERROR(INDEX(records[得分],MATCH(表31_363740[[#This Row],[日期]]&amp;"吃午餐",records[日期]&amp;records[名称],0)),"")</f>
        <v/>
      </c>
      <c r="O27" t="str">
        <f t="array" ref="O27">IFERROR(INDEX(records[备注],MATCH(表31_363740[[#This Row],[日期]]&amp;"吃午餐",records[日期]&amp;records[名称],0))&amp;"","")</f>
        <v/>
      </c>
      <c r="P27" t="str">
        <f>IF(表31_363740[[#This Row],[得分]]="","",IF(表31_363740[[#This Row],[得分]]&gt;0,P26+1,0))</f>
        <v/>
      </c>
      <c r="Q27" t="str">
        <f>IF(表31_363740[[#This Row],[得分]]="","",IF(表31_363740[[#This Row],[得分]]&lt;0,Q26+1,0))</f>
        <v/>
      </c>
    </row>
    <row r="28" spans="1:17">
      <c r="A28" s="6">
        <v>43902</v>
      </c>
      <c r="B28" s="18" t="str">
        <f t="array" ref="B28">IFERROR(INDEX(records[开始时刻],MATCH(表31_3639[[#This Row],[日期]]&amp;"做午餐",records[日期]&amp;records[名称],0)),"")</f>
        <v/>
      </c>
      <c r="C28" s="18" t="str">
        <f t="array" ref="C28">IFERROR(INDEX(records[结束时刻],MATCH(表31_3639[[#This Row],[日期]]&amp;"做午餐",records[日期]&amp;records[名称],0)),"")</f>
        <v/>
      </c>
      <c r="D28" s="18" t="str">
        <f t="array" ref="D28">IFERROR(INDEX(records[持续时间],MATCH(表31_3639[[#This Row],[日期]]&amp;"做午餐",records[日期]&amp;records[名称],0)),"")</f>
        <v/>
      </c>
      <c r="E28" t="str">
        <f t="array" ref="E28">IFERROR(INDEX(records[得分],MATCH(表31_3639[[#This Row],[日期]]&amp;"做午餐",records[日期]&amp;records[名称],0)),"")</f>
        <v/>
      </c>
      <c r="F28" t="str">
        <f t="array" ref="F28">IFERROR(INDEX(records[备注],MATCH(表31_3639[[#This Row],[日期]]&amp;"做午餐",records[日期]&amp;records[名称],0))&amp;"","")</f>
        <v/>
      </c>
      <c r="G28" t="str">
        <f>IF(表31_3639[[#This Row],[得分]]="","",IF(表31_3639[[#This Row],[得分]]&gt;0,G27+1,0))</f>
        <v/>
      </c>
      <c r="H28" t="str">
        <f>IF(表31_3639[[#This Row],[得分]]="","",IF(表31_3639[[#This Row],[得分]]&lt;0,H27+1,0))</f>
        <v/>
      </c>
      <c r="J28" s="6">
        <v>43902</v>
      </c>
      <c r="K28" s="18" t="str">
        <f t="array" ref="K28">IFERROR(INDEX(records[开始时刻],MATCH(表31_363740[[#This Row],[日期]]&amp;"吃午餐",records[日期]&amp;records[名称],0)),"")</f>
        <v/>
      </c>
      <c r="L28" s="18" t="str">
        <f t="array" ref="L28">IFERROR(INDEX(records[结束时刻],MATCH(表31_363740[[#This Row],[日期]]&amp;"吃午餐",records[日期]&amp;records[名称],0)),"")</f>
        <v/>
      </c>
      <c r="M28" s="18" t="str">
        <f t="array" ref="M28">IFERROR(INDEX(records[持续时间],MATCH(表31_363740[[#This Row],[日期]]&amp;"吃午餐",records[日期]&amp;records[名称],0)),"")</f>
        <v/>
      </c>
      <c r="N28" t="str">
        <f t="array" ref="N28">IFERROR(INDEX(records[得分],MATCH(表31_363740[[#This Row],[日期]]&amp;"吃午餐",records[日期]&amp;records[名称],0)),"")</f>
        <v/>
      </c>
      <c r="O28" t="str">
        <f t="array" ref="O28">IFERROR(INDEX(records[备注],MATCH(表31_363740[[#This Row],[日期]]&amp;"吃午餐",records[日期]&amp;records[名称],0))&amp;"","")</f>
        <v/>
      </c>
      <c r="P28" t="str">
        <f>IF(表31_363740[[#This Row],[得分]]="","",IF(表31_363740[[#This Row],[得分]]&gt;0,P27+1,0))</f>
        <v/>
      </c>
      <c r="Q28" t="str">
        <f>IF(表31_363740[[#This Row],[得分]]="","",IF(表31_363740[[#This Row],[得分]]&lt;0,Q27+1,0))</f>
        <v/>
      </c>
    </row>
    <row r="29" spans="1:17">
      <c r="A29" s="6">
        <v>43903</v>
      </c>
      <c r="B29" s="18" t="str">
        <f t="array" ref="B29">IFERROR(INDEX(records[开始时刻],MATCH(表31_3639[[#This Row],[日期]]&amp;"做午餐",records[日期]&amp;records[名称],0)),"")</f>
        <v/>
      </c>
      <c r="C29" s="18" t="str">
        <f t="array" ref="C29">IFERROR(INDEX(records[结束时刻],MATCH(表31_3639[[#This Row],[日期]]&amp;"做午餐",records[日期]&amp;records[名称],0)),"")</f>
        <v/>
      </c>
      <c r="D29" s="18" t="str">
        <f t="array" ref="D29">IFERROR(INDEX(records[持续时间],MATCH(表31_3639[[#This Row],[日期]]&amp;"做午餐",records[日期]&amp;records[名称],0)),"")</f>
        <v/>
      </c>
      <c r="E29" t="str">
        <f t="array" ref="E29">IFERROR(INDEX(records[得分],MATCH(表31_3639[[#This Row],[日期]]&amp;"做午餐",records[日期]&amp;records[名称],0)),"")</f>
        <v/>
      </c>
      <c r="F29" t="str">
        <f t="array" ref="F29">IFERROR(INDEX(records[备注],MATCH(表31_3639[[#This Row],[日期]]&amp;"做午餐",records[日期]&amp;records[名称],0))&amp;"","")</f>
        <v/>
      </c>
      <c r="G29" t="str">
        <f>IF(表31_3639[[#This Row],[得分]]="","",IF(表31_3639[[#This Row],[得分]]&gt;0,G28+1,0))</f>
        <v/>
      </c>
      <c r="H29" t="str">
        <f>IF(表31_3639[[#This Row],[得分]]="","",IF(表31_3639[[#This Row],[得分]]&lt;0,H28+1,0))</f>
        <v/>
      </c>
      <c r="J29" s="6">
        <v>43903</v>
      </c>
      <c r="K29" s="18" t="str">
        <f t="array" ref="K29">IFERROR(INDEX(records[开始时刻],MATCH(表31_363740[[#This Row],[日期]]&amp;"吃午餐",records[日期]&amp;records[名称],0)),"")</f>
        <v/>
      </c>
      <c r="L29" s="18" t="str">
        <f t="array" ref="L29">IFERROR(INDEX(records[结束时刻],MATCH(表31_363740[[#This Row],[日期]]&amp;"吃午餐",records[日期]&amp;records[名称],0)),"")</f>
        <v/>
      </c>
      <c r="M29" s="18" t="str">
        <f t="array" ref="M29">IFERROR(INDEX(records[持续时间],MATCH(表31_363740[[#This Row],[日期]]&amp;"吃午餐",records[日期]&amp;records[名称],0)),"")</f>
        <v/>
      </c>
      <c r="N29" t="str">
        <f t="array" ref="N29">IFERROR(INDEX(records[得分],MATCH(表31_363740[[#This Row],[日期]]&amp;"吃午餐",records[日期]&amp;records[名称],0)),"")</f>
        <v/>
      </c>
      <c r="O29" t="str">
        <f t="array" ref="O29">IFERROR(INDEX(records[备注],MATCH(表31_363740[[#This Row],[日期]]&amp;"吃午餐",records[日期]&amp;records[名称],0))&amp;"","")</f>
        <v/>
      </c>
      <c r="P29" t="str">
        <f>IF(表31_363740[[#This Row],[得分]]="","",IF(表31_363740[[#This Row],[得分]]&gt;0,P28+1,0))</f>
        <v/>
      </c>
      <c r="Q29" t="str">
        <f>IF(表31_363740[[#This Row],[得分]]="","",IF(表31_363740[[#This Row],[得分]]&lt;0,Q28+1,0))</f>
        <v/>
      </c>
    </row>
  </sheetData>
  <mergeCells count="3">
    <mergeCell ref="A7:Q7"/>
    <mergeCell ref="A8:H8"/>
    <mergeCell ref="J8:Q8"/>
  </mergeCells>
  <phoneticPr fontId="1" type="noConversion"/>
  <pageMargins left="0.7" right="0.7" top="0.75" bottom="0.75" header="0.3" footer="0.3"/>
  <tableParts count="2">
    <tablePart r:id="rId1"/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FFAAF-574E-BC4D-AE9C-470E3B3F5F5A}">
  <dimension ref="A1:Q29"/>
  <sheetViews>
    <sheetView topLeftCell="A8" workbookViewId="0">
      <selection activeCell="G26" sqref="G26"/>
    </sheetView>
  </sheetViews>
  <sheetFormatPr baseColWidth="10" defaultRowHeight="16"/>
  <cols>
    <col min="1" max="1" width="10.6640625" bestFit="1" customWidth="1"/>
    <col min="2" max="4" width="12.5" bestFit="1" customWidth="1"/>
    <col min="5" max="5" width="8.5" bestFit="1" customWidth="1"/>
    <col min="6" max="6" width="12.5" bestFit="1" customWidth="1"/>
    <col min="7" max="8" width="14.5" bestFit="1" customWidth="1"/>
    <col min="10" max="10" width="10.6640625" bestFit="1" customWidth="1"/>
    <col min="11" max="13" width="12.5" bestFit="1" customWidth="1"/>
    <col min="14" max="14" width="8.5" bestFit="1" customWidth="1"/>
    <col min="15" max="15" width="20.5" bestFit="1" customWidth="1"/>
    <col min="16" max="17" width="14.5" bestFit="1" customWidth="1"/>
  </cols>
  <sheetData>
    <row r="1" spans="1:17" ht="23">
      <c r="A1" s="28" t="s">
        <v>197</v>
      </c>
      <c r="B1" s="29"/>
      <c r="C1" s="29"/>
      <c r="D1" s="29"/>
      <c r="E1" s="29"/>
      <c r="F1" s="29"/>
      <c r="G1" s="30" t="s">
        <v>198</v>
      </c>
      <c r="H1" s="29"/>
      <c r="I1" s="29"/>
      <c r="J1" s="29"/>
      <c r="K1" s="29"/>
      <c r="L1" s="29"/>
      <c r="M1" s="29"/>
      <c r="N1" s="29"/>
      <c r="O1" s="29"/>
      <c r="P1" s="29"/>
      <c r="Q1" s="29"/>
    </row>
    <row r="2" spans="1:17">
      <c r="A2" s="29" t="s">
        <v>199</v>
      </c>
      <c r="B2" s="29"/>
      <c r="C2" s="29"/>
      <c r="D2" s="29"/>
      <c r="E2" s="29"/>
      <c r="F2" s="29"/>
      <c r="G2" s="29" t="s">
        <v>209</v>
      </c>
      <c r="H2" s="29"/>
      <c r="I2" s="29"/>
      <c r="J2" s="29"/>
      <c r="K2" s="29"/>
      <c r="L2" s="29"/>
      <c r="M2" s="29"/>
      <c r="N2" s="29"/>
      <c r="O2" s="29"/>
      <c r="P2" s="29"/>
      <c r="Q2" s="29"/>
    </row>
    <row r="3" spans="1:17">
      <c r="A3" s="29" t="s">
        <v>201</v>
      </c>
      <c r="B3" s="29"/>
      <c r="C3" s="29"/>
      <c r="D3" s="29"/>
      <c r="E3" s="29"/>
      <c r="F3" s="29"/>
      <c r="G3" s="29" t="s">
        <v>210</v>
      </c>
      <c r="H3" s="29"/>
      <c r="I3" s="29"/>
      <c r="J3" s="29"/>
      <c r="K3" s="29"/>
      <c r="L3" s="29"/>
      <c r="M3" s="29"/>
      <c r="N3" s="29"/>
      <c r="O3" s="29"/>
      <c r="P3" s="29"/>
      <c r="Q3" s="29"/>
    </row>
    <row r="4" spans="1:17">
      <c r="A4" s="29" t="s">
        <v>203</v>
      </c>
      <c r="B4" s="29"/>
      <c r="C4" s="29"/>
      <c r="D4" s="29"/>
      <c r="E4" s="29"/>
      <c r="F4" s="29"/>
      <c r="G4" s="29" t="s">
        <v>211</v>
      </c>
      <c r="H4" s="29"/>
      <c r="I4" s="29"/>
      <c r="J4" s="29"/>
      <c r="K4" s="29"/>
      <c r="L4" s="29"/>
      <c r="M4" s="29"/>
      <c r="N4" s="29"/>
      <c r="O4" s="29"/>
      <c r="P4" s="29"/>
      <c r="Q4" s="29"/>
    </row>
    <row r="5" spans="1:17">
      <c r="A5" s="29" t="s">
        <v>204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</row>
    <row r="6" spans="1:17">
      <c r="A6" s="29" t="s">
        <v>205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</row>
    <row r="7" spans="1:17" ht="26">
      <c r="A7" s="46" t="s">
        <v>221</v>
      </c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</row>
    <row r="8" spans="1:17" ht="26">
      <c r="A8" s="47" t="s">
        <v>213</v>
      </c>
      <c r="B8" s="47"/>
      <c r="C8" s="47"/>
      <c r="D8" s="47"/>
      <c r="E8" s="47"/>
      <c r="F8" s="47"/>
      <c r="G8" s="47"/>
      <c r="H8" s="47"/>
      <c r="I8" s="29"/>
      <c r="J8" s="47" t="s">
        <v>214</v>
      </c>
      <c r="K8" s="47"/>
      <c r="L8" s="47"/>
      <c r="M8" s="47"/>
      <c r="N8" s="47"/>
      <c r="O8" s="47"/>
      <c r="P8" s="47"/>
      <c r="Q8" s="47"/>
    </row>
    <row r="9" spans="1:17">
      <c r="A9" s="34" t="s">
        <v>27</v>
      </c>
      <c r="B9" s="34" t="s">
        <v>215</v>
      </c>
      <c r="C9" s="34" t="s">
        <v>216</v>
      </c>
      <c r="D9" s="34" t="s">
        <v>217</v>
      </c>
      <c r="E9" s="34" t="s">
        <v>218</v>
      </c>
      <c r="F9" s="34" t="s">
        <v>219</v>
      </c>
      <c r="G9" s="34" t="s">
        <v>224</v>
      </c>
      <c r="H9" s="34" t="s">
        <v>220</v>
      </c>
      <c r="I9" s="29"/>
      <c r="J9" s="34" t="s">
        <v>27</v>
      </c>
      <c r="K9" s="34" t="s">
        <v>215</v>
      </c>
      <c r="L9" s="34" t="s">
        <v>216</v>
      </c>
      <c r="M9" s="34" t="s">
        <v>217</v>
      </c>
      <c r="N9" s="34" t="s">
        <v>218</v>
      </c>
      <c r="O9" s="34" t="s">
        <v>219</v>
      </c>
      <c r="P9" s="34" t="s">
        <v>224</v>
      </c>
      <c r="Q9" s="34" t="s">
        <v>220</v>
      </c>
    </row>
    <row r="10" spans="1:17">
      <c r="A10" s="31">
        <v>43884</v>
      </c>
      <c r="B10" s="18" t="str">
        <f t="array" ref="B10">IFERROR(INDEX(records[开始时刻],MATCH(表42[[#This Row],[日期]]&amp;"做晚餐",records[日期]&amp;records[名称],0)),"")</f>
        <v/>
      </c>
      <c r="C10" s="18" t="str">
        <f t="array" ref="C10">IFERROR(INDEX(records[结束时刻],MATCH(表42[[#This Row],[日期]]&amp;"做晚餐",records[日期]&amp;records[名称],0)),"")</f>
        <v/>
      </c>
      <c r="D10" s="18" t="str">
        <f t="array" ref="D10">IFERROR(INDEX(records[持续时间],MATCH(表42[[#This Row],[日期]]&amp;"做晚餐",records[日期]&amp;records[名称],0)),"")</f>
        <v/>
      </c>
      <c r="E10" t="str">
        <f t="array" ref="E10">IFERROR(INDEX(records[得分],MATCH(表42[[#This Row],[日期]]&amp;"做晚餐",records[日期]&amp;records[名称],0)),"")</f>
        <v/>
      </c>
      <c r="F10" t="str">
        <f t="array" ref="F10">IFERROR(INDEX(records[备注],MATCH(表42[[#This Row],[日期]]&amp;"做晚餐",records[日期]&amp;records[名称],0))&amp;"","")</f>
        <v/>
      </c>
      <c r="G10" s="32"/>
      <c r="H10" s="32"/>
      <c r="I10" s="29"/>
      <c r="J10" s="31">
        <v>43884</v>
      </c>
      <c r="K10" s="18" t="str">
        <f t="array" ref="K10">IFERROR(INDEX(records[开始时刻],MATCH(表42[[#This Row],[日期]]&amp;"做晚餐",records[日期]&amp;records[名称],0)),"")</f>
        <v/>
      </c>
      <c r="L10" s="18" t="str">
        <f t="array" ref="L10">IFERROR(INDEX(records[结束时刻],MATCH(表42[[#This Row],[日期]]&amp;"做晚餐",records[日期]&amp;records[名称],0)),"")</f>
        <v/>
      </c>
      <c r="M10" s="18" t="str">
        <f t="array" ref="M10">IFERROR(INDEX(records[持续时间],MATCH(表42[[#This Row],[日期]]&amp;"做晚餐",records[日期]&amp;records[名称],0)),"")</f>
        <v/>
      </c>
      <c r="N10" t="str">
        <f t="array" ref="N10">IFERROR(INDEX(records[得分],MATCH(表42[[#This Row],[日期]]&amp;"做晚餐",records[日期]&amp;records[名称],0)),"")</f>
        <v/>
      </c>
      <c r="O10" t="str">
        <f t="array" ref="O10">IFERROR(INDEX(records[备注],MATCH(表42[[#This Row],[日期]]&amp;"做晚餐",records[日期]&amp;records[名称],0))&amp;"","")</f>
        <v/>
      </c>
      <c r="P10" s="32"/>
      <c r="Q10" s="32"/>
    </row>
    <row r="11" spans="1:17">
      <c r="A11" s="33">
        <v>43885</v>
      </c>
      <c r="B11" s="18" t="str">
        <f t="array" ref="B11">IFERROR(INDEX(records[开始时刻],MATCH(表42[[#This Row],[日期]]&amp;"做晚餐",records[日期]&amp;records[名称],0)),"")</f>
        <v/>
      </c>
      <c r="C11" s="18" t="str">
        <f t="array" ref="C11">IFERROR(INDEX(records[结束时刻],MATCH(表42[[#This Row],[日期]]&amp;"做晚餐",records[日期]&amp;records[名称],0)),"")</f>
        <v/>
      </c>
      <c r="D11" s="18" t="str">
        <f t="array" ref="D11">IFERROR(INDEX(records[持续时间],MATCH(表42[[#This Row],[日期]]&amp;"做晚餐",records[日期]&amp;records[名称],0)),"")</f>
        <v/>
      </c>
      <c r="E11" t="str">
        <f t="array" ref="E11">IFERROR(INDEX(records[得分],MATCH(表42[[#This Row],[日期]]&amp;"做晚餐",records[日期]&amp;records[名称],0)),"")</f>
        <v/>
      </c>
      <c r="F11" t="str">
        <f t="array" ref="F11">IFERROR(INDEX(records[备注],MATCH(表42[[#This Row],[日期]]&amp;"做晚餐",records[日期]&amp;records[名称],0))&amp;"","")</f>
        <v/>
      </c>
      <c r="G11" s="29"/>
      <c r="H11" s="29"/>
      <c r="I11" s="29"/>
      <c r="J11" s="33">
        <v>43885</v>
      </c>
      <c r="K11" s="18" t="str">
        <f t="array" ref="K11">IFERROR(INDEX(records[开始时刻],MATCH(表42[[#This Row],[日期]]&amp;"做晚餐",records[日期]&amp;records[名称],0)),"")</f>
        <v/>
      </c>
      <c r="L11" s="18" t="str">
        <f t="array" ref="L11">IFERROR(INDEX(records[结束时刻],MATCH(表42[[#This Row],[日期]]&amp;"做晚餐",records[日期]&amp;records[名称],0)),"")</f>
        <v/>
      </c>
      <c r="M11" s="18" t="str">
        <f t="array" ref="M11">IFERROR(INDEX(records[持续时间],MATCH(表42[[#This Row],[日期]]&amp;"做晚餐",records[日期]&amp;records[名称],0)),"")</f>
        <v/>
      </c>
      <c r="N11" t="str">
        <f t="array" ref="N11">IFERROR(INDEX(records[得分],MATCH(表42[[#This Row],[日期]]&amp;"做晚餐",records[日期]&amp;records[名称],0)),"")</f>
        <v/>
      </c>
      <c r="O11" t="str">
        <f t="array" ref="O11">IFERROR(INDEX(records[备注],MATCH(表42[[#This Row],[日期]]&amp;"做晚餐",records[日期]&amp;records[名称],0))&amp;"","")</f>
        <v/>
      </c>
      <c r="P11" s="29"/>
      <c r="Q11" s="29"/>
    </row>
    <row r="12" spans="1:17">
      <c r="A12" s="31">
        <v>43886</v>
      </c>
      <c r="B12" s="18" t="str">
        <f t="array" ref="B12">IFERROR(INDEX(records[开始时刻],MATCH(表42[[#This Row],[日期]]&amp;"做晚餐",records[日期]&amp;records[名称],0)),"")</f>
        <v/>
      </c>
      <c r="C12" s="18" t="str">
        <f t="array" ref="C12">IFERROR(INDEX(records[结束时刻],MATCH(表42[[#This Row],[日期]]&amp;"做晚餐",records[日期]&amp;records[名称],0)),"")</f>
        <v/>
      </c>
      <c r="D12" s="18" t="str">
        <f t="array" ref="D12">IFERROR(INDEX(records[持续时间],MATCH(表42[[#This Row],[日期]]&amp;"做晚餐",records[日期]&amp;records[名称],0)),"")</f>
        <v/>
      </c>
      <c r="E12" t="str">
        <f t="array" ref="E12">IFERROR(INDEX(records[得分],MATCH(表42[[#This Row],[日期]]&amp;"做晚餐",records[日期]&amp;records[名称],0)),"")</f>
        <v/>
      </c>
      <c r="F12" t="str">
        <f t="array" ref="F12">IFERROR(INDEX(records[备注],MATCH(表42[[#This Row],[日期]]&amp;"做晚餐",records[日期]&amp;records[名称],0))&amp;"","")</f>
        <v/>
      </c>
      <c r="G12" s="32"/>
      <c r="H12" s="32"/>
      <c r="I12" s="29"/>
      <c r="J12" s="31">
        <v>43886</v>
      </c>
      <c r="K12" s="18" t="str">
        <f t="array" ref="K12">IFERROR(INDEX(records[开始时刻],MATCH(表42[[#This Row],[日期]]&amp;"做晚餐",records[日期]&amp;records[名称],0)),"")</f>
        <v/>
      </c>
      <c r="L12" s="18" t="str">
        <f t="array" ref="L12">IFERROR(INDEX(records[结束时刻],MATCH(表42[[#This Row],[日期]]&amp;"做晚餐",records[日期]&amp;records[名称],0)),"")</f>
        <v/>
      </c>
      <c r="M12" s="18" t="str">
        <f t="array" ref="M12">IFERROR(INDEX(records[持续时间],MATCH(表42[[#This Row],[日期]]&amp;"做晚餐",records[日期]&amp;records[名称],0)),"")</f>
        <v/>
      </c>
      <c r="N12" t="str">
        <f t="array" ref="N12">IFERROR(INDEX(records[得分],MATCH(表42[[#This Row],[日期]]&amp;"做晚餐",records[日期]&amp;records[名称],0)),"")</f>
        <v/>
      </c>
      <c r="O12" t="str">
        <f t="array" ref="O12">IFERROR(INDEX(records[备注],MATCH(表42[[#This Row],[日期]]&amp;"做晚餐",records[日期]&amp;records[名称],0))&amp;"","")</f>
        <v/>
      </c>
      <c r="P12" s="32"/>
      <c r="Q12" s="32"/>
    </row>
    <row r="13" spans="1:17">
      <c r="A13" s="33">
        <v>43887</v>
      </c>
      <c r="B13" s="18" t="str">
        <f t="array" ref="B13">IFERROR(INDEX(records[开始时刻],MATCH(表42[[#This Row],[日期]]&amp;"做晚餐",records[日期]&amp;records[名称],0)),"")</f>
        <v/>
      </c>
      <c r="C13" s="18" t="str">
        <f t="array" ref="C13">IFERROR(INDEX(records[结束时刻],MATCH(表42[[#This Row],[日期]]&amp;"做晚餐",records[日期]&amp;records[名称],0)),"")</f>
        <v/>
      </c>
      <c r="D13" s="18" t="str">
        <f t="array" ref="D13">IFERROR(INDEX(records[持续时间],MATCH(表42[[#This Row],[日期]]&amp;"做晚餐",records[日期]&amp;records[名称],0)),"")</f>
        <v/>
      </c>
      <c r="E13" t="str">
        <f t="array" ref="E13">IFERROR(INDEX(records[得分],MATCH(表42[[#This Row],[日期]]&amp;"做晚餐",records[日期]&amp;records[名称],0)),"")</f>
        <v/>
      </c>
      <c r="F13" t="str">
        <f t="array" ref="F13">IFERROR(INDEX(records[备注],MATCH(表42[[#This Row],[日期]]&amp;"做晚餐",records[日期]&amp;records[名称],0))&amp;"","")</f>
        <v/>
      </c>
      <c r="G13" s="29"/>
      <c r="H13" s="29"/>
      <c r="I13" s="29"/>
      <c r="J13" s="33">
        <v>43887</v>
      </c>
      <c r="K13" s="18" t="str">
        <f t="array" ref="K13">IFERROR(INDEX(records[开始时刻],MATCH(表42[[#This Row],[日期]]&amp;"做晚餐",records[日期]&amp;records[名称],0)),"")</f>
        <v/>
      </c>
      <c r="L13" s="18" t="str">
        <f t="array" ref="L13">IFERROR(INDEX(records[结束时刻],MATCH(表42[[#This Row],[日期]]&amp;"做晚餐",records[日期]&amp;records[名称],0)),"")</f>
        <v/>
      </c>
      <c r="M13" s="18" t="str">
        <f t="array" ref="M13">IFERROR(INDEX(records[持续时间],MATCH(表42[[#This Row],[日期]]&amp;"做晚餐",records[日期]&amp;records[名称],0)),"")</f>
        <v/>
      </c>
      <c r="N13" t="str">
        <f t="array" ref="N13">IFERROR(INDEX(records[得分],MATCH(表42[[#This Row],[日期]]&amp;"做晚餐",records[日期]&amp;records[名称],0)),"")</f>
        <v/>
      </c>
      <c r="O13" t="str">
        <f t="array" ref="O13">IFERROR(INDEX(records[备注],MATCH(表42[[#This Row],[日期]]&amp;"做晚餐",records[日期]&amp;records[名称],0))&amp;"","")</f>
        <v/>
      </c>
      <c r="P13" s="29"/>
      <c r="Q13" s="29"/>
    </row>
    <row r="14" spans="1:17">
      <c r="A14" s="31">
        <v>43888</v>
      </c>
      <c r="B14" s="18" t="str">
        <f t="array" ref="B14">IFERROR(INDEX(records[开始时刻],MATCH(表42[[#This Row],[日期]]&amp;"做晚餐",records[日期]&amp;records[名称],0)),"")</f>
        <v/>
      </c>
      <c r="C14" s="18" t="str">
        <f t="array" ref="C14">IFERROR(INDEX(records[结束时刻],MATCH(表42[[#This Row],[日期]]&amp;"做晚餐",records[日期]&amp;records[名称],0)),"")</f>
        <v/>
      </c>
      <c r="D14" s="18" t="str">
        <f t="array" ref="D14">IFERROR(INDEX(records[持续时间],MATCH(表42[[#This Row],[日期]]&amp;"做晚餐",records[日期]&amp;records[名称],0)),"")</f>
        <v/>
      </c>
      <c r="E14" t="str">
        <f t="array" ref="E14">IFERROR(INDEX(records[得分],MATCH(表42[[#This Row],[日期]]&amp;"做晚餐",records[日期]&amp;records[名称],0)),"")</f>
        <v/>
      </c>
      <c r="F14" t="str">
        <f t="array" ref="F14">IFERROR(INDEX(records[备注],MATCH(表42[[#This Row],[日期]]&amp;"做晚餐",records[日期]&amp;records[名称],0))&amp;"","")</f>
        <v/>
      </c>
      <c r="G14" s="32"/>
      <c r="H14" s="32"/>
      <c r="I14" s="29"/>
      <c r="J14" s="31">
        <v>43888</v>
      </c>
      <c r="K14" s="18" t="str">
        <f t="array" ref="K14">IFERROR(INDEX(records[开始时刻],MATCH(表42[[#This Row],[日期]]&amp;"做晚餐",records[日期]&amp;records[名称],0)),"")</f>
        <v/>
      </c>
      <c r="L14" s="18" t="str">
        <f t="array" ref="L14">IFERROR(INDEX(records[结束时刻],MATCH(表42[[#This Row],[日期]]&amp;"做晚餐",records[日期]&amp;records[名称],0)),"")</f>
        <v/>
      </c>
      <c r="M14" s="18" t="str">
        <f t="array" ref="M14">IFERROR(INDEX(records[持续时间],MATCH(表42[[#This Row],[日期]]&amp;"做晚餐",records[日期]&amp;records[名称],0)),"")</f>
        <v/>
      </c>
      <c r="N14" t="str">
        <f t="array" ref="N14">IFERROR(INDEX(records[得分],MATCH(表42[[#This Row],[日期]]&amp;"做晚餐",records[日期]&amp;records[名称],0)),"")</f>
        <v/>
      </c>
      <c r="O14" t="str">
        <f t="array" ref="O14">IFERROR(INDEX(records[备注],MATCH(表42[[#This Row],[日期]]&amp;"做晚餐",records[日期]&amp;records[名称],0))&amp;"","")</f>
        <v/>
      </c>
      <c r="P14" s="32"/>
      <c r="Q14" s="32"/>
    </row>
    <row r="15" spans="1:17">
      <c r="A15" s="33">
        <v>43889</v>
      </c>
      <c r="B15" s="18" t="str">
        <f t="array" ref="B15">IFERROR(INDEX(records[开始时刻],MATCH(表42[[#This Row],[日期]]&amp;"做晚餐",records[日期]&amp;records[名称],0)),"")</f>
        <v/>
      </c>
      <c r="C15" s="18" t="str">
        <f t="array" ref="C15">IFERROR(INDEX(records[结束时刻],MATCH(表42[[#This Row],[日期]]&amp;"做晚餐",records[日期]&amp;records[名称],0)),"")</f>
        <v/>
      </c>
      <c r="D15" s="18" t="str">
        <f t="array" ref="D15">IFERROR(INDEX(records[持续时间],MATCH(表42[[#This Row],[日期]]&amp;"做晚餐",records[日期]&amp;records[名称],0)),"")</f>
        <v/>
      </c>
      <c r="E15" t="str">
        <f t="array" ref="E15">IFERROR(INDEX(records[得分],MATCH(表42[[#This Row],[日期]]&amp;"做晚餐",records[日期]&amp;records[名称],0)),"")</f>
        <v/>
      </c>
      <c r="F15" t="str">
        <f t="array" ref="F15">IFERROR(INDEX(records[备注],MATCH(表42[[#This Row],[日期]]&amp;"做晚餐",records[日期]&amp;records[名称],0))&amp;"","")</f>
        <v/>
      </c>
      <c r="G15" s="29"/>
      <c r="H15" s="29"/>
      <c r="I15" s="29"/>
      <c r="J15" s="33">
        <v>43889</v>
      </c>
      <c r="K15" s="18" t="str">
        <f t="array" ref="K15">IFERROR(INDEX(records[开始时刻],MATCH(表42[[#This Row],[日期]]&amp;"做晚餐",records[日期]&amp;records[名称],0)),"")</f>
        <v/>
      </c>
      <c r="L15" s="18" t="str">
        <f t="array" ref="L15">IFERROR(INDEX(records[结束时刻],MATCH(表42[[#This Row],[日期]]&amp;"做晚餐",records[日期]&amp;records[名称],0)),"")</f>
        <v/>
      </c>
      <c r="M15" s="18" t="str">
        <f t="array" ref="M15">IFERROR(INDEX(records[持续时间],MATCH(表42[[#This Row],[日期]]&amp;"做晚餐",records[日期]&amp;records[名称],0)),"")</f>
        <v/>
      </c>
      <c r="N15" t="str">
        <f t="array" ref="N15">IFERROR(INDEX(records[得分],MATCH(表42[[#This Row],[日期]]&amp;"做晚餐",records[日期]&amp;records[名称],0)),"")</f>
        <v/>
      </c>
      <c r="O15" t="str">
        <f t="array" ref="O15">IFERROR(INDEX(records[备注],MATCH(表42[[#This Row],[日期]]&amp;"做晚餐",records[日期]&amp;records[名称],0))&amp;"","")</f>
        <v/>
      </c>
      <c r="P15" s="29"/>
      <c r="Q15" s="29"/>
    </row>
    <row r="16" spans="1:17">
      <c r="A16" s="31">
        <v>43890</v>
      </c>
      <c r="B16" s="18" t="str">
        <f t="array" ref="B16">IFERROR(INDEX(records[开始时刻],MATCH(表42[[#This Row],[日期]]&amp;"做晚餐",records[日期]&amp;records[名称],0)),"")</f>
        <v/>
      </c>
      <c r="C16" s="18" t="str">
        <f t="array" ref="C16">IFERROR(INDEX(records[结束时刻],MATCH(表42[[#This Row],[日期]]&amp;"做晚餐",records[日期]&amp;records[名称],0)),"")</f>
        <v/>
      </c>
      <c r="D16" s="18" t="str">
        <f t="array" ref="D16">IFERROR(INDEX(records[持续时间],MATCH(表42[[#This Row],[日期]]&amp;"做晚餐",records[日期]&amp;records[名称],0)),"")</f>
        <v/>
      </c>
      <c r="E16" t="str">
        <f t="array" ref="E16">IFERROR(INDEX(records[得分],MATCH(表42[[#This Row],[日期]]&amp;"做晚餐",records[日期]&amp;records[名称],0)),"")</f>
        <v/>
      </c>
      <c r="F16" t="str">
        <f t="array" ref="F16">IFERROR(INDEX(records[备注],MATCH(表42[[#This Row],[日期]]&amp;"做晚餐",records[日期]&amp;records[名称],0))&amp;"","")</f>
        <v/>
      </c>
      <c r="G16" s="32"/>
      <c r="H16" s="32"/>
      <c r="I16" s="29"/>
      <c r="J16" s="31">
        <v>43890</v>
      </c>
      <c r="K16" s="18" t="str">
        <f t="array" ref="K16">IFERROR(INDEX(records[开始时刻],MATCH(表42[[#This Row],[日期]]&amp;"做晚餐",records[日期]&amp;records[名称],0)),"")</f>
        <v/>
      </c>
      <c r="L16" s="18" t="str">
        <f t="array" ref="L16">IFERROR(INDEX(records[结束时刻],MATCH(表42[[#This Row],[日期]]&amp;"做晚餐",records[日期]&amp;records[名称],0)),"")</f>
        <v/>
      </c>
      <c r="M16" s="18" t="str">
        <f t="array" ref="M16">IFERROR(INDEX(records[持续时间],MATCH(表42[[#This Row],[日期]]&amp;"做晚餐",records[日期]&amp;records[名称],0)),"")</f>
        <v/>
      </c>
      <c r="N16" t="str">
        <f t="array" ref="N16">IFERROR(INDEX(records[得分],MATCH(表42[[#This Row],[日期]]&amp;"做晚餐",records[日期]&amp;records[名称],0)),"")</f>
        <v/>
      </c>
      <c r="O16" t="str">
        <f t="array" ref="O16">IFERROR(INDEX(records[备注],MATCH(表42[[#This Row],[日期]]&amp;"做晚餐",records[日期]&amp;records[名称],0))&amp;"","")</f>
        <v/>
      </c>
      <c r="P16" s="32"/>
      <c r="Q16" s="32"/>
    </row>
    <row r="17" spans="1:17">
      <c r="A17" s="33">
        <v>43891</v>
      </c>
      <c r="B17" s="18">
        <f t="array" ref="B17">IFERROR(INDEX(records[开始时刻],MATCH(表42[[#This Row],[日期]]&amp;"做晚餐",records[日期]&amp;records[名称],0)),"")</f>
        <v>0.75</v>
      </c>
      <c r="C17" s="18">
        <f t="array" ref="C17">IFERROR(INDEX(records[结束时刻],MATCH(表42[[#This Row],[日期]]&amp;"做晚餐",records[日期]&amp;records[名称],0)),"")</f>
        <v>0.77083333333333337</v>
      </c>
      <c r="D17" s="18">
        <f t="array" ref="D17">IFERROR(INDEX(records[持续时间],MATCH(表42[[#This Row],[日期]]&amp;"做晚餐",records[日期]&amp;records[名称],0)),"")</f>
        <v>2.083333333333337E-2</v>
      </c>
      <c r="E17">
        <f t="array" ref="E17">IFERROR(INDEX(records[得分],MATCH(表42[[#This Row],[日期]]&amp;"做晚餐",records[日期]&amp;records[名称],0)),"")</f>
        <v>0.1</v>
      </c>
      <c r="F17" t="str">
        <f t="array" ref="F17">IFERROR(INDEX(records[备注],MATCH(表42[[#This Row],[日期]]&amp;"做晚餐",records[日期]&amp;records[名称],0))&amp;"","")</f>
        <v/>
      </c>
      <c r="G17" s="29">
        <v>1</v>
      </c>
      <c r="H17" s="29">
        <v>0</v>
      </c>
      <c r="I17" s="29"/>
      <c r="J17" s="33">
        <v>43891</v>
      </c>
      <c r="K17" s="18">
        <f t="array" ref="K17">IFERROR(INDEX(records[开始时刻],MATCH(表43[[#This Row],[日期]]&amp;"做晚餐",records[日期]&amp;records[名称],0)),"")</f>
        <v>0.75</v>
      </c>
      <c r="L17" s="18">
        <f t="array" ref="L17">IFERROR(INDEX(records[结束时刻],MATCH(表43[[#This Row],[日期]]&amp;"做晚餐",records[日期]&amp;records[名称],0)),"")</f>
        <v>0.77083333333333337</v>
      </c>
      <c r="M17" s="18">
        <f t="array" ref="M17">IFERROR(INDEX(records[持续时间],MATCH(表43[[#This Row],[日期]]&amp;"做晚餐",records[日期]&amp;records[名称],0)),"")</f>
        <v>2.083333333333337E-2</v>
      </c>
      <c r="N17">
        <f t="array" ref="N17">IFERROR(INDEX(records[得分],MATCH(表42[[#This Row],[日期]]&amp;"吃晚餐",records[日期]&amp;records[名称],0)),"")</f>
        <v>0.1</v>
      </c>
      <c r="O17" t="str">
        <f t="array" ref="O17">IFERROR(INDEX(records[备注],MATCH(表42[[#This Row],[日期]]&amp;"做晚餐",records[日期]&amp;records[名称],0))&amp;"","")</f>
        <v/>
      </c>
      <c r="P17" s="29">
        <v>1</v>
      </c>
      <c r="Q17" s="29">
        <v>0</v>
      </c>
    </row>
    <row r="18" spans="1:17">
      <c r="A18" s="31">
        <v>43892</v>
      </c>
      <c r="B18" s="18">
        <f t="array" ref="B18">IFERROR(INDEX(records[开始时刻],MATCH(表42[[#This Row],[日期]]&amp;"做晚餐",records[日期]&amp;records[名称],0)),"")</f>
        <v>0.70833333333333337</v>
      </c>
      <c r="C18" s="18">
        <f t="array" ref="C18">IFERROR(INDEX(records[结束时刻],MATCH(表42[[#This Row],[日期]]&amp;"做晚餐",records[日期]&amp;records[名称],0)),"")</f>
        <v>0.75</v>
      </c>
      <c r="D18" s="18">
        <f t="array" ref="D18">IFERROR(INDEX(records[持续时间],MATCH(表42[[#This Row],[日期]]&amp;"做晚餐",records[日期]&amp;records[名称],0)),"")</f>
        <v>4.166666666666663E-2</v>
      </c>
      <c r="E18">
        <f t="array" ref="E18">IFERROR(INDEX(records[得分],MATCH(表42[[#This Row],[日期]]&amp;"做晚餐",records[日期]&amp;records[名称],0)),"")</f>
        <v>0.1</v>
      </c>
      <c r="F18" t="str">
        <f t="array" ref="F18">IFERROR(INDEX(records[备注],MATCH(表42[[#This Row],[日期]]&amp;"做晚餐",records[日期]&amp;records[名称],0))&amp;"","")</f>
        <v/>
      </c>
      <c r="G18" s="29">
        <f>IF(表42[[#This Row],[得分]]="","",IF(表42[[#This Row],[得分]]&gt;0,G17+1,0))</f>
        <v>2</v>
      </c>
      <c r="H18" s="29">
        <f>IF(表42[[#This Row],[得分]]="","",IF(表42[[#This Row],[得分]]&lt;0,H17+1,0))</f>
        <v>0</v>
      </c>
      <c r="I18" s="29"/>
      <c r="J18" s="31">
        <v>43892</v>
      </c>
      <c r="K18" s="18">
        <f t="array" ref="K18">IFERROR(INDEX(records[开始时刻],MATCH(表43[[#This Row],[日期]]&amp;"做晚餐",records[日期]&amp;records[名称],0)),"")</f>
        <v>0.70833333333333337</v>
      </c>
      <c r="L18" s="18">
        <f t="array" ref="L18">IFERROR(INDEX(records[结束时刻],MATCH(表43[[#This Row],[日期]]&amp;"做晚餐",records[日期]&amp;records[名称],0)),"")</f>
        <v>0.75</v>
      </c>
      <c r="M18" s="18">
        <f t="array" ref="M18">IFERROR(INDEX(records[持续时间],MATCH(表43[[#This Row],[日期]]&amp;"做晚餐",records[日期]&amp;records[名称],0)),"")</f>
        <v>4.166666666666663E-2</v>
      </c>
      <c r="N18">
        <f t="array" ref="N18">IFERROR(INDEX(records[得分],MATCH(表42[[#This Row],[日期]]&amp;"吃晚餐",records[日期]&amp;records[名称],0)),"")</f>
        <v>0.1</v>
      </c>
      <c r="O18" t="str">
        <f t="array" ref="O18">IFERROR(INDEX(records[备注],MATCH(表42[[#This Row],[日期]]&amp;"做晚餐",records[日期]&amp;records[名称],0))&amp;"","")</f>
        <v/>
      </c>
      <c r="P18" s="29">
        <f>IF(表43[[#This Row],[得分]]="","",IF(表43[[#This Row],[得分]]&gt;0,P17+1,0))</f>
        <v>2</v>
      </c>
      <c r="Q18" s="29">
        <f>IF(表43[[#This Row],[得分]]="","",IF(表43[[#This Row],[得分]]&lt;0,Q17+1,0))</f>
        <v>0</v>
      </c>
    </row>
    <row r="19" spans="1:17">
      <c r="A19" s="33">
        <v>43893</v>
      </c>
      <c r="B19" s="18">
        <f t="array" ref="B19">IFERROR(INDEX(records[开始时刻],MATCH(表42[[#This Row],[日期]]&amp;"做晚餐",records[日期]&amp;records[名称],0)),"")</f>
        <v>0.72916666666666663</v>
      </c>
      <c r="C19" s="18">
        <f t="array" ref="C19">IFERROR(INDEX(records[结束时刻],MATCH(表42[[#This Row],[日期]]&amp;"做晚餐",records[日期]&amp;records[名称],0)),"")</f>
        <v>0.77083333333333337</v>
      </c>
      <c r="D19" s="18">
        <f t="array" ref="D19">IFERROR(INDEX(records[持续时间],MATCH(表42[[#This Row],[日期]]&amp;"做晚餐",records[日期]&amp;records[名称],0)),"")</f>
        <v>4.1666666666666741E-2</v>
      </c>
      <c r="E19">
        <f t="array" ref="E19">IFERROR(INDEX(records[得分],MATCH(表42[[#This Row],[日期]]&amp;"做晚餐",records[日期]&amp;records[名称],0)),"")</f>
        <v>0.2</v>
      </c>
      <c r="F19" t="str">
        <f t="array" ref="F19">IFERROR(INDEX(records[备注],MATCH(表42[[#This Row],[日期]]&amp;"做晚餐",records[日期]&amp;records[名称],0))&amp;"","")</f>
        <v>已连续3天，增加0.1</v>
      </c>
      <c r="G19" s="29">
        <f>IF(表42[[#This Row],[得分]]="","",IF(表42[[#This Row],[得分]]&gt;0,G18+1,0))</f>
        <v>3</v>
      </c>
      <c r="H19" s="29">
        <f>IF(表42[[#This Row],[得分]]="","",IF(表42[[#This Row],[得分]]&lt;0,H18+1,0))</f>
        <v>0</v>
      </c>
      <c r="I19" s="29"/>
      <c r="J19" s="33">
        <v>43893</v>
      </c>
      <c r="K19" s="18">
        <f t="array" ref="K19">IFERROR(INDEX(records[开始时刻],MATCH(表43[[#This Row],[日期]]&amp;"做晚餐",records[日期]&amp;records[名称],0)),"")</f>
        <v>0.72916666666666663</v>
      </c>
      <c r="L19" s="18">
        <f t="array" ref="L19">IFERROR(INDEX(records[结束时刻],MATCH(表43[[#This Row],[日期]]&amp;"做晚餐",records[日期]&amp;records[名称],0)),"")</f>
        <v>0.77083333333333337</v>
      </c>
      <c r="M19" s="18">
        <f t="array" ref="M19">IFERROR(INDEX(records[持续时间],MATCH(表43[[#This Row],[日期]]&amp;"做晚餐",records[日期]&amp;records[名称],0)),"")</f>
        <v>4.1666666666666741E-2</v>
      </c>
      <c r="N19">
        <f t="array" ref="N19">IFERROR(INDEX(records[得分],MATCH(表42[[#This Row],[日期]]&amp;"吃晚餐",records[日期]&amp;records[名称],0)),"")</f>
        <v>0.2</v>
      </c>
      <c r="O19" t="str">
        <f t="array" ref="O19">IFERROR(INDEX(records[备注],MATCH(表42[[#This Row],[日期]]&amp;"做晚餐",records[日期]&amp;records[名称],0))&amp;"","")</f>
        <v>已连续3天，增加0.1</v>
      </c>
      <c r="P19" s="29">
        <f>IF(表43[[#This Row],[得分]]="","",IF(表43[[#This Row],[得分]]&gt;0,P18+1,0))</f>
        <v>3</v>
      </c>
      <c r="Q19" s="29">
        <f>IF(表43[[#This Row],[得分]]="","",IF(表43[[#This Row],[得分]]&lt;0,Q18+1,0))</f>
        <v>0</v>
      </c>
    </row>
    <row r="20" spans="1:17">
      <c r="A20" s="31">
        <v>43894</v>
      </c>
      <c r="B20" s="18">
        <f t="array" ref="B20">IFERROR(INDEX(records[开始时刻],MATCH(表42[[#This Row],[日期]]&amp;"做晚餐",records[日期]&amp;records[名称],0)),"")</f>
        <v>0.70833333333333337</v>
      </c>
      <c r="C20" s="18">
        <f t="array" ref="C20">IFERROR(INDEX(records[结束时刻],MATCH(表42[[#This Row],[日期]]&amp;"做晚餐",records[日期]&amp;records[名称],0)),"")</f>
        <v>0.75</v>
      </c>
      <c r="D20" s="18">
        <f t="array" ref="D20">IFERROR(INDEX(records[持续时间],MATCH(表42[[#This Row],[日期]]&amp;"做晚餐",records[日期]&amp;records[名称],0)),"")</f>
        <v>4.166666666666663E-2</v>
      </c>
      <c r="E20">
        <f t="array" ref="E20">IFERROR(INDEX(records[得分],MATCH(表42[[#This Row],[日期]]&amp;"做晚餐",records[日期]&amp;records[名称],0)),"")</f>
        <v>0.2</v>
      </c>
      <c r="F20" t="str">
        <f t="array" ref="F20">IFERROR(INDEX(records[备注],MATCH(表42[[#This Row],[日期]]&amp;"做晚餐",records[日期]&amp;records[名称],0))&amp;"","")</f>
        <v/>
      </c>
      <c r="G20" s="29">
        <f>IF(表42[[#This Row],[得分]]="","",IF(表42[[#This Row],[得分]]&gt;0,G19+1,0))</f>
        <v>4</v>
      </c>
      <c r="H20" s="29">
        <f>IF(表42[[#This Row],[得分]]="","",IF(表42[[#This Row],[得分]]&lt;0,H19+1,0))</f>
        <v>0</v>
      </c>
      <c r="I20" s="29"/>
      <c r="J20" s="31">
        <v>43894</v>
      </c>
      <c r="K20" s="18">
        <f t="array" ref="K20">IFERROR(INDEX(records[开始时刻],MATCH(表43[[#This Row],[日期]]&amp;"做晚餐",records[日期]&amp;records[名称],0)),"")</f>
        <v>0.70833333333333337</v>
      </c>
      <c r="L20" s="18">
        <f t="array" ref="L20">IFERROR(INDEX(records[结束时刻],MATCH(表43[[#This Row],[日期]]&amp;"做晚餐",records[日期]&amp;records[名称],0)),"")</f>
        <v>0.75</v>
      </c>
      <c r="M20" s="18">
        <f t="array" ref="M20">IFERROR(INDEX(records[持续时间],MATCH(表43[[#This Row],[日期]]&amp;"做晚餐",records[日期]&amp;records[名称],0)),"")</f>
        <v>4.166666666666663E-2</v>
      </c>
      <c r="N20">
        <f t="array" ref="N20">IFERROR(INDEX(records[得分],MATCH(表42[[#This Row],[日期]]&amp;"吃晚餐",records[日期]&amp;records[名称],0)),"")</f>
        <v>0.2</v>
      </c>
      <c r="O20" t="str">
        <f t="array" ref="O20">IFERROR(INDEX(records[备注],MATCH(表42[[#This Row],[日期]]&amp;"做晚餐",records[日期]&amp;records[名称],0))&amp;"","")</f>
        <v/>
      </c>
      <c r="P20" s="29">
        <f>IF(表43[[#This Row],[得分]]="","",IF(表43[[#This Row],[得分]]&gt;0,P19+1,0))</f>
        <v>4</v>
      </c>
      <c r="Q20" s="29">
        <f>IF(表43[[#This Row],[得分]]="","",IF(表43[[#This Row],[得分]]&lt;0,Q19+1,0))</f>
        <v>0</v>
      </c>
    </row>
    <row r="21" spans="1:17">
      <c r="A21" s="33">
        <v>43895</v>
      </c>
      <c r="B21" s="18">
        <f t="array" ref="B21">IFERROR(INDEX(records[开始时刻],MATCH(表42[[#This Row],[日期]]&amp;"做晚餐",records[日期]&amp;records[名称],0)),"")</f>
        <v>0.70833333333333337</v>
      </c>
      <c r="C21" s="18">
        <f t="array" ref="C21">IFERROR(INDEX(records[结束时刻],MATCH(表42[[#This Row],[日期]]&amp;"做晚餐",records[日期]&amp;records[名称],0)),"")</f>
        <v>0.75</v>
      </c>
      <c r="D21" s="18">
        <f t="array" ref="D21">IFERROR(INDEX(records[持续时间],MATCH(表42[[#This Row],[日期]]&amp;"做晚餐",records[日期]&amp;records[名称],0)),"")</f>
        <v>4.166666666666663E-2</v>
      </c>
      <c r="E21">
        <f t="array" ref="E21">IFERROR(INDEX(records[得分],MATCH(表42[[#This Row],[日期]]&amp;"做晚餐",records[日期]&amp;records[名称],0)),"")</f>
        <v>0.2</v>
      </c>
      <c r="F21" t="str">
        <f t="array" ref="F21">IFERROR(INDEX(records[备注],MATCH(表42[[#This Row],[日期]]&amp;"做晚餐",records[日期]&amp;records[名称],0))&amp;"","")</f>
        <v/>
      </c>
      <c r="G21" s="29">
        <f>IF(表42[[#This Row],[得分]]="","",IF(表42[[#This Row],[得分]]&gt;0,G20+1,0))</f>
        <v>5</v>
      </c>
      <c r="H21" s="29">
        <f>IF(表42[[#This Row],[得分]]="","",IF(表42[[#This Row],[得分]]&lt;0,H20+1,0))</f>
        <v>0</v>
      </c>
      <c r="I21" s="29"/>
      <c r="J21" s="33">
        <v>43895</v>
      </c>
      <c r="K21" s="18">
        <f t="array" ref="K21">IFERROR(INDEX(records[开始时刻],MATCH(表43[[#This Row],[日期]]&amp;"做晚餐",records[日期]&amp;records[名称],0)),"")</f>
        <v>0.70833333333333337</v>
      </c>
      <c r="L21" s="18">
        <f t="array" ref="L21">IFERROR(INDEX(records[结束时刻],MATCH(表43[[#This Row],[日期]]&amp;"做晚餐",records[日期]&amp;records[名称],0)),"")</f>
        <v>0.75</v>
      </c>
      <c r="M21" s="18">
        <f t="array" ref="M21">IFERROR(INDEX(records[持续时间],MATCH(表43[[#This Row],[日期]]&amp;"做晚餐",records[日期]&amp;records[名称],0)),"")</f>
        <v>4.166666666666663E-2</v>
      </c>
      <c r="N21">
        <f t="array" ref="N21">IFERROR(INDEX(records[得分],MATCH(表42[[#This Row],[日期]]&amp;"吃晚餐",records[日期]&amp;records[名称],0)),"")</f>
        <v>0.2</v>
      </c>
      <c r="O21" t="str">
        <f t="array" ref="O21">IFERROR(INDEX(records[备注],MATCH(表42[[#This Row],[日期]]&amp;"做晚餐",records[日期]&amp;records[名称],0))&amp;"","")</f>
        <v/>
      </c>
      <c r="P21" s="29">
        <f>IF(表43[[#This Row],[得分]]="","",IF(表43[[#This Row],[得分]]&gt;0,P20+1,0))</f>
        <v>5</v>
      </c>
      <c r="Q21" s="29">
        <f>IF(表43[[#This Row],[得分]]="","",IF(表43[[#This Row],[得分]]&lt;0,Q20+1,0))</f>
        <v>0</v>
      </c>
    </row>
    <row r="22" spans="1:17">
      <c r="A22" s="31">
        <v>43896</v>
      </c>
      <c r="B22" s="18" t="str">
        <f t="array" ref="B22">IFERROR(INDEX(records[开始时刻],MATCH(表42[[#This Row],[日期]]&amp;"做晚餐",records[日期]&amp;records[名称],0)),"")</f>
        <v/>
      </c>
      <c r="C22" s="18" t="str">
        <f t="array" ref="C22">IFERROR(INDEX(records[结束时刻],MATCH(表42[[#This Row],[日期]]&amp;"做晚餐",records[日期]&amp;records[名称],0)),"")</f>
        <v/>
      </c>
      <c r="D22" s="18" t="str">
        <f t="array" ref="D22">IFERROR(INDEX(records[持续时间],MATCH(表42[[#This Row],[日期]]&amp;"做晚餐",records[日期]&amp;records[名称],0)),"")</f>
        <v/>
      </c>
      <c r="E22" t="str">
        <f t="array" ref="E22">IFERROR(INDEX(records[得分],MATCH(表42[[#This Row],[日期]]&amp;"做晚餐",records[日期]&amp;records[名称],0)),"")</f>
        <v/>
      </c>
      <c r="F22" t="str">
        <f t="array" ref="F22">IFERROR(INDEX(records[备注],MATCH(表42[[#This Row],[日期]]&amp;"做晚餐",records[日期]&amp;records[名称],0))&amp;"","")</f>
        <v/>
      </c>
      <c r="G22" s="29" t="str">
        <f>IF(表42[[#This Row],[得分]]="","",IF(表42[[#This Row],[得分]]&gt;0,G21+1,0))</f>
        <v/>
      </c>
      <c r="H22" s="29" t="str">
        <f>IF(表42[[#This Row],[得分]]="","",IF(表42[[#This Row],[得分]]&lt;0,H21+1,0))</f>
        <v/>
      </c>
      <c r="I22" s="29"/>
      <c r="J22" s="31">
        <v>43896</v>
      </c>
      <c r="K22" s="18" t="str">
        <f t="array" ref="K22">IFERROR(INDEX(records[开始时刻],MATCH(表43[[#This Row],[日期]]&amp;"做晚餐",records[日期]&amp;records[名称],0)),"")</f>
        <v/>
      </c>
      <c r="L22" s="18" t="str">
        <f t="array" ref="L22">IFERROR(INDEX(records[结束时刻],MATCH(表43[[#This Row],[日期]]&amp;"做晚餐",records[日期]&amp;records[名称],0)),"")</f>
        <v/>
      </c>
      <c r="M22" s="18" t="str">
        <f t="array" ref="M22">IFERROR(INDEX(records[持续时间],MATCH(表43[[#This Row],[日期]]&amp;"做晚餐",records[日期]&amp;records[名称],0)),"")</f>
        <v/>
      </c>
      <c r="N22" t="str">
        <f t="array" ref="N22">IFERROR(INDEX(records[得分],MATCH(表42[[#This Row],[日期]]&amp;"吃晚餐",records[日期]&amp;records[名称],0)),"")</f>
        <v/>
      </c>
      <c r="O22" t="str">
        <f t="array" ref="O22">IFERROR(INDEX(records[备注],MATCH(表42[[#This Row],[日期]]&amp;"做晚餐",records[日期]&amp;records[名称],0))&amp;"","")</f>
        <v/>
      </c>
      <c r="P22" s="29" t="str">
        <f>IF(表43[[#This Row],[得分]]="","",IF(表43[[#This Row],[得分]]&gt;0,P21+1,0))</f>
        <v/>
      </c>
      <c r="Q22" s="29" t="str">
        <f>IF(表43[[#This Row],[得分]]="","",IF(表43[[#This Row],[得分]]&lt;0,Q21+1,0))</f>
        <v/>
      </c>
    </row>
    <row r="23" spans="1:17">
      <c r="A23" s="33">
        <v>43897</v>
      </c>
      <c r="B23" s="18" t="str">
        <f t="array" ref="B23">IFERROR(INDEX(records[开始时刻],MATCH(表42[[#This Row],[日期]]&amp;"做晚餐",records[日期]&amp;records[名称],0)),"")</f>
        <v/>
      </c>
      <c r="C23" s="18" t="str">
        <f t="array" ref="C23">IFERROR(INDEX(records[结束时刻],MATCH(表42[[#This Row],[日期]]&amp;"做晚餐",records[日期]&amp;records[名称],0)),"")</f>
        <v/>
      </c>
      <c r="D23" s="18" t="str">
        <f t="array" ref="D23">IFERROR(INDEX(records[持续时间],MATCH(表42[[#This Row],[日期]]&amp;"做晚餐",records[日期]&amp;records[名称],0)),"")</f>
        <v/>
      </c>
      <c r="E23" t="str">
        <f t="array" ref="E23">IFERROR(INDEX(records[得分],MATCH(表42[[#This Row],[日期]]&amp;"做晚餐",records[日期]&amp;records[名称],0)),"")</f>
        <v/>
      </c>
      <c r="F23" t="str">
        <f t="array" ref="F23">IFERROR(INDEX(records[备注],MATCH(表42[[#This Row],[日期]]&amp;"做晚餐",records[日期]&amp;records[名称],0))&amp;"","")</f>
        <v/>
      </c>
      <c r="G23" s="29" t="str">
        <f>IF(表42[[#This Row],[得分]]="","",IF(表42[[#This Row],[得分]]&gt;0,G22+1,0))</f>
        <v/>
      </c>
      <c r="H23" s="29" t="str">
        <f>IF(表42[[#This Row],[得分]]="","",IF(表42[[#This Row],[得分]]&lt;0,H22+1,0))</f>
        <v/>
      </c>
      <c r="I23" s="29"/>
      <c r="J23" s="33">
        <v>43897</v>
      </c>
      <c r="K23" s="18" t="str">
        <f t="array" ref="K23">IFERROR(INDEX(records[开始时刻],MATCH(表43[[#This Row],[日期]]&amp;"做晚餐",records[日期]&amp;records[名称],0)),"")</f>
        <v/>
      </c>
      <c r="L23" s="18" t="str">
        <f t="array" ref="L23">IFERROR(INDEX(records[结束时刻],MATCH(表43[[#This Row],[日期]]&amp;"做晚餐",records[日期]&amp;records[名称],0)),"")</f>
        <v/>
      </c>
      <c r="M23" s="18" t="str">
        <f t="array" ref="M23">IFERROR(INDEX(records[持续时间],MATCH(表43[[#This Row],[日期]]&amp;"做晚餐",records[日期]&amp;records[名称],0)),"")</f>
        <v/>
      </c>
      <c r="N23" t="str">
        <f t="array" ref="N23">IFERROR(INDEX(records[得分],MATCH(表42[[#This Row],[日期]]&amp;"吃晚餐",records[日期]&amp;records[名称],0)),"")</f>
        <v/>
      </c>
      <c r="O23" t="str">
        <f t="array" ref="O23">IFERROR(INDEX(records[备注],MATCH(表42[[#This Row],[日期]]&amp;"做晚餐",records[日期]&amp;records[名称],0))&amp;"","")</f>
        <v/>
      </c>
      <c r="P23" s="29" t="str">
        <f>IF(表43[[#This Row],[得分]]="","",IF(表43[[#This Row],[得分]]&gt;0,P22+1,0))</f>
        <v/>
      </c>
      <c r="Q23" s="29" t="str">
        <f>IF(表43[[#This Row],[得分]]="","",IF(表43[[#This Row],[得分]]&lt;0,Q22+1,0))</f>
        <v/>
      </c>
    </row>
    <row r="24" spans="1:17">
      <c r="A24" s="31">
        <v>43898</v>
      </c>
      <c r="B24" s="18" t="str">
        <f t="array" ref="B24">IFERROR(INDEX(records[开始时刻],MATCH(表42[[#This Row],[日期]]&amp;"做晚餐",records[日期]&amp;records[名称],0)),"")</f>
        <v/>
      </c>
      <c r="C24" s="18" t="str">
        <f t="array" ref="C24">IFERROR(INDEX(records[结束时刻],MATCH(表42[[#This Row],[日期]]&amp;"做晚餐",records[日期]&amp;records[名称],0)),"")</f>
        <v/>
      </c>
      <c r="D24" s="18" t="str">
        <f t="array" ref="D24">IFERROR(INDEX(records[持续时间],MATCH(表42[[#This Row],[日期]]&amp;"做晚餐",records[日期]&amp;records[名称],0)),"")</f>
        <v/>
      </c>
      <c r="E24" t="str">
        <f t="array" ref="E24">IFERROR(INDEX(records[得分],MATCH(表42[[#This Row],[日期]]&amp;"做晚餐",records[日期]&amp;records[名称],0)),"")</f>
        <v/>
      </c>
      <c r="F24" t="str">
        <f t="array" ref="F24">IFERROR(INDEX(records[备注],MATCH(表42[[#This Row],[日期]]&amp;"做晚餐",records[日期]&amp;records[名称],0))&amp;"","")</f>
        <v/>
      </c>
      <c r="G24" s="29" t="str">
        <f>IF(表42[[#This Row],[得分]]="","",IF(表42[[#This Row],[得分]]&gt;0,G23+1,0))</f>
        <v/>
      </c>
      <c r="H24" s="29" t="str">
        <f>IF(表42[[#This Row],[得分]]="","",IF(表42[[#This Row],[得分]]&lt;0,H23+1,0))</f>
        <v/>
      </c>
      <c r="I24" s="29"/>
      <c r="J24" s="31">
        <v>43898</v>
      </c>
      <c r="K24" s="18" t="str">
        <f t="array" ref="K24">IFERROR(INDEX(records[开始时刻],MATCH(表43[[#This Row],[日期]]&amp;"做晚餐",records[日期]&amp;records[名称],0)),"")</f>
        <v/>
      </c>
      <c r="L24" s="18" t="str">
        <f t="array" ref="L24">IFERROR(INDEX(records[结束时刻],MATCH(表43[[#This Row],[日期]]&amp;"做晚餐",records[日期]&amp;records[名称],0)),"")</f>
        <v/>
      </c>
      <c r="M24" s="18" t="str">
        <f t="array" ref="M24">IFERROR(INDEX(records[持续时间],MATCH(表43[[#This Row],[日期]]&amp;"做晚餐",records[日期]&amp;records[名称],0)),"")</f>
        <v/>
      </c>
      <c r="N24" t="str">
        <f t="array" ref="N24">IFERROR(INDEX(records[得分],MATCH(表42[[#This Row],[日期]]&amp;"吃晚餐",records[日期]&amp;records[名称],0)),"")</f>
        <v/>
      </c>
      <c r="O24" t="str">
        <f t="array" ref="O24">IFERROR(INDEX(records[备注],MATCH(表42[[#This Row],[日期]]&amp;"做晚餐",records[日期]&amp;records[名称],0))&amp;"","")</f>
        <v/>
      </c>
      <c r="P24" s="29" t="str">
        <f>IF(表43[[#This Row],[得分]]="","",IF(表43[[#This Row],[得分]]&gt;0,P23+1,0))</f>
        <v/>
      </c>
      <c r="Q24" s="29" t="str">
        <f>IF(表43[[#This Row],[得分]]="","",IF(表43[[#This Row],[得分]]&lt;0,Q23+1,0))</f>
        <v/>
      </c>
    </row>
    <row r="25" spans="1:17">
      <c r="A25" s="33">
        <v>43899</v>
      </c>
      <c r="B25" s="18" t="str">
        <f t="array" ref="B25">IFERROR(INDEX(records[开始时刻],MATCH(表42[[#This Row],[日期]]&amp;"做晚餐",records[日期]&amp;records[名称],0)),"")</f>
        <v/>
      </c>
      <c r="C25" s="18" t="str">
        <f t="array" ref="C25">IFERROR(INDEX(records[结束时刻],MATCH(表42[[#This Row],[日期]]&amp;"做晚餐",records[日期]&amp;records[名称],0)),"")</f>
        <v/>
      </c>
      <c r="D25" s="18" t="str">
        <f t="array" ref="D25">IFERROR(INDEX(records[持续时间],MATCH(表42[[#This Row],[日期]]&amp;"做晚餐",records[日期]&amp;records[名称],0)),"")</f>
        <v/>
      </c>
      <c r="E25" t="str">
        <f t="array" ref="E25">IFERROR(INDEX(records[得分],MATCH(表42[[#This Row],[日期]]&amp;"做晚餐",records[日期]&amp;records[名称],0)),"")</f>
        <v/>
      </c>
      <c r="F25" t="str">
        <f t="array" ref="F25">IFERROR(INDEX(records[备注],MATCH(表42[[#This Row],[日期]]&amp;"做晚餐",records[日期]&amp;records[名称],0))&amp;"","")</f>
        <v/>
      </c>
      <c r="G25" s="29" t="str">
        <f>IF(表42[[#This Row],[得分]]="","",IF(表42[[#This Row],[得分]]&gt;0,G24+1,0))</f>
        <v/>
      </c>
      <c r="H25" s="29" t="str">
        <f>IF(表42[[#This Row],[得分]]="","",IF(表42[[#This Row],[得分]]&lt;0,H24+1,0))</f>
        <v/>
      </c>
      <c r="I25" s="29"/>
      <c r="J25" s="33">
        <v>43899</v>
      </c>
      <c r="K25" s="18" t="str">
        <f t="array" ref="K25">IFERROR(INDEX(records[开始时刻],MATCH(表43[[#This Row],[日期]]&amp;"做晚餐",records[日期]&amp;records[名称],0)),"")</f>
        <v/>
      </c>
      <c r="L25" s="18" t="str">
        <f t="array" ref="L25">IFERROR(INDEX(records[结束时刻],MATCH(表43[[#This Row],[日期]]&amp;"做晚餐",records[日期]&amp;records[名称],0)),"")</f>
        <v/>
      </c>
      <c r="M25" s="18" t="str">
        <f t="array" ref="M25">IFERROR(INDEX(records[持续时间],MATCH(表43[[#This Row],[日期]]&amp;"做晚餐",records[日期]&amp;records[名称],0)),"")</f>
        <v/>
      </c>
      <c r="N25" t="str">
        <f t="array" ref="N25">IFERROR(INDEX(records[得分],MATCH(表42[[#This Row],[日期]]&amp;"吃晚餐",records[日期]&amp;records[名称],0)),"")</f>
        <v/>
      </c>
      <c r="O25" t="str">
        <f t="array" ref="O25">IFERROR(INDEX(records[备注],MATCH(表42[[#This Row],[日期]]&amp;"做晚餐",records[日期]&amp;records[名称],0))&amp;"","")</f>
        <v/>
      </c>
      <c r="P25" s="29" t="str">
        <f>IF(表43[[#This Row],[得分]]="","",IF(表43[[#This Row],[得分]]&gt;0,P24+1,0))</f>
        <v/>
      </c>
      <c r="Q25" s="29" t="str">
        <f>IF(表43[[#This Row],[得分]]="","",IF(表43[[#This Row],[得分]]&lt;0,Q24+1,0))</f>
        <v/>
      </c>
    </row>
    <row r="26" spans="1:17">
      <c r="A26" s="31">
        <v>43900</v>
      </c>
      <c r="B26" s="18" t="str">
        <f t="array" ref="B26">IFERROR(INDEX(records[开始时刻],MATCH(表42[[#This Row],[日期]]&amp;"做晚餐",records[日期]&amp;records[名称],0)),"")</f>
        <v/>
      </c>
      <c r="C26" s="18" t="str">
        <f t="array" ref="C26">IFERROR(INDEX(records[结束时刻],MATCH(表42[[#This Row],[日期]]&amp;"做晚餐",records[日期]&amp;records[名称],0)),"")</f>
        <v/>
      </c>
      <c r="D26" s="18" t="str">
        <f t="array" ref="D26">IFERROR(INDEX(records[持续时间],MATCH(表42[[#This Row],[日期]]&amp;"做晚餐",records[日期]&amp;records[名称],0)),"")</f>
        <v/>
      </c>
      <c r="E26" t="str">
        <f t="array" ref="E26">IFERROR(INDEX(records[得分],MATCH(表42[[#This Row],[日期]]&amp;"做晚餐",records[日期]&amp;records[名称],0)),"")</f>
        <v/>
      </c>
      <c r="F26" t="str">
        <f t="array" ref="F26">IFERROR(INDEX(records[备注],MATCH(表42[[#This Row],[日期]]&amp;"做晚餐",records[日期]&amp;records[名称],0))&amp;"","")</f>
        <v/>
      </c>
      <c r="G26" s="29" t="str">
        <f>IF(表42[[#This Row],[得分]]="","",IF(表42[[#This Row],[得分]]&gt;0,G25+1,0))</f>
        <v/>
      </c>
      <c r="H26" s="29" t="str">
        <f>IF(表42[[#This Row],[得分]]="","",IF(表42[[#This Row],[得分]]&lt;0,H25+1,0))</f>
        <v/>
      </c>
      <c r="I26" s="29"/>
      <c r="J26" s="31">
        <v>43900</v>
      </c>
      <c r="K26" s="18" t="str">
        <f t="array" ref="K26">IFERROR(INDEX(records[开始时刻],MATCH(表43[[#This Row],[日期]]&amp;"做晚餐",records[日期]&amp;records[名称],0)),"")</f>
        <v/>
      </c>
      <c r="L26" s="18" t="str">
        <f t="array" ref="L26">IFERROR(INDEX(records[结束时刻],MATCH(表43[[#This Row],[日期]]&amp;"做晚餐",records[日期]&amp;records[名称],0)),"")</f>
        <v/>
      </c>
      <c r="M26" s="18" t="str">
        <f t="array" ref="M26">IFERROR(INDEX(records[持续时间],MATCH(表43[[#This Row],[日期]]&amp;"做晚餐",records[日期]&amp;records[名称],0)),"")</f>
        <v/>
      </c>
      <c r="N26" t="str">
        <f t="array" ref="N26">IFERROR(INDEX(records[得分],MATCH(表42[[#This Row],[日期]]&amp;"吃晚餐",records[日期]&amp;records[名称],0)),"")</f>
        <v/>
      </c>
      <c r="O26" t="str">
        <f t="array" ref="O26">IFERROR(INDEX(records[备注],MATCH(表42[[#This Row],[日期]]&amp;"做晚餐",records[日期]&amp;records[名称],0))&amp;"","")</f>
        <v/>
      </c>
      <c r="P26" s="29" t="str">
        <f>IF(表43[[#This Row],[得分]]="","",IF(表43[[#This Row],[得分]]&gt;0,P25+1,0))</f>
        <v/>
      </c>
      <c r="Q26" s="29" t="str">
        <f>IF(表43[[#This Row],[得分]]="","",IF(表43[[#This Row],[得分]]&lt;0,Q25+1,0))</f>
        <v/>
      </c>
    </row>
    <row r="27" spans="1:17">
      <c r="A27" s="33">
        <v>43901</v>
      </c>
      <c r="B27" s="18" t="str">
        <f t="array" ref="B27">IFERROR(INDEX(records[开始时刻],MATCH(表42[[#This Row],[日期]]&amp;"做晚餐",records[日期]&amp;records[名称],0)),"")</f>
        <v/>
      </c>
      <c r="C27" s="18" t="str">
        <f t="array" ref="C27">IFERROR(INDEX(records[结束时刻],MATCH(表42[[#This Row],[日期]]&amp;"做晚餐",records[日期]&amp;records[名称],0)),"")</f>
        <v/>
      </c>
      <c r="D27" s="18" t="str">
        <f t="array" ref="D27">IFERROR(INDEX(records[持续时间],MATCH(表42[[#This Row],[日期]]&amp;"做晚餐",records[日期]&amp;records[名称],0)),"")</f>
        <v/>
      </c>
      <c r="E27" t="str">
        <f t="array" ref="E27">IFERROR(INDEX(records[得分],MATCH(表42[[#This Row],[日期]]&amp;"做晚餐",records[日期]&amp;records[名称],0)),"")</f>
        <v/>
      </c>
      <c r="F27" t="str">
        <f t="array" ref="F27">IFERROR(INDEX(records[备注],MATCH(表42[[#This Row],[日期]]&amp;"做晚餐",records[日期]&amp;records[名称],0))&amp;"","")</f>
        <v/>
      </c>
      <c r="G27" s="29" t="str">
        <f>IF(表42[[#This Row],[得分]]="","",IF(表42[[#This Row],[得分]]&gt;0,G26+1,0))</f>
        <v/>
      </c>
      <c r="H27" s="29" t="str">
        <f>IF(表42[[#This Row],[得分]]="","",IF(表42[[#This Row],[得分]]&lt;0,H26+1,0))</f>
        <v/>
      </c>
      <c r="I27" s="29"/>
      <c r="J27" s="33">
        <v>43901</v>
      </c>
      <c r="K27" s="18" t="str">
        <f t="array" ref="K27">IFERROR(INDEX(records[开始时刻],MATCH(表43[[#This Row],[日期]]&amp;"做晚餐",records[日期]&amp;records[名称],0)),"")</f>
        <v/>
      </c>
      <c r="L27" s="18" t="str">
        <f t="array" ref="L27">IFERROR(INDEX(records[结束时刻],MATCH(表43[[#This Row],[日期]]&amp;"做晚餐",records[日期]&amp;records[名称],0)),"")</f>
        <v/>
      </c>
      <c r="M27" s="18" t="str">
        <f t="array" ref="M27">IFERROR(INDEX(records[持续时间],MATCH(表43[[#This Row],[日期]]&amp;"做晚餐",records[日期]&amp;records[名称],0)),"")</f>
        <v/>
      </c>
      <c r="N27" t="str">
        <f t="array" ref="N27">IFERROR(INDEX(records[得分],MATCH(表42[[#This Row],[日期]]&amp;"吃晚餐",records[日期]&amp;records[名称],0)),"")</f>
        <v/>
      </c>
      <c r="O27" t="str">
        <f t="array" ref="O27">IFERROR(INDEX(records[备注],MATCH(表42[[#This Row],[日期]]&amp;"做晚餐",records[日期]&amp;records[名称],0))&amp;"","")</f>
        <v/>
      </c>
      <c r="P27" s="29" t="str">
        <f>IF(表43[[#This Row],[得分]]="","",IF(表43[[#This Row],[得分]]&gt;0,P26+1,0))</f>
        <v/>
      </c>
      <c r="Q27" s="29" t="str">
        <f>IF(表43[[#This Row],[得分]]="","",IF(表43[[#This Row],[得分]]&lt;0,Q26+1,0))</f>
        <v/>
      </c>
    </row>
    <row r="28" spans="1:17">
      <c r="A28" s="31">
        <v>43902</v>
      </c>
      <c r="B28" s="18" t="str">
        <f t="array" ref="B28">IFERROR(INDEX(records[开始时刻],MATCH(表42[[#This Row],[日期]]&amp;"做晚餐",records[日期]&amp;records[名称],0)),"")</f>
        <v/>
      </c>
      <c r="C28" s="18" t="str">
        <f t="array" ref="C28">IFERROR(INDEX(records[结束时刻],MATCH(表42[[#This Row],[日期]]&amp;"做晚餐",records[日期]&amp;records[名称],0)),"")</f>
        <v/>
      </c>
      <c r="D28" s="18" t="str">
        <f t="array" ref="D28">IFERROR(INDEX(records[持续时间],MATCH(表42[[#This Row],[日期]]&amp;"做晚餐",records[日期]&amp;records[名称],0)),"")</f>
        <v/>
      </c>
      <c r="E28" t="str">
        <f t="array" ref="E28">IFERROR(INDEX(records[得分],MATCH(表42[[#This Row],[日期]]&amp;"做晚餐",records[日期]&amp;records[名称],0)),"")</f>
        <v/>
      </c>
      <c r="F28" t="str">
        <f t="array" ref="F28">IFERROR(INDEX(records[备注],MATCH(表42[[#This Row],[日期]]&amp;"做晚餐",records[日期]&amp;records[名称],0))&amp;"","")</f>
        <v/>
      </c>
      <c r="G28" s="29" t="str">
        <f>IF(表42[[#This Row],[得分]]="","",IF(表42[[#This Row],[得分]]&gt;0,G27+1,0))</f>
        <v/>
      </c>
      <c r="H28" s="29" t="str">
        <f>IF(表42[[#This Row],[得分]]="","",IF(表42[[#This Row],[得分]]&lt;0,H27+1,0))</f>
        <v/>
      </c>
      <c r="I28" s="29"/>
      <c r="J28" s="31">
        <v>43902</v>
      </c>
      <c r="K28" s="18" t="str">
        <f t="array" ref="K28">IFERROR(INDEX(records[开始时刻],MATCH(表43[[#This Row],[日期]]&amp;"做晚餐",records[日期]&amp;records[名称],0)),"")</f>
        <v/>
      </c>
      <c r="L28" s="18" t="str">
        <f t="array" ref="L28">IFERROR(INDEX(records[结束时刻],MATCH(表43[[#This Row],[日期]]&amp;"做晚餐",records[日期]&amp;records[名称],0)),"")</f>
        <v/>
      </c>
      <c r="M28" s="18" t="str">
        <f t="array" ref="M28">IFERROR(INDEX(records[持续时间],MATCH(表43[[#This Row],[日期]]&amp;"做晚餐",records[日期]&amp;records[名称],0)),"")</f>
        <v/>
      </c>
      <c r="N28" t="str">
        <f t="array" ref="N28">IFERROR(INDEX(records[得分],MATCH(表42[[#This Row],[日期]]&amp;"吃晚餐",records[日期]&amp;records[名称],0)),"")</f>
        <v/>
      </c>
      <c r="O28" t="str">
        <f t="array" ref="O28">IFERROR(INDEX(records[备注],MATCH(表42[[#This Row],[日期]]&amp;"做晚餐",records[日期]&amp;records[名称],0))&amp;"","")</f>
        <v/>
      </c>
      <c r="P28" s="29" t="str">
        <f>IF(表43[[#This Row],[得分]]="","",IF(表43[[#This Row],[得分]]&gt;0,P27+1,0))</f>
        <v/>
      </c>
      <c r="Q28" s="29" t="str">
        <f>IF(表43[[#This Row],[得分]]="","",IF(表43[[#This Row],[得分]]&lt;0,Q27+1,0))</f>
        <v/>
      </c>
    </row>
    <row r="29" spans="1:17">
      <c r="A29" s="35">
        <v>43903</v>
      </c>
      <c r="B29" s="18" t="str">
        <f t="array" ref="B29">IFERROR(INDEX(records[开始时刻],MATCH(表42[[#This Row],[日期]]&amp;"做晚餐",records[日期]&amp;records[名称],0)),"")</f>
        <v/>
      </c>
      <c r="C29" s="18" t="str">
        <f t="array" ref="C29">IFERROR(INDEX(records[结束时刻],MATCH(表42[[#This Row],[日期]]&amp;"做晚餐",records[日期]&amp;records[名称],0)),"")</f>
        <v/>
      </c>
      <c r="D29" s="18" t="str">
        <f t="array" ref="D29">IFERROR(INDEX(records[持续时间],MATCH(表42[[#This Row],[日期]]&amp;"做晚餐",records[日期]&amp;records[名称],0)),"")</f>
        <v/>
      </c>
      <c r="E29" t="str">
        <f t="array" ref="E29">IFERROR(INDEX(records[得分],MATCH(表42[[#This Row],[日期]]&amp;"做晚餐",records[日期]&amp;records[名称],0)),"")</f>
        <v/>
      </c>
      <c r="F29" t="str">
        <f t="array" ref="F29">IFERROR(INDEX(records[备注],MATCH(表42[[#This Row],[日期]]&amp;"做晚餐",records[日期]&amp;records[名称],0))&amp;"","")</f>
        <v/>
      </c>
      <c r="G29" s="29" t="str">
        <f>IF(表42[[#This Row],[得分]]="","",IF(表42[[#This Row],[得分]]&gt;0,G28+1,0))</f>
        <v/>
      </c>
      <c r="H29" s="29" t="str">
        <f>IF(表42[[#This Row],[得分]]="","",IF(表42[[#This Row],[得分]]&lt;0,H28+1,0))</f>
        <v/>
      </c>
      <c r="I29" s="29"/>
      <c r="J29" s="35">
        <v>43903</v>
      </c>
      <c r="K29" s="18" t="str">
        <f t="array" ref="K29">IFERROR(INDEX(records[开始时刻],MATCH(表43[[#This Row],[日期]]&amp;"做晚餐",records[日期]&amp;records[名称],0)),"")</f>
        <v/>
      </c>
      <c r="L29" s="18" t="str">
        <f t="array" ref="L29">IFERROR(INDEX(records[结束时刻],MATCH(表43[[#This Row],[日期]]&amp;"做晚餐",records[日期]&amp;records[名称],0)),"")</f>
        <v/>
      </c>
      <c r="M29" s="18" t="str">
        <f t="array" ref="M29">IFERROR(INDEX(records[持续时间],MATCH(表43[[#This Row],[日期]]&amp;"做晚餐",records[日期]&amp;records[名称],0)),"")</f>
        <v/>
      </c>
      <c r="N29" t="str">
        <f t="array" ref="N29">IFERROR(INDEX(records[得分],MATCH(表42[[#This Row],[日期]]&amp;"吃晚餐",records[日期]&amp;records[名称],0)),"")</f>
        <v/>
      </c>
      <c r="O29" t="str">
        <f t="array" ref="O29">IFERROR(INDEX(records[备注],MATCH(表42[[#This Row],[日期]]&amp;"做晚餐",records[日期]&amp;records[名称],0))&amp;"","")</f>
        <v/>
      </c>
      <c r="P29" s="29" t="str">
        <f>IF(表43[[#This Row],[得分]]="","",IF(表43[[#This Row],[得分]]&gt;0,P28+1,0))</f>
        <v/>
      </c>
      <c r="Q29" s="29" t="str">
        <f>IF(表43[[#This Row],[得分]]="","",IF(表43[[#This Row],[得分]]&lt;0,Q28+1,0))</f>
        <v/>
      </c>
    </row>
  </sheetData>
  <mergeCells count="3">
    <mergeCell ref="A7:Q7"/>
    <mergeCell ref="A8:H8"/>
    <mergeCell ref="J8:Q8"/>
  </mergeCells>
  <phoneticPr fontId="1" type="noConversion"/>
  <pageMargins left="0.7" right="0.7" top="0.75" bottom="0.75" header="0.3" footer="0.3"/>
  <tableParts count="2">
    <tablePart r:id="rId1"/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7D2B4-34E3-F54D-90AC-FBF288334EE3}">
  <dimension ref="A1:Q34"/>
  <sheetViews>
    <sheetView workbookViewId="0">
      <selection activeCell="G20" sqref="G20"/>
    </sheetView>
  </sheetViews>
  <sheetFormatPr baseColWidth="10" defaultRowHeight="16"/>
  <cols>
    <col min="1" max="1" width="10.6640625" bestFit="1" customWidth="1"/>
    <col min="2" max="4" width="12.5" bestFit="1" customWidth="1"/>
    <col min="5" max="5" width="8.5" bestFit="1" customWidth="1"/>
    <col min="6" max="6" width="20.5" bestFit="1" customWidth="1"/>
    <col min="7" max="7" width="15.6640625" bestFit="1" customWidth="1"/>
    <col min="8" max="8" width="14.5" bestFit="1" customWidth="1"/>
    <col min="10" max="10" width="10.6640625" bestFit="1" customWidth="1"/>
    <col min="11" max="13" width="12.5" bestFit="1" customWidth="1"/>
    <col min="14" max="14" width="8.5" bestFit="1" customWidth="1"/>
    <col min="15" max="15" width="20.5" bestFit="1" customWidth="1"/>
    <col min="16" max="16" width="15.6640625" bestFit="1" customWidth="1"/>
    <col min="17" max="17" width="14.5" bestFit="1" customWidth="1"/>
  </cols>
  <sheetData>
    <row r="1" spans="1:17" ht="23">
      <c r="A1" s="27" t="s">
        <v>185</v>
      </c>
      <c r="G1" s="26" t="s">
        <v>186</v>
      </c>
    </row>
    <row r="2" spans="1:17">
      <c r="A2" t="s">
        <v>200</v>
      </c>
      <c r="G2" t="s">
        <v>209</v>
      </c>
    </row>
    <row r="3" spans="1:17">
      <c r="A3" t="s">
        <v>202</v>
      </c>
      <c r="G3" t="s">
        <v>210</v>
      </c>
    </row>
    <row r="4" spans="1:17">
      <c r="A4" t="s">
        <v>207</v>
      </c>
      <c r="G4" t="s">
        <v>212</v>
      </c>
    </row>
    <row r="5" spans="1:17">
      <c r="A5" t="s">
        <v>208</v>
      </c>
    </row>
    <row r="6" spans="1:17">
      <c r="A6" t="s">
        <v>206</v>
      </c>
    </row>
    <row r="7" spans="1:17" ht="26">
      <c r="A7" s="45" t="s">
        <v>116</v>
      </c>
      <c r="B7" s="45"/>
      <c r="C7" s="45"/>
      <c r="D7" s="45"/>
      <c r="E7" s="45"/>
      <c r="F7" s="45"/>
      <c r="G7" s="45"/>
      <c r="H7" s="45"/>
      <c r="J7" s="45" t="s">
        <v>117</v>
      </c>
      <c r="K7" s="45"/>
      <c r="L7" s="45"/>
      <c r="M7" s="45"/>
      <c r="N7" s="45"/>
      <c r="O7" s="45"/>
      <c r="P7" s="45"/>
      <c r="Q7" s="45"/>
    </row>
    <row r="8" spans="1:17">
      <c r="A8" t="s">
        <v>0</v>
      </c>
      <c r="B8" t="s">
        <v>105</v>
      </c>
      <c r="C8" t="s">
        <v>104</v>
      </c>
      <c r="D8" t="s">
        <v>103</v>
      </c>
      <c r="E8" t="s">
        <v>1</v>
      </c>
      <c r="F8" t="s">
        <v>95</v>
      </c>
      <c r="G8" t="s">
        <v>96</v>
      </c>
      <c r="H8" t="s">
        <v>94</v>
      </c>
      <c r="J8" t="s">
        <v>0</v>
      </c>
      <c r="K8" t="s">
        <v>105</v>
      </c>
      <c r="L8" t="s">
        <v>104</v>
      </c>
      <c r="M8" t="s">
        <v>103</v>
      </c>
      <c r="N8" t="s">
        <v>1</v>
      </c>
      <c r="O8" t="s">
        <v>95</v>
      </c>
      <c r="P8" t="s">
        <v>96</v>
      </c>
      <c r="Q8" t="s">
        <v>94</v>
      </c>
    </row>
    <row r="9" spans="1:17">
      <c r="A9" s="6">
        <v>43884</v>
      </c>
      <c r="B9" s="18">
        <f t="array" ref="B9">IFERROR(INDEX(records[开始时刻],MATCH(表31_33[[#This Row],[日期]]&amp;"锻炼",records[日期]&amp;records[名称],0)),"")</f>
        <v>0.875</v>
      </c>
      <c r="C9" s="18">
        <f t="array" ref="C9">IFERROR(INDEX(records[结束时刻],MATCH(表31_33[[#This Row],[日期]]&amp;"锻炼",records[日期]&amp;records[名称],0)),"")</f>
        <v>0.91666666666666663</v>
      </c>
      <c r="D9" s="18">
        <f t="array" ref="D9">IFERROR(INDEX(records[持续时间],MATCH(表31_33[[#This Row],[日期]]&amp;"锻炼",records[日期]&amp;records[名称],0)),"")</f>
        <v>4.166666666666663E-2</v>
      </c>
      <c r="E9">
        <f t="array" ref="E9">IFERROR(INDEX(records[得分],MATCH(表31_33[[#This Row],[日期]]&amp;"锻炼",records[日期]&amp;records[名称],0)),"")</f>
        <v>0.1</v>
      </c>
      <c r="F9" t="str">
        <f t="array" ref="F9">IFERROR(INDEX(records[备注],MATCH(表31_33[[#This Row],[日期]]&amp;"锻炼",records[日期]&amp;records[名称],0))&amp;"","")</f>
        <v/>
      </c>
      <c r="G9">
        <v>1</v>
      </c>
      <c r="H9">
        <v>0</v>
      </c>
      <c r="J9" s="6">
        <v>43884</v>
      </c>
      <c r="K9" s="18">
        <f t="array" ref="K9">IFERROR(INDEX(records[开始时刻],MATCH(表31_34[[#This Row],[日期]]&amp;"洗澡",records[日期]&amp;records[名称],0)),"")</f>
        <v>0.91666666666666663</v>
      </c>
      <c r="L9" s="18">
        <f t="array" ref="L9">IFERROR(INDEX(records[结束时刻],MATCH(表31_34[[#This Row],[日期]]&amp;"洗澡",records[日期]&amp;records[名称],0)),"")</f>
        <v>0.9375</v>
      </c>
      <c r="M9" s="18">
        <f t="array" ref="M9">IFERROR(INDEX(records[持续时间],MATCH(表31_34[[#This Row],[日期]]&amp;"洗澡",records[日期]&amp;records[名称],0)),"")</f>
        <v>2.083333333333337E-2</v>
      </c>
      <c r="N9">
        <f t="array" ref="N9">IFERROR(INDEX(records[得分],MATCH(表31_34[[#This Row],[日期]]&amp;"洗澡",records[日期]&amp;records[名称],0)),"")</f>
        <v>-0.1</v>
      </c>
      <c r="O9" t="str">
        <f t="array" ref="O9">IFERROR(INDEX(records[备注],MATCH(表31_34[[#This Row],[日期]]&amp;"洗澡",records[日期]&amp;records[名称],0))&amp;"","")</f>
        <v/>
      </c>
      <c r="P9">
        <v>0</v>
      </c>
      <c r="Q9">
        <v>1</v>
      </c>
    </row>
    <row r="10" spans="1:17">
      <c r="A10" s="6">
        <v>43885</v>
      </c>
      <c r="B10" s="18">
        <f t="array" ref="B10">IFERROR(INDEX(records[开始时刻],MATCH(表31_33[[#This Row],[日期]]&amp;"锻炼",records[日期]&amp;records[名称],0)),"")</f>
        <v>0.875</v>
      </c>
      <c r="C10" s="18">
        <f t="array" ref="C10">IFERROR(INDEX(records[结束时刻],MATCH(表31_33[[#This Row],[日期]]&amp;"锻炼",records[日期]&amp;records[名称],0)),"")</f>
        <v>0.91666666666666663</v>
      </c>
      <c r="D10" s="18">
        <f t="array" ref="D10">IFERROR(INDEX(records[持续时间],MATCH(表31_33[[#This Row],[日期]]&amp;"锻炼",records[日期]&amp;records[名称],0)),"")</f>
        <v>4.166666666666663E-2</v>
      </c>
      <c r="E10">
        <f t="array" ref="E10">IFERROR(INDEX(records[得分],MATCH(表31_33[[#This Row],[日期]]&amp;"锻炼",records[日期]&amp;records[名称],0)),"")</f>
        <v>0.1</v>
      </c>
      <c r="F10" t="str">
        <f t="array" ref="F10">IFERROR(INDEX(records[备注],MATCH(表31_33[[#This Row],[日期]]&amp;"锻炼",records[日期]&amp;records[名称],0))&amp;"","")</f>
        <v/>
      </c>
      <c r="G10">
        <f>IF(表31_33[[#This Row],[得分]]="","",IF(表31_33[[#This Row],[得分]]&gt;0,G9+1,0))</f>
        <v>2</v>
      </c>
      <c r="H10">
        <f>IF(表31_33[[#This Row],[得分]]="","",IF(表31_33[[#This Row],[得分]]&lt;0,H9+1,0))</f>
        <v>0</v>
      </c>
      <c r="J10" s="6">
        <v>43885</v>
      </c>
      <c r="K10" s="18">
        <f t="array" ref="K10">IFERROR(INDEX(records[开始时刻],MATCH(表31_34[[#This Row],[日期]]&amp;"洗澡",records[日期]&amp;records[名称],0)),"")</f>
        <v>0.91666666666666663</v>
      </c>
      <c r="L10" s="18">
        <f t="array" ref="L10">IFERROR(INDEX(records[结束时刻],MATCH(表31_34[[#This Row],[日期]]&amp;"洗澡",records[日期]&amp;records[名称],0)),"")</f>
        <v>0.9375</v>
      </c>
      <c r="M10" s="18">
        <f t="array" ref="M10">IFERROR(INDEX(records[持续时间],MATCH(表31_34[[#This Row],[日期]]&amp;"洗澡",records[日期]&amp;records[名称],0)),"")</f>
        <v>2.083333333333337E-2</v>
      </c>
      <c r="N10">
        <f t="array" ref="N10">IFERROR(INDEX(records[得分],MATCH(表31_34[[#This Row],[日期]]&amp;"洗澡",records[日期]&amp;records[名称],0)),"")</f>
        <v>-0.2</v>
      </c>
      <c r="O10" t="str">
        <f t="array" ref="O10">IFERROR(INDEX(records[备注],MATCH(表31_34[[#This Row],[日期]]&amp;"洗澡",records[日期]&amp;records[名称],0))&amp;"","")</f>
        <v/>
      </c>
      <c r="P10">
        <v>0</v>
      </c>
      <c r="Q10">
        <v>2</v>
      </c>
    </row>
    <row r="11" spans="1:17">
      <c r="A11" s="6">
        <v>43886</v>
      </c>
      <c r="B11" s="18">
        <f t="array" ref="B11">IFERROR(INDEX(records[开始时刻],MATCH(表31_33[[#This Row],[日期]]&amp;"锻炼",records[日期]&amp;records[名称],0)),"")</f>
        <v>0.875</v>
      </c>
      <c r="C11" s="18">
        <f t="array" ref="C11">IFERROR(INDEX(records[结束时刻],MATCH(表31_33[[#This Row],[日期]]&amp;"锻炼",records[日期]&amp;records[名称],0)),"")</f>
        <v>0.91666666666666663</v>
      </c>
      <c r="D11" s="18">
        <f t="array" ref="D11">IFERROR(INDEX(records[持续时间],MATCH(表31_33[[#This Row],[日期]]&amp;"锻炼",records[日期]&amp;records[名称],0)),"")</f>
        <v>4.166666666666663E-2</v>
      </c>
      <c r="E11">
        <f t="array" ref="E11">IFERROR(INDEX(records[得分],MATCH(表31_33[[#This Row],[日期]]&amp;"锻炼",records[日期]&amp;records[名称],0)),"")</f>
        <v>0.2</v>
      </c>
      <c r="F11" t="str">
        <f t="array" ref="F11">IFERROR(INDEX(records[备注],MATCH(表31_33[[#This Row],[日期]]&amp;"锻炼",records[日期]&amp;records[名称],0))&amp;"","")</f>
        <v>已连续3天，增加0.1</v>
      </c>
      <c r="G11">
        <f>IF(表31_33[[#This Row],[得分]]="","",IF(表31_33[[#This Row],[得分]]&gt;0,G10+1,0))</f>
        <v>3</v>
      </c>
      <c r="H11">
        <f>IF(表31_33[[#This Row],[得分]]="","",IF(表31_33[[#This Row],[得分]]&lt;0,H10+1,0))</f>
        <v>0</v>
      </c>
      <c r="J11" s="6">
        <v>43886</v>
      </c>
      <c r="K11" s="18">
        <f t="array" ref="K11">IFERROR(INDEX(records[开始时刻],MATCH(表31_34[[#This Row],[日期]]&amp;"洗澡",records[日期]&amp;records[名称],0)),"")</f>
        <v>0.91666666666666663</v>
      </c>
      <c r="L11" s="18">
        <f t="array" ref="L11">IFERROR(INDEX(records[结束时刻],MATCH(表31_34[[#This Row],[日期]]&amp;"洗澡",records[日期]&amp;records[名称],0)),"")</f>
        <v>0.9375</v>
      </c>
      <c r="M11" s="18">
        <f t="array" ref="M11">IFERROR(INDEX(records[持续时间],MATCH(表31_34[[#This Row],[日期]]&amp;"洗澡",records[日期]&amp;records[名称],0)),"")</f>
        <v>2.083333333333337E-2</v>
      </c>
      <c r="N11">
        <f t="array" ref="N11">IFERROR(INDEX(records[得分],MATCH(表31_34[[#This Row],[日期]]&amp;"洗澡",records[日期]&amp;records[名称],0)),"")</f>
        <v>0.1</v>
      </c>
      <c r="O11" t="str">
        <f t="array" ref="O11">IFERROR(INDEX(records[备注],MATCH(表31_34[[#This Row],[日期]]&amp;"洗澡",records[日期]&amp;records[名称],0))&amp;"","")</f>
        <v/>
      </c>
      <c r="P11">
        <f>IF(表31_34[[#This Row],[得分]]="","",IF(表31_34[[#This Row],[得分]]&gt;0,P10+1,0))</f>
        <v>1</v>
      </c>
      <c r="Q11">
        <f>IF(表31_34[[#This Row],[得分]]="","",IF(表31_34[[#This Row],[得分]]&lt;0,Q10+1,0))</f>
        <v>0</v>
      </c>
    </row>
    <row r="12" spans="1:17">
      <c r="A12" s="6">
        <v>43887</v>
      </c>
      <c r="B12" s="18">
        <f t="array" ref="B12">IFERROR(INDEX(records[开始时刻],MATCH(表31_33[[#This Row],[日期]]&amp;"锻炼",records[日期]&amp;records[名称],0)),"")</f>
        <v>0.875</v>
      </c>
      <c r="C12" s="18">
        <f t="array" ref="C12">IFERROR(INDEX(records[结束时刻],MATCH(表31_33[[#This Row],[日期]]&amp;"锻炼",records[日期]&amp;records[名称],0)),"")</f>
        <v>0.91666666666666663</v>
      </c>
      <c r="D12" s="18">
        <f t="array" ref="D12">IFERROR(INDEX(records[持续时间],MATCH(表31_33[[#This Row],[日期]]&amp;"锻炼",records[日期]&amp;records[名称],0)),"")</f>
        <v>4.166666666666663E-2</v>
      </c>
      <c r="E12">
        <f t="array" ref="E12">IFERROR(INDEX(records[得分],MATCH(表31_33[[#This Row],[日期]]&amp;"锻炼",records[日期]&amp;records[名称],0)),"")</f>
        <v>0.2</v>
      </c>
      <c r="F12" t="str">
        <f t="array" ref="F12">IFERROR(INDEX(records[备注],MATCH(表31_33[[#This Row],[日期]]&amp;"锻炼",records[日期]&amp;records[名称],0))&amp;"","")</f>
        <v/>
      </c>
      <c r="G12">
        <f>IF(表31_33[[#This Row],[得分]]="","",IF(表31_33[[#This Row],[得分]]&gt;0,G11+1,0))</f>
        <v>4</v>
      </c>
      <c r="H12">
        <f>IF(表31_33[[#This Row],[得分]]="","",IF(表31_33[[#This Row],[得分]]&lt;0,H11+1,0))</f>
        <v>0</v>
      </c>
      <c r="J12" s="6">
        <v>43887</v>
      </c>
      <c r="K12" s="18">
        <f t="array" ref="K12">IFERROR(INDEX(records[开始时刻],MATCH(表31_34[[#This Row],[日期]]&amp;"洗澡",records[日期]&amp;records[名称],0)),"")</f>
        <v>0.91666666666666663</v>
      </c>
      <c r="L12" s="18">
        <f t="array" ref="L12">IFERROR(INDEX(records[结束时刻],MATCH(表31_34[[#This Row],[日期]]&amp;"洗澡",records[日期]&amp;records[名称],0)),"")</f>
        <v>0.9375</v>
      </c>
      <c r="M12" s="18">
        <f t="array" ref="M12">IFERROR(INDEX(records[持续时间],MATCH(表31_34[[#This Row],[日期]]&amp;"洗澡",records[日期]&amp;records[名称],0)),"")</f>
        <v>2.083333333333337E-2</v>
      </c>
      <c r="N12">
        <f t="array" ref="N12">IFERROR(INDEX(records[得分],MATCH(表31_34[[#This Row],[日期]]&amp;"洗澡",records[日期]&amp;records[名称],0)),"")</f>
        <v>0.1</v>
      </c>
      <c r="O12" t="str">
        <f t="array" ref="O12">IFERROR(INDEX(records[备注],MATCH(表31_34[[#This Row],[日期]]&amp;"洗澡",records[日期]&amp;records[名称],0))&amp;"","")</f>
        <v/>
      </c>
      <c r="P12">
        <f>IF(表31_34[[#This Row],[得分]]="","",IF(表31_34[[#This Row],[得分]]&gt;0,P11+1,0))</f>
        <v>2</v>
      </c>
      <c r="Q12">
        <f>IF(表31_34[[#This Row],[得分]]="","",IF(表31_34[[#This Row],[得分]]&lt;0,Q11+1,0))</f>
        <v>0</v>
      </c>
    </row>
    <row r="13" spans="1:17">
      <c r="A13" s="6">
        <v>43888</v>
      </c>
      <c r="B13" s="18">
        <f t="array" ref="B13">IFERROR(INDEX(records[开始时刻],MATCH(表31_33[[#This Row],[日期]]&amp;"锻炼",records[日期]&amp;records[名称],0)),"")</f>
        <v>0.875</v>
      </c>
      <c r="C13" s="18">
        <f t="array" ref="C13">IFERROR(INDEX(records[结束时刻],MATCH(表31_33[[#This Row],[日期]]&amp;"锻炼",records[日期]&amp;records[名称],0)),"")</f>
        <v>0.91666666666666663</v>
      </c>
      <c r="D13" s="18">
        <f t="array" ref="D13">IFERROR(INDEX(records[持续时间],MATCH(表31_33[[#This Row],[日期]]&amp;"锻炼",records[日期]&amp;records[名称],0)),"")</f>
        <v>4.166666666666663E-2</v>
      </c>
      <c r="E13">
        <f t="array" ref="E13">IFERROR(INDEX(records[得分],MATCH(表31_33[[#This Row],[日期]]&amp;"锻炼",records[日期]&amp;records[名称],0)),"")</f>
        <v>0.2</v>
      </c>
      <c r="F13" t="str">
        <f t="array" ref="F13">IFERROR(INDEX(records[备注],MATCH(表31_33[[#This Row],[日期]]&amp;"锻炼",records[日期]&amp;records[名称],0))&amp;"","")</f>
        <v/>
      </c>
      <c r="G13">
        <f>IF(表31_33[[#This Row],[得分]]="","",IF(表31_33[[#This Row],[得分]]&gt;0,G12+1,0))</f>
        <v>5</v>
      </c>
      <c r="H13">
        <f>IF(表31_33[[#This Row],[得分]]="","",IF(表31_33[[#This Row],[得分]]&lt;0,H12+1,0))</f>
        <v>0</v>
      </c>
      <c r="J13" s="6">
        <v>43888</v>
      </c>
      <c r="K13" s="18">
        <f t="array" ref="K13">IFERROR(INDEX(records[开始时刻],MATCH(表31_34[[#This Row],[日期]]&amp;"洗澡",records[日期]&amp;records[名称],0)),"")</f>
        <v>0.91666666666666663</v>
      </c>
      <c r="L13" s="18">
        <f t="array" ref="L13">IFERROR(INDEX(records[结束时刻],MATCH(表31_34[[#This Row],[日期]]&amp;"洗澡",records[日期]&amp;records[名称],0)),"")</f>
        <v>0.9375</v>
      </c>
      <c r="M13" s="18">
        <f t="array" ref="M13">IFERROR(INDEX(records[持续时间],MATCH(表31_34[[#This Row],[日期]]&amp;"洗澡",records[日期]&amp;records[名称],0)),"")</f>
        <v>2.083333333333337E-2</v>
      </c>
      <c r="N13">
        <f t="array" ref="N13">IFERROR(INDEX(records[得分],MATCH(表31_34[[#This Row],[日期]]&amp;"洗澡",records[日期]&amp;records[名称],0)),"")</f>
        <v>0.2</v>
      </c>
      <c r="O13" t="str">
        <f t="array" ref="O13">IFERROR(INDEX(records[备注],MATCH(表31_34[[#This Row],[日期]]&amp;"洗澡",records[日期]&amp;records[名称],0))&amp;"","")</f>
        <v>已连续3天，增加0.1</v>
      </c>
      <c r="P13">
        <f>IF(表31_34[[#This Row],[得分]]="","",IF(表31_34[[#This Row],[得分]]&gt;0,P12+1,0))</f>
        <v>3</v>
      </c>
      <c r="Q13">
        <f>IF(表31_34[[#This Row],[得分]]="","",IF(表31_34[[#This Row],[得分]]&lt;0,Q12+1,0))</f>
        <v>0</v>
      </c>
    </row>
    <row r="14" spans="1:17">
      <c r="A14" s="6">
        <v>43889</v>
      </c>
      <c r="B14" s="18">
        <f t="array" ref="B14">IFERROR(INDEX(records[开始时刻],MATCH(表31_33[[#This Row],[日期]]&amp;"锻炼",records[日期]&amp;records[名称],0)),"")</f>
        <v>0.875</v>
      </c>
      <c r="C14" s="18">
        <f t="array" ref="C14">IFERROR(INDEX(records[结束时刻],MATCH(表31_33[[#This Row],[日期]]&amp;"锻炼",records[日期]&amp;records[名称],0)),"")</f>
        <v>0.91666666666666663</v>
      </c>
      <c r="D14" s="18">
        <f t="array" ref="D14">IFERROR(INDEX(records[持续时间],MATCH(表31_33[[#This Row],[日期]]&amp;"锻炼",records[日期]&amp;records[名称],0)),"")</f>
        <v>4.166666666666663E-2</v>
      </c>
      <c r="E14">
        <f t="array" ref="E14">IFERROR(INDEX(records[得分],MATCH(表31_33[[#This Row],[日期]]&amp;"锻炼",records[日期]&amp;records[名称],0)),"")</f>
        <v>0.3</v>
      </c>
      <c r="F14" t="str">
        <f t="array" ref="F14">IFERROR(INDEX(records[备注],MATCH(表31_33[[#This Row],[日期]]&amp;"锻炼",records[日期]&amp;records[名称],0))&amp;"","")</f>
        <v>已连续3天，增加0.1</v>
      </c>
      <c r="G14">
        <f>IF(表31_33[[#This Row],[得分]]="","",IF(表31_33[[#This Row],[得分]]&gt;0,G13+1,0))</f>
        <v>6</v>
      </c>
      <c r="H14">
        <f>IF(表31_33[[#This Row],[得分]]="","",IF(表31_33[[#This Row],[得分]]&lt;0,H13+1,0))</f>
        <v>0</v>
      </c>
      <c r="J14" s="6">
        <v>43889</v>
      </c>
      <c r="K14" s="18">
        <f t="array" ref="K14">IFERROR(INDEX(records[开始时刻],MATCH(表31_34[[#This Row],[日期]]&amp;"洗澡",records[日期]&amp;records[名称],0)),"")</f>
        <v>0.91666666666666663</v>
      </c>
      <c r="L14" s="18">
        <f t="array" ref="L14">IFERROR(INDEX(records[结束时刻],MATCH(表31_34[[#This Row],[日期]]&amp;"洗澡",records[日期]&amp;records[名称],0)),"")</f>
        <v>0.9375</v>
      </c>
      <c r="M14" s="18">
        <f t="array" ref="M14">IFERROR(INDEX(records[持续时间],MATCH(表31_34[[#This Row],[日期]]&amp;"洗澡",records[日期]&amp;records[名称],0)),"")</f>
        <v>2.083333333333337E-2</v>
      </c>
      <c r="N14">
        <f t="array" ref="N14">IFERROR(INDEX(records[得分],MATCH(表31_34[[#This Row],[日期]]&amp;"洗澡",records[日期]&amp;records[名称],0)),"")</f>
        <v>0.2</v>
      </c>
      <c r="O14" t="str">
        <f t="array" ref="O14">IFERROR(INDEX(records[备注],MATCH(表31_34[[#This Row],[日期]]&amp;"洗澡",records[日期]&amp;records[名称],0))&amp;"","")</f>
        <v/>
      </c>
      <c r="P14">
        <f>IF(表31_34[[#This Row],[得分]]="","",IF(表31_34[[#This Row],[得分]]&gt;0,P13+1,0))</f>
        <v>4</v>
      </c>
      <c r="Q14">
        <f>IF(表31_34[[#This Row],[得分]]="","",IF(表31_34[[#This Row],[得分]]&lt;0,Q13+1,0))</f>
        <v>0</v>
      </c>
    </row>
    <row r="15" spans="1:17">
      <c r="A15" s="6">
        <v>43890</v>
      </c>
      <c r="B15" s="18">
        <f t="array" ref="B15">IFERROR(INDEX(records[开始时刻],MATCH(表31_33[[#This Row],[日期]]&amp;"锻炼",records[日期]&amp;records[名称],0)),"")</f>
        <v>0.875</v>
      </c>
      <c r="C15" s="18">
        <f t="array" ref="C15">IFERROR(INDEX(records[结束时刻],MATCH(表31_33[[#This Row],[日期]]&amp;"锻炼",records[日期]&amp;records[名称],0)),"")</f>
        <v>0.91666666666666663</v>
      </c>
      <c r="D15" s="18">
        <f t="array" ref="D15">IFERROR(INDEX(records[持续时间],MATCH(表31_33[[#This Row],[日期]]&amp;"锻炼",records[日期]&amp;records[名称],0)),"")</f>
        <v>4.166666666666663E-2</v>
      </c>
      <c r="E15">
        <f t="array" ref="E15">IFERROR(INDEX(records[得分],MATCH(表31_33[[#This Row],[日期]]&amp;"锻炼",records[日期]&amp;records[名称],0)),"")</f>
        <v>0.5</v>
      </c>
      <c r="F15" t="str">
        <f t="array" ref="F15">IFERROR(INDEX(records[备注],MATCH(表31_33[[#This Row],[日期]]&amp;"锻炼",records[日期]&amp;records[名称],0))&amp;"","")</f>
        <v>已连续1周，增加0.2</v>
      </c>
      <c r="G15">
        <f>IF(表31_33[[#This Row],[得分]]="","",IF(表31_33[[#This Row],[得分]]&gt;0,G14+1,0))</f>
        <v>7</v>
      </c>
      <c r="H15">
        <f>IF(表31_33[[#This Row],[得分]]="","",IF(表31_33[[#This Row],[得分]]&lt;0,H14+1,0))</f>
        <v>0</v>
      </c>
      <c r="J15" s="6">
        <v>43890</v>
      </c>
      <c r="K15" s="18">
        <f t="array" ref="K15">IFERROR(INDEX(records[开始时刻],MATCH(表31_34[[#This Row],[日期]]&amp;"洗澡",records[日期]&amp;records[名称],0)),"")</f>
        <v>0.91666666666666663</v>
      </c>
      <c r="L15" s="18">
        <f t="array" ref="L15">IFERROR(INDEX(records[结束时刻],MATCH(表31_34[[#This Row],[日期]]&amp;"洗澡",records[日期]&amp;records[名称],0)),"")</f>
        <v>0.9375</v>
      </c>
      <c r="M15" s="18">
        <f t="array" ref="M15">IFERROR(INDEX(records[持续时间],MATCH(表31_34[[#This Row],[日期]]&amp;"洗澡",records[日期]&amp;records[名称],0)),"")</f>
        <v>2.083333333333337E-2</v>
      </c>
      <c r="N15">
        <f t="array" ref="N15">IFERROR(INDEX(records[得分],MATCH(表31_34[[#This Row],[日期]]&amp;"洗澡",records[日期]&amp;records[名称],0)),"")</f>
        <v>0.2</v>
      </c>
      <c r="O15" t="str">
        <f t="array" ref="O15">IFERROR(INDEX(records[备注],MATCH(表31_34[[#This Row],[日期]]&amp;"洗澡",records[日期]&amp;records[名称],0))&amp;"","")</f>
        <v/>
      </c>
      <c r="P15">
        <f>IF(表31_34[[#This Row],[得分]]="","",IF(表31_34[[#This Row],[得分]]&gt;0,P14+1,0))</f>
        <v>5</v>
      </c>
      <c r="Q15">
        <f>IF(表31_34[[#This Row],[得分]]="","",IF(表31_34[[#This Row],[得分]]&lt;0,Q14+1,0))</f>
        <v>0</v>
      </c>
    </row>
    <row r="16" spans="1:17">
      <c r="A16" s="6">
        <v>43891</v>
      </c>
      <c r="B16" s="18">
        <f t="array" ref="B16">IFERROR(INDEX(records[开始时刻],MATCH(表31_33[[#This Row],[日期]]&amp;"锻炼",records[日期]&amp;records[名称],0)),"")</f>
        <v>0.875</v>
      </c>
      <c r="C16" s="18">
        <f t="array" ref="C16">IFERROR(INDEX(records[结束时刻],MATCH(表31_33[[#This Row],[日期]]&amp;"锻炼",records[日期]&amp;records[名称],0)),"")</f>
        <v>0.91666666666666663</v>
      </c>
      <c r="D16" s="18">
        <f t="array" ref="D16">IFERROR(INDEX(records[持续时间],MATCH(表31_33[[#This Row],[日期]]&amp;"锻炼",records[日期]&amp;records[名称],0)),"")</f>
        <v>4.166666666666663E-2</v>
      </c>
      <c r="E16">
        <f t="array" ref="E16">IFERROR(INDEX(records[得分],MATCH(表31_33[[#This Row],[日期]]&amp;"锻炼",records[日期]&amp;records[名称],0)),"")</f>
        <v>0.5</v>
      </c>
      <c r="F16" t="str">
        <f t="array" ref="F16">IFERROR(INDEX(records[备注],MATCH(表31_33[[#This Row],[日期]]&amp;"锻炼",records[日期]&amp;records[名称],0))&amp;"","")</f>
        <v/>
      </c>
      <c r="G16">
        <f>IF(表31_33[[#This Row],[得分]]="","",IF(表31_33[[#This Row],[得分]]&gt;0,G15+1,0))</f>
        <v>8</v>
      </c>
      <c r="H16">
        <f>IF(表31_33[[#This Row],[得分]]="","",IF(表31_33[[#This Row],[得分]]&lt;0,H15+1,0))</f>
        <v>0</v>
      </c>
      <c r="J16" s="6">
        <v>43891</v>
      </c>
      <c r="K16" s="18">
        <f t="array" ref="K16">IFERROR(INDEX(records[开始时刻],MATCH(表31_34[[#This Row],[日期]]&amp;"洗澡",records[日期]&amp;records[名称],0)),"")</f>
        <v>0.91666666666666663</v>
      </c>
      <c r="L16" s="18">
        <f t="array" ref="L16">IFERROR(INDEX(records[结束时刻],MATCH(表31_34[[#This Row],[日期]]&amp;"洗澡",records[日期]&amp;records[名称],0)),"")</f>
        <v>0.9375</v>
      </c>
      <c r="M16" s="18">
        <f t="array" ref="M16">IFERROR(INDEX(records[持续时间],MATCH(表31_34[[#This Row],[日期]]&amp;"洗澡",records[日期]&amp;records[名称],0)),"")</f>
        <v>2.083333333333337E-2</v>
      </c>
      <c r="N16">
        <f t="array" ref="N16">IFERROR(INDEX(records[得分],MATCH(表31_34[[#This Row],[日期]]&amp;"洗澡",records[日期]&amp;records[名称],0)),"")</f>
        <v>0.3</v>
      </c>
      <c r="O16" t="str">
        <f t="array" ref="O16">IFERROR(INDEX(records[备注],MATCH(表31_34[[#This Row],[日期]]&amp;"洗澡",records[日期]&amp;records[名称],0))&amp;"","")</f>
        <v>已连续3天，增加0.1</v>
      </c>
      <c r="P16">
        <f>IF(表31_34[[#This Row],[得分]]="","",IF(表31_34[[#This Row],[得分]]&gt;0,P15+1,0))</f>
        <v>6</v>
      </c>
      <c r="Q16">
        <f>IF(表31_34[[#This Row],[得分]]="","",IF(表31_34[[#This Row],[得分]]&lt;0,Q15+1,0))</f>
        <v>0</v>
      </c>
    </row>
    <row r="17" spans="1:17">
      <c r="A17" s="6">
        <v>43892</v>
      </c>
      <c r="B17" s="18">
        <f t="array" ref="B17">IFERROR(INDEX(records[开始时刻],MATCH(表31_33[[#This Row],[日期]]&amp;"锻炼",records[日期]&amp;records[名称],0)),"")</f>
        <v>0.875</v>
      </c>
      <c r="C17" s="18">
        <f t="array" ref="C17">IFERROR(INDEX(records[结束时刻],MATCH(表31_33[[#This Row],[日期]]&amp;"锻炼",records[日期]&amp;records[名称],0)),"")</f>
        <v>0.91666666666666663</v>
      </c>
      <c r="D17" s="18">
        <f t="array" ref="D17">IFERROR(INDEX(records[持续时间],MATCH(表31_33[[#This Row],[日期]]&amp;"锻炼",records[日期]&amp;records[名称],0)),"")</f>
        <v>4.166666666666663E-2</v>
      </c>
      <c r="E17">
        <f t="array" ref="E17">IFERROR(INDEX(records[得分],MATCH(表31_33[[#This Row],[日期]]&amp;"锻炼",records[日期]&amp;records[名称],0)),"")</f>
        <v>0.6</v>
      </c>
      <c r="F17" t="str">
        <f t="array" ref="F17">IFERROR(INDEX(records[备注],MATCH(表31_33[[#This Row],[日期]]&amp;"锻炼",records[日期]&amp;records[名称],0))&amp;"","")</f>
        <v>已连续3天，增加0.1</v>
      </c>
      <c r="G17">
        <f>IF(表31_33[[#This Row],[得分]]="","",IF(表31_33[[#This Row],[得分]]&gt;0,G16+1,0))</f>
        <v>9</v>
      </c>
      <c r="H17">
        <f>IF(表31_33[[#This Row],[得分]]="","",IF(表31_33[[#This Row],[得分]]&lt;0,H16+1,0))</f>
        <v>0</v>
      </c>
      <c r="J17" s="6">
        <v>43892</v>
      </c>
      <c r="K17" s="18">
        <f t="array" ref="K17">IFERROR(INDEX(records[开始时刻],MATCH(表31_34[[#This Row],[日期]]&amp;"洗澡",records[日期]&amp;records[名称],0)),"")</f>
        <v>0.91666666666666663</v>
      </c>
      <c r="L17" s="18">
        <f t="array" ref="L17">IFERROR(INDEX(records[结束时刻],MATCH(表31_34[[#This Row],[日期]]&amp;"洗澡",records[日期]&amp;records[名称],0)),"")</f>
        <v>0.9375</v>
      </c>
      <c r="M17" s="18">
        <f t="array" ref="M17">IFERROR(INDEX(records[持续时间],MATCH(表31_34[[#This Row],[日期]]&amp;"洗澡",records[日期]&amp;records[名称],0)),"")</f>
        <v>2.083333333333337E-2</v>
      </c>
      <c r="N17">
        <f t="array" ref="N17">IFERROR(INDEX(records[得分],MATCH(表31_34[[#This Row],[日期]]&amp;"洗澡",records[日期]&amp;records[名称],0)),"")</f>
        <v>0.5</v>
      </c>
      <c r="O17" t="str">
        <f t="array" ref="O17">IFERROR(INDEX(records[备注],MATCH(表31_34[[#This Row],[日期]]&amp;"洗澡",records[日期]&amp;records[名称],0))&amp;"","")</f>
        <v>已连续1周，增加0.2</v>
      </c>
      <c r="P17">
        <f>IF(表31_34[[#This Row],[得分]]="","",IF(表31_34[[#This Row],[得分]]&gt;0,P16+1,0))</f>
        <v>7</v>
      </c>
      <c r="Q17">
        <f>IF(表31_34[[#This Row],[得分]]="","",IF(表31_34[[#This Row],[得分]]&lt;0,Q16+1,0))</f>
        <v>0</v>
      </c>
    </row>
    <row r="18" spans="1:17">
      <c r="A18" s="6">
        <v>43893</v>
      </c>
      <c r="B18" s="18">
        <f t="array" ref="B18">IFERROR(INDEX(records[开始时刻],MATCH(表31_33[[#This Row],[日期]]&amp;"锻炼",records[日期]&amp;records[名称],0)),"")</f>
        <v>0.875</v>
      </c>
      <c r="C18" s="18">
        <f t="array" ref="C18">IFERROR(INDEX(records[结束时刻],MATCH(表31_33[[#This Row],[日期]]&amp;"锻炼",records[日期]&amp;records[名称],0)),"")</f>
        <v>0.91666666666666663</v>
      </c>
      <c r="D18" s="18">
        <f t="array" ref="D18">IFERROR(INDEX(records[持续时间],MATCH(表31_33[[#This Row],[日期]]&amp;"锻炼",records[日期]&amp;records[名称],0)),"")</f>
        <v>4.166666666666663E-2</v>
      </c>
      <c r="E18">
        <f t="array" ref="E18">IFERROR(INDEX(records[得分],MATCH(表31_33[[#This Row],[日期]]&amp;"锻炼",records[日期]&amp;records[名称],0)),"")</f>
        <v>0.6</v>
      </c>
      <c r="F18" t="str">
        <f t="array" ref="F18">IFERROR(INDEX(records[备注],MATCH(表31_33[[#This Row],[日期]]&amp;"锻炼",records[日期]&amp;records[名称],0))&amp;"","")</f>
        <v/>
      </c>
      <c r="G18">
        <f>IF(表31_33[[#This Row],[得分]]="","",IF(表31_33[[#This Row],[得分]]&gt;0,G17+1,0))</f>
        <v>10</v>
      </c>
      <c r="H18">
        <f>IF(表31_33[[#This Row],[得分]]="","",IF(表31_33[[#This Row],[得分]]&lt;0,H17+1,0))</f>
        <v>0</v>
      </c>
      <c r="J18" s="6">
        <v>43893</v>
      </c>
      <c r="K18" s="18">
        <f t="array" ref="K18">IFERROR(INDEX(records[开始时刻],MATCH(表31_34[[#This Row],[日期]]&amp;"洗澡",records[日期]&amp;records[名称],0)),"")</f>
        <v>0.91666666666666663</v>
      </c>
      <c r="L18" s="18">
        <f t="array" ref="L18">IFERROR(INDEX(records[结束时刻],MATCH(表31_34[[#This Row],[日期]]&amp;"洗澡",records[日期]&amp;records[名称],0)),"")</f>
        <v>0.9375</v>
      </c>
      <c r="M18" s="18">
        <f t="array" ref="M18">IFERROR(INDEX(records[持续时间],MATCH(表31_34[[#This Row],[日期]]&amp;"洗澡",records[日期]&amp;records[名称],0)),"")</f>
        <v>2.083333333333337E-2</v>
      </c>
      <c r="N18">
        <f t="array" ref="N18">IFERROR(INDEX(records[得分],MATCH(表31_34[[#This Row],[日期]]&amp;"洗澡",records[日期]&amp;records[名称],0)),"")</f>
        <v>0.5</v>
      </c>
      <c r="O18" t="str">
        <f t="array" ref="O18">IFERROR(INDEX(records[备注],MATCH(表31_34[[#This Row],[日期]]&amp;"洗澡",records[日期]&amp;records[名称],0))&amp;"","")</f>
        <v/>
      </c>
      <c r="P18">
        <f>IF(表31_34[[#This Row],[得分]]="","",IF(表31_34[[#This Row],[得分]]&gt;0,P17+1,0))</f>
        <v>8</v>
      </c>
      <c r="Q18">
        <f>IF(表31_34[[#This Row],[得分]]="","",IF(表31_34[[#This Row],[得分]]&lt;0,Q17+1,0))</f>
        <v>0</v>
      </c>
    </row>
    <row r="19" spans="1:17">
      <c r="A19" s="6">
        <v>43894</v>
      </c>
      <c r="B19" s="18">
        <f t="array" ref="B19">IFERROR(INDEX(records[开始时刻],MATCH(表31_33[[#This Row],[日期]]&amp;"锻炼",records[日期]&amp;records[名称],0)),"")</f>
        <v>0.875</v>
      </c>
      <c r="C19" s="18">
        <f t="array" ref="C19">IFERROR(INDEX(records[结束时刻],MATCH(表31_33[[#This Row],[日期]]&amp;"锻炼",records[日期]&amp;records[名称],0)),"")</f>
        <v>0.91666666666666663</v>
      </c>
      <c r="D19" s="18">
        <f t="array" ref="D19">IFERROR(INDEX(records[持续时间],MATCH(表31_33[[#This Row],[日期]]&amp;"锻炼",records[日期]&amp;records[名称],0)),"")</f>
        <v>4.166666666666663E-2</v>
      </c>
      <c r="E19">
        <f t="array" ref="E19">IFERROR(INDEX(records[得分],MATCH(表31_33[[#This Row],[日期]]&amp;"锻炼",records[日期]&amp;records[名称],0)),"")</f>
        <v>0.6</v>
      </c>
      <c r="F19" t="str">
        <f t="array" ref="F19">IFERROR(INDEX(records[备注],MATCH(表31_33[[#This Row],[日期]]&amp;"锻炼",records[日期]&amp;records[名称],0))&amp;"","")</f>
        <v/>
      </c>
      <c r="G19">
        <f>IF(表31_33[[#This Row],[得分]]="","",IF(表31_33[[#This Row],[得分]]&gt;0,G18+1,0))</f>
        <v>11</v>
      </c>
      <c r="H19">
        <f>IF(表31_33[[#This Row],[得分]]="","",IF(表31_33[[#This Row],[得分]]&lt;0,H18+1,0))</f>
        <v>0</v>
      </c>
      <c r="J19" s="6">
        <v>43894</v>
      </c>
      <c r="K19" s="18">
        <f t="array" ref="K19">IFERROR(INDEX(records[开始时刻],MATCH(表31_34[[#This Row],[日期]]&amp;"洗澡",records[日期]&amp;records[名称],0)),"")</f>
        <v>0.91666666666666663</v>
      </c>
      <c r="L19" s="18">
        <f t="array" ref="L19">IFERROR(INDEX(records[结束时刻],MATCH(表31_34[[#This Row],[日期]]&amp;"洗澡",records[日期]&amp;records[名称],0)),"")</f>
        <v>0.9375</v>
      </c>
      <c r="M19" s="18">
        <f t="array" ref="M19">IFERROR(INDEX(records[持续时间],MATCH(表31_34[[#This Row],[日期]]&amp;"洗澡",records[日期]&amp;records[名称],0)),"")</f>
        <v>2.083333333333337E-2</v>
      </c>
      <c r="N19">
        <f t="array" ref="N19">IFERROR(INDEX(records[得分],MATCH(表31_34[[#This Row],[日期]]&amp;"洗澡",records[日期]&amp;records[名称],0)),"")</f>
        <v>0.6</v>
      </c>
      <c r="O19" t="str">
        <f t="array" ref="O19">IFERROR(INDEX(records[备注],MATCH(表31_34[[#This Row],[日期]]&amp;"洗澡",records[日期]&amp;records[名称],0))&amp;"","")</f>
        <v>已连续3天，增加0.1</v>
      </c>
      <c r="P19">
        <f>IF(表31_34[[#This Row],[得分]]="","",IF(表31_34[[#This Row],[得分]]&gt;0,P18+1,0))</f>
        <v>9</v>
      </c>
      <c r="Q19">
        <f>IF(表31_34[[#This Row],[得分]]="","",IF(表31_34[[#This Row],[得分]]&lt;0,Q18+1,0))</f>
        <v>0</v>
      </c>
    </row>
    <row r="20" spans="1:17">
      <c r="A20" s="6">
        <v>43895</v>
      </c>
      <c r="B20" s="18">
        <f t="array" ref="B20">IFERROR(INDEX(records[开始时刻],MATCH(表31_33[[#This Row],[日期]]&amp;"锻炼",records[日期]&amp;records[名称],0)),"")</f>
        <v>0.875</v>
      </c>
      <c r="C20" s="18">
        <f t="array" ref="C20">IFERROR(INDEX(records[结束时刻],MATCH(表31_33[[#This Row],[日期]]&amp;"锻炼",records[日期]&amp;records[名称],0)),"")</f>
        <v>0.91666666666666663</v>
      </c>
      <c r="D20" s="18">
        <f t="array" ref="D20">IFERROR(INDEX(records[持续时间],MATCH(表31_33[[#This Row],[日期]]&amp;"锻炼",records[日期]&amp;records[名称],0)),"")</f>
        <v>4.166666666666663E-2</v>
      </c>
      <c r="E20">
        <f t="array" ref="E20">IFERROR(INDEX(records[得分],MATCH(表31_33[[#This Row],[日期]]&amp;"锻炼",records[日期]&amp;records[名称],0)),"")</f>
        <v>0.7</v>
      </c>
      <c r="F20" t="str">
        <f t="array" ref="F20">IFERROR(INDEX(records[备注],MATCH(表31_33[[#This Row],[日期]]&amp;"锻炼",records[日期]&amp;records[名称],0))&amp;"","")</f>
        <v>已连续3天，增加0.1</v>
      </c>
      <c r="J20" s="6">
        <v>43895</v>
      </c>
      <c r="K20" s="18">
        <f t="array" ref="K20">IFERROR(INDEX(records[开始时刻],MATCH(表31_34[[#This Row],[日期]]&amp;"洗澡",records[日期]&amp;records[名称],0)),"")</f>
        <v>0.91666666666666663</v>
      </c>
      <c r="L20" s="18">
        <f t="array" ref="L20">IFERROR(INDEX(records[结束时刻],MATCH(表31_34[[#This Row],[日期]]&amp;"洗澡",records[日期]&amp;records[名称],0)),"")</f>
        <v>0.9375</v>
      </c>
      <c r="M20" s="18">
        <f t="array" ref="M20">IFERROR(INDEX(records[持续时间],MATCH(表31_34[[#This Row],[日期]]&amp;"洗澡",records[日期]&amp;records[名称],0)),"")</f>
        <v>2.083333333333337E-2</v>
      </c>
      <c r="N20">
        <f t="array" ref="N20">IFERROR(INDEX(records[得分],MATCH(表31_34[[#This Row],[日期]]&amp;"洗澡",records[日期]&amp;records[名称],0)),"")</f>
        <v>0.6</v>
      </c>
      <c r="O20" t="str">
        <f t="array" ref="O20">IFERROR(INDEX(records[备注],MATCH(表31_34[[#This Row],[日期]]&amp;"洗澡",records[日期]&amp;records[名称],0))&amp;"","")</f>
        <v/>
      </c>
    </row>
    <row r="21" spans="1:17">
      <c r="A21" s="6">
        <v>43896</v>
      </c>
      <c r="B21" s="18" t="str">
        <f t="array" ref="B21">IFERROR(INDEX(records[开始时刻],MATCH(表31_33[[#This Row],[日期]]&amp;"锻炼",records[日期]&amp;records[名称],0)),"")</f>
        <v/>
      </c>
      <c r="C21" s="18" t="str">
        <f t="array" ref="C21">IFERROR(INDEX(records[结束时刻],MATCH(表31_33[[#This Row],[日期]]&amp;"锻炼",records[日期]&amp;records[名称],0)),"")</f>
        <v/>
      </c>
      <c r="D21" s="18" t="str">
        <f t="array" ref="D21">IFERROR(INDEX(records[持续时间],MATCH(表31_33[[#This Row],[日期]]&amp;"锻炼",records[日期]&amp;records[名称],0)),"")</f>
        <v/>
      </c>
      <c r="E21" t="str">
        <f t="array" ref="E21">IFERROR(INDEX(records[得分],MATCH(表31_33[[#This Row],[日期]]&amp;"锻炼",records[日期]&amp;records[名称],0)),"")</f>
        <v/>
      </c>
      <c r="F21" t="str">
        <f t="array" ref="F21">IFERROR(INDEX(records[备注],MATCH(表31_33[[#This Row],[日期]]&amp;"锻炼",records[日期]&amp;records[名称],0))&amp;"","")</f>
        <v/>
      </c>
      <c r="J21" s="6">
        <v>43896</v>
      </c>
      <c r="K21" s="18" t="str">
        <f t="array" ref="K21">IFERROR(INDEX(records[开始时刻],MATCH(表31_34[[#This Row],[日期]]&amp;"洗澡",records[日期]&amp;records[名称],0)),"")</f>
        <v/>
      </c>
      <c r="L21" s="18" t="str">
        <f t="array" ref="L21">IFERROR(INDEX(records[结束时刻],MATCH(表31_34[[#This Row],[日期]]&amp;"洗澡",records[日期]&amp;records[名称],0)),"")</f>
        <v/>
      </c>
      <c r="M21" s="18" t="str">
        <f t="array" ref="M21">IFERROR(INDEX(records[持续时间],MATCH(表31_34[[#This Row],[日期]]&amp;"洗澡",records[日期]&amp;records[名称],0)),"")</f>
        <v/>
      </c>
      <c r="N21" t="str">
        <f t="array" ref="N21">IFERROR(INDEX(records[得分],MATCH(表31_34[[#This Row],[日期]]&amp;"洗澡",records[日期]&amp;records[名称],0)),"")</f>
        <v/>
      </c>
      <c r="O21" t="str">
        <f t="array" ref="O21">IFERROR(INDEX(records[备注],MATCH(表31_34[[#This Row],[日期]]&amp;"洗澡",records[日期]&amp;records[名称],0))&amp;"","")</f>
        <v/>
      </c>
    </row>
    <row r="22" spans="1:17">
      <c r="A22" s="6">
        <v>43897</v>
      </c>
      <c r="B22" s="18" t="str">
        <f t="array" ref="B22">IFERROR(INDEX(records[开始时刻],MATCH(表31_33[[#This Row],[日期]]&amp;"锻炼",records[日期]&amp;records[名称],0)),"")</f>
        <v/>
      </c>
      <c r="C22" s="18" t="str">
        <f t="array" ref="C22">IFERROR(INDEX(records[结束时刻],MATCH(表31_33[[#This Row],[日期]]&amp;"锻炼",records[日期]&amp;records[名称],0)),"")</f>
        <v/>
      </c>
      <c r="D22" s="18" t="str">
        <f t="array" ref="D22">IFERROR(INDEX(records[持续时间],MATCH(表31_33[[#This Row],[日期]]&amp;"锻炼",records[日期]&amp;records[名称],0)),"")</f>
        <v/>
      </c>
      <c r="E22" t="str">
        <f t="array" ref="E22">IFERROR(INDEX(records[得分],MATCH(表31_33[[#This Row],[日期]]&amp;"锻炼",records[日期]&amp;records[名称],0)),"")</f>
        <v/>
      </c>
      <c r="F22" t="str">
        <f t="array" ref="F22">IFERROR(INDEX(records[备注],MATCH(表31_33[[#This Row],[日期]]&amp;"锻炼",records[日期]&amp;records[名称],0))&amp;"","")</f>
        <v/>
      </c>
      <c r="J22" s="6">
        <v>43897</v>
      </c>
      <c r="K22" s="18" t="str">
        <f t="array" ref="K22">IFERROR(INDEX(records[开始时刻],MATCH(表31_34[[#This Row],[日期]]&amp;"洗澡",records[日期]&amp;records[名称],0)),"")</f>
        <v/>
      </c>
      <c r="L22" s="18" t="str">
        <f t="array" ref="L22">IFERROR(INDEX(records[结束时刻],MATCH(表31_34[[#This Row],[日期]]&amp;"洗澡",records[日期]&amp;records[名称],0)),"")</f>
        <v/>
      </c>
      <c r="M22" s="18" t="str">
        <f t="array" ref="M22">IFERROR(INDEX(records[持续时间],MATCH(表31_34[[#This Row],[日期]]&amp;"洗澡",records[日期]&amp;records[名称],0)),"")</f>
        <v/>
      </c>
      <c r="N22" t="str">
        <f t="array" ref="N22">IFERROR(INDEX(records[得分],MATCH(表31_34[[#This Row],[日期]]&amp;"洗澡",records[日期]&amp;records[名称],0)),"")</f>
        <v/>
      </c>
      <c r="O22" t="str">
        <f t="array" ref="O22">IFERROR(INDEX(records[备注],MATCH(表31_34[[#This Row],[日期]]&amp;"洗澡",records[日期]&amp;records[名称],0))&amp;"","")</f>
        <v/>
      </c>
    </row>
    <row r="23" spans="1:17">
      <c r="A23" s="6">
        <v>43898</v>
      </c>
      <c r="B23" s="18" t="str">
        <f t="array" ref="B23">IFERROR(INDEX(records[开始时刻],MATCH(表31_33[[#This Row],[日期]]&amp;"锻炼",records[日期]&amp;records[名称],0)),"")</f>
        <v/>
      </c>
      <c r="C23" s="18" t="str">
        <f t="array" ref="C23">IFERROR(INDEX(records[结束时刻],MATCH(表31_33[[#This Row],[日期]]&amp;"锻炼",records[日期]&amp;records[名称],0)),"")</f>
        <v/>
      </c>
      <c r="D23" s="18" t="str">
        <f t="array" ref="D23">IFERROR(INDEX(records[持续时间],MATCH(表31_33[[#This Row],[日期]]&amp;"锻炼",records[日期]&amp;records[名称],0)),"")</f>
        <v/>
      </c>
      <c r="E23" t="str">
        <f t="array" ref="E23">IFERROR(INDEX(records[得分],MATCH(表31_33[[#This Row],[日期]]&amp;"锻炼",records[日期]&amp;records[名称],0)),"")</f>
        <v/>
      </c>
      <c r="F23" t="str">
        <f t="array" ref="F23">IFERROR(INDEX(records[备注],MATCH(表31_33[[#This Row],[日期]]&amp;"锻炼",records[日期]&amp;records[名称],0))&amp;"","")</f>
        <v/>
      </c>
      <c r="J23" s="6">
        <v>43898</v>
      </c>
      <c r="K23" s="18" t="str">
        <f t="array" ref="K23">IFERROR(INDEX(records[开始时刻],MATCH(表31_34[[#This Row],[日期]]&amp;"洗澡",records[日期]&amp;records[名称],0)),"")</f>
        <v/>
      </c>
      <c r="L23" s="18" t="str">
        <f t="array" ref="L23">IFERROR(INDEX(records[结束时刻],MATCH(表31_34[[#This Row],[日期]]&amp;"洗澡",records[日期]&amp;records[名称],0)),"")</f>
        <v/>
      </c>
      <c r="M23" s="18" t="str">
        <f t="array" ref="M23">IFERROR(INDEX(records[持续时间],MATCH(表31_34[[#This Row],[日期]]&amp;"洗澡",records[日期]&amp;records[名称],0)),"")</f>
        <v/>
      </c>
      <c r="N23" t="str">
        <f t="array" ref="N23">IFERROR(INDEX(records[得分],MATCH(表31_34[[#This Row],[日期]]&amp;"洗澡",records[日期]&amp;records[名称],0)),"")</f>
        <v/>
      </c>
      <c r="O23" t="str">
        <f t="array" ref="O23">IFERROR(INDEX(records[备注],MATCH(表31_34[[#This Row],[日期]]&amp;"洗澡",records[日期]&amp;records[名称],0))&amp;"","")</f>
        <v/>
      </c>
    </row>
    <row r="24" spans="1:17">
      <c r="A24" s="6">
        <v>43899</v>
      </c>
      <c r="B24" s="18" t="str">
        <f t="array" ref="B24">IFERROR(INDEX(records[开始时刻],MATCH(表31_33[[#This Row],[日期]]&amp;"锻炼",records[日期]&amp;records[名称],0)),"")</f>
        <v/>
      </c>
      <c r="C24" s="18" t="str">
        <f t="array" ref="C24">IFERROR(INDEX(records[结束时刻],MATCH(表31_33[[#This Row],[日期]]&amp;"锻炼",records[日期]&amp;records[名称],0)),"")</f>
        <v/>
      </c>
      <c r="D24" s="18" t="str">
        <f t="array" ref="D24">IFERROR(INDEX(records[持续时间],MATCH(表31_33[[#This Row],[日期]]&amp;"锻炼",records[日期]&amp;records[名称],0)),"")</f>
        <v/>
      </c>
      <c r="E24" t="str">
        <f t="array" ref="E24">IFERROR(INDEX(records[得分],MATCH(表31_33[[#This Row],[日期]]&amp;"锻炼",records[日期]&amp;records[名称],0)),"")</f>
        <v/>
      </c>
      <c r="F24" t="str">
        <f t="array" ref="F24">IFERROR(INDEX(records[备注],MATCH(表31_33[[#This Row],[日期]]&amp;"锻炼",records[日期]&amp;records[名称],0))&amp;"","")</f>
        <v/>
      </c>
      <c r="J24" s="6">
        <v>43899</v>
      </c>
      <c r="K24" s="18" t="str">
        <f t="array" ref="K24">IFERROR(INDEX(records[开始时刻],MATCH(表31_34[[#This Row],[日期]]&amp;"洗澡",records[日期]&amp;records[名称],0)),"")</f>
        <v/>
      </c>
      <c r="L24" s="18" t="str">
        <f t="array" ref="L24">IFERROR(INDEX(records[结束时刻],MATCH(表31_34[[#This Row],[日期]]&amp;"洗澡",records[日期]&amp;records[名称],0)),"")</f>
        <v/>
      </c>
      <c r="M24" s="18" t="str">
        <f t="array" ref="M24">IFERROR(INDEX(records[持续时间],MATCH(表31_34[[#This Row],[日期]]&amp;"洗澡",records[日期]&amp;records[名称],0)),"")</f>
        <v/>
      </c>
      <c r="N24" t="str">
        <f t="array" ref="N24">IFERROR(INDEX(records[得分],MATCH(表31_34[[#This Row],[日期]]&amp;"洗澡",records[日期]&amp;records[名称],0)),"")</f>
        <v/>
      </c>
      <c r="O24" t="str">
        <f t="array" ref="O24">IFERROR(INDEX(records[备注],MATCH(表31_34[[#This Row],[日期]]&amp;"洗澡",records[日期]&amp;records[名称],0))&amp;"","")</f>
        <v/>
      </c>
    </row>
    <row r="25" spans="1:17">
      <c r="A25" s="6">
        <v>43900</v>
      </c>
      <c r="B25" s="18" t="str">
        <f t="array" ref="B25">IFERROR(INDEX(records[开始时刻],MATCH(表31_33[[#This Row],[日期]]&amp;"锻炼",records[日期]&amp;records[名称],0)),"")</f>
        <v/>
      </c>
      <c r="C25" s="18" t="str">
        <f t="array" ref="C25">IFERROR(INDEX(records[结束时刻],MATCH(表31_33[[#This Row],[日期]]&amp;"锻炼",records[日期]&amp;records[名称],0)),"")</f>
        <v/>
      </c>
      <c r="D25" s="18" t="str">
        <f t="array" ref="D25">IFERROR(INDEX(records[持续时间],MATCH(表31_33[[#This Row],[日期]]&amp;"锻炼",records[日期]&amp;records[名称],0)),"")</f>
        <v/>
      </c>
      <c r="E25" t="str">
        <f t="array" ref="E25">IFERROR(INDEX(records[得分],MATCH(表31_33[[#This Row],[日期]]&amp;"锻炼",records[日期]&amp;records[名称],0)),"")</f>
        <v/>
      </c>
      <c r="F25" t="str">
        <f t="array" ref="F25">IFERROR(INDEX(records[备注],MATCH(表31_33[[#This Row],[日期]]&amp;"锻炼",records[日期]&amp;records[名称],0))&amp;"","")</f>
        <v/>
      </c>
      <c r="J25" s="6">
        <v>43900</v>
      </c>
      <c r="K25" s="18" t="str">
        <f t="array" ref="K25">IFERROR(INDEX(records[开始时刻],MATCH(表31_34[[#This Row],[日期]]&amp;"洗澡",records[日期]&amp;records[名称],0)),"")</f>
        <v/>
      </c>
      <c r="L25" s="18" t="str">
        <f t="array" ref="L25">IFERROR(INDEX(records[结束时刻],MATCH(表31_34[[#This Row],[日期]]&amp;"洗澡",records[日期]&amp;records[名称],0)),"")</f>
        <v/>
      </c>
      <c r="M25" s="18" t="str">
        <f t="array" ref="M25">IFERROR(INDEX(records[持续时间],MATCH(表31_34[[#This Row],[日期]]&amp;"洗澡",records[日期]&amp;records[名称],0)),"")</f>
        <v/>
      </c>
      <c r="N25" t="str">
        <f t="array" ref="N25">IFERROR(INDEX(records[得分],MATCH(表31_34[[#This Row],[日期]]&amp;"洗澡",records[日期]&amp;records[名称],0)),"")</f>
        <v/>
      </c>
      <c r="O25" t="str">
        <f t="array" ref="O25">IFERROR(INDEX(records[备注],MATCH(表31_34[[#This Row],[日期]]&amp;"洗澡",records[日期]&amp;records[名称],0))&amp;"","")</f>
        <v/>
      </c>
    </row>
    <row r="26" spans="1:17">
      <c r="A26" s="6">
        <v>43901</v>
      </c>
      <c r="B26" s="18" t="str">
        <f t="array" ref="B26">IFERROR(INDEX(records[开始时刻],MATCH(表31_33[[#This Row],[日期]]&amp;"锻炼",records[日期]&amp;records[名称],0)),"")</f>
        <v/>
      </c>
      <c r="C26" s="18" t="str">
        <f t="array" ref="C26">IFERROR(INDEX(records[结束时刻],MATCH(表31_33[[#This Row],[日期]]&amp;"锻炼",records[日期]&amp;records[名称],0)),"")</f>
        <v/>
      </c>
      <c r="D26" s="18" t="str">
        <f t="array" ref="D26">IFERROR(INDEX(records[持续时间],MATCH(表31_33[[#This Row],[日期]]&amp;"锻炼",records[日期]&amp;records[名称],0)),"")</f>
        <v/>
      </c>
      <c r="E26" t="str">
        <f t="array" ref="E26">IFERROR(INDEX(records[得分],MATCH(表31_33[[#This Row],[日期]]&amp;"锻炼",records[日期]&amp;records[名称],0)),"")</f>
        <v/>
      </c>
      <c r="F26" t="str">
        <f t="array" ref="F26">IFERROR(INDEX(records[备注],MATCH(表31_33[[#This Row],[日期]]&amp;"锻炼",records[日期]&amp;records[名称],0))&amp;"","")</f>
        <v/>
      </c>
      <c r="J26" s="6">
        <v>43901</v>
      </c>
      <c r="K26" s="18" t="str">
        <f t="array" ref="K26">IFERROR(INDEX(records[开始时刻],MATCH(表31_34[[#This Row],[日期]]&amp;"洗澡",records[日期]&amp;records[名称],0)),"")</f>
        <v/>
      </c>
      <c r="L26" s="18" t="str">
        <f t="array" ref="L26">IFERROR(INDEX(records[结束时刻],MATCH(表31_34[[#This Row],[日期]]&amp;"洗澡",records[日期]&amp;records[名称],0)),"")</f>
        <v/>
      </c>
      <c r="M26" s="18" t="str">
        <f t="array" ref="M26">IFERROR(INDEX(records[持续时间],MATCH(表31_34[[#This Row],[日期]]&amp;"洗澡",records[日期]&amp;records[名称],0)),"")</f>
        <v/>
      </c>
      <c r="N26" t="str">
        <f t="array" ref="N26">IFERROR(INDEX(records[得分],MATCH(表31_34[[#This Row],[日期]]&amp;"洗澡",records[日期]&amp;records[名称],0)),"")</f>
        <v/>
      </c>
      <c r="O26" t="str">
        <f t="array" ref="O26">IFERROR(INDEX(records[备注],MATCH(表31_34[[#This Row],[日期]]&amp;"洗澡",records[日期]&amp;records[名称],0))&amp;"","")</f>
        <v/>
      </c>
    </row>
    <row r="27" spans="1:17">
      <c r="A27" s="6">
        <v>43902</v>
      </c>
      <c r="B27" s="18" t="str">
        <f t="array" ref="B27">IFERROR(INDEX(records[开始时刻],MATCH(表31_33[[#This Row],[日期]]&amp;"锻炼",records[日期]&amp;records[名称],0)),"")</f>
        <v/>
      </c>
      <c r="C27" s="18" t="str">
        <f t="array" ref="C27">IFERROR(INDEX(records[结束时刻],MATCH(表31_33[[#This Row],[日期]]&amp;"锻炼",records[日期]&amp;records[名称],0)),"")</f>
        <v/>
      </c>
      <c r="D27" s="18" t="str">
        <f t="array" ref="D27">IFERROR(INDEX(records[持续时间],MATCH(表31_33[[#This Row],[日期]]&amp;"锻炼",records[日期]&amp;records[名称],0)),"")</f>
        <v/>
      </c>
      <c r="E27" t="str">
        <f t="array" ref="E27">IFERROR(INDEX(records[得分],MATCH(表31_33[[#This Row],[日期]]&amp;"锻炼",records[日期]&amp;records[名称],0)),"")</f>
        <v/>
      </c>
      <c r="F27" t="str">
        <f t="array" ref="F27">IFERROR(INDEX(records[备注],MATCH(表31_33[[#This Row],[日期]]&amp;"锻炼",records[日期]&amp;records[名称],0))&amp;"","")</f>
        <v/>
      </c>
      <c r="J27" s="6">
        <v>43902</v>
      </c>
      <c r="K27" s="18" t="str">
        <f t="array" ref="K27">IFERROR(INDEX(records[开始时刻],MATCH(表31_34[[#This Row],[日期]]&amp;"洗澡",records[日期]&amp;records[名称],0)),"")</f>
        <v/>
      </c>
      <c r="L27" s="18" t="str">
        <f t="array" ref="L27">IFERROR(INDEX(records[结束时刻],MATCH(表31_34[[#This Row],[日期]]&amp;"洗澡",records[日期]&amp;records[名称],0)),"")</f>
        <v/>
      </c>
      <c r="M27" s="18" t="str">
        <f t="array" ref="M27">IFERROR(INDEX(records[持续时间],MATCH(表31_34[[#This Row],[日期]]&amp;"洗澡",records[日期]&amp;records[名称],0)),"")</f>
        <v/>
      </c>
      <c r="N27" t="str">
        <f t="array" ref="N27">IFERROR(INDEX(records[得分],MATCH(表31_34[[#This Row],[日期]]&amp;"洗澡",records[日期]&amp;records[名称],0)),"")</f>
        <v/>
      </c>
      <c r="O27" t="str">
        <f t="array" ref="O27">IFERROR(INDEX(records[备注],MATCH(表31_34[[#This Row],[日期]]&amp;"洗澡",records[日期]&amp;records[名称],0))&amp;"","")</f>
        <v/>
      </c>
    </row>
    <row r="28" spans="1:17">
      <c r="A28" s="6">
        <v>43903</v>
      </c>
      <c r="B28" s="18" t="str">
        <f t="array" ref="B28">IFERROR(INDEX(records[开始时刻],MATCH(表31_33[[#This Row],[日期]]&amp;"锻炼",records[日期]&amp;records[名称],0)),"")</f>
        <v/>
      </c>
      <c r="C28" s="18" t="str">
        <f t="array" ref="C28">IFERROR(INDEX(records[结束时刻],MATCH(表31_33[[#This Row],[日期]]&amp;"锻炼",records[日期]&amp;records[名称],0)),"")</f>
        <v/>
      </c>
      <c r="D28" s="18" t="str">
        <f t="array" ref="D28">IFERROR(INDEX(records[持续时间],MATCH(表31_33[[#This Row],[日期]]&amp;"锻炼",records[日期]&amp;records[名称],0)),"")</f>
        <v/>
      </c>
      <c r="E28" t="str">
        <f t="array" ref="E28">IFERROR(INDEX(records[得分],MATCH(表31_33[[#This Row],[日期]]&amp;"锻炼",records[日期]&amp;records[名称],0)),"")</f>
        <v/>
      </c>
      <c r="F28" t="str">
        <f t="array" ref="F28">IFERROR(INDEX(records[备注],MATCH(表31_33[[#This Row],[日期]]&amp;"锻炼",records[日期]&amp;records[名称],0))&amp;"","")</f>
        <v/>
      </c>
      <c r="J28" s="6">
        <v>43903</v>
      </c>
      <c r="K28" s="18" t="str">
        <f t="array" ref="K28">IFERROR(INDEX(records[开始时刻],MATCH(表31_34[[#This Row],[日期]]&amp;"洗澡",records[日期]&amp;records[名称],0)),"")</f>
        <v/>
      </c>
      <c r="L28" s="18" t="str">
        <f t="array" ref="L28">IFERROR(INDEX(records[结束时刻],MATCH(表31_34[[#This Row],[日期]]&amp;"洗澡",records[日期]&amp;records[名称],0)),"")</f>
        <v/>
      </c>
      <c r="M28" s="18" t="str">
        <f t="array" ref="M28">IFERROR(INDEX(records[持续时间],MATCH(表31_34[[#This Row],[日期]]&amp;"洗澡",records[日期]&amp;records[名称],0)),"")</f>
        <v/>
      </c>
      <c r="N28" t="str">
        <f t="array" ref="N28">IFERROR(INDEX(records[得分],MATCH(表31_34[[#This Row],[日期]]&amp;"洗澡",records[日期]&amp;records[名称],0)),"")</f>
        <v/>
      </c>
      <c r="O28" t="str">
        <f t="array" ref="O28">IFERROR(INDEX(records[备注],MATCH(表31_34[[#This Row],[日期]]&amp;"洗澡",records[日期]&amp;records[名称],0))&amp;"","")</f>
        <v/>
      </c>
    </row>
    <row r="29" spans="1:17">
      <c r="A29" s="6">
        <v>43904</v>
      </c>
      <c r="B29" s="18" t="str">
        <f t="array" ref="B29">IFERROR(INDEX(records[开始时刻],MATCH(表31_33[[#This Row],[日期]]&amp;"锻炼",records[日期]&amp;records[名称],0)),"")</f>
        <v/>
      </c>
      <c r="C29" s="18" t="str">
        <f t="array" ref="C29">IFERROR(INDEX(records[结束时刻],MATCH(表31_33[[#This Row],[日期]]&amp;"锻炼",records[日期]&amp;records[名称],0)),"")</f>
        <v/>
      </c>
      <c r="D29" s="18" t="str">
        <f t="array" ref="D29">IFERROR(INDEX(records[持续时间],MATCH(表31_33[[#This Row],[日期]]&amp;"锻炼",records[日期]&amp;records[名称],0)),"")</f>
        <v/>
      </c>
      <c r="E29" t="str">
        <f t="array" ref="E29">IFERROR(INDEX(records[得分],MATCH(表31_33[[#This Row],[日期]]&amp;"锻炼",records[日期]&amp;records[名称],0)),"")</f>
        <v/>
      </c>
      <c r="F29" t="str">
        <f t="array" ref="F29">IFERROR(INDEX(records[备注],MATCH(表31_33[[#This Row],[日期]]&amp;"锻炼",records[日期]&amp;records[名称],0))&amp;"","")</f>
        <v/>
      </c>
      <c r="J29" s="6">
        <v>43904</v>
      </c>
      <c r="K29" s="18" t="str">
        <f t="array" ref="K29">IFERROR(INDEX(records[开始时刻],MATCH(表31_34[[#This Row],[日期]]&amp;"洗澡",records[日期]&amp;records[名称],0)),"")</f>
        <v/>
      </c>
      <c r="L29" s="18" t="str">
        <f t="array" ref="L29">IFERROR(INDEX(records[结束时刻],MATCH(表31_34[[#This Row],[日期]]&amp;"洗澡",records[日期]&amp;records[名称],0)),"")</f>
        <v/>
      </c>
      <c r="M29" s="18" t="str">
        <f t="array" ref="M29">IFERROR(INDEX(records[持续时间],MATCH(表31_34[[#This Row],[日期]]&amp;"洗澡",records[日期]&amp;records[名称],0)),"")</f>
        <v/>
      </c>
      <c r="N29" t="str">
        <f t="array" ref="N29">IFERROR(INDEX(records[得分],MATCH(表31_34[[#This Row],[日期]]&amp;"洗澡",records[日期]&amp;records[名称],0)),"")</f>
        <v/>
      </c>
      <c r="O29" t="str">
        <f t="array" ref="O29">IFERROR(INDEX(records[备注],MATCH(表31_34[[#This Row],[日期]]&amp;"洗澡",records[日期]&amp;records[名称],0))&amp;"","")</f>
        <v/>
      </c>
    </row>
    <row r="30" spans="1:17">
      <c r="A30" s="6">
        <v>43905</v>
      </c>
      <c r="B30" s="18" t="str">
        <f t="array" ref="B30">IFERROR(INDEX(records[开始时刻],MATCH(表31_33[[#This Row],[日期]]&amp;"锻炼",records[日期]&amp;records[名称],0)),"")</f>
        <v/>
      </c>
      <c r="C30" s="18" t="str">
        <f t="array" ref="C30">IFERROR(INDEX(records[结束时刻],MATCH(表31_33[[#This Row],[日期]]&amp;"锻炼",records[日期]&amp;records[名称],0)),"")</f>
        <v/>
      </c>
      <c r="D30" s="18" t="str">
        <f t="array" ref="D30">IFERROR(INDEX(records[持续时间],MATCH(表31_33[[#This Row],[日期]]&amp;"锻炼",records[日期]&amp;records[名称],0)),"")</f>
        <v/>
      </c>
      <c r="E30" t="str">
        <f t="array" ref="E30">IFERROR(INDEX(records[得分],MATCH(表31_33[[#This Row],[日期]]&amp;"锻炼",records[日期]&amp;records[名称],0)),"")</f>
        <v/>
      </c>
      <c r="F30" t="str">
        <f t="array" ref="F30">IFERROR(INDEX(records[备注],MATCH(表31_33[[#This Row],[日期]]&amp;"锻炼",records[日期]&amp;records[名称],0))&amp;"","")</f>
        <v/>
      </c>
      <c r="J30" s="6">
        <v>43905</v>
      </c>
      <c r="K30" s="18" t="str">
        <f t="array" ref="K30">IFERROR(INDEX(records[开始时刻],MATCH(表31_34[[#This Row],[日期]]&amp;"洗澡",records[日期]&amp;records[名称],0)),"")</f>
        <v/>
      </c>
      <c r="L30" s="18" t="str">
        <f t="array" ref="L30">IFERROR(INDEX(records[结束时刻],MATCH(表31_34[[#This Row],[日期]]&amp;"洗澡",records[日期]&amp;records[名称],0)),"")</f>
        <v/>
      </c>
      <c r="M30" s="18" t="str">
        <f t="array" ref="M30">IFERROR(INDEX(records[持续时间],MATCH(表31_34[[#This Row],[日期]]&amp;"洗澡",records[日期]&amp;records[名称],0)),"")</f>
        <v/>
      </c>
      <c r="N30" t="str">
        <f t="array" ref="N30">IFERROR(INDEX(records[得分],MATCH(表31_34[[#This Row],[日期]]&amp;"洗澡",records[日期]&amp;records[名称],0)),"")</f>
        <v/>
      </c>
      <c r="O30" t="str">
        <f t="array" ref="O30">IFERROR(INDEX(records[备注],MATCH(表31_34[[#This Row],[日期]]&amp;"洗澡",records[日期]&amp;records[名称],0))&amp;"","")</f>
        <v/>
      </c>
    </row>
    <row r="31" spans="1:17">
      <c r="A31" s="6">
        <v>43906</v>
      </c>
      <c r="B31" s="18" t="str">
        <f t="array" ref="B31">IFERROR(INDEX(records[开始时刻],MATCH(表31_33[[#This Row],[日期]]&amp;"锻炼",records[日期]&amp;records[名称],0)),"")</f>
        <v/>
      </c>
      <c r="C31" s="18" t="str">
        <f t="array" ref="C31">IFERROR(INDEX(records[结束时刻],MATCH(表31_33[[#This Row],[日期]]&amp;"锻炼",records[日期]&amp;records[名称],0)),"")</f>
        <v/>
      </c>
      <c r="D31" s="18" t="str">
        <f t="array" ref="D31">IFERROR(INDEX(records[持续时间],MATCH(表31_33[[#This Row],[日期]]&amp;"锻炼",records[日期]&amp;records[名称],0)),"")</f>
        <v/>
      </c>
      <c r="E31" t="str">
        <f t="array" ref="E31">IFERROR(INDEX(records[得分],MATCH(表31_33[[#This Row],[日期]]&amp;"锻炼",records[日期]&amp;records[名称],0)),"")</f>
        <v/>
      </c>
      <c r="F31" t="str">
        <f t="array" ref="F31">IFERROR(INDEX(records[备注],MATCH(表31_33[[#This Row],[日期]]&amp;"锻炼",records[日期]&amp;records[名称],0))&amp;"","")</f>
        <v/>
      </c>
      <c r="J31" s="6">
        <v>43906</v>
      </c>
      <c r="K31" s="18" t="str">
        <f t="array" ref="K31">IFERROR(INDEX(records[开始时刻],MATCH(表31_34[[#This Row],[日期]]&amp;"洗澡",records[日期]&amp;records[名称],0)),"")</f>
        <v/>
      </c>
      <c r="L31" s="18" t="str">
        <f t="array" ref="L31">IFERROR(INDEX(records[结束时刻],MATCH(表31_34[[#This Row],[日期]]&amp;"洗澡",records[日期]&amp;records[名称],0)),"")</f>
        <v/>
      </c>
      <c r="M31" s="18" t="str">
        <f t="array" ref="M31">IFERROR(INDEX(records[持续时间],MATCH(表31_34[[#This Row],[日期]]&amp;"洗澡",records[日期]&amp;records[名称],0)),"")</f>
        <v/>
      </c>
      <c r="N31" t="str">
        <f t="array" ref="N31">IFERROR(INDEX(records[得分],MATCH(表31_34[[#This Row],[日期]]&amp;"洗澡",records[日期]&amp;records[名称],0)),"")</f>
        <v/>
      </c>
      <c r="O31" t="str">
        <f t="array" ref="O31">IFERROR(INDEX(records[备注],MATCH(表31_34[[#This Row],[日期]]&amp;"洗澡",records[日期]&amp;records[名称],0))&amp;"","")</f>
        <v/>
      </c>
    </row>
    <row r="32" spans="1:17">
      <c r="A32" s="6">
        <v>43907</v>
      </c>
      <c r="B32" s="18" t="str">
        <f t="array" ref="B32">IFERROR(INDEX(records[开始时刻],MATCH(表31_33[[#This Row],[日期]]&amp;"锻炼",records[日期]&amp;records[名称],0)),"")</f>
        <v/>
      </c>
      <c r="C32" s="18" t="str">
        <f t="array" ref="C32">IFERROR(INDEX(records[结束时刻],MATCH(表31_33[[#This Row],[日期]]&amp;"锻炼",records[日期]&amp;records[名称],0)),"")</f>
        <v/>
      </c>
      <c r="D32" s="18" t="str">
        <f t="array" ref="D32">IFERROR(INDEX(records[持续时间],MATCH(表31_33[[#This Row],[日期]]&amp;"锻炼",records[日期]&amp;records[名称],0)),"")</f>
        <v/>
      </c>
      <c r="E32" t="str">
        <f t="array" ref="E32">IFERROR(INDEX(records[得分],MATCH(表31_33[[#This Row],[日期]]&amp;"锻炼",records[日期]&amp;records[名称],0)),"")</f>
        <v/>
      </c>
      <c r="F32" t="str">
        <f t="array" ref="F32">IFERROR(INDEX(records[备注],MATCH(表31_33[[#This Row],[日期]]&amp;"锻炼",records[日期]&amp;records[名称],0))&amp;"","")</f>
        <v/>
      </c>
      <c r="J32" s="6">
        <v>43907</v>
      </c>
      <c r="K32" s="18" t="str">
        <f t="array" ref="K32">IFERROR(INDEX(records[开始时刻],MATCH(表31_34[[#This Row],[日期]]&amp;"洗澡",records[日期]&amp;records[名称],0)),"")</f>
        <v/>
      </c>
      <c r="L32" s="18" t="str">
        <f t="array" ref="L32">IFERROR(INDEX(records[结束时刻],MATCH(表31_34[[#This Row],[日期]]&amp;"洗澡",records[日期]&amp;records[名称],0)),"")</f>
        <v/>
      </c>
      <c r="M32" s="18" t="str">
        <f t="array" ref="M32">IFERROR(INDEX(records[持续时间],MATCH(表31_34[[#This Row],[日期]]&amp;"洗澡",records[日期]&amp;records[名称],0)),"")</f>
        <v/>
      </c>
      <c r="N32" t="str">
        <f t="array" ref="N32">IFERROR(INDEX(records[得分],MATCH(表31_34[[#This Row],[日期]]&amp;"洗澡",records[日期]&amp;records[名称],0)),"")</f>
        <v/>
      </c>
      <c r="O32" t="str">
        <f t="array" ref="O32">IFERROR(INDEX(records[备注],MATCH(表31_34[[#This Row],[日期]]&amp;"洗澡",records[日期]&amp;records[名称],0))&amp;"","")</f>
        <v/>
      </c>
    </row>
    <row r="33" spans="1:15">
      <c r="A33" s="6">
        <v>43908</v>
      </c>
      <c r="B33" s="18" t="str">
        <f t="array" ref="B33">IFERROR(INDEX(records[开始时刻],MATCH(表31_33[[#This Row],[日期]]&amp;"锻炼",records[日期]&amp;records[名称],0)),"")</f>
        <v/>
      </c>
      <c r="C33" s="18" t="str">
        <f t="array" ref="C33">IFERROR(INDEX(records[结束时刻],MATCH(表31_33[[#This Row],[日期]]&amp;"锻炼",records[日期]&amp;records[名称],0)),"")</f>
        <v/>
      </c>
      <c r="D33" s="18" t="str">
        <f t="array" ref="D33">IFERROR(INDEX(records[持续时间],MATCH(表31_33[[#This Row],[日期]]&amp;"锻炼",records[日期]&amp;records[名称],0)),"")</f>
        <v/>
      </c>
      <c r="E33" t="str">
        <f t="array" ref="E33">IFERROR(INDEX(records[得分],MATCH(表31_33[[#This Row],[日期]]&amp;"锻炼",records[日期]&amp;records[名称],0)),"")</f>
        <v/>
      </c>
      <c r="F33" t="str">
        <f t="array" ref="F33">IFERROR(INDEX(records[备注],MATCH(表31_33[[#This Row],[日期]]&amp;"锻炼",records[日期]&amp;records[名称],0))&amp;"","")</f>
        <v/>
      </c>
      <c r="J33" s="6">
        <v>43908</v>
      </c>
      <c r="K33" s="18" t="str">
        <f t="array" ref="K33">IFERROR(INDEX(records[开始时刻],MATCH(表31_34[[#This Row],[日期]]&amp;"洗澡",records[日期]&amp;records[名称],0)),"")</f>
        <v/>
      </c>
      <c r="L33" s="18" t="str">
        <f t="array" ref="L33">IFERROR(INDEX(records[结束时刻],MATCH(表31_34[[#This Row],[日期]]&amp;"洗澡",records[日期]&amp;records[名称],0)),"")</f>
        <v/>
      </c>
      <c r="M33" s="18" t="str">
        <f t="array" ref="M33">IFERROR(INDEX(records[持续时间],MATCH(表31_34[[#This Row],[日期]]&amp;"洗澡",records[日期]&amp;records[名称],0)),"")</f>
        <v/>
      </c>
      <c r="N33" t="str">
        <f t="array" ref="N33">IFERROR(INDEX(records[得分],MATCH(表31_34[[#This Row],[日期]]&amp;"洗澡",records[日期]&amp;records[名称],0)),"")</f>
        <v/>
      </c>
      <c r="O33" t="str">
        <f t="array" ref="O33">IFERROR(INDEX(records[备注],MATCH(表31_34[[#This Row],[日期]]&amp;"洗澡",records[日期]&amp;records[名称],0))&amp;"","")</f>
        <v/>
      </c>
    </row>
    <row r="34" spans="1:15">
      <c r="J34" s="6"/>
      <c r="K34" s="18" t="str">
        <f t="array" ref="K34">IFERROR(INDEX(records[开始时刻],MATCH(表31_34[[#This Row],[日期]]&amp;"洗澡",records[日期]&amp;records[名称],0)),"")</f>
        <v/>
      </c>
      <c r="L34" s="18" t="str">
        <f t="array" ref="L34">IFERROR(INDEX(records[结束时刻],MATCH(表31_34[[#This Row],[日期]]&amp;"洗澡",records[日期]&amp;records[名称],0)),"")</f>
        <v/>
      </c>
      <c r="M34" s="18" t="str">
        <f t="array" ref="M34">IFERROR(INDEX(records[持续时间],MATCH(表31_34[[#This Row],[日期]]&amp;"洗澡",records[日期]&amp;records[名称],0)),"")</f>
        <v/>
      </c>
      <c r="N34" t="str">
        <f t="array" ref="N34">IFERROR(INDEX(records[得分],MATCH(表31_34[[#This Row],[日期]]&amp;"洗澡",records[日期]&amp;records[名称],0)),"")</f>
        <v/>
      </c>
      <c r="O34" t="str">
        <f t="array" ref="O34">IFERROR(INDEX(records[备注],MATCH(表31_34[[#This Row],[日期]]&amp;"洗澡",records[日期]&amp;records[名称],0))&amp;"","")</f>
        <v/>
      </c>
    </row>
  </sheetData>
  <mergeCells count="2">
    <mergeCell ref="A7:H7"/>
    <mergeCell ref="J7:Q7"/>
  </mergeCells>
  <phoneticPr fontId="1" type="noConversion"/>
  <pageMargins left="0.7" right="0.7" top="0.75" bottom="0.75" header="0.3" footer="0.3"/>
  <tableParts count="2">
    <tablePart r:id="rId1"/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0388C-D189-614E-8D10-ABABCA3EBD3F}">
  <dimension ref="A1:Z27"/>
  <sheetViews>
    <sheetView workbookViewId="0">
      <selection activeCell="B32" sqref="B32"/>
    </sheetView>
  </sheetViews>
  <sheetFormatPr baseColWidth="10" defaultRowHeight="16"/>
  <sheetData>
    <row r="1" spans="1:26" ht="23">
      <c r="A1" s="27" t="s">
        <v>185</v>
      </c>
      <c r="G1" s="26" t="s">
        <v>186</v>
      </c>
    </row>
    <row r="2" spans="1:26">
      <c r="A2" t="s">
        <v>200</v>
      </c>
      <c r="G2" t="s">
        <v>209</v>
      </c>
    </row>
    <row r="3" spans="1:26">
      <c r="A3" t="s">
        <v>202</v>
      </c>
      <c r="G3" t="s">
        <v>210</v>
      </c>
    </row>
    <row r="4" spans="1:26">
      <c r="A4" t="s">
        <v>207</v>
      </c>
      <c r="G4" t="s">
        <v>212</v>
      </c>
    </row>
    <row r="5" spans="1:26">
      <c r="A5" t="s">
        <v>208</v>
      </c>
    </row>
    <row r="6" spans="1:26">
      <c r="A6" t="s">
        <v>206</v>
      </c>
    </row>
    <row r="7" spans="1:26" ht="26">
      <c r="A7" s="45" t="s">
        <v>195</v>
      </c>
      <c r="B7" s="45"/>
      <c r="C7" s="45"/>
      <c r="D7" s="45"/>
      <c r="E7" s="45"/>
      <c r="F7" s="45"/>
      <c r="G7" s="45"/>
      <c r="H7" s="45"/>
      <c r="J7" s="45" t="s">
        <v>119</v>
      </c>
      <c r="K7" s="45"/>
      <c r="L7" s="45"/>
      <c r="M7" s="45"/>
      <c r="N7" s="45"/>
      <c r="O7" s="45"/>
      <c r="P7" s="45"/>
      <c r="Q7" s="45"/>
      <c r="S7" s="45" t="s">
        <v>196</v>
      </c>
      <c r="T7" s="45"/>
      <c r="U7" s="45"/>
      <c r="V7" s="45"/>
      <c r="W7" s="45"/>
      <c r="X7" s="45"/>
      <c r="Y7" s="45"/>
      <c r="Z7" s="45"/>
    </row>
    <row r="8" spans="1:26">
      <c r="A8" t="s">
        <v>0</v>
      </c>
      <c r="B8" t="s">
        <v>105</v>
      </c>
      <c r="C8" t="s">
        <v>104</v>
      </c>
      <c r="D8" t="s">
        <v>103</v>
      </c>
      <c r="E8" t="s">
        <v>1</v>
      </c>
      <c r="F8" t="s">
        <v>95</v>
      </c>
      <c r="G8" t="s">
        <v>96</v>
      </c>
      <c r="H8" t="s">
        <v>94</v>
      </c>
      <c r="J8" t="s">
        <v>0</v>
      </c>
      <c r="K8" t="s">
        <v>105</v>
      </c>
      <c r="L8" t="s">
        <v>104</v>
      </c>
      <c r="M8" t="s">
        <v>103</v>
      </c>
      <c r="N8" t="s">
        <v>1</v>
      </c>
      <c r="O8" t="s">
        <v>95</v>
      </c>
      <c r="P8" t="s">
        <v>96</v>
      </c>
      <c r="Q8" t="s">
        <v>94</v>
      </c>
      <c r="S8" t="s">
        <v>0</v>
      </c>
      <c r="T8" t="s">
        <v>105</v>
      </c>
      <c r="U8" t="s">
        <v>104</v>
      </c>
      <c r="V8" t="s">
        <v>103</v>
      </c>
      <c r="W8" t="s">
        <v>1</v>
      </c>
      <c r="X8" t="s">
        <v>95</v>
      </c>
      <c r="Y8" t="s">
        <v>96</v>
      </c>
      <c r="Z8" t="s">
        <v>94</v>
      </c>
    </row>
    <row r="9" spans="1:26">
      <c r="A9" s="6">
        <v>43884</v>
      </c>
      <c r="B9" s="18" t="str">
        <f t="array" ref="B9">IFERROR(INDEX(records[开始时刻],MATCH(表31_3435[[#This Row],[日期]]&amp;"今日日程评分",records[日期]&amp;records[名称],0)),"")</f>
        <v/>
      </c>
      <c r="C9" s="18" t="str">
        <f>IFERROR(INDEX(records[结束时刻],MATCH(表31_3435[[#This Row],[日期]]&amp;"今日日程评分",records[日期]&amp;records[名称],0)),"")</f>
        <v/>
      </c>
      <c r="D9" s="18" t="str">
        <f>IFERROR(INDEX(records[持续时间],MATCH(表31_3435[[#This Row],[日期]]&amp;"今日日程评分",records[日期]&amp;records[名称],0)),"")</f>
        <v/>
      </c>
      <c r="E9" t="str">
        <f t="array" ref="E9">IFERROR(INDEX(records[得分],MATCH(表31_3435[[#This Row],[日期]]&amp;"今日日程评分",records[日期]&amp;records[名称],0)),"")</f>
        <v/>
      </c>
      <c r="F9" t="str">
        <f t="array" ref="F9">IFERROR(INDEX(records[备注],MATCH(表31_3435[[#This Row],[日期]]&amp;"今日日程评分",records[日期]&amp;records[名称],0))&amp;"","")</f>
        <v/>
      </c>
      <c r="G9">
        <v>0</v>
      </c>
      <c r="H9">
        <v>0</v>
      </c>
      <c r="J9" s="6">
        <v>43884</v>
      </c>
      <c r="K9" s="18">
        <f t="array" ref="K9">IFERROR(INDEX(records[开始时刻],MATCH(表31_343541[[#This Row],[日期]]&amp;"明日日程安排",records[日期]&amp;records[名称],0)),"")</f>
        <v>0.94791666666666663</v>
      </c>
      <c r="L9" s="18">
        <f t="array" ref="L9">IFERROR(INDEX(records[结束时刻],MATCH(表31_343541[[#This Row],[日期]]&amp;"明日日程安排",records[日期]&amp;records[名称],0)),"")</f>
        <v>0.95833333333333337</v>
      </c>
      <c r="M9" s="18">
        <f t="array" ref="M9">IFERROR(INDEX(records[持续时间],MATCH(表31_343541[[#This Row],[日期]]&amp;"明日日程安排",records[日期]&amp;records[名称],0)),"")</f>
        <v>1.0416666666666741E-2</v>
      </c>
      <c r="N9">
        <f t="array" ref="N9">IFERROR(INDEX(records[得分],MATCH(表31_343541[[#This Row],[日期]]&amp;"明日日程安排",records[日期]&amp;records[名称],0)),"")</f>
        <v>0.08</v>
      </c>
      <c r="O9" t="str">
        <f t="array" ref="O9">IFERROR(INDEX(records[备注],MATCH(表31_343541[[#This Row],[日期]]&amp;"明日日程安排",records[日期]&amp;records[名称],0))&amp;"","")</f>
        <v/>
      </c>
      <c r="P9">
        <v>1</v>
      </c>
      <c r="Q9">
        <v>0</v>
      </c>
      <c r="S9" s="6">
        <v>43884</v>
      </c>
      <c r="T9" s="18" t="str">
        <f t="array" ref="T9">IFERROR(INDEX(records[开始时刻],MATCH(表31_34354142[[#This Row],[日期]]&amp;"今日日程评分归档",records[日期]&amp;records[名称],0)),"")</f>
        <v/>
      </c>
      <c r="U9" s="18" t="str">
        <f t="array" ref="U9">IFERROR(INDEX(records[结束时刻],MATCH(表31_34354142[[#This Row],[日期]]&amp;"今日日程评分归档",records[日期]&amp;records[名称],0)),"")</f>
        <v/>
      </c>
      <c r="V9" s="18" t="str">
        <f t="array" ref="V9">IFERROR(INDEX(records[持续时间],MATCH(表31_34354142[[#This Row],[日期]]&amp;"今日日程评分归档",records[日期]&amp;records[名称],0)),"")</f>
        <v/>
      </c>
      <c r="W9" t="str">
        <f t="array" ref="W9">IFERROR(INDEX(records[得分],MATCH(表31_34354142[[#This Row],[日期]]&amp;"今日日程评分归档",records[日期]&amp;records[名称],0)),"")</f>
        <v/>
      </c>
      <c r="X9" t="str">
        <f t="array" ref="X9">IFERROR(INDEX(records[备注],MATCH(表31_34354142[[#This Row],[日期]]&amp;"今日日程评分归档",records[日期]&amp;records[名称],0))&amp;"","")</f>
        <v/>
      </c>
      <c r="Y9">
        <v>1</v>
      </c>
      <c r="Z9">
        <v>0</v>
      </c>
    </row>
    <row r="10" spans="1:26">
      <c r="A10" s="6">
        <v>43885</v>
      </c>
      <c r="B10" s="18" t="str">
        <f t="array" ref="B10">IFERROR(INDEX(records[开始时刻],MATCH(表31_3435[[#This Row],[日期]]&amp;"今日日程评分",records[日期]&amp;records[名称],0)),"")</f>
        <v/>
      </c>
      <c r="C10" s="18" t="str">
        <f>IFERROR(INDEX(records[结束时刻],MATCH(表31_3435[[#This Row],[日期]]&amp;"今日日程评分",records[日期]&amp;records[名称],0)),"")</f>
        <v/>
      </c>
      <c r="D10" s="18" t="str">
        <f>IFERROR(INDEX(records[持续时间],MATCH(表31_3435[[#This Row],[日期]]&amp;"今日日程评分",records[日期]&amp;records[名称],0)),"")</f>
        <v/>
      </c>
      <c r="E10" t="str">
        <f t="array" ref="E10">IFERROR(INDEX(records[得分],MATCH(表31_3435[[#This Row],[日期]]&amp;"今日日程评分",records[日期]&amp;records[名称],0)),"")</f>
        <v/>
      </c>
      <c r="F10" t="str">
        <f t="array" ref="F10">IFERROR(INDEX(records[备注],MATCH(表31_3435[[#This Row],[日期]]&amp;"今日日程评分",records[日期]&amp;records[名称],0))&amp;"","")</f>
        <v/>
      </c>
      <c r="G10">
        <v>0</v>
      </c>
      <c r="H10">
        <v>0</v>
      </c>
      <c r="J10" s="6">
        <v>43885</v>
      </c>
      <c r="K10" s="18">
        <f t="array" ref="K10">IFERROR(INDEX(records[开始时刻],MATCH(表31_343541[[#This Row],[日期]]&amp;"明日日程安排",records[日期]&amp;records[名称],0)),"")</f>
        <v>0.94791666666666663</v>
      </c>
      <c r="L10" s="18">
        <f t="array" ref="L10">IFERROR(INDEX(records[结束时刻],MATCH(表31_343541[[#This Row],[日期]]&amp;"明日日程安排",records[日期]&amp;records[名称],0)),"")</f>
        <v>0.95833333333333337</v>
      </c>
      <c r="M10" s="18">
        <f t="array" ref="M10">IFERROR(INDEX(records[持续时间],MATCH(表31_343541[[#This Row],[日期]]&amp;"明日日程安排",records[日期]&amp;records[名称],0)),"")</f>
        <v>1.0416666666666741E-2</v>
      </c>
      <c r="N10">
        <f t="array" ref="N10">IFERROR(INDEX(records[得分],MATCH(表31_343541[[#This Row],[日期]]&amp;"明日日程安排",records[日期]&amp;records[名称],0)),"")</f>
        <v>0.1</v>
      </c>
      <c r="O10" t="str">
        <f t="array" ref="O10">IFERROR(INDEX(records[备注],MATCH(表31_343541[[#This Row],[日期]]&amp;"明日日程安排",records[日期]&amp;records[名称],0))&amp;"","")</f>
        <v/>
      </c>
      <c r="P10">
        <f>IF(表31_343541[[#This Row],[得分]]="","",IF(表31_343541[[#This Row],[得分]]&gt;0,P9+1,0))</f>
        <v>2</v>
      </c>
      <c r="Q10">
        <f>IF(表31_343541[[#This Row],[得分]]="","",IF(表31_343541[[#This Row],[得分]]&lt;0,Q9+1,0))</f>
        <v>0</v>
      </c>
      <c r="S10" s="6">
        <v>43885</v>
      </c>
      <c r="T10" s="18" t="str">
        <f t="array" ref="T10">IFERROR(INDEX(records[开始时刻],MATCH(表31_34354142[[#This Row],[日期]]&amp;"今日日程评分归档",records[日期]&amp;records[名称],0)),"")</f>
        <v/>
      </c>
      <c r="U10" s="18" t="str">
        <f t="array" ref="U10">IFERROR(INDEX(records[结束时刻],MATCH(表31_34354142[[#This Row],[日期]]&amp;"今日日程评分归档",records[日期]&amp;records[名称],0)),"")</f>
        <v/>
      </c>
      <c r="V10" s="18" t="str">
        <f t="array" ref="V10">IFERROR(INDEX(records[持续时间],MATCH(表31_34354142[[#This Row],[日期]]&amp;"今日日程评分归档",records[日期]&amp;records[名称],0)),"")</f>
        <v/>
      </c>
      <c r="W10" t="str">
        <f t="array" ref="W10">IFERROR(INDEX(records[得分],MATCH(表31_34354142[[#This Row],[日期]]&amp;"今日日程评分归档",records[日期]&amp;records[名称],0)),"")</f>
        <v/>
      </c>
      <c r="X10" t="str">
        <f t="array" ref="X10">IFERROR(INDEX(records[备注],MATCH(表31_34354142[[#This Row],[日期]]&amp;"今日日程评分归档",records[日期]&amp;records[名称],0))&amp;"","")</f>
        <v/>
      </c>
      <c r="Y10" t="str">
        <f>IF(表31_34354142[[#This Row],[得分]]="","",IF(表31_34354142[[#This Row],[得分]]&gt;0,Y9+1,0))</f>
        <v/>
      </c>
      <c r="Z10" t="str">
        <f>IF(表31_34354142[[#This Row],[得分]]="","",IF(表31_34354142[[#This Row],[得分]]&lt;0,Z9+1,0))</f>
        <v/>
      </c>
    </row>
    <row r="11" spans="1:26">
      <c r="A11" s="6">
        <v>43886</v>
      </c>
      <c r="B11" s="18" t="str">
        <f t="array" ref="B11">IFERROR(INDEX(records[开始时刻],MATCH(表31_3435[[#This Row],[日期]]&amp;"今日日程评分",records[日期]&amp;records[名称],0)),"")</f>
        <v/>
      </c>
      <c r="C11" s="18" t="str">
        <f>IFERROR(INDEX(records[结束时刻],MATCH(表31_3435[[#This Row],[日期]]&amp;"今日日程评分",records[日期]&amp;records[名称],0)),"")</f>
        <v/>
      </c>
      <c r="D11" s="18" t="str">
        <f>IFERROR(INDEX(records[持续时间],MATCH(表31_3435[[#This Row],[日期]]&amp;"今日日程评分",records[日期]&amp;records[名称],0)),"")</f>
        <v/>
      </c>
      <c r="E11" t="str">
        <f t="array" ref="E11">IFERROR(INDEX(records[得分],MATCH(表31_3435[[#This Row],[日期]]&amp;"今日日程评分",records[日期]&amp;records[名称],0)),"")</f>
        <v/>
      </c>
      <c r="F11" t="str">
        <f t="array" ref="F11">IFERROR(INDEX(records[备注],MATCH(表31_3435[[#This Row],[日期]]&amp;"今日日程评分",records[日期]&amp;records[名称],0))&amp;"","")</f>
        <v/>
      </c>
      <c r="G11">
        <v>0</v>
      </c>
      <c r="H11">
        <v>0</v>
      </c>
      <c r="J11" s="6">
        <v>43886</v>
      </c>
      <c r="K11" s="18">
        <f t="array" ref="K11">IFERROR(INDEX(records[开始时刻],MATCH(表31_343541[[#This Row],[日期]]&amp;"明日日程安排",records[日期]&amp;records[名称],0)),"")</f>
        <v>0.9375</v>
      </c>
      <c r="L11" s="18">
        <f t="array" ref="L11">IFERROR(INDEX(records[结束时刻],MATCH(表31_343541[[#This Row],[日期]]&amp;"明日日程安排",records[日期]&amp;records[名称],0)),"")</f>
        <v>0.94791666666666663</v>
      </c>
      <c r="M11" s="18">
        <f t="array" ref="M11">IFERROR(INDEX(records[持续时间],MATCH(表31_343541[[#This Row],[日期]]&amp;"明日日程安排",records[日期]&amp;records[名称],0)),"")</f>
        <v>1.041666666666663E-2</v>
      </c>
      <c r="N11">
        <f t="array" ref="N11">IFERROR(INDEX(records[得分],MATCH(表31_343541[[#This Row],[日期]]&amp;"明日日程安排",records[日期]&amp;records[名称],0)),"")</f>
        <v>0.2</v>
      </c>
      <c r="O11" t="str">
        <f t="array" ref="O11">IFERROR(INDEX(records[备注],MATCH(表31_343541[[#This Row],[日期]]&amp;"明日日程安排",records[日期]&amp;records[名称],0))&amp;"","")</f>
        <v>已连续3天，增加0.1</v>
      </c>
      <c r="P11">
        <f>IF(表31_343541[[#This Row],[得分]]="","",IF(表31_343541[[#This Row],[得分]]&gt;0,P10+1,0))</f>
        <v>3</v>
      </c>
      <c r="Q11">
        <f>IF(表31_343541[[#This Row],[得分]]="","",IF(表31_343541[[#This Row],[得分]]&lt;0,Q10+1,0))</f>
        <v>0</v>
      </c>
      <c r="S11" s="6">
        <v>43886</v>
      </c>
      <c r="T11" s="18" t="str">
        <f t="array" ref="T11">IFERROR(INDEX(records[开始时刻],MATCH(表31_34354142[[#This Row],[日期]]&amp;"今日日程评分归档",records[日期]&amp;records[名称],0)),"")</f>
        <v/>
      </c>
      <c r="U11" s="18" t="str">
        <f t="array" ref="U11">IFERROR(INDEX(records[结束时刻],MATCH(表31_34354142[[#This Row],[日期]]&amp;"今日日程评分归档",records[日期]&amp;records[名称],0)),"")</f>
        <v/>
      </c>
      <c r="V11" s="18" t="str">
        <f t="array" ref="V11">IFERROR(INDEX(records[持续时间],MATCH(表31_34354142[[#This Row],[日期]]&amp;"今日日程评分归档",records[日期]&amp;records[名称],0)),"")</f>
        <v/>
      </c>
      <c r="W11" t="str">
        <f t="array" ref="W11">IFERROR(INDEX(records[得分],MATCH(表31_34354142[[#This Row],[日期]]&amp;"今日日程评分归档",records[日期]&amp;records[名称],0)),"")</f>
        <v/>
      </c>
      <c r="X11" t="str">
        <f t="array" ref="X11">IFERROR(INDEX(records[备注],MATCH(表31_34354142[[#This Row],[日期]]&amp;"今日日程评分归档",records[日期]&amp;records[名称],0))&amp;"","")</f>
        <v/>
      </c>
      <c r="Y11" t="str">
        <f>IF(表31_34354142[[#This Row],[得分]]="","",IF(表31_34354142[[#This Row],[得分]]&gt;0,Y10+1,0))</f>
        <v/>
      </c>
      <c r="Z11" t="str">
        <f>IF(表31_34354142[[#This Row],[得分]]="","",IF(表31_34354142[[#This Row],[得分]]&lt;0,Z10+1,0))</f>
        <v/>
      </c>
    </row>
    <row r="12" spans="1:26">
      <c r="A12" s="6">
        <v>43887</v>
      </c>
      <c r="B12" s="18" t="str">
        <f t="array" ref="B12">IFERROR(INDEX(records[开始时刻],MATCH(表31_3435[[#This Row],[日期]]&amp;"今日日程评分",records[日期]&amp;records[名称],0)),"")</f>
        <v/>
      </c>
      <c r="C12" s="18" t="str">
        <f>IFERROR(INDEX(records[结束时刻],MATCH(表31_3435[[#This Row],[日期]]&amp;"今日日程评分",records[日期]&amp;records[名称],0)),"")</f>
        <v/>
      </c>
      <c r="D12" s="18" t="str">
        <f>IFERROR(INDEX(records[持续时间],MATCH(表31_3435[[#This Row],[日期]]&amp;"今日日程评分",records[日期]&amp;records[名称],0)),"")</f>
        <v/>
      </c>
      <c r="E12" t="str">
        <f t="array" ref="E12">IFERROR(INDEX(records[得分],MATCH(表31_3435[[#This Row],[日期]]&amp;"今日日程评分",records[日期]&amp;records[名称],0)),"")</f>
        <v/>
      </c>
      <c r="F12" t="str">
        <f t="array" ref="F12">IFERROR(INDEX(records[备注],MATCH(表31_3435[[#This Row],[日期]]&amp;"今日日程评分",records[日期]&amp;records[名称],0))&amp;"","")</f>
        <v/>
      </c>
      <c r="G12">
        <v>0</v>
      </c>
      <c r="H12">
        <v>0</v>
      </c>
      <c r="J12" s="6">
        <v>43887</v>
      </c>
      <c r="K12" s="18">
        <f t="array" ref="K12">IFERROR(INDEX(records[开始时刻],MATCH(表31_343541[[#This Row],[日期]]&amp;"明日日程安排",records[日期]&amp;records[名称],0)),"")</f>
        <v>0.9375</v>
      </c>
      <c r="L12" s="18">
        <f t="array" ref="L12">IFERROR(INDEX(records[结束时刻],MATCH(表31_343541[[#This Row],[日期]]&amp;"明日日程安排",records[日期]&amp;records[名称],0)),"")</f>
        <v>0.94791666666666663</v>
      </c>
      <c r="M12" s="18">
        <f t="array" ref="M12">IFERROR(INDEX(records[持续时间],MATCH(表31_343541[[#This Row],[日期]]&amp;"明日日程安排",records[日期]&amp;records[名称],0)),"")</f>
        <v>1.041666666666663E-2</v>
      </c>
      <c r="N12">
        <f t="array" ref="N12">IFERROR(INDEX(records[得分],MATCH(表31_343541[[#This Row],[日期]]&amp;"明日日程安排",records[日期]&amp;records[名称],0)),"")</f>
        <v>0.2</v>
      </c>
      <c r="O12" t="str">
        <f t="array" ref="O12">IFERROR(INDEX(records[备注],MATCH(表31_343541[[#This Row],[日期]]&amp;"明日日程安排",records[日期]&amp;records[名称],0))&amp;"","")</f>
        <v/>
      </c>
      <c r="P12">
        <f>IF(表31_343541[[#This Row],[得分]]="","",IF(表31_343541[[#This Row],[得分]]&gt;0,P11+1,0))</f>
        <v>4</v>
      </c>
      <c r="Q12">
        <f>IF(表31_343541[[#This Row],[得分]]="","",IF(表31_343541[[#This Row],[得分]]&lt;0,Q11+1,0))</f>
        <v>0</v>
      </c>
      <c r="S12" s="6">
        <v>43887</v>
      </c>
      <c r="T12" s="18" t="str">
        <f t="array" ref="T12">IFERROR(INDEX(records[开始时刻],MATCH(表31_34354142[[#This Row],[日期]]&amp;"今日日程评分归档",records[日期]&amp;records[名称],0)),"")</f>
        <v/>
      </c>
      <c r="U12" s="18" t="str">
        <f t="array" ref="U12">IFERROR(INDEX(records[结束时刻],MATCH(表31_34354142[[#This Row],[日期]]&amp;"今日日程评分归档",records[日期]&amp;records[名称],0)),"")</f>
        <v/>
      </c>
      <c r="V12" s="18" t="str">
        <f t="array" ref="V12">IFERROR(INDEX(records[持续时间],MATCH(表31_34354142[[#This Row],[日期]]&amp;"今日日程评分归档",records[日期]&amp;records[名称],0)),"")</f>
        <v/>
      </c>
      <c r="W12" t="str">
        <f t="array" ref="W12">IFERROR(INDEX(records[得分],MATCH(表31_34354142[[#This Row],[日期]]&amp;"今日日程评分归档",records[日期]&amp;records[名称],0)),"")</f>
        <v/>
      </c>
      <c r="X12" t="str">
        <f t="array" ref="X12">IFERROR(INDEX(records[备注],MATCH(表31_34354142[[#This Row],[日期]]&amp;"今日日程评分归档",records[日期]&amp;records[名称],0))&amp;"","")</f>
        <v/>
      </c>
      <c r="Y12" t="str">
        <f>IF(表31_34354142[[#This Row],[得分]]="","",IF(表31_34354142[[#This Row],[得分]]&gt;0,Y11+1,0))</f>
        <v/>
      </c>
      <c r="Z12" t="str">
        <f>IF(表31_34354142[[#This Row],[得分]]="","",IF(表31_34354142[[#This Row],[得分]]&lt;0,Z11+1,0))</f>
        <v/>
      </c>
    </row>
    <row r="13" spans="1:26">
      <c r="A13" s="6">
        <v>43888</v>
      </c>
      <c r="B13" s="18" t="str">
        <f t="array" ref="B13">IFERROR(INDEX(records[开始时刻],MATCH(表31_3435[[#This Row],[日期]]&amp;"今日日程评分",records[日期]&amp;records[名称],0)),"")</f>
        <v/>
      </c>
      <c r="C13" s="18" t="str">
        <f>IFERROR(INDEX(records[结束时刻],MATCH(表31_3435[[#This Row],[日期]]&amp;"今日日程评分",records[日期]&amp;records[名称],0)),"")</f>
        <v/>
      </c>
      <c r="D13" s="18" t="str">
        <f>IFERROR(INDEX(records[持续时间],MATCH(表31_3435[[#This Row],[日期]]&amp;"今日日程评分",records[日期]&amp;records[名称],0)),"")</f>
        <v/>
      </c>
      <c r="E13" t="str">
        <f t="array" ref="E13">IFERROR(INDEX(records[得分],MATCH(表31_3435[[#This Row],[日期]]&amp;"今日日程评分",records[日期]&amp;records[名称],0)),"")</f>
        <v/>
      </c>
      <c r="F13" t="str">
        <f t="array" ref="F13">IFERROR(INDEX(records[备注],MATCH(表31_3435[[#This Row],[日期]]&amp;"今日日程评分",records[日期]&amp;records[名称],0))&amp;"","")</f>
        <v/>
      </c>
      <c r="G13">
        <v>0</v>
      </c>
      <c r="H13">
        <v>0</v>
      </c>
      <c r="J13" s="6">
        <v>43888</v>
      </c>
      <c r="K13" s="18">
        <f t="array" ref="K13">IFERROR(INDEX(records[开始时刻],MATCH(表31_343541[[#This Row],[日期]]&amp;"明日日程安排",records[日期]&amp;records[名称],0)),"")</f>
        <v>0.9375</v>
      </c>
      <c r="L13" s="18">
        <f t="array" ref="L13">IFERROR(INDEX(records[结束时刻],MATCH(表31_343541[[#This Row],[日期]]&amp;"明日日程安排",records[日期]&amp;records[名称],0)),"")</f>
        <v>0.94791666666666663</v>
      </c>
      <c r="M13" s="18">
        <f t="array" ref="M13">IFERROR(INDEX(records[持续时间],MATCH(表31_343541[[#This Row],[日期]]&amp;"明日日程安排",records[日期]&amp;records[名称],0)),"")</f>
        <v>1.041666666666663E-2</v>
      </c>
      <c r="N13">
        <f t="array" ref="N13">IFERROR(INDEX(records[得分],MATCH(表31_343541[[#This Row],[日期]]&amp;"明日日程安排",records[日期]&amp;records[名称],0)),"")</f>
        <v>0.2</v>
      </c>
      <c r="O13" t="str">
        <f t="array" ref="O13">IFERROR(INDEX(records[备注],MATCH(表31_343541[[#This Row],[日期]]&amp;"明日日程安排",records[日期]&amp;records[名称],0))&amp;"","")</f>
        <v/>
      </c>
      <c r="P13">
        <f>IF(表31_343541[[#This Row],[得分]]="","",IF(表31_343541[[#This Row],[得分]]&gt;0,P12+1,0))</f>
        <v>5</v>
      </c>
      <c r="Q13">
        <f>IF(表31_343541[[#This Row],[得分]]="","",IF(表31_343541[[#This Row],[得分]]&lt;0,Q12+1,0))</f>
        <v>0</v>
      </c>
      <c r="S13" s="6">
        <v>43888</v>
      </c>
      <c r="T13" s="18" t="str">
        <f t="array" ref="T13">IFERROR(INDEX(records[开始时刻],MATCH(表31_34354142[[#This Row],[日期]]&amp;"今日日程评分归档",records[日期]&amp;records[名称],0)),"")</f>
        <v/>
      </c>
      <c r="U13" s="18" t="str">
        <f t="array" ref="U13">IFERROR(INDEX(records[结束时刻],MATCH(表31_34354142[[#This Row],[日期]]&amp;"今日日程评分归档",records[日期]&amp;records[名称],0)),"")</f>
        <v/>
      </c>
      <c r="V13" s="18" t="str">
        <f t="array" ref="V13">IFERROR(INDEX(records[持续时间],MATCH(表31_34354142[[#This Row],[日期]]&amp;"今日日程评分归档",records[日期]&amp;records[名称],0)),"")</f>
        <v/>
      </c>
      <c r="W13" t="str">
        <f t="array" ref="W13">IFERROR(INDEX(records[得分],MATCH(表31_34354142[[#This Row],[日期]]&amp;"今日日程评分归档",records[日期]&amp;records[名称],0)),"")</f>
        <v/>
      </c>
      <c r="X13" t="str">
        <f t="array" ref="X13">IFERROR(INDEX(records[备注],MATCH(表31_34354142[[#This Row],[日期]]&amp;"今日日程评分归档",records[日期]&amp;records[名称],0))&amp;"","")</f>
        <v/>
      </c>
      <c r="Y13" t="str">
        <f>IF(表31_34354142[[#This Row],[得分]]="","",IF(表31_34354142[[#This Row],[得分]]&gt;0,Y12+1,0))</f>
        <v/>
      </c>
      <c r="Z13" t="str">
        <f>IF(表31_34354142[[#This Row],[得分]]="","",IF(表31_34354142[[#This Row],[得分]]&lt;0,Z12+1,0))</f>
        <v/>
      </c>
    </row>
    <row r="14" spans="1:26">
      <c r="A14" s="6">
        <v>43889</v>
      </c>
      <c r="B14" s="18" t="str">
        <f t="array" ref="B14">IFERROR(INDEX(records[开始时刻],MATCH(表31_3435[[#This Row],[日期]]&amp;"今日日程评分",records[日期]&amp;records[名称],0)),"")</f>
        <v/>
      </c>
      <c r="C14" s="18" t="str">
        <f>IFERROR(INDEX(records[结束时刻],MATCH(表31_3435[[#This Row],[日期]]&amp;"今日日程评分",records[日期]&amp;records[名称],0)),"")</f>
        <v/>
      </c>
      <c r="D14" s="18" t="str">
        <f>IFERROR(INDEX(records[持续时间],MATCH(表31_3435[[#This Row],[日期]]&amp;"今日日程评分",records[日期]&amp;records[名称],0)),"")</f>
        <v/>
      </c>
      <c r="E14" t="str">
        <f t="array" ref="E14">IFERROR(INDEX(records[得分],MATCH(表31_3435[[#This Row],[日期]]&amp;"今日日程评分",records[日期]&amp;records[名称],0)),"")</f>
        <v/>
      </c>
      <c r="F14" t="str">
        <f t="array" ref="F14">IFERROR(INDEX(records[备注],MATCH(表31_3435[[#This Row],[日期]]&amp;"今日日程评分",records[日期]&amp;records[名称],0))&amp;"","")</f>
        <v/>
      </c>
      <c r="G14">
        <v>0</v>
      </c>
      <c r="H14">
        <v>0</v>
      </c>
      <c r="J14" s="6">
        <v>43889</v>
      </c>
      <c r="K14" s="18">
        <f t="array" ref="K14">IFERROR(INDEX(records[开始时刻],MATCH(表31_343541[[#This Row],[日期]]&amp;"明日日程安排",records[日期]&amp;records[名称],0)),"")</f>
        <v>0.9375</v>
      </c>
      <c r="L14" s="18">
        <f t="array" ref="L14">IFERROR(INDEX(records[结束时刻],MATCH(表31_343541[[#This Row],[日期]]&amp;"明日日程安排",records[日期]&amp;records[名称],0)),"")</f>
        <v>0.94791666666666663</v>
      </c>
      <c r="M14" s="18">
        <f t="array" ref="M14">IFERROR(INDEX(records[持续时间],MATCH(表31_343541[[#This Row],[日期]]&amp;"明日日程安排",records[日期]&amp;records[名称],0)),"")</f>
        <v>1.041666666666663E-2</v>
      </c>
      <c r="N14">
        <f t="array" ref="N14">IFERROR(INDEX(records[得分],MATCH(表31_343541[[#This Row],[日期]]&amp;"明日日程安排",records[日期]&amp;records[名称],0)),"")</f>
        <v>0.3</v>
      </c>
      <c r="O14" t="str">
        <f t="array" ref="O14">IFERROR(INDEX(records[备注],MATCH(表31_343541[[#This Row],[日期]]&amp;"明日日程安排",records[日期]&amp;records[名称],0))&amp;"","")</f>
        <v>已连续3天，增加0.1</v>
      </c>
      <c r="P14">
        <f>IF(表31_343541[[#This Row],[得分]]="","",IF(表31_343541[[#This Row],[得分]]&gt;0,P13+1,0))</f>
        <v>6</v>
      </c>
      <c r="Q14">
        <f>IF(表31_343541[[#This Row],[得分]]="","",IF(表31_343541[[#This Row],[得分]]&lt;0,Q13+1,0))</f>
        <v>0</v>
      </c>
      <c r="S14" s="6">
        <v>43889</v>
      </c>
      <c r="T14" s="18" t="str">
        <f t="array" ref="T14">IFERROR(INDEX(records[开始时刻],MATCH(表31_34354142[[#This Row],[日期]]&amp;"今日日程评分归档",records[日期]&amp;records[名称],0)),"")</f>
        <v/>
      </c>
      <c r="U14" s="18" t="str">
        <f t="array" ref="U14">IFERROR(INDEX(records[结束时刻],MATCH(表31_34354142[[#This Row],[日期]]&amp;"今日日程评分归档",records[日期]&amp;records[名称],0)),"")</f>
        <v/>
      </c>
      <c r="V14" s="18" t="str">
        <f t="array" ref="V14">IFERROR(INDEX(records[持续时间],MATCH(表31_34354142[[#This Row],[日期]]&amp;"今日日程评分归档",records[日期]&amp;records[名称],0)),"")</f>
        <v/>
      </c>
      <c r="W14" t="str">
        <f t="array" ref="W14">IFERROR(INDEX(records[得分],MATCH(表31_34354142[[#This Row],[日期]]&amp;"今日日程评分归档",records[日期]&amp;records[名称],0)),"")</f>
        <v/>
      </c>
      <c r="X14" t="str">
        <f t="array" ref="X14">IFERROR(INDEX(records[备注],MATCH(表31_34354142[[#This Row],[日期]]&amp;"今日日程评分归档",records[日期]&amp;records[名称],0))&amp;"","")</f>
        <v/>
      </c>
      <c r="Y14" t="str">
        <f>IF(表31_34354142[[#This Row],[得分]]="","",IF(表31_34354142[[#This Row],[得分]]&gt;0,Y13+1,0))</f>
        <v/>
      </c>
      <c r="Z14" t="str">
        <f>IF(表31_34354142[[#This Row],[得分]]="","",IF(表31_34354142[[#This Row],[得分]]&lt;0,Z13+1,0))</f>
        <v/>
      </c>
    </row>
    <row r="15" spans="1:26">
      <c r="A15" s="6">
        <v>43890</v>
      </c>
      <c r="B15" s="18" t="str">
        <f t="array" ref="B15">IFERROR(INDEX(records[开始时刻],MATCH(表31_3435[[#This Row],[日期]]&amp;"今日日程评分",records[日期]&amp;records[名称],0)),"")</f>
        <v/>
      </c>
      <c r="C15" s="18" t="str">
        <f>IFERROR(INDEX(records[结束时刻],MATCH(表31_3435[[#This Row],[日期]]&amp;"今日日程评分",records[日期]&amp;records[名称],0)),"")</f>
        <v/>
      </c>
      <c r="D15" s="18" t="str">
        <f>IFERROR(INDEX(records[持续时间],MATCH(表31_3435[[#This Row],[日期]]&amp;"今日日程评分",records[日期]&amp;records[名称],0)),"")</f>
        <v/>
      </c>
      <c r="E15" t="str">
        <f t="array" ref="E15">IFERROR(INDEX(records[得分],MATCH(表31_3435[[#This Row],[日期]]&amp;"今日日程评分",records[日期]&amp;records[名称],0)),"")</f>
        <v/>
      </c>
      <c r="F15" t="str">
        <f t="array" ref="F15">IFERROR(INDEX(records[备注],MATCH(表31_3435[[#This Row],[日期]]&amp;"今日日程评分",records[日期]&amp;records[名称],0))&amp;"","")</f>
        <v/>
      </c>
      <c r="G15">
        <v>0</v>
      </c>
      <c r="H15">
        <v>0</v>
      </c>
      <c r="J15" s="6">
        <v>43890</v>
      </c>
      <c r="K15" s="18">
        <f t="array" ref="K15">IFERROR(INDEX(records[开始时刻],MATCH(表31_343541[[#This Row],[日期]]&amp;"明日日程安排",records[日期]&amp;records[名称],0)),"")</f>
        <v>0.9375</v>
      </c>
      <c r="L15" s="18">
        <f t="array" ref="L15">IFERROR(INDEX(records[结束时刻],MATCH(表31_343541[[#This Row],[日期]]&amp;"明日日程安排",records[日期]&amp;records[名称],0)),"")</f>
        <v>0.94791666666666663</v>
      </c>
      <c r="M15" s="18">
        <f t="array" ref="M15">IFERROR(INDEX(records[持续时间],MATCH(表31_343541[[#This Row],[日期]]&amp;"明日日程安排",records[日期]&amp;records[名称],0)),"")</f>
        <v>1.041666666666663E-2</v>
      </c>
      <c r="N15">
        <f t="array" ref="N15">IFERROR(INDEX(records[得分],MATCH(表31_343541[[#This Row],[日期]]&amp;"明日日程安排",records[日期]&amp;records[名称],0)),"")</f>
        <v>0.5</v>
      </c>
      <c r="O15" t="str">
        <f t="array" ref="O15">IFERROR(INDEX(records[备注],MATCH(表31_343541[[#This Row],[日期]]&amp;"明日日程安排",records[日期]&amp;records[名称],0))&amp;"","")</f>
        <v>已连续1周，增加0.2</v>
      </c>
      <c r="P15">
        <f>IF(表31_343541[[#This Row],[得分]]="","",IF(表31_343541[[#This Row],[得分]]&gt;0,P14+1,0))</f>
        <v>7</v>
      </c>
      <c r="Q15">
        <f>IF(表31_343541[[#This Row],[得分]]="","",IF(表31_343541[[#This Row],[得分]]&lt;0,Q14+1,0))</f>
        <v>0</v>
      </c>
      <c r="S15" s="6">
        <v>43890</v>
      </c>
      <c r="T15" s="18" t="str">
        <f t="array" ref="T15">IFERROR(INDEX(records[开始时刻],MATCH(表31_34354142[[#This Row],[日期]]&amp;"今日日程评分归档",records[日期]&amp;records[名称],0)),"")</f>
        <v/>
      </c>
      <c r="U15" s="18" t="str">
        <f t="array" ref="U15">IFERROR(INDEX(records[结束时刻],MATCH(表31_34354142[[#This Row],[日期]]&amp;"今日日程评分归档",records[日期]&amp;records[名称],0)),"")</f>
        <v/>
      </c>
      <c r="V15" s="18" t="str">
        <f t="array" ref="V15">IFERROR(INDEX(records[持续时间],MATCH(表31_34354142[[#This Row],[日期]]&amp;"今日日程评分归档",records[日期]&amp;records[名称],0)),"")</f>
        <v/>
      </c>
      <c r="W15" t="str">
        <f t="array" ref="W15">IFERROR(INDEX(records[得分],MATCH(表31_34354142[[#This Row],[日期]]&amp;"今日日程评分归档",records[日期]&amp;records[名称],0)),"")</f>
        <v/>
      </c>
      <c r="X15" t="str">
        <f t="array" ref="X15">IFERROR(INDEX(records[备注],MATCH(表31_34354142[[#This Row],[日期]]&amp;"今日日程评分归档",records[日期]&amp;records[名称],0))&amp;"","")</f>
        <v/>
      </c>
      <c r="Y15" t="str">
        <f>IF(表31_34354142[[#This Row],[得分]]="","",IF(表31_34354142[[#This Row],[得分]]&gt;0,Y14+1,0))</f>
        <v/>
      </c>
      <c r="Z15" t="str">
        <f>IF(表31_34354142[[#This Row],[得分]]="","",IF(表31_34354142[[#This Row],[得分]]&lt;0,Z14+1,0))</f>
        <v/>
      </c>
    </row>
    <row r="16" spans="1:26">
      <c r="A16" s="6">
        <v>43891</v>
      </c>
      <c r="B16" s="18">
        <f t="array" ref="B16">IFERROR(INDEX(records[开始时刻],MATCH(表31_3435[[#This Row],[日期]]&amp;"今日日程评分",records[日期]&amp;records[名称],0)),"")</f>
        <v>0.94791666666666663</v>
      </c>
      <c r="C16" s="18">
        <f t="array" ref="C16">IFERROR(INDEX(records[结束时刻],MATCH(表31_3435[[#This Row],[日期]]&amp;"今日日程评分",records[日期]&amp;records[名称],0)),"")</f>
        <v>0.95833333333333337</v>
      </c>
      <c r="D16" s="18">
        <f t="array" ref="D16">IFERROR(INDEX(records[持续时间],MATCH(表31_3435[[#This Row],[日期]]&amp;"今日日程评分",records[日期]&amp;records[名称],0)),"")</f>
        <v>1.0416666666666741E-2</v>
      </c>
      <c r="E16">
        <f t="array" ref="E16">IFERROR(INDEX(records[得分],MATCH(表31_3435[[#This Row],[日期]]&amp;"今日日程评分",records[日期]&amp;records[名称],0)),"")</f>
        <v>0.1</v>
      </c>
      <c r="F16" t="str">
        <f t="array" ref="F16">IFERROR(INDEX(records[备注],MATCH(表31_3435[[#This Row],[日期]]&amp;"今日日程评分",records[日期]&amp;records[名称],0))&amp;"","")</f>
        <v/>
      </c>
      <c r="G16">
        <v>1</v>
      </c>
      <c r="H16">
        <f>IF(表31_3435[[#This Row],[得分]]="","",IF(表31_3435[[#This Row],[得分]]&lt;0,H15+1,0))</f>
        <v>0</v>
      </c>
      <c r="J16" s="6">
        <v>43891</v>
      </c>
      <c r="K16" s="18">
        <f t="array" ref="K16">IFERROR(INDEX(records[开始时刻],MATCH(表31_343541[[#This Row],[日期]]&amp;"明日日程安排",records[日期]&amp;records[名称],0)),"")</f>
        <v>0.9375</v>
      </c>
      <c r="L16" s="18">
        <f t="array" ref="L16">IFERROR(INDEX(records[结束时刻],MATCH(表31_343541[[#This Row],[日期]]&amp;"明日日程安排",records[日期]&amp;records[名称],0)),"")</f>
        <v>0.94791666666666663</v>
      </c>
      <c r="M16" s="18">
        <f t="array" ref="M16">IFERROR(INDEX(records[持续时间],MATCH(表31_343541[[#This Row],[日期]]&amp;"明日日程安排",records[日期]&amp;records[名称],0)),"")</f>
        <v>1.041666666666663E-2</v>
      </c>
      <c r="N16">
        <f t="array" ref="N16">IFERROR(INDEX(records[得分],MATCH(表31_343541[[#This Row],[日期]]&amp;"明日日程安排",records[日期]&amp;records[名称],0)),"")</f>
        <v>0.5</v>
      </c>
      <c r="O16" t="str">
        <f t="array" ref="O16">IFERROR(INDEX(records[备注],MATCH(表31_343541[[#This Row],[日期]]&amp;"明日日程安排",records[日期]&amp;records[名称],0))&amp;"","")</f>
        <v/>
      </c>
      <c r="P16">
        <f>IF(表31_343541[[#This Row],[得分]]="","",IF(表31_343541[[#This Row],[得分]]&gt;0,P15+1,0))</f>
        <v>8</v>
      </c>
      <c r="Q16">
        <f>IF(表31_343541[[#This Row],[得分]]="","",IF(表31_343541[[#This Row],[得分]]&lt;0,Q15+1,0))</f>
        <v>0</v>
      </c>
      <c r="S16" s="6">
        <v>43891</v>
      </c>
      <c r="T16" s="18" t="str">
        <f t="array" ref="T16">IFERROR(INDEX(records[开始时刻],MATCH(表31_34354142[[#This Row],[日期]]&amp;"今日日程评分归档",records[日期]&amp;records[名称],0)),"")</f>
        <v/>
      </c>
      <c r="U16" s="18" t="str">
        <f t="array" ref="U16">IFERROR(INDEX(records[结束时刻],MATCH(表31_34354142[[#This Row],[日期]]&amp;"今日日程评分归档",records[日期]&amp;records[名称],0)),"")</f>
        <v/>
      </c>
      <c r="V16" s="18" t="str">
        <f t="array" ref="V16">IFERROR(INDEX(records[持续时间],MATCH(表31_34354142[[#This Row],[日期]]&amp;"今日日程评分归档",records[日期]&amp;records[名称],0)),"")</f>
        <v/>
      </c>
      <c r="W16" t="str">
        <f t="array" ref="W16">IFERROR(INDEX(records[得分],MATCH(表31_34354142[[#This Row],[日期]]&amp;"今日日程评分归档",records[日期]&amp;records[名称],0)),"")</f>
        <v/>
      </c>
      <c r="X16" t="str">
        <f t="array" ref="X16">IFERROR(INDEX(records[备注],MATCH(表31_34354142[[#This Row],[日期]]&amp;"今日日程评分归档",records[日期]&amp;records[名称],0))&amp;"","")</f>
        <v/>
      </c>
      <c r="Y16" t="str">
        <f>IF(表31_34354142[[#This Row],[得分]]="","",IF(表31_34354142[[#This Row],[得分]]&gt;0,Y15+1,0))</f>
        <v/>
      </c>
      <c r="Z16" t="str">
        <f>IF(表31_34354142[[#This Row],[得分]]="","",IF(表31_34354142[[#This Row],[得分]]&lt;0,Z15+1,0))</f>
        <v/>
      </c>
    </row>
    <row r="17" spans="1:26">
      <c r="A17" s="6">
        <v>43892</v>
      </c>
      <c r="B17" s="18">
        <f t="array" ref="B17">IFERROR(INDEX(records[开始时刻],MATCH(表31_3435[[#This Row],[日期]]&amp;"今日日程评分",records[日期]&amp;records[名称],0)),"")</f>
        <v>0.9375</v>
      </c>
      <c r="C17" s="18">
        <f t="array" ref="C17">IFERROR(INDEX(records[结束时刻],MATCH(表31_3435[[#This Row],[日期]]&amp;"今日日程评分",records[日期]&amp;records[名称],0)),"")</f>
        <v>0.94444444444444453</v>
      </c>
      <c r="D17" s="18">
        <f t="array" ref="D17">IFERROR(INDEX(records[持续时间],MATCH(表31_3435[[#This Row],[日期]]&amp;"今日日程评分",records[日期]&amp;records[名称],0)),"")</f>
        <v>6.9444444444445308E-3</v>
      </c>
      <c r="E17">
        <f t="array" ref="E17">IFERROR(INDEX(records[得分],MATCH(表31_3435[[#This Row],[日期]]&amp;"今日日程评分",records[日期]&amp;records[名称],0)),"")</f>
        <v>0.1</v>
      </c>
      <c r="F17" t="str">
        <f t="array" ref="F17">IFERROR(INDEX(records[备注],MATCH(表31_3435[[#This Row],[日期]]&amp;"今日日程评分",records[日期]&amp;records[名称],0))&amp;"","")</f>
        <v>已连续3天，增加0.1</v>
      </c>
      <c r="G17">
        <f>IF(表31_3435[[#This Row],[得分]]="","",IF(表31_3435[[#This Row],[得分]]&gt;0,G16+1,0))</f>
        <v>2</v>
      </c>
      <c r="H17">
        <f>IF(表31_3435[[#This Row],[得分]]="","",IF(表31_3435[[#This Row],[得分]]&lt;0,H16+1,0))</f>
        <v>0</v>
      </c>
      <c r="J17" s="6">
        <v>43892</v>
      </c>
      <c r="K17" s="18">
        <f t="array" ref="K17">IFERROR(INDEX(records[开始时刻],MATCH(表31_343541[[#This Row],[日期]]&amp;"明日日程安排",records[日期]&amp;records[名称],0)),"")</f>
        <v>0.94444444444444453</v>
      </c>
      <c r="L17" s="18">
        <f t="array" ref="L17">IFERROR(INDEX(records[结束时刻],MATCH(表31_343541[[#This Row],[日期]]&amp;"明日日程安排",records[日期]&amp;records[名称],0)),"")</f>
        <v>0.95138888888888884</v>
      </c>
      <c r="M17" s="18">
        <f t="array" ref="M17">IFERROR(INDEX(records[持续时间],MATCH(表31_343541[[#This Row],[日期]]&amp;"明日日程安排",records[日期]&amp;records[名称],0)),"")</f>
        <v>6.9444444444443088E-3</v>
      </c>
      <c r="N17">
        <f t="array" ref="N17">IFERROR(INDEX(records[得分],MATCH(表31_343541[[#This Row],[日期]]&amp;"明日日程安排",records[日期]&amp;records[名称],0)),"")</f>
        <v>0.6</v>
      </c>
      <c r="O17" t="str">
        <f t="array" ref="O17">IFERROR(INDEX(records[备注],MATCH(表31_343541[[#This Row],[日期]]&amp;"明日日程安排",records[日期]&amp;records[名称],0))&amp;"","")</f>
        <v>已连续3天，增加0.1</v>
      </c>
      <c r="P17">
        <f>IF(表31_343541[[#This Row],[得分]]="","",IF(表31_343541[[#This Row],[得分]]&gt;0,P16+1,0))</f>
        <v>9</v>
      </c>
      <c r="Q17">
        <f>IF(表31_343541[[#This Row],[得分]]="","",IF(表31_343541[[#This Row],[得分]]&lt;0,Q16+1,0))</f>
        <v>0</v>
      </c>
      <c r="S17" s="6">
        <v>43892</v>
      </c>
      <c r="T17" s="18" t="str">
        <f t="array" ref="T17">IFERROR(INDEX(records[开始时刻],MATCH(表31_34354142[[#This Row],[日期]]&amp;"今日日程评分归档",records[日期]&amp;records[名称],0)),"")</f>
        <v/>
      </c>
      <c r="U17" s="18" t="str">
        <f t="array" ref="U17">IFERROR(INDEX(records[结束时刻],MATCH(表31_34354142[[#This Row],[日期]]&amp;"今日日程评分归档",records[日期]&amp;records[名称],0)),"")</f>
        <v/>
      </c>
      <c r="V17" s="18" t="str">
        <f t="array" ref="V17">IFERROR(INDEX(records[持续时间],MATCH(表31_34354142[[#This Row],[日期]]&amp;"今日日程评分归档",records[日期]&amp;records[名称],0)),"")</f>
        <v/>
      </c>
      <c r="W17" t="str">
        <f t="array" ref="W17">IFERROR(INDEX(records[得分],MATCH(表31_34354142[[#This Row],[日期]]&amp;"今日日程评分归档",records[日期]&amp;records[名称],0)),"")</f>
        <v/>
      </c>
      <c r="X17" t="str">
        <f t="array" ref="X17">IFERROR(INDEX(records[备注],MATCH(表31_34354142[[#This Row],[日期]]&amp;"今日日程评分归档",records[日期]&amp;records[名称],0))&amp;"","")</f>
        <v/>
      </c>
      <c r="Y17" t="str">
        <f>IF(表31_34354142[[#This Row],[得分]]="","",IF(表31_34354142[[#This Row],[得分]]&gt;0,Y16+1,0))</f>
        <v/>
      </c>
      <c r="Z17" t="str">
        <f>IF(表31_34354142[[#This Row],[得分]]="","",IF(表31_34354142[[#This Row],[得分]]&lt;0,Z16+1,0))</f>
        <v/>
      </c>
    </row>
    <row r="18" spans="1:26">
      <c r="A18" s="6">
        <v>43893</v>
      </c>
      <c r="B18" s="18">
        <f t="array" ref="B18">IFERROR(INDEX(records[开始时刻],MATCH(表31_3435[[#This Row],[日期]]&amp;"今日日程评分",records[日期]&amp;records[名称],0)),"")</f>
        <v>0.9375</v>
      </c>
      <c r="C18" s="18">
        <f t="array" ref="C18">IFERROR(INDEX(records[结束时刻],MATCH(表31_3435[[#This Row],[日期]]&amp;"今日日程评分",records[日期]&amp;records[名称],0)),"")</f>
        <v>0.94444444444444453</v>
      </c>
      <c r="D18" s="18">
        <f t="array" ref="D18">IFERROR(INDEX(records[持续时间],MATCH(表31_3435[[#This Row],[日期]]&amp;"今日日程评分",records[日期]&amp;records[名称],0)),"")</f>
        <v>6.9444444444445308E-3</v>
      </c>
      <c r="E18">
        <f t="array" ref="E18">IFERROR(INDEX(records[得分],MATCH(表31_3435[[#This Row],[日期]]&amp;"今日日程评分",records[日期]&amp;records[名称],0)),"")</f>
        <v>-0.2</v>
      </c>
      <c r="F18" t="str">
        <f t="array" ref="F18">IFERROR(INDEX(records[备注],MATCH(表31_3435[[#This Row],[日期]]&amp;"今日日程评分",records[日期]&amp;records[名称],0))&amp;"","")</f>
        <v>完成度：0%</v>
      </c>
      <c r="G18">
        <f>IF(表31_3435[[#This Row],[得分]]="","",IF(表31_3435[[#This Row],[得分]]&gt;0,G17+1,0))</f>
        <v>0</v>
      </c>
      <c r="H18">
        <f>IF(表31_3435[[#This Row],[得分]]="","",IF(表31_3435[[#This Row],[得分]]&lt;0,H17+1,0))</f>
        <v>1</v>
      </c>
      <c r="J18" s="6">
        <v>43893</v>
      </c>
      <c r="K18" s="18">
        <f t="array" ref="K18">IFERROR(INDEX(records[开始时刻],MATCH(表31_343541[[#This Row],[日期]]&amp;"明日日程安排",records[日期]&amp;records[名称],0)),"")</f>
        <v>0.94444444444444453</v>
      </c>
      <c r="L18" s="18">
        <f t="array" ref="L18">IFERROR(INDEX(records[结束时刻],MATCH(表31_343541[[#This Row],[日期]]&amp;"明日日程安排",records[日期]&amp;records[名称],0)),"")</f>
        <v>0.95138888888888884</v>
      </c>
      <c r="M18" s="18">
        <f t="array" ref="M18">IFERROR(INDEX(records[持续时间],MATCH(表31_343541[[#This Row],[日期]]&amp;"明日日程安排",records[日期]&amp;records[名称],0)),"")</f>
        <v>6.9444444444443088E-3</v>
      </c>
      <c r="N18">
        <f t="array" ref="N18">IFERROR(INDEX(records[得分],MATCH(表31_343541[[#This Row],[日期]]&amp;"明日日程安排",records[日期]&amp;records[名称],0)),"")</f>
        <v>-0.6</v>
      </c>
      <c r="O18" t="str">
        <f t="array" ref="O18">IFERROR(INDEX(records[备注],MATCH(表31_343541[[#This Row],[日期]]&amp;"明日日程安排",records[日期]&amp;records[名称],0))&amp;"","")</f>
        <v>完成度：0%</v>
      </c>
      <c r="P18">
        <f>IF(表31_343541[[#This Row],[得分]]="","",IF(表31_343541[[#This Row],[得分]]&gt;0,P17+1,0))</f>
        <v>0</v>
      </c>
      <c r="Q18">
        <f>IF(表31_343541[[#This Row],[得分]]="","",IF(表31_343541[[#This Row],[得分]]&lt;0,Q17+1,0))</f>
        <v>1</v>
      </c>
      <c r="S18" s="6">
        <v>43893</v>
      </c>
      <c r="T18" s="18">
        <f t="array" ref="T18">IFERROR(INDEX(records[开始时刻],MATCH(表31_34354142[[#This Row],[日期]]&amp;"今日日程评分归档",records[日期]&amp;records[名称],0)),"")</f>
        <v>0.95138888888888884</v>
      </c>
      <c r="U18" s="18">
        <f t="array" ref="U18">IFERROR(INDEX(records[结束时刻],MATCH(表31_34354142[[#This Row],[日期]]&amp;"今日日程评分归档",records[日期]&amp;records[名称],0)),"")</f>
        <v>0.95833333333333337</v>
      </c>
      <c r="V18" s="18">
        <f t="array" ref="V18">IFERROR(INDEX(records[持续时间],MATCH(表31_34354142[[#This Row],[日期]]&amp;"今日日程评分归档",records[日期]&amp;records[名称],0)),"")</f>
        <v>6.9444444444445308E-3</v>
      </c>
      <c r="W18">
        <f t="array" ref="W18">IFERROR(INDEX(records[得分],MATCH(表31_34354142[[#This Row],[日期]]&amp;"今日日程评分归档",records[日期]&amp;records[名称],0)),"")</f>
        <v>-0.1</v>
      </c>
      <c r="X18" t="str">
        <f t="array" ref="X18">IFERROR(INDEX(records[备注],MATCH(表31_34354142[[#This Row],[日期]]&amp;"今日日程评分归档",records[日期]&amp;records[名称],0))&amp;"","")</f>
        <v>完成度：0%</v>
      </c>
      <c r="Y18">
        <f>IF(表31_34354142[[#This Row],[得分]]="","",IF(表31_34354142[[#This Row],[得分]]&gt;0,Y17+1,0))</f>
        <v>0</v>
      </c>
      <c r="Z18">
        <v>1</v>
      </c>
    </row>
    <row r="19" spans="1:26">
      <c r="A19" s="6">
        <v>43894</v>
      </c>
      <c r="B19" s="18">
        <f t="array" ref="B19">IFERROR(INDEX(records[开始时刻],MATCH(表31_3435[[#This Row],[日期]]&amp;"今日日程评分",records[日期]&amp;records[名称],0)),"")</f>
        <v>0.9375</v>
      </c>
      <c r="C19" s="18">
        <f t="array" ref="C19">IFERROR(INDEX(records[结束时刻],MATCH(表31_3435[[#This Row],[日期]]&amp;"今日日程评分",records[日期]&amp;records[名称],0)),"")</f>
        <v>0.94444444444444453</v>
      </c>
      <c r="D19" s="18">
        <f t="array" ref="D19">IFERROR(INDEX(records[持续时间],MATCH(表31_3435[[#This Row],[日期]]&amp;"今日日程评分",records[日期]&amp;records[名称],0)),"")</f>
        <v>6.9444444444445308E-3</v>
      </c>
      <c r="E19">
        <f t="array" ref="E19">IFERROR(INDEX(records[得分],MATCH(表31_3435[[#This Row],[日期]]&amp;"今日日程评分",records[日期]&amp;records[名称],0)),"")</f>
        <v>0.1</v>
      </c>
      <c r="F19" t="str">
        <f t="array" ref="F19">IFERROR(INDEX(records[备注],MATCH(表31_3435[[#This Row],[日期]]&amp;"今日日程评分",records[日期]&amp;records[名称],0))&amp;"","")</f>
        <v/>
      </c>
      <c r="G19">
        <f>IF(表31_3435[[#This Row],[得分]]="","",IF(表31_3435[[#This Row],[得分]]&gt;0,G18+1,0))</f>
        <v>1</v>
      </c>
      <c r="H19">
        <f>IF(表31_3435[[#This Row],[得分]]="","",IF(表31_3435[[#This Row],[得分]]&lt;0,H18+1,0))</f>
        <v>0</v>
      </c>
      <c r="J19" s="6">
        <v>43894</v>
      </c>
      <c r="K19" s="18">
        <f t="array" ref="K19">IFERROR(INDEX(records[开始时刻],MATCH(表31_343541[[#This Row],[日期]]&amp;"明日日程安排",records[日期]&amp;records[名称],0)),"")</f>
        <v>0.94444444444444453</v>
      </c>
      <c r="L19" s="18">
        <f t="array" ref="L19">IFERROR(INDEX(records[结束时刻],MATCH(表31_343541[[#This Row],[日期]]&amp;"明日日程安排",records[日期]&amp;records[名称],0)),"")</f>
        <v>0.95138888888888884</v>
      </c>
      <c r="M19" s="18">
        <f t="array" ref="M19">IFERROR(INDEX(records[持续时间],MATCH(表31_343541[[#This Row],[日期]]&amp;"明日日程安排",records[日期]&amp;records[名称],0)),"")</f>
        <v>6.9444444444443088E-3</v>
      </c>
      <c r="N19">
        <f t="array" ref="N19">IFERROR(INDEX(records[得分],MATCH(表31_343541[[#This Row],[日期]]&amp;"明日日程安排",records[日期]&amp;records[名称],0)),"")</f>
        <v>0.1</v>
      </c>
      <c r="O19" t="str">
        <f t="array" ref="O19">IFERROR(INDEX(records[备注],MATCH(表31_343541[[#This Row],[日期]]&amp;"明日日程安排",records[日期]&amp;records[名称],0))&amp;"","")</f>
        <v/>
      </c>
      <c r="P19">
        <f>IF(表31_343541[[#This Row],[得分]]="","",IF(表31_343541[[#This Row],[得分]]&gt;0,P18+1,0))</f>
        <v>1</v>
      </c>
      <c r="Q19">
        <f>IF(表31_343541[[#This Row],[得分]]="","",IF(表31_343541[[#This Row],[得分]]&lt;0,Q18+1,0))</f>
        <v>0</v>
      </c>
      <c r="S19" s="6">
        <v>43894</v>
      </c>
      <c r="T19" s="18">
        <f t="array" ref="T19">IFERROR(INDEX(records[开始时刻],MATCH(表31_34354142[[#This Row],[日期]]&amp;"今日日程评分归档",records[日期]&amp;records[名称],0)),"")</f>
        <v>0.95138888888888884</v>
      </c>
      <c r="U19" s="18">
        <f t="array" ref="U19">IFERROR(INDEX(records[结束时刻],MATCH(表31_34354142[[#This Row],[日期]]&amp;"今日日程评分归档",records[日期]&amp;records[名称],0)),"")</f>
        <v>0.95833333333333337</v>
      </c>
      <c r="V19" s="18">
        <f t="array" ref="V19">IFERROR(INDEX(records[持续时间],MATCH(表31_34354142[[#This Row],[日期]]&amp;"今日日程评分归档",records[日期]&amp;records[名称],0)),"")</f>
        <v>6.9444444444445308E-3</v>
      </c>
      <c r="W19">
        <f t="array" ref="W19">IFERROR(INDEX(records[得分],MATCH(表31_34354142[[#This Row],[日期]]&amp;"今日日程评分归档",records[日期]&amp;records[名称],0)),"")</f>
        <v>0.1</v>
      </c>
      <c r="X19" t="str">
        <f t="array" ref="X19">IFERROR(INDEX(records[备注],MATCH(表31_34354142[[#This Row],[日期]]&amp;"今日日程评分归档",records[日期]&amp;records[名称],0))&amp;"","")</f>
        <v/>
      </c>
      <c r="Y19">
        <f>IF(表31_34354142[[#This Row],[得分]]="","",IF(表31_34354142[[#This Row],[得分]]&gt;0,Y18+1,0))</f>
        <v>1</v>
      </c>
      <c r="Z19">
        <f>IF(表31_34354142[[#This Row],[得分]]="","",IF(表31_34354142[[#This Row],[得分]]&lt;0,Z18+1,0))</f>
        <v>0</v>
      </c>
    </row>
    <row r="20" spans="1:26">
      <c r="A20" s="6">
        <v>43895</v>
      </c>
      <c r="B20" s="18">
        <f t="array" ref="B20">IFERROR(INDEX(records[开始时刻],MATCH(表31_3435[[#This Row],[日期]]&amp;"今日日程评分",records[日期]&amp;records[名称],0)),"")</f>
        <v>0.9375</v>
      </c>
      <c r="C20" s="18">
        <f t="array" ref="C20">IFERROR(INDEX(records[结束时刻],MATCH(表31_3435[[#This Row],[日期]]&amp;"今日日程评分",records[日期]&amp;records[名称],0)),"")</f>
        <v>0.94444444444444453</v>
      </c>
      <c r="D20" s="18">
        <f t="array" ref="D20">IFERROR(INDEX(records[持续时间],MATCH(表31_3435[[#This Row],[日期]]&amp;"今日日程评分",records[日期]&amp;records[名称],0)),"")</f>
        <v>6.9444444444445308E-3</v>
      </c>
      <c r="E20">
        <f t="array" ref="E20">IFERROR(INDEX(records[得分],MATCH(表31_3435[[#This Row],[日期]]&amp;"今日日程评分",records[日期]&amp;records[名称],0)),"")</f>
        <v>0</v>
      </c>
      <c r="F20" t="str">
        <f t="array" ref="F20">IFERROR(INDEX(records[备注],MATCH(表31_3435[[#This Row],[日期]]&amp;"今日日程评分",records[日期]&amp;records[名称],0))&amp;"","")</f>
        <v/>
      </c>
      <c r="H20">
        <f>IF(表31_3435[[#This Row],[得分]]="","",IF(表31_3435[[#This Row],[得分]]&lt;0,H19+1,0))</f>
        <v>0</v>
      </c>
      <c r="J20" s="6">
        <v>43895</v>
      </c>
      <c r="K20" s="18">
        <f t="array" ref="K20">IFERROR(INDEX(records[开始时刻],MATCH(表31_343541[[#This Row],[日期]]&amp;"明日日程安排",records[日期]&amp;records[名称],0)),"")</f>
        <v>0.94444444444444453</v>
      </c>
      <c r="L20" s="18">
        <f t="array" ref="L20">IFERROR(INDEX(records[结束时刻],MATCH(表31_343541[[#This Row],[日期]]&amp;"明日日程安排",records[日期]&amp;records[名称],0)),"")</f>
        <v>0.95138888888888884</v>
      </c>
      <c r="M20" s="18">
        <f t="array" ref="M20">IFERROR(INDEX(records[持续时间],MATCH(表31_343541[[#This Row],[日期]]&amp;"明日日程安排",records[日期]&amp;records[名称],0)),"")</f>
        <v>6.9444444444443088E-3</v>
      </c>
      <c r="N20">
        <f t="array" ref="N20">IFERROR(INDEX(records[得分],MATCH(表31_343541[[#This Row],[日期]]&amp;"明日日程安排",records[日期]&amp;records[名称],0)),"")</f>
        <v>0</v>
      </c>
      <c r="O20" t="str">
        <f t="array" ref="O20">IFERROR(INDEX(records[备注],MATCH(表31_343541[[#This Row],[日期]]&amp;"明日日程安排",records[日期]&amp;records[名称],0))&amp;"","")</f>
        <v/>
      </c>
      <c r="S20" s="6">
        <v>43895</v>
      </c>
      <c r="T20" s="18">
        <f t="array" ref="T20">IFERROR(INDEX(records[开始时刻],MATCH(表31_34354142[[#This Row],[日期]]&amp;"今日日程评分归档",records[日期]&amp;records[名称],0)),"")</f>
        <v>0.95138888888888884</v>
      </c>
      <c r="U20" s="18">
        <f t="array" ref="U20">IFERROR(INDEX(records[结束时刻],MATCH(表31_34354142[[#This Row],[日期]]&amp;"今日日程评分归档",records[日期]&amp;records[名称],0)),"")</f>
        <v>0.95833333333333337</v>
      </c>
      <c r="V20" s="18">
        <f t="array" ref="V20">IFERROR(INDEX(records[持续时间],MATCH(表31_34354142[[#This Row],[日期]]&amp;"今日日程评分归档",records[日期]&amp;records[名称],0)),"")</f>
        <v>6.9444444444445308E-3</v>
      </c>
      <c r="W20">
        <f t="array" ref="W20">IFERROR(INDEX(records[得分],MATCH(表31_34354142[[#This Row],[日期]]&amp;"今日日程评分归档",records[日期]&amp;records[名称],0)),"")</f>
        <v>0</v>
      </c>
      <c r="X20" t="str">
        <f t="array" ref="X20">IFERROR(INDEX(records[备注],MATCH(表31_34354142[[#This Row],[日期]]&amp;"今日日程评分归档",records[日期]&amp;records[名称],0))&amp;"","")</f>
        <v/>
      </c>
    </row>
    <row r="21" spans="1:26">
      <c r="A21" s="6">
        <v>43896</v>
      </c>
      <c r="B21" s="18" t="str">
        <f t="array" ref="B21">IFERROR(INDEX(records[开始时刻],MATCH(表31_3435[[#This Row],[日期]]&amp;"今日日程评分",records[日期]&amp;records[名称],0)),"")</f>
        <v/>
      </c>
      <c r="C21" s="18" t="str">
        <f t="array" ref="C21">IFERROR(INDEX(records[结束时刻],MATCH(表31_3435[[#This Row],[日期]]&amp;"今日日程评分",records[日期]&amp;records[名称],0)),"")</f>
        <v/>
      </c>
      <c r="D21" s="18" t="str">
        <f t="array" ref="D21">IFERROR(INDEX(records[持续时间],MATCH(表31_3435[[#This Row],[日期]]&amp;"今日日程评分",records[日期]&amp;records[名称],0)),"")</f>
        <v/>
      </c>
      <c r="E21" t="str">
        <f t="array" ref="E21">IFERROR(INDEX(records[得分],MATCH(表31_3435[[#This Row],[日期]]&amp;"今日日程评分",records[日期]&amp;records[名称],0)),"")</f>
        <v/>
      </c>
      <c r="F21" t="str">
        <f t="array" ref="F21">IFERROR(INDEX(records[备注],MATCH(表31_3435[[#This Row],[日期]]&amp;"今日日程评分",records[日期]&amp;records[名称],0))&amp;"","")</f>
        <v/>
      </c>
      <c r="H21" t="str">
        <f>IF(表31_3435[[#This Row],[得分]]="","",IF(表31_3435[[#This Row],[得分]]&lt;0,H20+1,0))</f>
        <v/>
      </c>
      <c r="J21" s="6">
        <v>43896</v>
      </c>
      <c r="K21" s="18" t="str">
        <f t="array" ref="K21">IFERROR(INDEX(records[开始时刻],MATCH(表31_343541[[#This Row],[日期]]&amp;"明日日程安排",records[日期]&amp;records[名称],0)),"")</f>
        <v/>
      </c>
      <c r="L21" s="18" t="str">
        <f t="array" ref="L21">IFERROR(INDEX(records[结束时刻],MATCH(表31_343541[[#This Row],[日期]]&amp;"明日日程安排",records[日期]&amp;records[名称],0)),"")</f>
        <v/>
      </c>
      <c r="M21" s="18" t="str">
        <f t="array" ref="M21">IFERROR(INDEX(records[持续时间],MATCH(表31_343541[[#This Row],[日期]]&amp;"明日日程安排",records[日期]&amp;records[名称],0)),"")</f>
        <v/>
      </c>
      <c r="N21" t="str">
        <f t="array" ref="N21">IFERROR(INDEX(records[得分],MATCH(表31_343541[[#This Row],[日期]]&amp;"明日日程安排",records[日期]&amp;records[名称],0)),"")</f>
        <v/>
      </c>
      <c r="O21" t="str">
        <f t="array" ref="O21">IFERROR(INDEX(records[备注],MATCH(表31_343541[[#This Row],[日期]]&amp;"明日日程安排",records[日期]&amp;records[名称],0))&amp;"","")</f>
        <v/>
      </c>
      <c r="S21" s="6">
        <v>43896</v>
      </c>
      <c r="T21" s="18" t="str">
        <f t="array" ref="T21">IFERROR(INDEX(records[开始时刻],MATCH(表31_34354142[[#This Row],[日期]]&amp;"今日日程评分归档",records[日期]&amp;records[名称],0)),"")</f>
        <v/>
      </c>
      <c r="U21" s="18" t="str">
        <f t="array" ref="U21">IFERROR(INDEX(records[结束时刻],MATCH(表31_34354142[[#This Row],[日期]]&amp;"今日日程评分归档",records[日期]&amp;records[名称],0)),"")</f>
        <v/>
      </c>
      <c r="V21" s="18" t="str">
        <f t="array" ref="V21">IFERROR(INDEX(records[持续时间],MATCH(表31_34354142[[#This Row],[日期]]&amp;"今日日程评分归档",records[日期]&amp;records[名称],0)),"")</f>
        <v/>
      </c>
      <c r="W21" t="str">
        <f t="array" ref="W21">IFERROR(INDEX(records[得分],MATCH(表31_34354142[[#This Row],[日期]]&amp;"今日日程评分归档",records[日期]&amp;records[名称],0)),"")</f>
        <v/>
      </c>
      <c r="X21" t="str">
        <f t="array" ref="X21">IFERROR(INDEX(records[备注],MATCH(表31_34354142[[#This Row],[日期]]&amp;"今日日程评分归档",records[日期]&amp;records[名称],0))&amp;"","")</f>
        <v/>
      </c>
    </row>
    <row r="22" spans="1:26">
      <c r="A22" s="6">
        <v>43897</v>
      </c>
      <c r="B22" s="18" t="str">
        <f t="array" ref="B22">IFERROR(INDEX(records[开始时刻],MATCH(表31_3435[[#This Row],[日期]]&amp;"今日日程评分",records[日期]&amp;records[名称],0)),"")</f>
        <v/>
      </c>
      <c r="C22" s="18" t="str">
        <f t="array" ref="C22">IFERROR(INDEX(records[结束时刻],MATCH(表31_3435[[#This Row],[日期]]&amp;"今日日程评分",records[日期]&amp;records[名称],0)),"")</f>
        <v/>
      </c>
      <c r="D22" s="18" t="str">
        <f t="array" ref="D22">IFERROR(INDEX(records[持续时间],MATCH(表31_3435[[#This Row],[日期]]&amp;"今日日程评分",records[日期]&amp;records[名称],0)),"")</f>
        <v/>
      </c>
      <c r="E22" t="str">
        <f t="array" ref="E22">IFERROR(INDEX(records[得分],MATCH(表31_3435[[#This Row],[日期]]&amp;"今日日程评分",records[日期]&amp;records[名称],0)),"")</f>
        <v/>
      </c>
      <c r="F22" t="str">
        <f t="array" ref="F22">IFERROR(INDEX(records[备注],MATCH(表31_3435[[#This Row],[日期]]&amp;"今日日程评分",records[日期]&amp;records[名称],0))&amp;"","")</f>
        <v/>
      </c>
      <c r="H22" t="str">
        <f>IF(表31_3435[[#This Row],[得分]]="","",IF(表31_3435[[#This Row],[得分]]&lt;0,H21+1,0))</f>
        <v/>
      </c>
      <c r="J22" s="6">
        <v>43897</v>
      </c>
      <c r="K22" s="18" t="str">
        <f t="array" ref="K22">IFERROR(INDEX(records[开始时刻],MATCH(表31_343541[[#This Row],[日期]]&amp;"明日日程安排",records[日期]&amp;records[名称],0)),"")</f>
        <v/>
      </c>
      <c r="L22" s="18" t="str">
        <f t="array" ref="L22">IFERROR(INDEX(records[结束时刻],MATCH(表31_343541[[#This Row],[日期]]&amp;"明日日程安排",records[日期]&amp;records[名称],0)),"")</f>
        <v/>
      </c>
      <c r="M22" s="18" t="str">
        <f t="array" ref="M22">IFERROR(INDEX(records[持续时间],MATCH(表31_343541[[#This Row],[日期]]&amp;"明日日程安排",records[日期]&amp;records[名称],0)),"")</f>
        <v/>
      </c>
      <c r="N22" t="str">
        <f t="array" ref="N22">IFERROR(INDEX(records[得分],MATCH(表31_343541[[#This Row],[日期]]&amp;"明日日程安排",records[日期]&amp;records[名称],0)),"")</f>
        <v/>
      </c>
      <c r="O22" t="str">
        <f t="array" ref="O22">IFERROR(INDEX(records[备注],MATCH(表31_343541[[#This Row],[日期]]&amp;"明日日程安排",records[日期]&amp;records[名称],0))&amp;"","")</f>
        <v/>
      </c>
      <c r="S22" s="6">
        <v>43897</v>
      </c>
      <c r="T22" s="18" t="str">
        <f t="array" ref="T22">IFERROR(INDEX(records[开始时刻],MATCH(表31_34354142[[#This Row],[日期]]&amp;"今日日程评分归档",records[日期]&amp;records[名称],0)),"")</f>
        <v/>
      </c>
      <c r="U22" s="18" t="str">
        <f t="array" ref="U22">IFERROR(INDEX(records[结束时刻],MATCH(表31_34354142[[#This Row],[日期]]&amp;"今日日程评分归档",records[日期]&amp;records[名称],0)),"")</f>
        <v/>
      </c>
      <c r="V22" s="18" t="str">
        <f t="array" ref="V22">IFERROR(INDEX(records[持续时间],MATCH(表31_34354142[[#This Row],[日期]]&amp;"今日日程评分归档",records[日期]&amp;records[名称],0)),"")</f>
        <v/>
      </c>
      <c r="W22" t="str">
        <f t="array" ref="W22">IFERROR(INDEX(records[得分],MATCH(表31_34354142[[#This Row],[日期]]&amp;"今日日程评分归档",records[日期]&amp;records[名称],0)),"")</f>
        <v/>
      </c>
      <c r="X22" t="str">
        <f t="array" ref="X22">IFERROR(INDEX(records[备注],MATCH(表31_34354142[[#This Row],[日期]]&amp;"今日日程评分归档",records[日期]&amp;records[名称],0))&amp;"","")</f>
        <v/>
      </c>
    </row>
    <row r="23" spans="1:26">
      <c r="A23" s="6">
        <v>43898</v>
      </c>
      <c r="B23" s="18" t="str">
        <f t="array" ref="B23">IFERROR(INDEX(records[开始时刻],MATCH(表31_3435[[#This Row],[日期]]&amp;"今日日程评分",records[日期]&amp;records[名称],0)),"")</f>
        <v/>
      </c>
      <c r="C23" s="18" t="str">
        <f t="array" ref="C23">IFERROR(INDEX(records[结束时刻],MATCH(表31_3435[[#This Row],[日期]]&amp;"今日日程评分",records[日期]&amp;records[名称],0)),"")</f>
        <v/>
      </c>
      <c r="D23" s="18" t="str">
        <f t="array" ref="D23">IFERROR(INDEX(records[持续时间],MATCH(表31_3435[[#This Row],[日期]]&amp;"今日日程评分",records[日期]&amp;records[名称],0)),"")</f>
        <v/>
      </c>
      <c r="E23" t="str">
        <f t="array" ref="E23">IFERROR(INDEX(records[得分],MATCH(表31_3435[[#This Row],[日期]]&amp;"今日日程评分",records[日期]&amp;records[名称],0)),"")</f>
        <v/>
      </c>
      <c r="F23" t="str">
        <f t="array" ref="F23">IFERROR(INDEX(records[备注],MATCH(表31_3435[[#This Row],[日期]]&amp;"今日日程评分",records[日期]&amp;records[名称],0))&amp;"","")</f>
        <v/>
      </c>
      <c r="H23" t="str">
        <f>IF(表31_3435[[#This Row],[得分]]="","",IF(表31_3435[[#This Row],[得分]]&lt;0,H22+1,0))</f>
        <v/>
      </c>
      <c r="J23" s="6">
        <v>43898</v>
      </c>
      <c r="K23" s="18" t="str">
        <f t="array" ref="K23">IFERROR(INDEX(records[开始时刻],MATCH(表31_343541[[#This Row],[日期]]&amp;"明日日程安排",records[日期]&amp;records[名称],0)),"")</f>
        <v/>
      </c>
      <c r="L23" s="18" t="str">
        <f t="array" ref="L23">IFERROR(INDEX(records[结束时刻],MATCH(表31_343541[[#This Row],[日期]]&amp;"明日日程安排",records[日期]&amp;records[名称],0)),"")</f>
        <v/>
      </c>
      <c r="M23" s="18" t="str">
        <f t="array" ref="M23">IFERROR(INDEX(records[持续时间],MATCH(表31_343541[[#This Row],[日期]]&amp;"明日日程安排",records[日期]&amp;records[名称],0)),"")</f>
        <v/>
      </c>
      <c r="N23" t="str">
        <f t="array" ref="N23">IFERROR(INDEX(records[得分],MATCH(表31_343541[[#This Row],[日期]]&amp;"明日日程安排",records[日期]&amp;records[名称],0)),"")</f>
        <v/>
      </c>
      <c r="O23" t="str">
        <f t="array" ref="O23">IFERROR(INDEX(records[备注],MATCH(表31_343541[[#This Row],[日期]]&amp;"明日日程安排",records[日期]&amp;records[名称],0))&amp;"","")</f>
        <v/>
      </c>
      <c r="S23" s="6">
        <v>43898</v>
      </c>
      <c r="T23" s="18" t="str">
        <f t="array" ref="T23">IFERROR(INDEX(records[开始时刻],MATCH(表31_34354142[[#This Row],[日期]]&amp;"今日日程评分归档",records[日期]&amp;records[名称],0)),"")</f>
        <v/>
      </c>
      <c r="U23" s="18" t="str">
        <f t="array" ref="U23">IFERROR(INDEX(records[结束时刻],MATCH(表31_34354142[[#This Row],[日期]]&amp;"今日日程评分归档",records[日期]&amp;records[名称],0)),"")</f>
        <v/>
      </c>
      <c r="V23" s="18" t="str">
        <f t="array" ref="V23">IFERROR(INDEX(records[持续时间],MATCH(表31_34354142[[#This Row],[日期]]&amp;"今日日程评分归档",records[日期]&amp;records[名称],0)),"")</f>
        <v/>
      </c>
      <c r="W23" t="str">
        <f t="array" ref="W23">IFERROR(INDEX(records[得分],MATCH(表31_34354142[[#This Row],[日期]]&amp;"今日日程评分归档",records[日期]&amp;records[名称],0)),"")</f>
        <v/>
      </c>
      <c r="X23" t="str">
        <f t="array" ref="X23">IFERROR(INDEX(records[备注],MATCH(表31_34354142[[#This Row],[日期]]&amp;"今日日程评分归档",records[日期]&amp;records[名称],0))&amp;"","")</f>
        <v/>
      </c>
    </row>
    <row r="24" spans="1:26">
      <c r="A24" s="6">
        <v>43899</v>
      </c>
      <c r="B24" s="18" t="str">
        <f t="array" ref="B24">IFERROR(INDEX(records[开始时刻],MATCH(表31_3435[[#This Row],[日期]]&amp;"今日日程评分",records[日期]&amp;records[名称],0)),"")</f>
        <v/>
      </c>
      <c r="C24" s="18" t="str">
        <f t="array" ref="C24">IFERROR(INDEX(records[结束时刻],MATCH(表31_3435[[#This Row],[日期]]&amp;"今日日程评分",records[日期]&amp;records[名称],0)),"")</f>
        <v/>
      </c>
      <c r="D24" s="18" t="str">
        <f t="array" ref="D24">IFERROR(INDEX(records[持续时间],MATCH(表31_3435[[#This Row],[日期]]&amp;"今日日程评分",records[日期]&amp;records[名称],0)),"")</f>
        <v/>
      </c>
      <c r="E24" t="str">
        <f t="array" ref="E24">IFERROR(INDEX(records[得分],MATCH(表31_3435[[#This Row],[日期]]&amp;"今日日程评分",records[日期]&amp;records[名称],0)),"")</f>
        <v/>
      </c>
      <c r="F24" t="str">
        <f t="array" ref="F24">IFERROR(INDEX(records[备注],MATCH(表31_3435[[#This Row],[日期]]&amp;"今日日程评分",records[日期]&amp;records[名称],0))&amp;"","")</f>
        <v/>
      </c>
      <c r="H24" t="str">
        <f>IF(表31_3435[[#This Row],[得分]]="","",IF(表31_3435[[#This Row],[得分]]&lt;0,H23+1,0))</f>
        <v/>
      </c>
      <c r="J24" s="6">
        <v>43899</v>
      </c>
      <c r="K24" s="18" t="str">
        <f t="array" ref="K24">IFERROR(INDEX(records[开始时刻],MATCH(表31_343541[[#This Row],[日期]]&amp;"明日日程安排",records[日期]&amp;records[名称],0)),"")</f>
        <v/>
      </c>
      <c r="L24" s="18" t="str">
        <f t="array" ref="L24">IFERROR(INDEX(records[结束时刻],MATCH(表31_343541[[#This Row],[日期]]&amp;"明日日程安排",records[日期]&amp;records[名称],0)),"")</f>
        <v/>
      </c>
      <c r="M24" s="18" t="str">
        <f t="array" ref="M24">IFERROR(INDEX(records[持续时间],MATCH(表31_343541[[#This Row],[日期]]&amp;"明日日程安排",records[日期]&amp;records[名称],0)),"")</f>
        <v/>
      </c>
      <c r="N24" t="str">
        <f t="array" ref="N24">IFERROR(INDEX(records[得分],MATCH(表31_343541[[#This Row],[日期]]&amp;"明日日程安排",records[日期]&amp;records[名称],0)),"")</f>
        <v/>
      </c>
      <c r="O24" t="str">
        <f t="array" ref="O24">IFERROR(INDEX(records[备注],MATCH(表31_343541[[#This Row],[日期]]&amp;"明日日程安排",records[日期]&amp;records[名称],0))&amp;"","")</f>
        <v/>
      </c>
      <c r="S24" s="6">
        <v>43899</v>
      </c>
      <c r="T24" s="18" t="str">
        <f t="array" ref="T24">IFERROR(INDEX(records[开始时刻],MATCH(表31_34354142[[#This Row],[日期]]&amp;"今日日程评分归档",records[日期]&amp;records[名称],0)),"")</f>
        <v/>
      </c>
      <c r="U24" s="18" t="str">
        <f t="array" ref="U24">IFERROR(INDEX(records[结束时刻],MATCH(表31_34354142[[#This Row],[日期]]&amp;"今日日程评分归档",records[日期]&amp;records[名称],0)),"")</f>
        <v/>
      </c>
      <c r="V24" s="18" t="str">
        <f t="array" ref="V24">IFERROR(INDEX(records[持续时间],MATCH(表31_34354142[[#This Row],[日期]]&amp;"今日日程评分归档",records[日期]&amp;records[名称],0)),"")</f>
        <v/>
      </c>
      <c r="W24" t="str">
        <f t="array" ref="W24">IFERROR(INDEX(records[得分],MATCH(表31_34354142[[#This Row],[日期]]&amp;"今日日程评分归档",records[日期]&amp;records[名称],0)),"")</f>
        <v/>
      </c>
      <c r="X24" t="str">
        <f t="array" ref="X24">IFERROR(INDEX(records[备注],MATCH(表31_34354142[[#This Row],[日期]]&amp;"今日日程评分归档",records[日期]&amp;records[名称],0))&amp;"","")</f>
        <v/>
      </c>
    </row>
    <row r="25" spans="1:26">
      <c r="A25" s="6">
        <v>43900</v>
      </c>
      <c r="B25" s="18" t="str">
        <f t="array" ref="B25">IFERROR(INDEX(records[开始时刻],MATCH(表31_3435[[#This Row],[日期]]&amp;"今日日程评分",records[日期]&amp;records[名称],0)),"")</f>
        <v/>
      </c>
      <c r="C25" s="18" t="str">
        <f t="array" ref="C25">IFERROR(INDEX(records[结束时刻],MATCH(表31_3435[[#This Row],[日期]]&amp;"今日日程评分",records[日期]&amp;records[名称],0)),"")</f>
        <v/>
      </c>
      <c r="D25" s="18" t="str">
        <f t="array" ref="D25">IFERROR(INDEX(records[持续时间],MATCH(表31_3435[[#This Row],[日期]]&amp;"今日日程评分",records[日期]&amp;records[名称],0)),"")</f>
        <v/>
      </c>
      <c r="E25" t="str">
        <f t="array" ref="E25">IFERROR(INDEX(records[得分],MATCH(表31_3435[[#This Row],[日期]]&amp;"今日日程评分",records[日期]&amp;records[名称],0)),"")</f>
        <v/>
      </c>
      <c r="F25" t="str">
        <f t="array" ref="F25">IFERROR(INDEX(records[备注],MATCH(表31_3435[[#This Row],[日期]]&amp;"今日日程评分",records[日期]&amp;records[名称],0))&amp;"","")</f>
        <v/>
      </c>
      <c r="H25" t="str">
        <f>IF(表31_3435[[#This Row],[得分]]="","",IF(表31_3435[[#This Row],[得分]]&lt;0,H24+1,0))</f>
        <v/>
      </c>
      <c r="J25" s="6">
        <v>43900</v>
      </c>
      <c r="K25" s="18" t="str">
        <f t="array" ref="K25">IFERROR(INDEX(records[开始时刻],MATCH(表31_343541[[#This Row],[日期]]&amp;"明日日程安排",records[日期]&amp;records[名称],0)),"")</f>
        <v/>
      </c>
      <c r="L25" s="18" t="str">
        <f t="array" ref="L25">IFERROR(INDEX(records[结束时刻],MATCH(表31_343541[[#This Row],[日期]]&amp;"明日日程安排",records[日期]&amp;records[名称],0)),"")</f>
        <v/>
      </c>
      <c r="M25" s="18" t="str">
        <f t="array" ref="M25">IFERROR(INDEX(records[持续时间],MATCH(表31_343541[[#This Row],[日期]]&amp;"明日日程安排",records[日期]&amp;records[名称],0)),"")</f>
        <v/>
      </c>
      <c r="N25" t="str">
        <f t="array" ref="N25">IFERROR(INDEX(records[得分],MATCH(表31_343541[[#This Row],[日期]]&amp;"明日日程安排",records[日期]&amp;records[名称],0)),"")</f>
        <v/>
      </c>
      <c r="O25" t="str">
        <f t="array" ref="O25">IFERROR(INDEX(records[备注],MATCH(表31_343541[[#This Row],[日期]]&amp;"明日日程安排",records[日期]&amp;records[名称],0))&amp;"","")</f>
        <v/>
      </c>
      <c r="S25" s="6">
        <v>43900</v>
      </c>
      <c r="T25" s="18" t="str">
        <f t="array" ref="T25">IFERROR(INDEX(records[开始时刻],MATCH(表31_34354142[[#This Row],[日期]]&amp;"今日日程评分归档",records[日期]&amp;records[名称],0)),"")</f>
        <v/>
      </c>
      <c r="U25" s="18" t="str">
        <f t="array" ref="U25">IFERROR(INDEX(records[结束时刻],MATCH(表31_34354142[[#This Row],[日期]]&amp;"今日日程评分归档",records[日期]&amp;records[名称],0)),"")</f>
        <v/>
      </c>
      <c r="V25" s="18" t="str">
        <f t="array" ref="V25">IFERROR(INDEX(records[持续时间],MATCH(表31_34354142[[#This Row],[日期]]&amp;"今日日程评分归档",records[日期]&amp;records[名称],0)),"")</f>
        <v/>
      </c>
      <c r="W25" t="str">
        <f t="array" ref="W25">IFERROR(INDEX(records[得分],MATCH(表31_34354142[[#This Row],[日期]]&amp;"今日日程评分归档",records[日期]&amp;records[名称],0)),"")</f>
        <v/>
      </c>
      <c r="X25" t="str">
        <f t="array" ref="X25">IFERROR(INDEX(records[备注],MATCH(表31_34354142[[#This Row],[日期]]&amp;"今日日程评分归档",records[日期]&amp;records[名称],0))&amp;"","")</f>
        <v/>
      </c>
    </row>
    <row r="26" spans="1:26">
      <c r="A26" s="6">
        <v>43901</v>
      </c>
      <c r="B26" s="18" t="str">
        <f t="array" ref="B26">IFERROR(INDEX(records[开始时刻],MATCH(表31_3435[[#This Row],[日期]]&amp;"今日日程评分",records[日期]&amp;records[名称],0)),"")</f>
        <v/>
      </c>
      <c r="C26" s="18" t="str">
        <f t="array" ref="C26">IFERROR(INDEX(records[结束时刻],MATCH(表31_3435[[#This Row],[日期]]&amp;"今日日程评分",records[日期]&amp;records[名称],0)),"")</f>
        <v/>
      </c>
      <c r="D26" s="18" t="str">
        <f t="array" ref="D26">IFERROR(INDEX(records[持续时间],MATCH(表31_3435[[#This Row],[日期]]&amp;"今日日程评分",records[日期]&amp;records[名称],0)),"")</f>
        <v/>
      </c>
      <c r="E26" t="str">
        <f t="array" ref="E26">IFERROR(INDEX(records[得分],MATCH(表31_3435[[#This Row],[日期]]&amp;"今日日程评分",records[日期]&amp;records[名称],0)),"")</f>
        <v/>
      </c>
      <c r="F26" t="str">
        <f t="array" ref="F26">IFERROR(INDEX(records[备注],MATCH(表31_3435[[#This Row],[日期]]&amp;"今日日程评分",records[日期]&amp;records[名称],0))&amp;"","")</f>
        <v/>
      </c>
      <c r="H26" t="str">
        <f>IF(表31_3435[[#This Row],[得分]]="","",IF(表31_3435[[#This Row],[得分]]&lt;0,H25+1,0))</f>
        <v/>
      </c>
      <c r="J26" s="6">
        <v>43901</v>
      </c>
      <c r="K26" s="18" t="str">
        <f t="array" ref="K26">IFERROR(INDEX(records[开始时刻],MATCH(表31_343541[[#This Row],[日期]]&amp;"明日日程安排",records[日期]&amp;records[名称],0)),"")</f>
        <v/>
      </c>
      <c r="L26" s="18" t="str">
        <f t="array" ref="L26">IFERROR(INDEX(records[结束时刻],MATCH(表31_343541[[#This Row],[日期]]&amp;"明日日程安排",records[日期]&amp;records[名称],0)),"")</f>
        <v/>
      </c>
      <c r="M26" s="18" t="str">
        <f t="array" ref="M26">IFERROR(INDEX(records[持续时间],MATCH(表31_343541[[#This Row],[日期]]&amp;"明日日程安排",records[日期]&amp;records[名称],0)),"")</f>
        <v/>
      </c>
      <c r="N26" t="str">
        <f t="array" ref="N26">IFERROR(INDEX(records[得分],MATCH(表31_343541[[#This Row],[日期]]&amp;"明日日程安排",records[日期]&amp;records[名称],0)),"")</f>
        <v/>
      </c>
      <c r="O26" t="str">
        <f t="array" ref="O26">IFERROR(INDEX(records[备注],MATCH(表31_343541[[#This Row],[日期]]&amp;"明日日程安排",records[日期]&amp;records[名称],0))&amp;"","")</f>
        <v/>
      </c>
      <c r="S26" s="6">
        <v>43901</v>
      </c>
      <c r="T26" s="18" t="str">
        <f t="array" ref="T26">IFERROR(INDEX(records[开始时刻],MATCH(表31_34354142[[#This Row],[日期]]&amp;"今日日程评分归档",records[日期]&amp;records[名称],0)),"")</f>
        <v/>
      </c>
      <c r="U26" s="18" t="str">
        <f t="array" ref="U26">IFERROR(INDEX(records[结束时刻],MATCH(表31_34354142[[#This Row],[日期]]&amp;"今日日程评分归档",records[日期]&amp;records[名称],0)),"")</f>
        <v/>
      </c>
      <c r="V26" s="18" t="str">
        <f t="array" ref="V26">IFERROR(INDEX(records[持续时间],MATCH(表31_34354142[[#This Row],[日期]]&amp;"今日日程评分归档",records[日期]&amp;records[名称],0)),"")</f>
        <v/>
      </c>
      <c r="W26" t="str">
        <f t="array" ref="W26">IFERROR(INDEX(records[得分],MATCH(表31_34354142[[#This Row],[日期]]&amp;"今日日程评分归档",records[日期]&amp;records[名称],0)),"")</f>
        <v/>
      </c>
      <c r="X26" t="str">
        <f t="array" ref="X26">IFERROR(INDEX(records[备注],MATCH(表31_34354142[[#This Row],[日期]]&amp;"今日日程评分归档",records[日期]&amp;records[名称],0))&amp;"","")</f>
        <v/>
      </c>
    </row>
    <row r="27" spans="1:26">
      <c r="A27" s="6">
        <v>43902</v>
      </c>
      <c r="B27" s="18" t="str">
        <f t="array" ref="B27">IFERROR(INDEX(records[开始时刻],MATCH(表31_3435[[#This Row],[日期]]&amp;"今日日程评分",records[日期]&amp;records[名称],0)),"")</f>
        <v/>
      </c>
      <c r="C27" s="18" t="str">
        <f t="array" ref="C27">IFERROR(INDEX(records[结束时刻],MATCH(表31_3435[[#This Row],[日期]]&amp;"今日日程评分",records[日期]&amp;records[名称],0)),"")</f>
        <v/>
      </c>
      <c r="D27" s="18" t="str">
        <f t="array" ref="D27">IFERROR(INDEX(records[持续时间],MATCH(表31_3435[[#This Row],[日期]]&amp;"今日日程评分",records[日期]&amp;records[名称],0)),"")</f>
        <v/>
      </c>
      <c r="E27" t="str">
        <f t="array" ref="E27">IFERROR(INDEX(records[得分],MATCH(表31_3435[[#This Row],[日期]]&amp;"今日日程评分",records[日期]&amp;records[名称],0)),"")</f>
        <v/>
      </c>
      <c r="F27" t="str">
        <f t="array" ref="F27">IFERROR(INDEX(records[备注],MATCH(表31_3435[[#This Row],[日期]]&amp;"今日日程评分",records[日期]&amp;records[名称],0))&amp;"","")</f>
        <v/>
      </c>
      <c r="H27" t="str">
        <f>IF(表31_3435[[#This Row],[得分]]="","",IF(表31_3435[[#This Row],[得分]]&lt;0,H26+1,0))</f>
        <v/>
      </c>
      <c r="J27" s="6">
        <v>43902</v>
      </c>
      <c r="K27" s="18" t="str">
        <f t="array" ref="K27">IFERROR(INDEX(records[开始时刻],MATCH(表31_343541[[#This Row],[日期]]&amp;"明日日程安排",records[日期]&amp;records[名称],0)),"")</f>
        <v/>
      </c>
      <c r="L27" s="18" t="str">
        <f t="array" ref="L27">IFERROR(INDEX(records[结束时刻],MATCH(表31_343541[[#This Row],[日期]]&amp;"明日日程安排",records[日期]&amp;records[名称],0)),"")</f>
        <v/>
      </c>
      <c r="M27" s="18" t="str">
        <f t="array" ref="M27">IFERROR(INDEX(records[持续时间],MATCH(表31_343541[[#This Row],[日期]]&amp;"明日日程安排",records[日期]&amp;records[名称],0)),"")</f>
        <v/>
      </c>
      <c r="N27" t="str">
        <f t="array" ref="N27">IFERROR(INDEX(records[得分],MATCH(表31_343541[[#This Row],[日期]]&amp;"明日日程安排",records[日期]&amp;records[名称],0)),"")</f>
        <v/>
      </c>
      <c r="O27" t="str">
        <f t="array" ref="O27">IFERROR(INDEX(records[备注],MATCH(表31_343541[[#This Row],[日期]]&amp;"明日日程安排",records[日期]&amp;records[名称],0))&amp;"","")</f>
        <v/>
      </c>
      <c r="S27" s="6">
        <v>43902</v>
      </c>
      <c r="T27" s="18" t="str">
        <f t="array" ref="T27">IFERROR(INDEX(records[开始时刻],MATCH(表31_34354142[[#This Row],[日期]]&amp;"今日日程评分归档",records[日期]&amp;records[名称],0)),"")</f>
        <v/>
      </c>
      <c r="U27" s="18" t="str">
        <f t="array" ref="U27">IFERROR(INDEX(records[结束时刻],MATCH(表31_34354142[[#This Row],[日期]]&amp;"今日日程评分归档",records[日期]&amp;records[名称],0)),"")</f>
        <v/>
      </c>
      <c r="V27" s="18" t="str">
        <f t="array" ref="V27">IFERROR(INDEX(records[持续时间],MATCH(表31_34354142[[#This Row],[日期]]&amp;"今日日程评分归档",records[日期]&amp;records[名称],0)),"")</f>
        <v/>
      </c>
      <c r="W27" t="str">
        <f t="array" ref="W27">IFERROR(INDEX(records[得分],MATCH(表31_34354142[[#This Row],[日期]]&amp;"今日日程评分归档",records[日期]&amp;records[名称],0)),"")</f>
        <v/>
      </c>
      <c r="X27" t="str">
        <f t="array" ref="X27">IFERROR(INDEX(records[备注],MATCH(表31_34354142[[#This Row],[日期]]&amp;"今日日程评分归档",records[日期]&amp;records[名称],0))&amp;"","")</f>
        <v/>
      </c>
    </row>
  </sheetData>
  <mergeCells count="3">
    <mergeCell ref="A7:H7"/>
    <mergeCell ref="J7:Q7"/>
    <mergeCell ref="S7:Z7"/>
  </mergeCells>
  <phoneticPr fontId="1" type="noConversion"/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records</vt:lpstr>
      <vt:lpstr>period</vt:lpstr>
      <vt:lpstr>day</vt:lpstr>
      <vt:lpstr>week</vt:lpstr>
      <vt:lpstr>month</vt:lpstr>
      <vt:lpstr>year</vt:lpstr>
      <vt:lpstr>search</vt:lpstr>
      <vt:lpstr>charts</vt:lpstr>
      <vt:lpstr>getupearly</vt:lpstr>
      <vt:lpstr>reading</vt:lpstr>
      <vt:lpstr>breakfast</vt:lpstr>
      <vt:lpstr>lunch</vt:lpstr>
      <vt:lpstr>diner</vt:lpstr>
      <vt:lpstr>exercise</vt:lpstr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gzhennaxia@163.com</dc:creator>
  <cp:lastModifiedBy>gzhennaxia@163.com</cp:lastModifiedBy>
  <dcterms:created xsi:type="dcterms:W3CDTF">2020-02-24T09:12:41Z</dcterms:created>
  <dcterms:modified xsi:type="dcterms:W3CDTF">2020-03-06T00:30:15Z</dcterms:modified>
</cp:coreProperties>
</file>